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Faizan Excel\"/>
    </mc:Choice>
  </mc:AlternateContent>
  <xr:revisionPtr revIDLastSave="0" documentId="8_{E32BA3BF-8BD7-4C65-94D5-02976989D5A8}" xr6:coauthVersionLast="47" xr6:coauthVersionMax="47" xr10:uidLastSave="{00000000-0000-0000-0000-000000000000}"/>
  <bookViews>
    <workbookView xWindow="-108" yWindow="-108" windowWidth="23256" windowHeight="13176" firstSheet="11" activeTab="12" xr2:uid="{00000000-000D-0000-FFFF-FFFF00000000}"/>
  </bookViews>
  <sheets>
    <sheet name="Shared Dashboard - April" sheetId="8" state="hidden" r:id="rId1"/>
    <sheet name="Shared Dashboard - May" sheetId="10" state="hidden" r:id="rId2"/>
    <sheet name="Shared DB - June 25" sheetId="11" state="hidden" r:id="rId3"/>
    <sheet name="Shared DB - July 25" sheetId="12" state="hidden" r:id="rId4"/>
    <sheet name="Shared DB - Aug 25" sheetId="14" state="hidden" r:id="rId5"/>
    <sheet name="Shared DB - Sept 25" sheetId="16" state="hidden" r:id="rId6"/>
    <sheet name="Shared DB - Oct 25" sheetId="18" state="hidden" r:id="rId7"/>
    <sheet name="Shared DB - Nov 25" sheetId="20" state="hidden" r:id="rId8"/>
    <sheet name="FG wise Sales" sheetId="22" state="hidden" r:id="rId9"/>
    <sheet name="Dashboard" sheetId="7" state="hidden" r:id="rId10"/>
    <sheet name="Sheet3" sheetId="23" state="hidden" r:id="rId11"/>
    <sheet name="Sales Report" sheetId="24" r:id="rId12"/>
    <sheet name="Sheet2" sheetId="25" r:id="rId13"/>
    <sheet name="MIS Working 1" sheetId="21" state="hidden" r:id="rId14"/>
    <sheet name="COGS Break up" sheetId="6" r:id="rId15"/>
    <sheet name="Daily Pivot" sheetId="3" state="hidden" r:id="rId16"/>
    <sheet name="YTM Pivot" sheetId="5" state="hidden" r:id="rId17"/>
    <sheet name="Sales data (2)" sheetId="13" state="hidden" r:id="rId18"/>
    <sheet name="MIS Working" sheetId="17" state="hidden" r:id="rId19"/>
    <sheet name="ASP Analysis" sheetId="19" state="hidden" r:id="rId20"/>
    <sheet name="Master" sheetId="4" r:id="rId21"/>
    <sheet name="PIVOT" sheetId="15" state="hidden" r:id="rId22"/>
    <sheet name="Sheet1" sheetId="9" state="hidden" r:id="rId23"/>
  </sheets>
  <definedNames>
    <definedName name="_xlnm._FilterDatabase" localSheetId="14" hidden="1">'COGS Break up'!$A$2:$E$1181</definedName>
    <definedName name="_xlnm._FilterDatabase" localSheetId="8" hidden="1">'FG wise Sales'!$A$2:$L$121</definedName>
    <definedName name="_xlnm._FilterDatabase" localSheetId="20" hidden="1">Master!$B$1:$C$368</definedName>
    <definedName name="_xlnm._FilterDatabase" localSheetId="18" hidden="1">'MIS Working'!$AO$1:$AV$506</definedName>
    <definedName name="_xlnm._FilterDatabase" localSheetId="13">'MIS Working 1'!$A$1:$AM$472</definedName>
    <definedName name="_xlnm._FilterDatabase" localSheetId="11" hidden="1">'Sales Report'!$A$1:$P$28</definedName>
  </definedNames>
  <calcPr calcId="191029"/>
  <pivotCaches>
    <pivotCache cacheId="0" r:id="rId24"/>
    <pivotCache cacheId="1" r:id="rId2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25" l="1"/>
  <c r="F4" i="25"/>
  <c r="F6" i="25"/>
  <c r="F7" i="25"/>
  <c r="F8" i="25"/>
  <c r="F3" i="25"/>
  <c r="F28" i="24"/>
  <c r="F27" i="24"/>
  <c r="F26" i="24"/>
  <c r="F25" i="24"/>
  <c r="F24" i="24"/>
  <c r="F23" i="24"/>
  <c r="F22" i="24"/>
  <c r="F21" i="24"/>
  <c r="F20" i="24"/>
  <c r="F19" i="24"/>
  <c r="F18" i="24"/>
  <c r="F17" i="24"/>
  <c r="F16" i="24"/>
  <c r="F15" i="24"/>
  <c r="F14" i="24"/>
  <c r="F13" i="24"/>
  <c r="F12" i="24"/>
  <c r="F11" i="24"/>
  <c r="F10" i="24"/>
  <c r="F9" i="24"/>
  <c r="F8" i="24"/>
  <c r="F7" i="24"/>
  <c r="F6" i="24"/>
  <c r="F5" i="24"/>
  <c r="F3" i="24"/>
  <c r="F2" i="24"/>
  <c r="F4" i="24"/>
  <c r="V2" i="24"/>
  <c r="AE28" i="24"/>
  <c r="AL28" i="24" s="1"/>
  <c r="AD28" i="24"/>
  <c r="AK28" i="24" s="1"/>
  <c r="AC28" i="24"/>
  <c r="AJ28" i="24" s="1"/>
  <c r="AB28" i="24"/>
  <c r="AI28" i="24" s="1"/>
  <c r="AA28" i="24"/>
  <c r="AH28" i="24" s="1"/>
  <c r="AG28" i="24"/>
  <c r="X28" i="24"/>
  <c r="U28" i="24"/>
  <c r="T28" i="24"/>
  <c r="AE27" i="24"/>
  <c r="AL27" i="24" s="1"/>
  <c r="AD27" i="24"/>
  <c r="AK27" i="24" s="1"/>
  <c r="AC27" i="24"/>
  <c r="AJ27" i="24" s="1"/>
  <c r="AB27" i="24"/>
  <c r="AI27" i="24" s="1"/>
  <c r="AA27" i="24"/>
  <c r="AH27" i="24" s="1"/>
  <c r="Z27" i="24"/>
  <c r="X27" i="24"/>
  <c r="U27" i="24"/>
  <c r="T27" i="24"/>
  <c r="AE26" i="24"/>
  <c r="AL26" i="24" s="1"/>
  <c r="AD26" i="24"/>
  <c r="AK26" i="24" s="1"/>
  <c r="AC26" i="24"/>
  <c r="AJ26" i="24" s="1"/>
  <c r="AB26" i="24"/>
  <c r="AI26" i="24" s="1"/>
  <c r="AA26" i="24"/>
  <c r="AH26" i="24" s="1"/>
  <c r="Z26" i="24"/>
  <c r="X26" i="24"/>
  <c r="U26" i="24"/>
  <c r="T26" i="24"/>
  <c r="AE25" i="24"/>
  <c r="AL25" i="24" s="1"/>
  <c r="AD25" i="24"/>
  <c r="AK25" i="24" s="1"/>
  <c r="AC25" i="24"/>
  <c r="AJ25" i="24" s="1"/>
  <c r="AB25" i="24"/>
  <c r="AI25" i="24" s="1"/>
  <c r="AA25" i="24"/>
  <c r="AH25" i="24" s="1"/>
  <c r="Z25" i="24"/>
  <c r="X25" i="24"/>
  <c r="U25" i="24"/>
  <c r="T25" i="24"/>
  <c r="AE24" i="24"/>
  <c r="AL24" i="24" s="1"/>
  <c r="AD24" i="24"/>
  <c r="AK24" i="24" s="1"/>
  <c r="AC24" i="24"/>
  <c r="AJ24" i="24" s="1"/>
  <c r="AB24" i="24"/>
  <c r="AI24" i="24" s="1"/>
  <c r="AA24" i="24"/>
  <c r="AH24" i="24" s="1"/>
  <c r="Z24" i="24"/>
  <c r="AG24" i="24" s="1"/>
  <c r="X24" i="24"/>
  <c r="U24" i="24"/>
  <c r="T24" i="24"/>
  <c r="AE23" i="24"/>
  <c r="AL23" i="24" s="1"/>
  <c r="AD23" i="24"/>
  <c r="AK23" i="24" s="1"/>
  <c r="AC23" i="24"/>
  <c r="AJ23" i="24" s="1"/>
  <c r="AB23" i="24"/>
  <c r="AI23" i="24" s="1"/>
  <c r="AA23" i="24"/>
  <c r="AH23" i="24" s="1"/>
  <c r="Z23" i="24"/>
  <c r="X23" i="24"/>
  <c r="U23" i="24"/>
  <c r="T23" i="24"/>
  <c r="AE22" i="24"/>
  <c r="AL22" i="24" s="1"/>
  <c r="AD22" i="24"/>
  <c r="AK22" i="24" s="1"/>
  <c r="AC22" i="24"/>
  <c r="AJ22" i="24" s="1"/>
  <c r="AB22" i="24"/>
  <c r="AI22" i="24" s="1"/>
  <c r="AA22" i="24"/>
  <c r="AH22" i="24" s="1"/>
  <c r="Z22" i="24"/>
  <c r="AG22" i="24" s="1"/>
  <c r="X22" i="24"/>
  <c r="U22" i="24"/>
  <c r="T22" i="24"/>
  <c r="AE21" i="24"/>
  <c r="AL21" i="24" s="1"/>
  <c r="AD21" i="24"/>
  <c r="AK21" i="24" s="1"/>
  <c r="AC21" i="24"/>
  <c r="AJ21" i="24" s="1"/>
  <c r="AB21" i="24"/>
  <c r="AI21" i="24" s="1"/>
  <c r="AA21" i="24"/>
  <c r="AH21" i="24" s="1"/>
  <c r="Z21" i="24"/>
  <c r="AG21" i="24" s="1"/>
  <c r="X21" i="24"/>
  <c r="U21" i="24"/>
  <c r="T21" i="24"/>
  <c r="AE20" i="24"/>
  <c r="AL20" i="24" s="1"/>
  <c r="AD20" i="24"/>
  <c r="AK20" i="24" s="1"/>
  <c r="AC20" i="24"/>
  <c r="AJ20" i="24" s="1"/>
  <c r="AB20" i="24"/>
  <c r="AI20" i="24" s="1"/>
  <c r="AA20" i="24"/>
  <c r="AH20" i="24" s="1"/>
  <c r="Z20" i="24"/>
  <c r="AG20" i="24" s="1"/>
  <c r="X20" i="24"/>
  <c r="U20" i="24"/>
  <c r="T20" i="24"/>
  <c r="AE19" i="24"/>
  <c r="AL19" i="24" s="1"/>
  <c r="AD19" i="24"/>
  <c r="AK19" i="24" s="1"/>
  <c r="AC19" i="24"/>
  <c r="AJ19" i="24" s="1"/>
  <c r="AB19" i="24"/>
  <c r="AI19" i="24" s="1"/>
  <c r="AA19" i="24"/>
  <c r="AH19" i="24" s="1"/>
  <c r="Z19" i="24"/>
  <c r="X19" i="24"/>
  <c r="U19" i="24"/>
  <c r="T19" i="24"/>
  <c r="AE18" i="24"/>
  <c r="AL18" i="24" s="1"/>
  <c r="AD18" i="24"/>
  <c r="AK18" i="24" s="1"/>
  <c r="AC18" i="24"/>
  <c r="AJ18" i="24" s="1"/>
  <c r="AB18" i="24"/>
  <c r="AI18" i="24" s="1"/>
  <c r="AA18" i="24"/>
  <c r="AH18" i="24" s="1"/>
  <c r="Z18" i="24"/>
  <c r="AG18" i="24" s="1"/>
  <c r="X18" i="24"/>
  <c r="U18" i="24"/>
  <c r="T18" i="24"/>
  <c r="AE17" i="24"/>
  <c r="AL17" i="24" s="1"/>
  <c r="AD17" i="24"/>
  <c r="AK17" i="24" s="1"/>
  <c r="AC17" i="24"/>
  <c r="AJ17" i="24" s="1"/>
  <c r="AB17" i="24"/>
  <c r="AI17" i="24" s="1"/>
  <c r="AA17" i="24"/>
  <c r="AH17" i="24" s="1"/>
  <c r="Z17" i="24"/>
  <c r="AG17" i="24" s="1"/>
  <c r="X17" i="24"/>
  <c r="U17" i="24"/>
  <c r="T17" i="24"/>
  <c r="AE16" i="24"/>
  <c r="AL16" i="24" s="1"/>
  <c r="AD16" i="24"/>
  <c r="AK16" i="24" s="1"/>
  <c r="AC16" i="24"/>
  <c r="AJ16" i="24" s="1"/>
  <c r="AB16" i="24"/>
  <c r="AI16" i="24" s="1"/>
  <c r="AA16" i="24"/>
  <c r="AH16" i="24" s="1"/>
  <c r="Z16" i="24"/>
  <c r="AG16" i="24" s="1"/>
  <c r="X16" i="24"/>
  <c r="U16" i="24"/>
  <c r="T16" i="24"/>
  <c r="AE15" i="24"/>
  <c r="AL15" i="24" s="1"/>
  <c r="AD15" i="24"/>
  <c r="AK15" i="24" s="1"/>
  <c r="AC15" i="24"/>
  <c r="AJ15" i="24" s="1"/>
  <c r="AB15" i="24"/>
  <c r="AI15" i="24" s="1"/>
  <c r="AA15" i="24"/>
  <c r="AH15" i="24" s="1"/>
  <c r="Z15" i="24"/>
  <c r="AG15" i="24" s="1"/>
  <c r="X15" i="24"/>
  <c r="U15" i="24"/>
  <c r="T15" i="24"/>
  <c r="AE14" i="24"/>
  <c r="AL14" i="24" s="1"/>
  <c r="AD14" i="24"/>
  <c r="AK14" i="24" s="1"/>
  <c r="AC14" i="24"/>
  <c r="AJ14" i="24" s="1"/>
  <c r="AB14" i="24"/>
  <c r="AI14" i="24" s="1"/>
  <c r="AA14" i="24"/>
  <c r="AH14" i="24" s="1"/>
  <c r="Z14" i="24"/>
  <c r="AG14" i="24" s="1"/>
  <c r="X14" i="24"/>
  <c r="U14" i="24"/>
  <c r="T14" i="24"/>
  <c r="AE13" i="24"/>
  <c r="AL13" i="24" s="1"/>
  <c r="AD13" i="24"/>
  <c r="AK13" i="24" s="1"/>
  <c r="AC13" i="24"/>
  <c r="AJ13" i="24" s="1"/>
  <c r="AB13" i="24"/>
  <c r="AA13" i="24"/>
  <c r="AH13" i="24" s="1"/>
  <c r="Z13" i="24"/>
  <c r="AG13" i="24" s="1"/>
  <c r="X13" i="24"/>
  <c r="U13" i="24"/>
  <c r="T13" i="24"/>
  <c r="AE12" i="24"/>
  <c r="AL12" i="24" s="1"/>
  <c r="AD12" i="24"/>
  <c r="AK12" i="24" s="1"/>
  <c r="AC12" i="24"/>
  <c r="AJ12" i="24" s="1"/>
  <c r="AB12" i="24"/>
  <c r="AI12" i="24" s="1"/>
  <c r="AA12" i="24"/>
  <c r="AH12" i="24" s="1"/>
  <c r="Z12" i="24"/>
  <c r="X12" i="24"/>
  <c r="U12" i="24"/>
  <c r="T12" i="24"/>
  <c r="AE11" i="24"/>
  <c r="AL11" i="24" s="1"/>
  <c r="AD11" i="24"/>
  <c r="AK11" i="24" s="1"/>
  <c r="AC11" i="24"/>
  <c r="AJ11" i="24" s="1"/>
  <c r="AB11" i="24"/>
  <c r="AI11" i="24" s="1"/>
  <c r="AA11" i="24"/>
  <c r="AH11" i="24" s="1"/>
  <c r="Z11" i="24"/>
  <c r="AG11" i="24" s="1"/>
  <c r="X11" i="24"/>
  <c r="U11" i="24"/>
  <c r="T11" i="24"/>
  <c r="AE10" i="24"/>
  <c r="AL10" i="24" s="1"/>
  <c r="AD10" i="24"/>
  <c r="AK10" i="24" s="1"/>
  <c r="AC10" i="24"/>
  <c r="AJ10" i="24" s="1"/>
  <c r="AB10" i="24"/>
  <c r="AI10" i="24" s="1"/>
  <c r="AA10" i="24"/>
  <c r="AH10" i="24" s="1"/>
  <c r="Z10" i="24"/>
  <c r="AG10" i="24" s="1"/>
  <c r="X10" i="24"/>
  <c r="U10" i="24"/>
  <c r="T10" i="24"/>
  <c r="AE9" i="24"/>
  <c r="AL9" i="24" s="1"/>
  <c r="AD9" i="24"/>
  <c r="AK9" i="24" s="1"/>
  <c r="AC9" i="24"/>
  <c r="AJ9" i="24" s="1"/>
  <c r="AB9" i="24"/>
  <c r="AI9" i="24" s="1"/>
  <c r="AA9" i="24"/>
  <c r="AH9" i="24" s="1"/>
  <c r="Z9" i="24"/>
  <c r="AG9" i="24" s="1"/>
  <c r="X9" i="24"/>
  <c r="U9" i="24"/>
  <c r="T9" i="24"/>
  <c r="AE8" i="24"/>
  <c r="AL8" i="24" s="1"/>
  <c r="AD8" i="24"/>
  <c r="AK8" i="24" s="1"/>
  <c r="AC8" i="24"/>
  <c r="AJ8" i="24" s="1"/>
  <c r="AB8" i="24"/>
  <c r="AI8" i="24" s="1"/>
  <c r="AA8" i="24"/>
  <c r="AH8" i="24" s="1"/>
  <c r="Z8" i="24"/>
  <c r="AG8" i="24" s="1"/>
  <c r="X8" i="24"/>
  <c r="U8" i="24"/>
  <c r="T8" i="24"/>
  <c r="AE7" i="24"/>
  <c r="AL7" i="24" s="1"/>
  <c r="AD7" i="24"/>
  <c r="AK7" i="24" s="1"/>
  <c r="AC7" i="24"/>
  <c r="AJ7" i="24" s="1"/>
  <c r="AB7" i="24"/>
  <c r="AI7" i="24" s="1"/>
  <c r="AA7" i="24"/>
  <c r="AH7" i="24" s="1"/>
  <c r="Z7" i="24"/>
  <c r="X7" i="24"/>
  <c r="U7" i="24"/>
  <c r="T7" i="24"/>
  <c r="AE6" i="24"/>
  <c r="AL6" i="24" s="1"/>
  <c r="AD6" i="24"/>
  <c r="AK6" i="24" s="1"/>
  <c r="AC6" i="24"/>
  <c r="AJ6" i="24" s="1"/>
  <c r="AB6" i="24"/>
  <c r="AI6" i="24" s="1"/>
  <c r="AA6" i="24"/>
  <c r="AH6" i="24" s="1"/>
  <c r="Z6" i="24"/>
  <c r="AG6" i="24" s="1"/>
  <c r="X6" i="24"/>
  <c r="U6" i="24"/>
  <c r="T6" i="24"/>
  <c r="AE5" i="24"/>
  <c r="AL5" i="24" s="1"/>
  <c r="AD5" i="24"/>
  <c r="AK5" i="24" s="1"/>
  <c r="AC5" i="24"/>
  <c r="AJ5" i="24" s="1"/>
  <c r="AB5" i="24"/>
  <c r="AI5" i="24" s="1"/>
  <c r="AA5" i="24"/>
  <c r="AH5" i="24" s="1"/>
  <c r="Z5" i="24"/>
  <c r="X5" i="24"/>
  <c r="U5" i="24"/>
  <c r="T5" i="24"/>
  <c r="AE4" i="24"/>
  <c r="AL4" i="24" s="1"/>
  <c r="AD4" i="24"/>
  <c r="AK4" i="24" s="1"/>
  <c r="AC4" i="24"/>
  <c r="AJ4" i="24" s="1"/>
  <c r="AB4" i="24"/>
  <c r="AI4" i="24" s="1"/>
  <c r="AA4" i="24"/>
  <c r="AH4" i="24" s="1"/>
  <c r="Z4" i="24"/>
  <c r="X4" i="24"/>
  <c r="U4" i="24"/>
  <c r="T4" i="24"/>
  <c r="AE3" i="24"/>
  <c r="AL3" i="24" s="1"/>
  <c r="AD3" i="24"/>
  <c r="AK3" i="24" s="1"/>
  <c r="AC3" i="24"/>
  <c r="AJ3" i="24" s="1"/>
  <c r="AB3" i="24"/>
  <c r="AI3" i="24" s="1"/>
  <c r="AA3" i="24"/>
  <c r="AH3" i="24" s="1"/>
  <c r="Z3" i="24"/>
  <c r="X3" i="24"/>
  <c r="U3" i="24"/>
  <c r="T3" i="24"/>
  <c r="AE2" i="24"/>
  <c r="AL2" i="24" s="1"/>
  <c r="AD2" i="24"/>
  <c r="AK2" i="24" s="1"/>
  <c r="AC2" i="24"/>
  <c r="AJ2" i="24" s="1"/>
  <c r="AB2" i="24"/>
  <c r="AI2" i="24" s="1"/>
  <c r="AA2" i="24"/>
  <c r="AH2" i="24" s="1"/>
  <c r="Z2" i="24"/>
  <c r="AG2" i="24" s="1"/>
  <c r="X2" i="24"/>
  <c r="U2" i="24"/>
  <c r="T2" i="24"/>
  <c r="C4" i="25" l="1"/>
  <c r="E3" i="25"/>
  <c r="E7" i="25"/>
  <c r="E6" i="25"/>
  <c r="E4" i="25"/>
  <c r="E8" i="25"/>
  <c r="E5" i="25"/>
  <c r="C3" i="25"/>
  <c r="C8" i="25"/>
  <c r="C7" i="25"/>
  <c r="C6" i="25"/>
  <c r="AF24" i="24"/>
  <c r="V24" i="24" s="1"/>
  <c r="W24" i="24" s="1"/>
  <c r="D3" i="25"/>
  <c r="D8" i="25"/>
  <c r="Y12" i="24"/>
  <c r="D4" i="25"/>
  <c r="D6" i="25"/>
  <c r="D7" i="25"/>
  <c r="AF20" i="24"/>
  <c r="V20" i="24" s="1"/>
  <c r="W20" i="24" s="1"/>
  <c r="AF16" i="24"/>
  <c r="AF10" i="24"/>
  <c r="V10" i="24" s="1"/>
  <c r="W10" i="24" s="1"/>
  <c r="AF22" i="24"/>
  <c r="V22" i="24" s="1"/>
  <c r="W22" i="24" s="1"/>
  <c r="AF28" i="24"/>
  <c r="V28" i="24" s="1"/>
  <c r="W28" i="24" s="1"/>
  <c r="AF6" i="24"/>
  <c r="V6" i="24" s="1"/>
  <c r="W6" i="24" s="1"/>
  <c r="Y4" i="24"/>
  <c r="AF21" i="24"/>
  <c r="V21" i="24" s="1"/>
  <c r="W21" i="24" s="1"/>
  <c r="AF18" i="24"/>
  <c r="V18" i="24" s="1"/>
  <c r="W18" i="24" s="1"/>
  <c r="AF8" i="24"/>
  <c r="V8" i="24" s="1"/>
  <c r="W8" i="24" s="1"/>
  <c r="AF17" i="24"/>
  <c r="V17" i="24" s="1"/>
  <c r="W17" i="24" s="1"/>
  <c r="AF9" i="24"/>
  <c r="V9" i="24" s="1"/>
  <c r="W9" i="24" s="1"/>
  <c r="Y3" i="24"/>
  <c r="Y7" i="24"/>
  <c r="AF11" i="24"/>
  <c r="V11" i="24" s="1"/>
  <c r="W11" i="24" s="1"/>
  <c r="AF15" i="24"/>
  <c r="V15" i="24" s="1"/>
  <c r="W15" i="24" s="1"/>
  <c r="Y19" i="24"/>
  <c r="Y27" i="24"/>
  <c r="AF2" i="24"/>
  <c r="AF14" i="24"/>
  <c r="V14" i="24" s="1"/>
  <c r="W14" i="24" s="1"/>
  <c r="Y26" i="24"/>
  <c r="Y23" i="24"/>
  <c r="Y5" i="24"/>
  <c r="Y25" i="24"/>
  <c r="Y17" i="24"/>
  <c r="Y6" i="24"/>
  <c r="Y18" i="24"/>
  <c r="Y20" i="24"/>
  <c r="Y8" i="24"/>
  <c r="Y9" i="24"/>
  <c r="Y21" i="24"/>
  <c r="Y22" i="24"/>
  <c r="Y11" i="24"/>
  <c r="Y10" i="24"/>
  <c r="Y24" i="24"/>
  <c r="Y13" i="24"/>
  <c r="Y2" i="24"/>
  <c r="Y14" i="24"/>
  <c r="Y15" i="24"/>
  <c r="Y16" i="24"/>
  <c r="Y28" i="24"/>
  <c r="V16" i="24"/>
  <c r="W16" i="24" s="1"/>
  <c r="W2" i="24"/>
  <c r="AG23" i="24"/>
  <c r="AF23" i="24" s="1"/>
  <c r="AG4" i="24"/>
  <c r="AF4" i="24" s="1"/>
  <c r="AG5" i="24"/>
  <c r="AF5" i="24" s="1"/>
  <c r="AG26" i="24"/>
  <c r="AF26" i="24" s="1"/>
  <c r="AG27" i="24"/>
  <c r="AF27" i="24" s="1"/>
  <c r="AI13" i="24"/>
  <c r="AF13" i="24" s="1"/>
  <c r="V13" i="24" s="1"/>
  <c r="W13" i="24" s="1"/>
  <c r="AG12" i="24"/>
  <c r="AF12" i="24" s="1"/>
  <c r="AG19" i="24"/>
  <c r="AF19" i="24" s="1"/>
  <c r="AG25" i="24"/>
  <c r="AF25" i="24" s="1"/>
  <c r="AG7" i="24"/>
  <c r="AF7" i="24" s="1"/>
  <c r="AG3" i="24"/>
  <c r="AF3" i="24" s="1"/>
  <c r="V26" i="24" l="1"/>
  <c r="W26" i="24" s="1"/>
  <c r="V7" i="24"/>
  <c r="W7" i="24" s="1"/>
  <c r="V19" i="24"/>
  <c r="W19" i="24" s="1"/>
  <c r="V5" i="24"/>
  <c r="W5" i="24" s="1"/>
  <c r="V23" i="24"/>
  <c r="W23" i="24" s="1"/>
  <c r="V3" i="24"/>
  <c r="W3" i="24" s="1"/>
  <c r="V25" i="24"/>
  <c r="W25" i="24" s="1"/>
  <c r="V4" i="24"/>
  <c r="W4" i="24" s="1"/>
  <c r="V12" i="24"/>
  <c r="W12" i="24" s="1"/>
  <c r="V27" i="24"/>
  <c r="W27" i="24" s="1"/>
  <c r="SI9" i="20"/>
  <c r="SI7" i="20"/>
  <c r="SI5" i="20"/>
  <c r="SI4" i="20"/>
  <c r="SG9" i="20"/>
  <c r="SG7" i="20"/>
  <c r="SG5" i="20"/>
  <c r="SG4" i="20"/>
  <c r="SE9" i="20"/>
  <c r="SE7" i="20"/>
  <c r="SE5" i="20"/>
  <c r="SE4" i="20"/>
  <c r="SC9" i="20"/>
  <c r="SC7" i="20"/>
  <c r="SC5" i="20"/>
  <c r="SC4" i="20"/>
  <c r="SA9" i="20"/>
  <c r="SA7" i="20"/>
  <c r="SA5" i="20"/>
  <c r="SA4" i="20"/>
  <c r="RY9" i="20"/>
  <c r="RY7" i="20"/>
  <c r="RY5" i="20"/>
  <c r="RY4" i="20"/>
  <c r="RW9" i="20"/>
  <c r="RW7" i="20"/>
  <c r="RX7" i="20" s="1"/>
  <c r="RW5" i="20"/>
  <c r="RW4" i="20"/>
  <c r="RU9" i="20"/>
  <c r="RU7" i="20"/>
  <c r="RV7" i="20" s="1"/>
  <c r="RU5" i="20"/>
  <c r="RU4" i="20"/>
  <c r="RS9" i="20"/>
  <c r="RT9" i="20" s="1"/>
  <c r="RS7" i="20"/>
  <c r="RS5" i="20"/>
  <c r="RS4" i="20"/>
  <c r="SB9" i="20"/>
  <c r="SB7" i="20"/>
  <c r="RZ9" i="20"/>
  <c r="RZ7" i="20"/>
  <c r="SH9" i="20"/>
  <c r="SD9" i="20"/>
  <c r="RX9" i="20"/>
  <c r="RV9" i="20"/>
  <c r="SH7" i="20"/>
  <c r="SD7" i="20"/>
  <c r="RT7" i="20"/>
  <c r="RP12" i="20"/>
  <c r="RO12" i="20"/>
  <c r="RN12" i="20"/>
  <c r="RM12" i="20"/>
  <c r="RL12" i="20"/>
  <c r="RK12" i="20"/>
  <c r="RJ12" i="20"/>
  <c r="RI12" i="20"/>
  <c r="RH12" i="20"/>
  <c r="RG12" i="20"/>
  <c r="RF12" i="20"/>
  <c r="RP11" i="20"/>
  <c r="RO11" i="20"/>
  <c r="RN11" i="20"/>
  <c r="RM11" i="20"/>
  <c r="RL11" i="20"/>
  <c r="RK11" i="20"/>
  <c r="RJ11" i="20"/>
  <c r="RI11" i="20"/>
  <c r="RH11" i="20"/>
  <c r="RG11" i="20"/>
  <c r="RF11" i="20"/>
  <c r="RP10" i="20"/>
  <c r="RO10" i="20"/>
  <c r="RN10" i="20"/>
  <c r="RM10" i="20"/>
  <c r="RL10" i="20"/>
  <c r="RK10" i="20"/>
  <c r="RJ10" i="20"/>
  <c r="RI10" i="20"/>
  <c r="RH10" i="20"/>
  <c r="RG10" i="20"/>
  <c r="RF10" i="20"/>
  <c r="RP9" i="20"/>
  <c r="RO9" i="20"/>
  <c r="RN9" i="20"/>
  <c r="RM9" i="20"/>
  <c r="RL9" i="20"/>
  <c r="RK9" i="20"/>
  <c r="RJ9" i="20"/>
  <c r="RI9" i="20"/>
  <c r="RH9" i="20"/>
  <c r="RG9" i="20"/>
  <c r="RF9" i="20"/>
  <c r="RP8" i="20"/>
  <c r="RO8" i="20"/>
  <c r="RN8" i="20"/>
  <c r="RM8" i="20"/>
  <c r="RL8" i="20"/>
  <c r="RK8" i="20"/>
  <c r="RJ8" i="20"/>
  <c r="RI8" i="20"/>
  <c r="RH8" i="20"/>
  <c r="RG8" i="20"/>
  <c r="RF8" i="20"/>
  <c r="RP7" i="20"/>
  <c r="RO7" i="20"/>
  <c r="RN7" i="20"/>
  <c r="RM7" i="20"/>
  <c r="RL7" i="20"/>
  <c r="RK7" i="20"/>
  <c r="RJ7" i="20"/>
  <c r="RI7" i="20"/>
  <c r="RH7" i="20"/>
  <c r="RG7" i="20"/>
  <c r="RF7" i="20"/>
  <c r="AC472" i="21"/>
  <c r="AK472" i="21" s="1"/>
  <c r="AB472" i="21"/>
  <c r="AJ472" i="21" s="1"/>
  <c r="AA472" i="21"/>
  <c r="AI472" i="21" s="1"/>
  <c r="AC471" i="21"/>
  <c r="AK471" i="21" s="1"/>
  <c r="AB471" i="21"/>
  <c r="AJ471" i="21" s="1"/>
  <c r="AA471" i="21"/>
  <c r="AI471" i="21" s="1"/>
  <c r="AC470" i="21"/>
  <c r="AK470" i="21" s="1"/>
  <c r="AB470" i="21"/>
  <c r="AJ470" i="21" s="1"/>
  <c r="AA470" i="21"/>
  <c r="AI470" i="21" s="1"/>
  <c r="AC469" i="21"/>
  <c r="AK469" i="21" s="1"/>
  <c r="AB469" i="21"/>
  <c r="AJ469" i="21" s="1"/>
  <c r="AA469" i="21"/>
  <c r="AI469" i="21" s="1"/>
  <c r="AC468" i="21"/>
  <c r="AK468" i="21" s="1"/>
  <c r="AB468" i="21"/>
  <c r="AJ468" i="21" s="1"/>
  <c r="AA468" i="21"/>
  <c r="AI468" i="21" s="1"/>
  <c r="AC467" i="21"/>
  <c r="AK467" i="21" s="1"/>
  <c r="AB467" i="21"/>
  <c r="AJ467" i="21" s="1"/>
  <c r="AA467" i="21"/>
  <c r="AI467" i="21" s="1"/>
  <c r="AC466" i="21"/>
  <c r="AK466" i="21" s="1"/>
  <c r="AB466" i="21"/>
  <c r="AJ466" i="21" s="1"/>
  <c r="AA466" i="21"/>
  <c r="AI466" i="21" s="1"/>
  <c r="AC465" i="21"/>
  <c r="AK465" i="21" s="1"/>
  <c r="AB465" i="21"/>
  <c r="AJ465" i="21" s="1"/>
  <c r="AA465" i="21"/>
  <c r="AI465" i="21" s="1"/>
  <c r="AC464" i="21"/>
  <c r="AK464" i="21" s="1"/>
  <c r="AB464" i="21"/>
  <c r="AJ464" i="21" s="1"/>
  <c r="AA464" i="21"/>
  <c r="AI464" i="21" s="1"/>
  <c r="AC463" i="21"/>
  <c r="AK463" i="21" s="1"/>
  <c r="AB463" i="21"/>
  <c r="AJ463" i="21" s="1"/>
  <c r="AA463" i="21"/>
  <c r="AI463" i="21" s="1"/>
  <c r="AC462" i="21"/>
  <c r="AK462" i="21" s="1"/>
  <c r="AB462" i="21"/>
  <c r="AJ462" i="21" s="1"/>
  <c r="AA462" i="21"/>
  <c r="AI462" i="21" s="1"/>
  <c r="AC461" i="21"/>
  <c r="AK461" i="21" s="1"/>
  <c r="AB461" i="21"/>
  <c r="AJ461" i="21" s="1"/>
  <c r="AA461" i="21"/>
  <c r="AI461" i="21" s="1"/>
  <c r="AC460" i="21"/>
  <c r="AK460" i="21" s="1"/>
  <c r="AB460" i="21"/>
  <c r="AJ460" i="21" s="1"/>
  <c r="AA460" i="21"/>
  <c r="AI460" i="21" s="1"/>
  <c r="AC459" i="21"/>
  <c r="AK459" i="21" s="1"/>
  <c r="AB459" i="21"/>
  <c r="AJ459" i="21" s="1"/>
  <c r="AA459" i="21"/>
  <c r="AI459" i="21" s="1"/>
  <c r="AC458" i="21"/>
  <c r="AK458" i="21" s="1"/>
  <c r="AB458" i="21"/>
  <c r="AJ458" i="21" s="1"/>
  <c r="AA458" i="21"/>
  <c r="AI458" i="21" s="1"/>
  <c r="AC457" i="21"/>
  <c r="AK457" i="21" s="1"/>
  <c r="AB457" i="21"/>
  <c r="AJ457" i="21" s="1"/>
  <c r="AA457" i="21"/>
  <c r="AI457" i="21" s="1"/>
  <c r="AC456" i="21"/>
  <c r="AK456" i="21" s="1"/>
  <c r="AB456" i="21"/>
  <c r="AJ456" i="21" s="1"/>
  <c r="AA456" i="21"/>
  <c r="AI456" i="21" s="1"/>
  <c r="AC455" i="21"/>
  <c r="AK455" i="21" s="1"/>
  <c r="AB455" i="21"/>
  <c r="AJ455" i="21" s="1"/>
  <c r="AA455" i="21"/>
  <c r="AI455" i="21" s="1"/>
  <c r="AC454" i="21"/>
  <c r="AK454" i="21" s="1"/>
  <c r="AB454" i="21"/>
  <c r="AJ454" i="21" s="1"/>
  <c r="AA454" i="21"/>
  <c r="AI454" i="21" s="1"/>
  <c r="AC453" i="21"/>
  <c r="AK453" i="21" s="1"/>
  <c r="AB453" i="21"/>
  <c r="AJ453" i="21" s="1"/>
  <c r="AA453" i="21"/>
  <c r="AI453" i="21" s="1"/>
  <c r="AC452" i="21"/>
  <c r="AK452" i="21" s="1"/>
  <c r="AB452" i="21"/>
  <c r="AJ452" i="21" s="1"/>
  <c r="AA452" i="21"/>
  <c r="AI452" i="21" s="1"/>
  <c r="AC451" i="21"/>
  <c r="AK451" i="21" s="1"/>
  <c r="AB451" i="21"/>
  <c r="AJ451" i="21" s="1"/>
  <c r="AA451" i="21"/>
  <c r="AI451" i="21" s="1"/>
  <c r="AC450" i="21"/>
  <c r="AK450" i="21" s="1"/>
  <c r="AB450" i="21"/>
  <c r="AJ450" i="21" s="1"/>
  <c r="AA450" i="21"/>
  <c r="AI450" i="21" s="1"/>
  <c r="AC449" i="21"/>
  <c r="AK449" i="21" s="1"/>
  <c r="AB449" i="21"/>
  <c r="AJ449" i="21" s="1"/>
  <c r="AA449" i="21"/>
  <c r="AI449" i="21" s="1"/>
  <c r="AC448" i="21"/>
  <c r="AK448" i="21" s="1"/>
  <c r="AB448" i="21"/>
  <c r="AJ448" i="21" s="1"/>
  <c r="AA448" i="21"/>
  <c r="AI448" i="21" s="1"/>
  <c r="AC447" i="21"/>
  <c r="AK447" i="21" s="1"/>
  <c r="AB447" i="21"/>
  <c r="AJ447" i="21" s="1"/>
  <c r="AA447" i="21"/>
  <c r="AI447" i="21" s="1"/>
  <c r="AC446" i="21"/>
  <c r="AK446" i="21" s="1"/>
  <c r="AB446" i="21"/>
  <c r="AJ446" i="21" s="1"/>
  <c r="AA446" i="21"/>
  <c r="AI446" i="21" s="1"/>
  <c r="AC445" i="21"/>
  <c r="AK445" i="21" s="1"/>
  <c r="AB445" i="21"/>
  <c r="AJ445" i="21" s="1"/>
  <c r="AA445" i="21"/>
  <c r="AI445" i="21" s="1"/>
  <c r="AC444" i="21"/>
  <c r="AK444" i="21" s="1"/>
  <c r="AB444" i="21"/>
  <c r="AJ444" i="21" s="1"/>
  <c r="AA444" i="21"/>
  <c r="AI444" i="21" s="1"/>
  <c r="AC443" i="21"/>
  <c r="AK443" i="21" s="1"/>
  <c r="AB443" i="21"/>
  <c r="AJ443" i="21" s="1"/>
  <c r="AA443" i="21"/>
  <c r="AI443" i="21" s="1"/>
  <c r="AC442" i="21"/>
  <c r="AK442" i="21" s="1"/>
  <c r="AB442" i="21"/>
  <c r="AJ442" i="21" s="1"/>
  <c r="AA442" i="21"/>
  <c r="AI442" i="21" s="1"/>
  <c r="AC441" i="21"/>
  <c r="AK441" i="21" s="1"/>
  <c r="AB441" i="21"/>
  <c r="AJ441" i="21" s="1"/>
  <c r="AA441" i="21"/>
  <c r="AI441" i="21" s="1"/>
  <c r="AC440" i="21"/>
  <c r="AK440" i="21" s="1"/>
  <c r="AB440" i="21"/>
  <c r="AJ440" i="21" s="1"/>
  <c r="AA440" i="21"/>
  <c r="AI440" i="21" s="1"/>
  <c r="AC439" i="21"/>
  <c r="AK439" i="21" s="1"/>
  <c r="AB439" i="21"/>
  <c r="AJ439" i="21" s="1"/>
  <c r="AA439" i="21"/>
  <c r="AI439" i="21" s="1"/>
  <c r="AC438" i="21"/>
  <c r="AK438" i="21" s="1"/>
  <c r="AB438" i="21"/>
  <c r="AJ438" i="21" s="1"/>
  <c r="AA438" i="21"/>
  <c r="AI438" i="21" s="1"/>
  <c r="AC437" i="21"/>
  <c r="AK437" i="21" s="1"/>
  <c r="AB437" i="21"/>
  <c r="AJ437" i="21" s="1"/>
  <c r="AA437" i="21"/>
  <c r="AI437" i="21" s="1"/>
  <c r="AC436" i="21"/>
  <c r="AK436" i="21" s="1"/>
  <c r="AB436" i="21"/>
  <c r="AJ436" i="21" s="1"/>
  <c r="AA436" i="21"/>
  <c r="AI436" i="21" s="1"/>
  <c r="AC435" i="21"/>
  <c r="AK435" i="21" s="1"/>
  <c r="AB435" i="21"/>
  <c r="AJ435" i="21" s="1"/>
  <c r="AA435" i="21"/>
  <c r="AI435" i="21" s="1"/>
  <c r="AC434" i="21"/>
  <c r="AK434" i="21" s="1"/>
  <c r="AB434" i="21"/>
  <c r="AJ434" i="21" s="1"/>
  <c r="AA434" i="21"/>
  <c r="AI434" i="21" s="1"/>
  <c r="AC433" i="21"/>
  <c r="AK433" i="21" s="1"/>
  <c r="AB433" i="21"/>
  <c r="AJ433" i="21" s="1"/>
  <c r="AA433" i="21"/>
  <c r="AI433" i="21" s="1"/>
  <c r="AC432" i="21"/>
  <c r="AK432" i="21" s="1"/>
  <c r="AB432" i="21"/>
  <c r="AJ432" i="21" s="1"/>
  <c r="AA432" i="21"/>
  <c r="AI432" i="21" s="1"/>
  <c r="AC431" i="21"/>
  <c r="AK431" i="21" s="1"/>
  <c r="AB431" i="21"/>
  <c r="AJ431" i="21" s="1"/>
  <c r="AA431" i="21"/>
  <c r="AI431" i="21" s="1"/>
  <c r="AC430" i="21"/>
  <c r="AK430" i="21" s="1"/>
  <c r="AB430" i="21"/>
  <c r="AJ430" i="21" s="1"/>
  <c r="AA430" i="21"/>
  <c r="AI430" i="21" s="1"/>
  <c r="AC429" i="21"/>
  <c r="AK429" i="21" s="1"/>
  <c r="AB429" i="21"/>
  <c r="AJ429" i="21" s="1"/>
  <c r="AA429" i="21"/>
  <c r="AI429" i="21" s="1"/>
  <c r="AC428" i="21"/>
  <c r="AK428" i="21" s="1"/>
  <c r="AB428" i="21"/>
  <c r="AJ428" i="21" s="1"/>
  <c r="AA428" i="21"/>
  <c r="AI428" i="21" s="1"/>
  <c r="AC427" i="21"/>
  <c r="AK427" i="21" s="1"/>
  <c r="AB427" i="21"/>
  <c r="AJ427" i="21" s="1"/>
  <c r="AA427" i="21"/>
  <c r="AI427" i="21" s="1"/>
  <c r="AC426" i="21"/>
  <c r="AK426" i="21" s="1"/>
  <c r="AB426" i="21"/>
  <c r="AJ426" i="21" s="1"/>
  <c r="AA426" i="21"/>
  <c r="AI426" i="21" s="1"/>
  <c r="AC425" i="21"/>
  <c r="AK425" i="21" s="1"/>
  <c r="AB425" i="21"/>
  <c r="AJ425" i="21" s="1"/>
  <c r="AA425" i="21"/>
  <c r="AI425" i="21" s="1"/>
  <c r="AC424" i="21"/>
  <c r="AK424" i="21" s="1"/>
  <c r="AB424" i="21"/>
  <c r="AJ424" i="21" s="1"/>
  <c r="AA424" i="21"/>
  <c r="AI424" i="21" s="1"/>
  <c r="AC423" i="21"/>
  <c r="AK423" i="21" s="1"/>
  <c r="AB423" i="21"/>
  <c r="AJ423" i="21" s="1"/>
  <c r="AA423" i="21"/>
  <c r="AI423" i="21" s="1"/>
  <c r="AC422" i="21"/>
  <c r="AK422" i="21" s="1"/>
  <c r="AB422" i="21"/>
  <c r="AJ422" i="21" s="1"/>
  <c r="AA422" i="21"/>
  <c r="AI422" i="21" s="1"/>
  <c r="AC421" i="21"/>
  <c r="AK421" i="21" s="1"/>
  <c r="AB421" i="21"/>
  <c r="AJ421" i="21" s="1"/>
  <c r="AA421" i="21"/>
  <c r="AI421" i="21" s="1"/>
  <c r="AC420" i="21"/>
  <c r="AK420" i="21" s="1"/>
  <c r="AB420" i="21"/>
  <c r="AJ420" i="21" s="1"/>
  <c r="AA420" i="21"/>
  <c r="AI420" i="21" s="1"/>
  <c r="AC419" i="21"/>
  <c r="AK419" i="21" s="1"/>
  <c r="AB419" i="21"/>
  <c r="AJ419" i="21" s="1"/>
  <c r="AA419" i="21"/>
  <c r="AI419" i="21" s="1"/>
  <c r="AC418" i="21"/>
  <c r="AK418" i="21" s="1"/>
  <c r="AB418" i="21"/>
  <c r="AJ418" i="21" s="1"/>
  <c r="AA418" i="21"/>
  <c r="AI418" i="21" s="1"/>
  <c r="AC417" i="21"/>
  <c r="AK417" i="21" s="1"/>
  <c r="AB417" i="21"/>
  <c r="AJ417" i="21" s="1"/>
  <c r="AA417" i="21"/>
  <c r="AI417" i="21" s="1"/>
  <c r="AC416" i="21"/>
  <c r="AK416" i="21" s="1"/>
  <c r="AB416" i="21"/>
  <c r="AJ416" i="21" s="1"/>
  <c r="AA416" i="21"/>
  <c r="AI416" i="21" s="1"/>
  <c r="AC415" i="21"/>
  <c r="AK415" i="21" s="1"/>
  <c r="AB415" i="21"/>
  <c r="AJ415" i="21" s="1"/>
  <c r="AA415" i="21"/>
  <c r="AI415" i="21" s="1"/>
  <c r="AC414" i="21"/>
  <c r="AK414" i="21" s="1"/>
  <c r="AB414" i="21"/>
  <c r="AJ414" i="21" s="1"/>
  <c r="AA414" i="21"/>
  <c r="AI414" i="21" s="1"/>
  <c r="AC413" i="21"/>
  <c r="AK413" i="21" s="1"/>
  <c r="AB413" i="21"/>
  <c r="AJ413" i="21" s="1"/>
  <c r="AA413" i="21"/>
  <c r="AI413" i="21" s="1"/>
  <c r="AC412" i="21"/>
  <c r="AK412" i="21" s="1"/>
  <c r="AB412" i="21"/>
  <c r="AJ412" i="21" s="1"/>
  <c r="AA412" i="21"/>
  <c r="AI412" i="21" s="1"/>
  <c r="AC411" i="21"/>
  <c r="AK411" i="21" s="1"/>
  <c r="AB411" i="21"/>
  <c r="AJ411" i="21" s="1"/>
  <c r="AA411" i="21"/>
  <c r="AI411" i="21" s="1"/>
  <c r="AC410" i="21"/>
  <c r="AK410" i="21" s="1"/>
  <c r="AB410" i="21"/>
  <c r="AJ410" i="21" s="1"/>
  <c r="AA410" i="21"/>
  <c r="AI410" i="21" s="1"/>
  <c r="AC409" i="21"/>
  <c r="AK409" i="21" s="1"/>
  <c r="AB409" i="21"/>
  <c r="AJ409" i="21" s="1"/>
  <c r="AA409" i="21"/>
  <c r="AI409" i="21" s="1"/>
  <c r="AC408" i="21"/>
  <c r="AK408" i="21" s="1"/>
  <c r="AB408" i="21"/>
  <c r="AJ408" i="21" s="1"/>
  <c r="AA408" i="21"/>
  <c r="AI408" i="21" s="1"/>
  <c r="AC407" i="21"/>
  <c r="AK407" i="21" s="1"/>
  <c r="AB407" i="21"/>
  <c r="AJ407" i="21" s="1"/>
  <c r="AA407" i="21"/>
  <c r="AI407" i="21" s="1"/>
  <c r="AC406" i="21"/>
  <c r="AK406" i="21" s="1"/>
  <c r="AB406" i="21"/>
  <c r="AJ406" i="21" s="1"/>
  <c r="AA406" i="21"/>
  <c r="AI406" i="21" s="1"/>
  <c r="AC405" i="21"/>
  <c r="AK405" i="21" s="1"/>
  <c r="AB405" i="21"/>
  <c r="AJ405" i="21" s="1"/>
  <c r="AA405" i="21"/>
  <c r="AI405" i="21" s="1"/>
  <c r="AC404" i="21"/>
  <c r="AK404" i="21" s="1"/>
  <c r="AB404" i="21"/>
  <c r="AJ404" i="21" s="1"/>
  <c r="AA404" i="21"/>
  <c r="AI404" i="21" s="1"/>
  <c r="AC403" i="21"/>
  <c r="AK403" i="21" s="1"/>
  <c r="AB403" i="21"/>
  <c r="AJ403" i="21" s="1"/>
  <c r="AA403" i="21"/>
  <c r="AI403" i="21" s="1"/>
  <c r="AC402" i="21"/>
  <c r="AK402" i="21" s="1"/>
  <c r="AB402" i="21"/>
  <c r="AJ402" i="21" s="1"/>
  <c r="AA402" i="21"/>
  <c r="AI402" i="21" s="1"/>
  <c r="AC401" i="21"/>
  <c r="AK401" i="21" s="1"/>
  <c r="AB401" i="21"/>
  <c r="AJ401" i="21" s="1"/>
  <c r="AA401" i="21"/>
  <c r="AI401" i="21" s="1"/>
  <c r="AC400" i="21"/>
  <c r="AK400" i="21" s="1"/>
  <c r="AB400" i="21"/>
  <c r="AJ400" i="21" s="1"/>
  <c r="AA400" i="21"/>
  <c r="AI400" i="21" s="1"/>
  <c r="AC399" i="21"/>
  <c r="AK399" i="21" s="1"/>
  <c r="AB399" i="21"/>
  <c r="AJ399" i="21" s="1"/>
  <c r="AA399" i="21"/>
  <c r="AI399" i="21" s="1"/>
  <c r="AC398" i="21"/>
  <c r="AK398" i="21" s="1"/>
  <c r="AB398" i="21"/>
  <c r="AJ398" i="21" s="1"/>
  <c r="AA398" i="21"/>
  <c r="AI398" i="21" s="1"/>
  <c r="AC397" i="21"/>
  <c r="AK397" i="21" s="1"/>
  <c r="AB397" i="21"/>
  <c r="AJ397" i="21" s="1"/>
  <c r="AA397" i="21"/>
  <c r="AI397" i="21" s="1"/>
  <c r="AC396" i="21"/>
  <c r="AK396" i="21" s="1"/>
  <c r="AB396" i="21"/>
  <c r="AJ396" i="21" s="1"/>
  <c r="AA396" i="21"/>
  <c r="AI396" i="21" s="1"/>
  <c r="AC395" i="21"/>
  <c r="AK395" i="21" s="1"/>
  <c r="AB395" i="21"/>
  <c r="AJ395" i="21" s="1"/>
  <c r="AA395" i="21"/>
  <c r="AI395" i="21" s="1"/>
  <c r="AC394" i="21"/>
  <c r="AK394" i="21" s="1"/>
  <c r="AB394" i="21"/>
  <c r="AJ394" i="21" s="1"/>
  <c r="AA394" i="21"/>
  <c r="AI394" i="21" s="1"/>
  <c r="AC393" i="21"/>
  <c r="AK393" i="21" s="1"/>
  <c r="AB393" i="21"/>
  <c r="AJ393" i="21" s="1"/>
  <c r="AA393" i="21"/>
  <c r="AI393" i="21" s="1"/>
  <c r="AC392" i="21"/>
  <c r="AK392" i="21" s="1"/>
  <c r="AB392" i="21"/>
  <c r="AJ392" i="21" s="1"/>
  <c r="AA392" i="21"/>
  <c r="AI392" i="21" s="1"/>
  <c r="AC391" i="21"/>
  <c r="AK391" i="21" s="1"/>
  <c r="AB391" i="21"/>
  <c r="AJ391" i="21" s="1"/>
  <c r="AA391" i="21"/>
  <c r="AI391" i="21" s="1"/>
  <c r="AC390" i="21"/>
  <c r="AK390" i="21" s="1"/>
  <c r="AB390" i="21"/>
  <c r="AJ390" i="21" s="1"/>
  <c r="AA390" i="21"/>
  <c r="AI390" i="21" s="1"/>
  <c r="AC389" i="21"/>
  <c r="AK389" i="21" s="1"/>
  <c r="AB389" i="21"/>
  <c r="AJ389" i="21" s="1"/>
  <c r="AA389" i="21"/>
  <c r="AI389" i="21" s="1"/>
  <c r="AC388" i="21"/>
  <c r="AK388" i="21" s="1"/>
  <c r="AB388" i="21"/>
  <c r="AJ388" i="21" s="1"/>
  <c r="AA388" i="21"/>
  <c r="AI388" i="21" s="1"/>
  <c r="AC387" i="21"/>
  <c r="AK387" i="21" s="1"/>
  <c r="AB387" i="21"/>
  <c r="AJ387" i="21" s="1"/>
  <c r="AA387" i="21"/>
  <c r="AI387" i="21" s="1"/>
  <c r="AC386" i="21"/>
  <c r="AK386" i="21" s="1"/>
  <c r="AB386" i="21"/>
  <c r="AJ386" i="21" s="1"/>
  <c r="AA386" i="21"/>
  <c r="AI386" i="21" s="1"/>
  <c r="AC385" i="21"/>
  <c r="AK385" i="21" s="1"/>
  <c r="AB385" i="21"/>
  <c r="AJ385" i="21" s="1"/>
  <c r="AA385" i="21"/>
  <c r="AI385" i="21" s="1"/>
  <c r="AC384" i="21"/>
  <c r="AK384" i="21" s="1"/>
  <c r="AB384" i="21"/>
  <c r="AJ384" i="21" s="1"/>
  <c r="AA384" i="21"/>
  <c r="AI384" i="21" s="1"/>
  <c r="AC383" i="21"/>
  <c r="AK383" i="21" s="1"/>
  <c r="AB383" i="21"/>
  <c r="AJ383" i="21" s="1"/>
  <c r="AA383" i="21"/>
  <c r="AI383" i="21" s="1"/>
  <c r="AC382" i="21"/>
  <c r="AK382" i="21" s="1"/>
  <c r="AB382" i="21"/>
  <c r="AJ382" i="21" s="1"/>
  <c r="AA382" i="21"/>
  <c r="AI382" i="21" s="1"/>
  <c r="AC381" i="21"/>
  <c r="AK381" i="21" s="1"/>
  <c r="AB381" i="21"/>
  <c r="AJ381" i="21" s="1"/>
  <c r="AA381" i="21"/>
  <c r="AI381" i="21" s="1"/>
  <c r="AC380" i="21"/>
  <c r="AK380" i="21" s="1"/>
  <c r="AB380" i="21"/>
  <c r="AJ380" i="21" s="1"/>
  <c r="AA380" i="21"/>
  <c r="AI380" i="21" s="1"/>
  <c r="AC379" i="21"/>
  <c r="AK379" i="21" s="1"/>
  <c r="AB379" i="21"/>
  <c r="AJ379" i="21" s="1"/>
  <c r="AA379" i="21"/>
  <c r="AI379" i="21" s="1"/>
  <c r="AC378" i="21"/>
  <c r="AK378" i="21" s="1"/>
  <c r="AB378" i="21"/>
  <c r="AJ378" i="21" s="1"/>
  <c r="AA378" i="21"/>
  <c r="AI378" i="21" s="1"/>
  <c r="AC377" i="21"/>
  <c r="AK377" i="21" s="1"/>
  <c r="AB377" i="21"/>
  <c r="AJ377" i="21" s="1"/>
  <c r="AA377" i="21"/>
  <c r="AI377" i="21" s="1"/>
  <c r="AC376" i="21"/>
  <c r="AK376" i="21" s="1"/>
  <c r="AB376" i="21"/>
  <c r="AJ376" i="21" s="1"/>
  <c r="AA376" i="21"/>
  <c r="AI376" i="21" s="1"/>
  <c r="AC375" i="21"/>
  <c r="AK375" i="21" s="1"/>
  <c r="AB375" i="21"/>
  <c r="AJ375" i="21" s="1"/>
  <c r="AA375" i="21"/>
  <c r="AI375" i="21" s="1"/>
  <c r="AC374" i="21"/>
  <c r="AK374" i="21" s="1"/>
  <c r="AB374" i="21"/>
  <c r="AJ374" i="21" s="1"/>
  <c r="AA374" i="21"/>
  <c r="AI374" i="21" s="1"/>
  <c r="AC373" i="21"/>
  <c r="AK373" i="21" s="1"/>
  <c r="AB373" i="21"/>
  <c r="AJ373" i="21" s="1"/>
  <c r="AA373" i="21"/>
  <c r="AI373" i="21" s="1"/>
  <c r="AC372" i="21"/>
  <c r="AK372" i="21" s="1"/>
  <c r="AB372" i="21"/>
  <c r="AJ372" i="21" s="1"/>
  <c r="AA372" i="21"/>
  <c r="AI372" i="21" s="1"/>
  <c r="AC371" i="21"/>
  <c r="AK371" i="21" s="1"/>
  <c r="AB371" i="21"/>
  <c r="AJ371" i="21" s="1"/>
  <c r="AA371" i="21"/>
  <c r="AI371" i="21" s="1"/>
  <c r="AC370" i="21"/>
  <c r="AK370" i="21" s="1"/>
  <c r="AB370" i="21"/>
  <c r="AJ370" i="21" s="1"/>
  <c r="AA370" i="21"/>
  <c r="AI370" i="21" s="1"/>
  <c r="AC369" i="21"/>
  <c r="AK369" i="21" s="1"/>
  <c r="AB369" i="21"/>
  <c r="AJ369" i="21" s="1"/>
  <c r="AA369" i="21"/>
  <c r="AI369" i="21" s="1"/>
  <c r="AC368" i="21"/>
  <c r="AK368" i="21" s="1"/>
  <c r="AB368" i="21"/>
  <c r="AJ368" i="21" s="1"/>
  <c r="AA368" i="21"/>
  <c r="AI368" i="21" s="1"/>
  <c r="AC367" i="21"/>
  <c r="AK367" i="21" s="1"/>
  <c r="AB367" i="21"/>
  <c r="AJ367" i="21" s="1"/>
  <c r="AA367" i="21"/>
  <c r="AI367" i="21" s="1"/>
  <c r="AC366" i="21"/>
  <c r="AK366" i="21" s="1"/>
  <c r="AB366" i="21"/>
  <c r="AJ366" i="21" s="1"/>
  <c r="AA366" i="21"/>
  <c r="AI366" i="21" s="1"/>
  <c r="AC365" i="21"/>
  <c r="AK365" i="21" s="1"/>
  <c r="AB365" i="21"/>
  <c r="AJ365" i="21" s="1"/>
  <c r="AA365" i="21"/>
  <c r="AI365" i="21" s="1"/>
  <c r="AC364" i="21"/>
  <c r="AK364" i="21" s="1"/>
  <c r="AB364" i="21"/>
  <c r="AJ364" i="21" s="1"/>
  <c r="AA364" i="21"/>
  <c r="AI364" i="21" s="1"/>
  <c r="AC363" i="21"/>
  <c r="AK363" i="21" s="1"/>
  <c r="AB363" i="21"/>
  <c r="AJ363" i="21" s="1"/>
  <c r="AA363" i="21"/>
  <c r="AI363" i="21" s="1"/>
  <c r="AC362" i="21"/>
  <c r="AK362" i="21" s="1"/>
  <c r="AB362" i="21"/>
  <c r="AJ362" i="21" s="1"/>
  <c r="AA362" i="21"/>
  <c r="AI362" i="21" s="1"/>
  <c r="AC361" i="21"/>
  <c r="AK361" i="21" s="1"/>
  <c r="AB361" i="21"/>
  <c r="AJ361" i="21" s="1"/>
  <c r="AA361" i="21"/>
  <c r="AI361" i="21" s="1"/>
  <c r="AC360" i="21"/>
  <c r="AK360" i="21" s="1"/>
  <c r="AB360" i="21"/>
  <c r="AJ360" i="21" s="1"/>
  <c r="AA360" i="21"/>
  <c r="AI360" i="21" s="1"/>
  <c r="AC359" i="21"/>
  <c r="AK359" i="21" s="1"/>
  <c r="AB359" i="21"/>
  <c r="AJ359" i="21" s="1"/>
  <c r="AA359" i="21"/>
  <c r="AI359" i="21" s="1"/>
  <c r="AC358" i="21"/>
  <c r="AK358" i="21" s="1"/>
  <c r="AB358" i="21"/>
  <c r="AJ358" i="21" s="1"/>
  <c r="AA358" i="21"/>
  <c r="AI358" i="21" s="1"/>
  <c r="AC357" i="21"/>
  <c r="AK357" i="21" s="1"/>
  <c r="AB357" i="21"/>
  <c r="AJ357" i="21" s="1"/>
  <c r="AA357" i="21"/>
  <c r="AI357" i="21" s="1"/>
  <c r="AC356" i="21"/>
  <c r="AK356" i="21" s="1"/>
  <c r="AB356" i="21"/>
  <c r="AJ356" i="21" s="1"/>
  <c r="AA356" i="21"/>
  <c r="AI356" i="21" s="1"/>
  <c r="AC355" i="21"/>
  <c r="AK355" i="21" s="1"/>
  <c r="AB355" i="21"/>
  <c r="AJ355" i="21" s="1"/>
  <c r="AA355" i="21"/>
  <c r="AI355" i="21" s="1"/>
  <c r="AC354" i="21"/>
  <c r="AK354" i="21" s="1"/>
  <c r="AB354" i="21"/>
  <c r="AJ354" i="21" s="1"/>
  <c r="AA354" i="21"/>
  <c r="AI354" i="21" s="1"/>
  <c r="AC353" i="21"/>
  <c r="AK353" i="21" s="1"/>
  <c r="AB353" i="21"/>
  <c r="AJ353" i="21" s="1"/>
  <c r="AA353" i="21"/>
  <c r="AI353" i="21" s="1"/>
  <c r="AC352" i="21"/>
  <c r="AK352" i="21" s="1"/>
  <c r="AB352" i="21"/>
  <c r="AJ352" i="21" s="1"/>
  <c r="AA352" i="21"/>
  <c r="AI352" i="21" s="1"/>
  <c r="AC351" i="21"/>
  <c r="AK351" i="21" s="1"/>
  <c r="AB351" i="21"/>
  <c r="AJ351" i="21" s="1"/>
  <c r="AA351" i="21"/>
  <c r="AI351" i="21" s="1"/>
  <c r="AC350" i="21"/>
  <c r="AK350" i="21" s="1"/>
  <c r="AB350" i="21"/>
  <c r="AJ350" i="21" s="1"/>
  <c r="AA350" i="21"/>
  <c r="AI350" i="21" s="1"/>
  <c r="AC349" i="21"/>
  <c r="AK349" i="21" s="1"/>
  <c r="AB349" i="21"/>
  <c r="AJ349" i="21" s="1"/>
  <c r="AA349" i="21"/>
  <c r="AI349" i="21" s="1"/>
  <c r="AC348" i="21"/>
  <c r="AK348" i="21" s="1"/>
  <c r="AB348" i="21"/>
  <c r="AJ348" i="21" s="1"/>
  <c r="AA348" i="21"/>
  <c r="AI348" i="21" s="1"/>
  <c r="AC347" i="21"/>
  <c r="AK347" i="21" s="1"/>
  <c r="AB347" i="21"/>
  <c r="AJ347" i="21" s="1"/>
  <c r="AA347" i="21"/>
  <c r="AI347" i="21" s="1"/>
  <c r="AC346" i="21"/>
  <c r="AK346" i="21" s="1"/>
  <c r="AB346" i="21"/>
  <c r="AJ346" i="21" s="1"/>
  <c r="AA346" i="21"/>
  <c r="AI346" i="21" s="1"/>
  <c r="AC345" i="21"/>
  <c r="AK345" i="21" s="1"/>
  <c r="AB345" i="21"/>
  <c r="AJ345" i="21" s="1"/>
  <c r="AA345" i="21"/>
  <c r="AI345" i="21" s="1"/>
  <c r="AC344" i="21"/>
  <c r="AK344" i="21" s="1"/>
  <c r="AB344" i="21"/>
  <c r="AJ344" i="21" s="1"/>
  <c r="AA344" i="21"/>
  <c r="AI344" i="21" s="1"/>
  <c r="AC343" i="21"/>
  <c r="AK343" i="21" s="1"/>
  <c r="AB343" i="21"/>
  <c r="AJ343" i="21" s="1"/>
  <c r="AA343" i="21"/>
  <c r="AI343" i="21" s="1"/>
  <c r="AC342" i="21"/>
  <c r="AK342" i="21" s="1"/>
  <c r="AB342" i="21"/>
  <c r="AJ342" i="21" s="1"/>
  <c r="AA342" i="21"/>
  <c r="AI342" i="21" s="1"/>
  <c r="AC341" i="21"/>
  <c r="AK341" i="21" s="1"/>
  <c r="AB341" i="21"/>
  <c r="AJ341" i="21" s="1"/>
  <c r="AA341" i="21"/>
  <c r="AI341" i="21" s="1"/>
  <c r="AC340" i="21"/>
  <c r="AK340" i="21" s="1"/>
  <c r="AB340" i="21"/>
  <c r="AJ340" i="21" s="1"/>
  <c r="AA340" i="21"/>
  <c r="AI340" i="21" s="1"/>
  <c r="AC339" i="21"/>
  <c r="AK339" i="21" s="1"/>
  <c r="AB339" i="21"/>
  <c r="AJ339" i="21" s="1"/>
  <c r="AA339" i="21"/>
  <c r="AI339" i="21" s="1"/>
  <c r="AC338" i="21"/>
  <c r="AK338" i="21" s="1"/>
  <c r="AB338" i="21"/>
  <c r="AJ338" i="21" s="1"/>
  <c r="AA338" i="21"/>
  <c r="AI338" i="21" s="1"/>
  <c r="AC337" i="21"/>
  <c r="AK337" i="21" s="1"/>
  <c r="AB337" i="21"/>
  <c r="AJ337" i="21" s="1"/>
  <c r="AA337" i="21"/>
  <c r="AI337" i="21" s="1"/>
  <c r="AC336" i="21"/>
  <c r="AK336" i="21" s="1"/>
  <c r="AB336" i="21"/>
  <c r="AJ336" i="21" s="1"/>
  <c r="AA336" i="21"/>
  <c r="AI336" i="21" s="1"/>
  <c r="AC335" i="21"/>
  <c r="AK335" i="21" s="1"/>
  <c r="AB335" i="21"/>
  <c r="AJ335" i="21" s="1"/>
  <c r="AA335" i="21"/>
  <c r="AI335" i="21" s="1"/>
  <c r="AC334" i="21"/>
  <c r="AK334" i="21" s="1"/>
  <c r="AB334" i="21"/>
  <c r="AJ334" i="21" s="1"/>
  <c r="AA334" i="21"/>
  <c r="AI334" i="21" s="1"/>
  <c r="AC333" i="21"/>
  <c r="AK333" i="21" s="1"/>
  <c r="AB333" i="21"/>
  <c r="AJ333" i="21" s="1"/>
  <c r="AA333" i="21"/>
  <c r="AI333" i="21" s="1"/>
  <c r="AC332" i="21"/>
  <c r="AK332" i="21" s="1"/>
  <c r="AB332" i="21"/>
  <c r="AJ332" i="21" s="1"/>
  <c r="AA332" i="21"/>
  <c r="AI332" i="21" s="1"/>
  <c r="AC331" i="21"/>
  <c r="AK331" i="21" s="1"/>
  <c r="AB331" i="21"/>
  <c r="AJ331" i="21" s="1"/>
  <c r="AA331" i="21"/>
  <c r="AI331" i="21" s="1"/>
  <c r="AC330" i="21"/>
  <c r="AK330" i="21" s="1"/>
  <c r="AB330" i="21"/>
  <c r="AJ330" i="21" s="1"/>
  <c r="AA330" i="21"/>
  <c r="AI330" i="21" s="1"/>
  <c r="AC329" i="21"/>
  <c r="AK329" i="21" s="1"/>
  <c r="AB329" i="21"/>
  <c r="AJ329" i="21" s="1"/>
  <c r="AA329" i="21"/>
  <c r="AI329" i="21" s="1"/>
  <c r="AC328" i="21"/>
  <c r="AK328" i="21" s="1"/>
  <c r="AB328" i="21"/>
  <c r="AJ328" i="21" s="1"/>
  <c r="AA328" i="21"/>
  <c r="AI328" i="21" s="1"/>
  <c r="AC327" i="21"/>
  <c r="AK327" i="21" s="1"/>
  <c r="AB327" i="21"/>
  <c r="AJ327" i="21" s="1"/>
  <c r="AA327" i="21"/>
  <c r="AI327" i="21" s="1"/>
  <c r="AC326" i="21"/>
  <c r="AK326" i="21" s="1"/>
  <c r="AB326" i="21"/>
  <c r="AJ326" i="21" s="1"/>
  <c r="AA326" i="21"/>
  <c r="AI326" i="21" s="1"/>
  <c r="AC325" i="21"/>
  <c r="AK325" i="21" s="1"/>
  <c r="AB325" i="21"/>
  <c r="AJ325" i="21" s="1"/>
  <c r="AA325" i="21"/>
  <c r="AI325" i="21" s="1"/>
  <c r="AC324" i="21"/>
  <c r="AK324" i="21" s="1"/>
  <c r="AB324" i="21"/>
  <c r="AJ324" i="21" s="1"/>
  <c r="AA324" i="21"/>
  <c r="AI324" i="21" s="1"/>
  <c r="AC323" i="21"/>
  <c r="AK323" i="21" s="1"/>
  <c r="AB323" i="21"/>
  <c r="AJ323" i="21" s="1"/>
  <c r="AA323" i="21"/>
  <c r="AI323" i="21" s="1"/>
  <c r="AC322" i="21"/>
  <c r="AK322" i="21" s="1"/>
  <c r="AB322" i="21"/>
  <c r="AJ322" i="21" s="1"/>
  <c r="AA322" i="21"/>
  <c r="AI322" i="21" s="1"/>
  <c r="AC321" i="21"/>
  <c r="AK321" i="21" s="1"/>
  <c r="AB321" i="21"/>
  <c r="AJ321" i="21" s="1"/>
  <c r="AA321" i="21"/>
  <c r="AI321" i="21" s="1"/>
  <c r="AC320" i="21"/>
  <c r="AK320" i="21" s="1"/>
  <c r="AB320" i="21"/>
  <c r="AJ320" i="21" s="1"/>
  <c r="AA320" i="21"/>
  <c r="AI320" i="21" s="1"/>
  <c r="AC319" i="21"/>
  <c r="AK319" i="21" s="1"/>
  <c r="AB319" i="21"/>
  <c r="AJ319" i="21" s="1"/>
  <c r="AA319" i="21"/>
  <c r="AI319" i="21" s="1"/>
  <c r="AC318" i="21"/>
  <c r="AK318" i="21" s="1"/>
  <c r="AB318" i="21"/>
  <c r="AJ318" i="21" s="1"/>
  <c r="AA318" i="21"/>
  <c r="AI318" i="21" s="1"/>
  <c r="AC317" i="21"/>
  <c r="AK317" i="21" s="1"/>
  <c r="AB317" i="21"/>
  <c r="AJ317" i="21" s="1"/>
  <c r="AA317" i="21"/>
  <c r="AI317" i="21" s="1"/>
  <c r="AC316" i="21"/>
  <c r="AK316" i="21" s="1"/>
  <c r="AB316" i="21"/>
  <c r="AJ316" i="21" s="1"/>
  <c r="AA316" i="21"/>
  <c r="AI316" i="21" s="1"/>
  <c r="AC315" i="21"/>
  <c r="AK315" i="21" s="1"/>
  <c r="AB315" i="21"/>
  <c r="AJ315" i="21" s="1"/>
  <c r="AA315" i="21"/>
  <c r="AI315" i="21" s="1"/>
  <c r="AC314" i="21"/>
  <c r="AK314" i="21" s="1"/>
  <c r="AB314" i="21"/>
  <c r="AJ314" i="21" s="1"/>
  <c r="AA314" i="21"/>
  <c r="AI314" i="21" s="1"/>
  <c r="AC313" i="21"/>
  <c r="AK313" i="21" s="1"/>
  <c r="AB313" i="21"/>
  <c r="AJ313" i="21" s="1"/>
  <c r="AA313" i="21"/>
  <c r="AI313" i="21" s="1"/>
  <c r="AC312" i="21"/>
  <c r="AK312" i="21" s="1"/>
  <c r="AB312" i="21"/>
  <c r="AJ312" i="21" s="1"/>
  <c r="AA312" i="21"/>
  <c r="AI312" i="21" s="1"/>
  <c r="AC311" i="21"/>
  <c r="AK311" i="21" s="1"/>
  <c r="AB311" i="21"/>
  <c r="AJ311" i="21" s="1"/>
  <c r="AA311" i="21"/>
  <c r="AI311" i="21" s="1"/>
  <c r="AC310" i="21"/>
  <c r="AK310" i="21" s="1"/>
  <c r="AB310" i="21"/>
  <c r="AJ310" i="21" s="1"/>
  <c r="AA310" i="21"/>
  <c r="AI310" i="21" s="1"/>
  <c r="AC309" i="21"/>
  <c r="AK309" i="21" s="1"/>
  <c r="AB309" i="21"/>
  <c r="AJ309" i="21" s="1"/>
  <c r="AA309" i="21"/>
  <c r="AI309" i="21" s="1"/>
  <c r="AC308" i="21"/>
  <c r="AK308" i="21" s="1"/>
  <c r="AB308" i="21"/>
  <c r="AJ308" i="21" s="1"/>
  <c r="AA308" i="21"/>
  <c r="AI308" i="21" s="1"/>
  <c r="AC307" i="21"/>
  <c r="AK307" i="21" s="1"/>
  <c r="AB307" i="21"/>
  <c r="AJ307" i="21" s="1"/>
  <c r="AA307" i="21"/>
  <c r="AI307" i="21" s="1"/>
  <c r="AC306" i="21"/>
  <c r="AK306" i="21" s="1"/>
  <c r="AB306" i="21"/>
  <c r="AJ306" i="21" s="1"/>
  <c r="AA306" i="21"/>
  <c r="AI306" i="21" s="1"/>
  <c r="AC305" i="21"/>
  <c r="AK305" i="21" s="1"/>
  <c r="AB305" i="21"/>
  <c r="AJ305" i="21" s="1"/>
  <c r="AA305" i="21"/>
  <c r="AI305" i="21" s="1"/>
  <c r="AC304" i="21"/>
  <c r="AK304" i="21" s="1"/>
  <c r="AB304" i="21"/>
  <c r="AJ304" i="21" s="1"/>
  <c r="AA304" i="21"/>
  <c r="AI304" i="21" s="1"/>
  <c r="AC303" i="21"/>
  <c r="AK303" i="21" s="1"/>
  <c r="AB303" i="21"/>
  <c r="AJ303" i="21" s="1"/>
  <c r="AA303" i="21"/>
  <c r="AI303" i="21" s="1"/>
  <c r="AC302" i="21"/>
  <c r="AK302" i="21" s="1"/>
  <c r="AB302" i="21"/>
  <c r="AJ302" i="21" s="1"/>
  <c r="AA302" i="21"/>
  <c r="AI302" i="21" s="1"/>
  <c r="AC301" i="21"/>
  <c r="AK301" i="21" s="1"/>
  <c r="AB301" i="21"/>
  <c r="AJ301" i="21" s="1"/>
  <c r="AA301" i="21"/>
  <c r="AI301" i="21" s="1"/>
  <c r="AC300" i="21"/>
  <c r="AK300" i="21" s="1"/>
  <c r="AB300" i="21"/>
  <c r="AJ300" i="21" s="1"/>
  <c r="AA300" i="21"/>
  <c r="AI300" i="21" s="1"/>
  <c r="AC299" i="21"/>
  <c r="AK299" i="21" s="1"/>
  <c r="AB299" i="21"/>
  <c r="AJ299" i="21" s="1"/>
  <c r="AA299" i="21"/>
  <c r="AI299" i="21" s="1"/>
  <c r="AC298" i="21"/>
  <c r="AK298" i="21" s="1"/>
  <c r="AB298" i="21"/>
  <c r="AJ298" i="21" s="1"/>
  <c r="AA298" i="21"/>
  <c r="AI298" i="21" s="1"/>
  <c r="AC297" i="21"/>
  <c r="AK297" i="21" s="1"/>
  <c r="AB297" i="21"/>
  <c r="AJ297" i="21" s="1"/>
  <c r="AA297" i="21"/>
  <c r="AI297" i="21" s="1"/>
  <c r="AC296" i="21"/>
  <c r="AK296" i="21" s="1"/>
  <c r="AB296" i="21"/>
  <c r="AJ296" i="21" s="1"/>
  <c r="AA296" i="21"/>
  <c r="AI296" i="21" s="1"/>
  <c r="AC295" i="21"/>
  <c r="AK295" i="21" s="1"/>
  <c r="AB295" i="21"/>
  <c r="AJ295" i="21" s="1"/>
  <c r="AA295" i="21"/>
  <c r="AI295" i="21" s="1"/>
  <c r="AC294" i="21"/>
  <c r="AK294" i="21" s="1"/>
  <c r="AB294" i="21"/>
  <c r="AJ294" i="21" s="1"/>
  <c r="AA294" i="21"/>
  <c r="AI294" i="21" s="1"/>
  <c r="AC293" i="21"/>
  <c r="AK293" i="21" s="1"/>
  <c r="AB293" i="21"/>
  <c r="AJ293" i="21" s="1"/>
  <c r="AA293" i="21"/>
  <c r="AI293" i="21" s="1"/>
  <c r="AC292" i="21"/>
  <c r="AK292" i="21" s="1"/>
  <c r="AB292" i="21"/>
  <c r="AJ292" i="21" s="1"/>
  <c r="AA292" i="21"/>
  <c r="AI292" i="21" s="1"/>
  <c r="AC291" i="21"/>
  <c r="AK291" i="21" s="1"/>
  <c r="AB291" i="21"/>
  <c r="AJ291" i="21" s="1"/>
  <c r="AA291" i="21"/>
  <c r="AI291" i="21" s="1"/>
  <c r="AC290" i="21"/>
  <c r="AK290" i="21" s="1"/>
  <c r="AB290" i="21"/>
  <c r="AJ290" i="21" s="1"/>
  <c r="AA290" i="21"/>
  <c r="AI290" i="21" s="1"/>
  <c r="AC289" i="21"/>
  <c r="AK289" i="21" s="1"/>
  <c r="AB289" i="21"/>
  <c r="AJ289" i="21" s="1"/>
  <c r="AA289" i="21"/>
  <c r="AI289" i="21" s="1"/>
  <c r="AC288" i="21"/>
  <c r="AK288" i="21" s="1"/>
  <c r="AB288" i="21"/>
  <c r="AJ288" i="21" s="1"/>
  <c r="AA288" i="21"/>
  <c r="AI288" i="21" s="1"/>
  <c r="AC287" i="21"/>
  <c r="AK287" i="21" s="1"/>
  <c r="AB287" i="21"/>
  <c r="AJ287" i="21" s="1"/>
  <c r="AA287" i="21"/>
  <c r="AI287" i="21" s="1"/>
  <c r="AC286" i="21"/>
  <c r="AK286" i="21" s="1"/>
  <c r="AB286" i="21"/>
  <c r="AJ286" i="21" s="1"/>
  <c r="AA286" i="21"/>
  <c r="AI286" i="21" s="1"/>
  <c r="AC285" i="21"/>
  <c r="AK285" i="21" s="1"/>
  <c r="AB285" i="21"/>
  <c r="AJ285" i="21" s="1"/>
  <c r="AA285" i="21"/>
  <c r="AI285" i="21" s="1"/>
  <c r="AC284" i="21"/>
  <c r="AK284" i="21" s="1"/>
  <c r="AB284" i="21"/>
  <c r="AJ284" i="21" s="1"/>
  <c r="AA284" i="21"/>
  <c r="AI284" i="21" s="1"/>
  <c r="AC283" i="21"/>
  <c r="AK283" i="21" s="1"/>
  <c r="AB283" i="21"/>
  <c r="AJ283" i="21" s="1"/>
  <c r="AA283" i="21"/>
  <c r="AI283" i="21" s="1"/>
  <c r="AC282" i="21"/>
  <c r="AK282" i="21" s="1"/>
  <c r="AB282" i="21"/>
  <c r="AJ282" i="21" s="1"/>
  <c r="AA282" i="21"/>
  <c r="AI282" i="21" s="1"/>
  <c r="AC281" i="21"/>
  <c r="AK281" i="21" s="1"/>
  <c r="AB281" i="21"/>
  <c r="AJ281" i="21" s="1"/>
  <c r="AA281" i="21"/>
  <c r="AI281" i="21" s="1"/>
  <c r="AC280" i="21"/>
  <c r="AK280" i="21" s="1"/>
  <c r="AB280" i="21"/>
  <c r="AJ280" i="21" s="1"/>
  <c r="AA280" i="21"/>
  <c r="AI280" i="21" s="1"/>
  <c r="AC279" i="21"/>
  <c r="AK279" i="21" s="1"/>
  <c r="AB279" i="21"/>
  <c r="AJ279" i="21" s="1"/>
  <c r="AA279" i="21"/>
  <c r="AI279" i="21" s="1"/>
  <c r="AC278" i="21"/>
  <c r="AK278" i="21" s="1"/>
  <c r="AB278" i="21"/>
  <c r="AJ278" i="21" s="1"/>
  <c r="AA278" i="21"/>
  <c r="AI278" i="21" s="1"/>
  <c r="AC277" i="21"/>
  <c r="AK277" i="21" s="1"/>
  <c r="AB277" i="21"/>
  <c r="AJ277" i="21" s="1"/>
  <c r="AA277" i="21"/>
  <c r="AI277" i="21" s="1"/>
  <c r="AC276" i="21"/>
  <c r="AK276" i="21" s="1"/>
  <c r="AB276" i="21"/>
  <c r="AJ276" i="21" s="1"/>
  <c r="AA276" i="21"/>
  <c r="AI276" i="21" s="1"/>
  <c r="AC275" i="21"/>
  <c r="AK275" i="21" s="1"/>
  <c r="AB275" i="21"/>
  <c r="AJ275" i="21" s="1"/>
  <c r="AA275" i="21"/>
  <c r="AI275" i="21" s="1"/>
  <c r="AC274" i="21"/>
  <c r="AK274" i="21" s="1"/>
  <c r="AB274" i="21"/>
  <c r="AJ274" i="21" s="1"/>
  <c r="AA274" i="21"/>
  <c r="AI274" i="21" s="1"/>
  <c r="AC273" i="21"/>
  <c r="AK273" i="21" s="1"/>
  <c r="AB273" i="21"/>
  <c r="AJ273" i="21" s="1"/>
  <c r="AA273" i="21"/>
  <c r="AI273" i="21" s="1"/>
  <c r="AC272" i="21"/>
  <c r="AK272" i="21" s="1"/>
  <c r="AB272" i="21"/>
  <c r="AJ272" i="21" s="1"/>
  <c r="AA272" i="21"/>
  <c r="AI272" i="21" s="1"/>
  <c r="AC271" i="21"/>
  <c r="AK271" i="21" s="1"/>
  <c r="AB271" i="21"/>
  <c r="AJ271" i="21" s="1"/>
  <c r="AA271" i="21"/>
  <c r="AI271" i="21" s="1"/>
  <c r="AC270" i="21"/>
  <c r="AK270" i="21" s="1"/>
  <c r="AB270" i="21"/>
  <c r="AJ270" i="21" s="1"/>
  <c r="AA270" i="21"/>
  <c r="AI270" i="21" s="1"/>
  <c r="AC269" i="21"/>
  <c r="AK269" i="21" s="1"/>
  <c r="AB269" i="21"/>
  <c r="AJ269" i="21" s="1"/>
  <c r="AA269" i="21"/>
  <c r="AI269" i="21" s="1"/>
  <c r="AC268" i="21"/>
  <c r="AK268" i="21" s="1"/>
  <c r="AB268" i="21"/>
  <c r="AJ268" i="21" s="1"/>
  <c r="AA268" i="21"/>
  <c r="AI268" i="21" s="1"/>
  <c r="AC267" i="21"/>
  <c r="AK267" i="21" s="1"/>
  <c r="AB267" i="21"/>
  <c r="AJ267" i="21" s="1"/>
  <c r="AA267" i="21"/>
  <c r="AI267" i="21" s="1"/>
  <c r="AC266" i="21"/>
  <c r="AK266" i="21" s="1"/>
  <c r="AB266" i="21"/>
  <c r="AJ266" i="21" s="1"/>
  <c r="AA266" i="21"/>
  <c r="AI266" i="21" s="1"/>
  <c r="AC265" i="21"/>
  <c r="AK265" i="21" s="1"/>
  <c r="AB265" i="21"/>
  <c r="AJ265" i="21" s="1"/>
  <c r="AA265" i="21"/>
  <c r="AI265" i="21" s="1"/>
  <c r="AC264" i="21"/>
  <c r="AK264" i="21" s="1"/>
  <c r="AB264" i="21"/>
  <c r="AJ264" i="21" s="1"/>
  <c r="AA264" i="21"/>
  <c r="AI264" i="21" s="1"/>
  <c r="AC263" i="21"/>
  <c r="AK263" i="21" s="1"/>
  <c r="AB263" i="21"/>
  <c r="AJ263" i="21" s="1"/>
  <c r="AA263" i="21"/>
  <c r="AI263" i="21" s="1"/>
  <c r="AC262" i="21"/>
  <c r="AK262" i="21" s="1"/>
  <c r="AB262" i="21"/>
  <c r="AJ262" i="21" s="1"/>
  <c r="AA262" i="21"/>
  <c r="AI262" i="21" s="1"/>
  <c r="AC261" i="21"/>
  <c r="AK261" i="21" s="1"/>
  <c r="AB261" i="21"/>
  <c r="AJ261" i="21" s="1"/>
  <c r="AA261" i="21"/>
  <c r="AI261" i="21" s="1"/>
  <c r="AC260" i="21"/>
  <c r="AK260" i="21" s="1"/>
  <c r="AB260" i="21"/>
  <c r="AJ260" i="21" s="1"/>
  <c r="AA260" i="21"/>
  <c r="AI260" i="21" s="1"/>
  <c r="AC259" i="21"/>
  <c r="AK259" i="21" s="1"/>
  <c r="AB259" i="21"/>
  <c r="AJ259" i="21" s="1"/>
  <c r="AA259" i="21"/>
  <c r="AI259" i="21" s="1"/>
  <c r="AC258" i="21"/>
  <c r="AK258" i="21" s="1"/>
  <c r="AB258" i="21"/>
  <c r="AJ258" i="21" s="1"/>
  <c r="AA258" i="21"/>
  <c r="AI258" i="21" s="1"/>
  <c r="AC257" i="21"/>
  <c r="AK257" i="21" s="1"/>
  <c r="AB257" i="21"/>
  <c r="AJ257" i="21" s="1"/>
  <c r="AA257" i="21"/>
  <c r="AI257" i="21" s="1"/>
  <c r="AC256" i="21"/>
  <c r="AK256" i="21" s="1"/>
  <c r="AB256" i="21"/>
  <c r="AJ256" i="21" s="1"/>
  <c r="AA256" i="21"/>
  <c r="AI256" i="21" s="1"/>
  <c r="AC255" i="21"/>
  <c r="AK255" i="21" s="1"/>
  <c r="AB255" i="21"/>
  <c r="AJ255" i="21" s="1"/>
  <c r="AA255" i="21"/>
  <c r="AI255" i="21" s="1"/>
  <c r="AC254" i="21"/>
  <c r="AK254" i="21" s="1"/>
  <c r="AB254" i="21"/>
  <c r="AJ254" i="21" s="1"/>
  <c r="AA254" i="21"/>
  <c r="AI254" i="21" s="1"/>
  <c r="AC253" i="21"/>
  <c r="AK253" i="21" s="1"/>
  <c r="AB253" i="21"/>
  <c r="AJ253" i="21" s="1"/>
  <c r="AA253" i="21"/>
  <c r="AI253" i="21" s="1"/>
  <c r="AC252" i="21"/>
  <c r="AK252" i="21" s="1"/>
  <c r="AB252" i="21"/>
  <c r="AJ252" i="21" s="1"/>
  <c r="AA252" i="21"/>
  <c r="AI252" i="21" s="1"/>
  <c r="AC251" i="21"/>
  <c r="AK251" i="21" s="1"/>
  <c r="AB251" i="21"/>
  <c r="AJ251" i="21" s="1"/>
  <c r="AA251" i="21"/>
  <c r="AI251" i="21" s="1"/>
  <c r="AC250" i="21"/>
  <c r="AK250" i="21" s="1"/>
  <c r="AB250" i="21"/>
  <c r="AJ250" i="21" s="1"/>
  <c r="AA250" i="21"/>
  <c r="AI250" i="21" s="1"/>
  <c r="AC249" i="21"/>
  <c r="AK249" i="21" s="1"/>
  <c r="AB249" i="21"/>
  <c r="AJ249" i="21" s="1"/>
  <c r="AA249" i="21"/>
  <c r="AI249" i="21" s="1"/>
  <c r="AC248" i="21"/>
  <c r="AK248" i="21" s="1"/>
  <c r="AB248" i="21"/>
  <c r="AJ248" i="21" s="1"/>
  <c r="AA248" i="21"/>
  <c r="AI248" i="21" s="1"/>
  <c r="AC247" i="21"/>
  <c r="AK247" i="21" s="1"/>
  <c r="AB247" i="21"/>
  <c r="AJ247" i="21" s="1"/>
  <c r="AA247" i="21"/>
  <c r="AI247" i="21" s="1"/>
  <c r="AC246" i="21"/>
  <c r="AK246" i="21" s="1"/>
  <c r="AB246" i="21"/>
  <c r="AJ246" i="21" s="1"/>
  <c r="AA246" i="21"/>
  <c r="AI246" i="21" s="1"/>
  <c r="AC245" i="21"/>
  <c r="AK245" i="21" s="1"/>
  <c r="AB245" i="21"/>
  <c r="AJ245" i="21" s="1"/>
  <c r="AA245" i="21"/>
  <c r="AI245" i="21" s="1"/>
  <c r="AC244" i="21"/>
  <c r="AK244" i="21" s="1"/>
  <c r="AB244" i="21"/>
  <c r="AJ244" i="21" s="1"/>
  <c r="AA244" i="21"/>
  <c r="AI244" i="21" s="1"/>
  <c r="AC243" i="21"/>
  <c r="AK243" i="21" s="1"/>
  <c r="AB243" i="21"/>
  <c r="AJ243" i="21" s="1"/>
  <c r="AA243" i="21"/>
  <c r="AI243" i="21" s="1"/>
  <c r="AC242" i="21"/>
  <c r="AK242" i="21" s="1"/>
  <c r="AB242" i="21"/>
  <c r="AJ242" i="21" s="1"/>
  <c r="AA242" i="21"/>
  <c r="AI242" i="21" s="1"/>
  <c r="AC241" i="21"/>
  <c r="AK241" i="21" s="1"/>
  <c r="AB241" i="21"/>
  <c r="AJ241" i="21" s="1"/>
  <c r="AA241" i="21"/>
  <c r="AI241" i="21" s="1"/>
  <c r="AC240" i="21"/>
  <c r="AK240" i="21" s="1"/>
  <c r="AB240" i="21"/>
  <c r="AJ240" i="21" s="1"/>
  <c r="AA240" i="21"/>
  <c r="AI240" i="21" s="1"/>
  <c r="AC239" i="21"/>
  <c r="AK239" i="21" s="1"/>
  <c r="AB239" i="21"/>
  <c r="AJ239" i="21" s="1"/>
  <c r="AA239" i="21"/>
  <c r="AI239" i="21" s="1"/>
  <c r="AC238" i="21"/>
  <c r="AK238" i="21" s="1"/>
  <c r="AB238" i="21"/>
  <c r="AJ238" i="21" s="1"/>
  <c r="AA238" i="21"/>
  <c r="AI238" i="21" s="1"/>
  <c r="AC237" i="21"/>
  <c r="AK237" i="21" s="1"/>
  <c r="AB237" i="21"/>
  <c r="AJ237" i="21" s="1"/>
  <c r="AA237" i="21"/>
  <c r="AI237" i="21" s="1"/>
  <c r="AC236" i="21"/>
  <c r="AK236" i="21" s="1"/>
  <c r="AB236" i="21"/>
  <c r="AJ236" i="21" s="1"/>
  <c r="AA236" i="21"/>
  <c r="AI236" i="21" s="1"/>
  <c r="AC235" i="21"/>
  <c r="AK235" i="21" s="1"/>
  <c r="AB235" i="21"/>
  <c r="AJ235" i="21" s="1"/>
  <c r="AA235" i="21"/>
  <c r="AI235" i="21" s="1"/>
  <c r="AC234" i="21"/>
  <c r="AK234" i="21" s="1"/>
  <c r="AB234" i="21"/>
  <c r="AJ234" i="21" s="1"/>
  <c r="AA234" i="21"/>
  <c r="AI234" i="21" s="1"/>
  <c r="AC233" i="21"/>
  <c r="AK233" i="21" s="1"/>
  <c r="AB233" i="21"/>
  <c r="AJ233" i="21" s="1"/>
  <c r="AA233" i="21"/>
  <c r="AI233" i="21" s="1"/>
  <c r="AC232" i="21"/>
  <c r="AK232" i="21" s="1"/>
  <c r="AB232" i="21"/>
  <c r="AJ232" i="21" s="1"/>
  <c r="AA232" i="21"/>
  <c r="AI232" i="21" s="1"/>
  <c r="AC231" i="21"/>
  <c r="AK231" i="21" s="1"/>
  <c r="AB231" i="21"/>
  <c r="AJ231" i="21" s="1"/>
  <c r="AA231" i="21"/>
  <c r="AI231" i="21" s="1"/>
  <c r="AC230" i="21"/>
  <c r="AK230" i="21" s="1"/>
  <c r="AB230" i="21"/>
  <c r="AJ230" i="21" s="1"/>
  <c r="AA230" i="21"/>
  <c r="AI230" i="21" s="1"/>
  <c r="AC229" i="21"/>
  <c r="AK229" i="21" s="1"/>
  <c r="AB229" i="21"/>
  <c r="AJ229" i="21" s="1"/>
  <c r="AA229" i="21"/>
  <c r="AI229" i="21" s="1"/>
  <c r="AC228" i="21"/>
  <c r="AK228" i="21" s="1"/>
  <c r="AB228" i="21"/>
  <c r="AJ228" i="21" s="1"/>
  <c r="AA228" i="21"/>
  <c r="AI228" i="21" s="1"/>
  <c r="AC227" i="21"/>
  <c r="AK227" i="21" s="1"/>
  <c r="AB227" i="21"/>
  <c r="AJ227" i="21" s="1"/>
  <c r="AA227" i="21"/>
  <c r="AI227" i="21" s="1"/>
  <c r="AC226" i="21"/>
  <c r="AK226" i="21" s="1"/>
  <c r="AB226" i="21"/>
  <c r="AJ226" i="21" s="1"/>
  <c r="AA226" i="21"/>
  <c r="AI226" i="21" s="1"/>
  <c r="AC225" i="21"/>
  <c r="AK225" i="21" s="1"/>
  <c r="AB225" i="21"/>
  <c r="AJ225" i="21" s="1"/>
  <c r="AA225" i="21"/>
  <c r="AI225" i="21" s="1"/>
  <c r="AC224" i="21"/>
  <c r="AK224" i="21" s="1"/>
  <c r="AB224" i="21"/>
  <c r="AJ224" i="21" s="1"/>
  <c r="AA224" i="21"/>
  <c r="AI224" i="21" s="1"/>
  <c r="AC223" i="21"/>
  <c r="AK223" i="21" s="1"/>
  <c r="AB223" i="21"/>
  <c r="AJ223" i="21" s="1"/>
  <c r="AA223" i="21"/>
  <c r="AI223" i="21" s="1"/>
  <c r="AC222" i="21"/>
  <c r="AK222" i="21" s="1"/>
  <c r="AB222" i="21"/>
  <c r="AJ222" i="21" s="1"/>
  <c r="AA222" i="21"/>
  <c r="AI222" i="21" s="1"/>
  <c r="AC221" i="21"/>
  <c r="AK221" i="21" s="1"/>
  <c r="AB221" i="21"/>
  <c r="AJ221" i="21" s="1"/>
  <c r="AA221" i="21"/>
  <c r="AI221" i="21" s="1"/>
  <c r="AC220" i="21"/>
  <c r="AK220" i="21" s="1"/>
  <c r="AB220" i="21"/>
  <c r="AJ220" i="21" s="1"/>
  <c r="AA220" i="21"/>
  <c r="AI220" i="21" s="1"/>
  <c r="AC219" i="21"/>
  <c r="AK219" i="21" s="1"/>
  <c r="AB219" i="21"/>
  <c r="AJ219" i="21" s="1"/>
  <c r="AA219" i="21"/>
  <c r="AI219" i="21" s="1"/>
  <c r="AC218" i="21"/>
  <c r="AK218" i="21" s="1"/>
  <c r="AB218" i="21"/>
  <c r="AJ218" i="21" s="1"/>
  <c r="AA218" i="21"/>
  <c r="AI218" i="21" s="1"/>
  <c r="AC217" i="21"/>
  <c r="AK217" i="21" s="1"/>
  <c r="AB217" i="21"/>
  <c r="AJ217" i="21" s="1"/>
  <c r="AA217" i="21"/>
  <c r="AI217" i="21" s="1"/>
  <c r="AC216" i="21"/>
  <c r="AK216" i="21" s="1"/>
  <c r="AB216" i="21"/>
  <c r="AJ216" i="21" s="1"/>
  <c r="AA216" i="21"/>
  <c r="AI216" i="21" s="1"/>
  <c r="AC215" i="21"/>
  <c r="AK215" i="21" s="1"/>
  <c r="AB215" i="21"/>
  <c r="AJ215" i="21" s="1"/>
  <c r="AA215" i="21"/>
  <c r="AI215" i="21" s="1"/>
  <c r="AC214" i="21"/>
  <c r="AK214" i="21" s="1"/>
  <c r="AB214" i="21"/>
  <c r="AJ214" i="21" s="1"/>
  <c r="AA214" i="21"/>
  <c r="AI214" i="21" s="1"/>
  <c r="AC213" i="21"/>
  <c r="AK213" i="21" s="1"/>
  <c r="AB213" i="21"/>
  <c r="AJ213" i="21" s="1"/>
  <c r="AA213" i="21"/>
  <c r="AI213" i="21" s="1"/>
  <c r="AC212" i="21"/>
  <c r="AK212" i="21" s="1"/>
  <c r="AB212" i="21"/>
  <c r="AJ212" i="21" s="1"/>
  <c r="AA212" i="21"/>
  <c r="AI212" i="21" s="1"/>
  <c r="AC211" i="21"/>
  <c r="AK211" i="21" s="1"/>
  <c r="AB211" i="21"/>
  <c r="AJ211" i="21" s="1"/>
  <c r="AA211" i="21"/>
  <c r="AI211" i="21" s="1"/>
  <c r="AC210" i="21"/>
  <c r="AK210" i="21" s="1"/>
  <c r="AB210" i="21"/>
  <c r="AJ210" i="21" s="1"/>
  <c r="AA210" i="21"/>
  <c r="AI210" i="21" s="1"/>
  <c r="AC209" i="21"/>
  <c r="AK209" i="21" s="1"/>
  <c r="AB209" i="21"/>
  <c r="AJ209" i="21" s="1"/>
  <c r="AA209" i="21"/>
  <c r="AI209" i="21" s="1"/>
  <c r="AC208" i="21"/>
  <c r="AK208" i="21" s="1"/>
  <c r="AB208" i="21"/>
  <c r="AJ208" i="21" s="1"/>
  <c r="AA208" i="21"/>
  <c r="AI208" i="21" s="1"/>
  <c r="AC207" i="21"/>
  <c r="AK207" i="21" s="1"/>
  <c r="AB207" i="21"/>
  <c r="AJ207" i="21" s="1"/>
  <c r="AA207" i="21"/>
  <c r="AI207" i="21" s="1"/>
  <c r="AC206" i="21"/>
  <c r="AK206" i="21" s="1"/>
  <c r="AB206" i="21"/>
  <c r="AJ206" i="21" s="1"/>
  <c r="AA206" i="21"/>
  <c r="AI206" i="21" s="1"/>
  <c r="AC205" i="21"/>
  <c r="AK205" i="21" s="1"/>
  <c r="AB205" i="21"/>
  <c r="AJ205" i="21" s="1"/>
  <c r="AA205" i="21"/>
  <c r="AI205" i="21" s="1"/>
  <c r="AC204" i="21"/>
  <c r="AK204" i="21" s="1"/>
  <c r="AB204" i="21"/>
  <c r="AJ204" i="21" s="1"/>
  <c r="AA204" i="21"/>
  <c r="AI204" i="21" s="1"/>
  <c r="AC203" i="21"/>
  <c r="AK203" i="21" s="1"/>
  <c r="AB203" i="21"/>
  <c r="AJ203" i="21" s="1"/>
  <c r="AA203" i="21"/>
  <c r="AI203" i="21" s="1"/>
  <c r="AC202" i="21"/>
  <c r="AK202" i="21" s="1"/>
  <c r="AB202" i="21"/>
  <c r="AJ202" i="21" s="1"/>
  <c r="AA202" i="21"/>
  <c r="AI202" i="21" s="1"/>
  <c r="AC201" i="21"/>
  <c r="AK201" i="21" s="1"/>
  <c r="AB201" i="21"/>
  <c r="AJ201" i="21" s="1"/>
  <c r="AA201" i="21"/>
  <c r="AI201" i="21" s="1"/>
  <c r="AC200" i="21"/>
  <c r="AK200" i="21" s="1"/>
  <c r="AB200" i="21"/>
  <c r="AJ200" i="21" s="1"/>
  <c r="AA200" i="21"/>
  <c r="AI200" i="21" s="1"/>
  <c r="AC199" i="21"/>
  <c r="AK199" i="21" s="1"/>
  <c r="AB199" i="21"/>
  <c r="AJ199" i="21" s="1"/>
  <c r="AA199" i="21"/>
  <c r="AI199" i="21" s="1"/>
  <c r="AC198" i="21"/>
  <c r="AK198" i="21" s="1"/>
  <c r="AB198" i="21"/>
  <c r="AJ198" i="21" s="1"/>
  <c r="AA198" i="21"/>
  <c r="AI198" i="21" s="1"/>
  <c r="AC197" i="21"/>
  <c r="AK197" i="21" s="1"/>
  <c r="AB197" i="21"/>
  <c r="AJ197" i="21" s="1"/>
  <c r="AA197" i="21"/>
  <c r="AI197" i="21" s="1"/>
  <c r="AC196" i="21"/>
  <c r="AK196" i="21" s="1"/>
  <c r="AB196" i="21"/>
  <c r="AJ196" i="21" s="1"/>
  <c r="AA196" i="21"/>
  <c r="AI196" i="21" s="1"/>
  <c r="AC195" i="21"/>
  <c r="AK195" i="21" s="1"/>
  <c r="AB195" i="21"/>
  <c r="AJ195" i="21" s="1"/>
  <c r="AA195" i="21"/>
  <c r="AI195" i="21" s="1"/>
  <c r="AC194" i="21"/>
  <c r="AK194" i="21" s="1"/>
  <c r="AB194" i="21"/>
  <c r="AJ194" i="21" s="1"/>
  <c r="AA194" i="21"/>
  <c r="AI194" i="21" s="1"/>
  <c r="AC193" i="21"/>
  <c r="AK193" i="21" s="1"/>
  <c r="AB193" i="21"/>
  <c r="AJ193" i="21" s="1"/>
  <c r="AA193" i="21"/>
  <c r="AI193" i="21" s="1"/>
  <c r="AC192" i="21"/>
  <c r="AK192" i="21" s="1"/>
  <c r="AB192" i="21"/>
  <c r="AJ192" i="21" s="1"/>
  <c r="AA192" i="21"/>
  <c r="AI192" i="21" s="1"/>
  <c r="AC191" i="21"/>
  <c r="AK191" i="21" s="1"/>
  <c r="AB191" i="21"/>
  <c r="AJ191" i="21" s="1"/>
  <c r="AA191" i="21"/>
  <c r="AI191" i="21" s="1"/>
  <c r="AC190" i="21"/>
  <c r="AK190" i="21" s="1"/>
  <c r="AB190" i="21"/>
  <c r="AJ190" i="21" s="1"/>
  <c r="AA190" i="21"/>
  <c r="AI190" i="21" s="1"/>
  <c r="AC189" i="21"/>
  <c r="AK189" i="21" s="1"/>
  <c r="AB189" i="21"/>
  <c r="AJ189" i="21" s="1"/>
  <c r="AA189" i="21"/>
  <c r="AI189" i="21" s="1"/>
  <c r="AC188" i="21"/>
  <c r="AK188" i="21" s="1"/>
  <c r="AB188" i="21"/>
  <c r="AJ188" i="21" s="1"/>
  <c r="AA188" i="21"/>
  <c r="AI188" i="21" s="1"/>
  <c r="AC187" i="21"/>
  <c r="AK187" i="21" s="1"/>
  <c r="AB187" i="21"/>
  <c r="AJ187" i="21" s="1"/>
  <c r="AA187" i="21"/>
  <c r="AI187" i="21" s="1"/>
  <c r="AC186" i="21"/>
  <c r="AK186" i="21" s="1"/>
  <c r="AB186" i="21"/>
  <c r="AJ186" i="21" s="1"/>
  <c r="AA186" i="21"/>
  <c r="AI186" i="21" s="1"/>
  <c r="AC185" i="21"/>
  <c r="AK185" i="21" s="1"/>
  <c r="AB185" i="21"/>
  <c r="AJ185" i="21" s="1"/>
  <c r="AA185" i="21"/>
  <c r="AI185" i="21" s="1"/>
  <c r="AC184" i="21"/>
  <c r="AK184" i="21" s="1"/>
  <c r="AB184" i="21"/>
  <c r="AJ184" i="21" s="1"/>
  <c r="AA184" i="21"/>
  <c r="AI184" i="21" s="1"/>
  <c r="AC183" i="21"/>
  <c r="AK183" i="21" s="1"/>
  <c r="AB183" i="21"/>
  <c r="AJ183" i="21" s="1"/>
  <c r="AA183" i="21"/>
  <c r="AI183" i="21" s="1"/>
  <c r="AC182" i="21"/>
  <c r="AK182" i="21" s="1"/>
  <c r="AB182" i="21"/>
  <c r="AJ182" i="21" s="1"/>
  <c r="AA182" i="21"/>
  <c r="AI182" i="21" s="1"/>
  <c r="AC181" i="21"/>
  <c r="AK181" i="21" s="1"/>
  <c r="AB181" i="21"/>
  <c r="AJ181" i="21" s="1"/>
  <c r="AA181" i="21"/>
  <c r="AI181" i="21" s="1"/>
  <c r="AC180" i="21"/>
  <c r="AK180" i="21" s="1"/>
  <c r="AB180" i="21"/>
  <c r="AJ180" i="21" s="1"/>
  <c r="AA180" i="21"/>
  <c r="AI180" i="21" s="1"/>
  <c r="AC179" i="21"/>
  <c r="AK179" i="21" s="1"/>
  <c r="AB179" i="21"/>
  <c r="AJ179" i="21" s="1"/>
  <c r="AA179" i="21"/>
  <c r="AI179" i="21" s="1"/>
  <c r="AC178" i="21"/>
  <c r="AK178" i="21" s="1"/>
  <c r="AB178" i="21"/>
  <c r="AJ178" i="21" s="1"/>
  <c r="AA178" i="21"/>
  <c r="AI178" i="21" s="1"/>
  <c r="AC177" i="21"/>
  <c r="AK177" i="21" s="1"/>
  <c r="AB177" i="21"/>
  <c r="AJ177" i="21" s="1"/>
  <c r="AA177" i="21"/>
  <c r="AI177" i="21" s="1"/>
  <c r="AC176" i="21"/>
  <c r="AK176" i="21" s="1"/>
  <c r="AB176" i="21"/>
  <c r="AJ176" i="21" s="1"/>
  <c r="AA176" i="21"/>
  <c r="AI176" i="21" s="1"/>
  <c r="AC175" i="21"/>
  <c r="AK175" i="21" s="1"/>
  <c r="AB175" i="21"/>
  <c r="AJ175" i="21" s="1"/>
  <c r="AA175" i="21"/>
  <c r="AI175" i="21" s="1"/>
  <c r="AC174" i="21"/>
  <c r="AK174" i="21" s="1"/>
  <c r="AB174" i="21"/>
  <c r="AJ174" i="21" s="1"/>
  <c r="AA174" i="21"/>
  <c r="AI174" i="21" s="1"/>
  <c r="AC173" i="21"/>
  <c r="AK173" i="21" s="1"/>
  <c r="AB173" i="21"/>
  <c r="AJ173" i="21" s="1"/>
  <c r="AA173" i="21"/>
  <c r="AI173" i="21" s="1"/>
  <c r="AC172" i="21"/>
  <c r="AK172" i="21" s="1"/>
  <c r="AB172" i="21"/>
  <c r="AJ172" i="21" s="1"/>
  <c r="AA172" i="21"/>
  <c r="AI172" i="21" s="1"/>
  <c r="AC171" i="21"/>
  <c r="AK171" i="21" s="1"/>
  <c r="AB171" i="21"/>
  <c r="AJ171" i="21" s="1"/>
  <c r="AA171" i="21"/>
  <c r="AI171" i="21" s="1"/>
  <c r="AC170" i="21"/>
  <c r="AK170" i="21" s="1"/>
  <c r="AB170" i="21"/>
  <c r="AJ170" i="21" s="1"/>
  <c r="AA170" i="21"/>
  <c r="AI170" i="21" s="1"/>
  <c r="AC169" i="21"/>
  <c r="AK169" i="21" s="1"/>
  <c r="AB169" i="21"/>
  <c r="AJ169" i="21" s="1"/>
  <c r="AA169" i="21"/>
  <c r="AI169" i="21" s="1"/>
  <c r="AC168" i="21"/>
  <c r="AK168" i="21" s="1"/>
  <c r="AB168" i="21"/>
  <c r="AJ168" i="21" s="1"/>
  <c r="AA168" i="21"/>
  <c r="AI168" i="21" s="1"/>
  <c r="AC167" i="21"/>
  <c r="AK167" i="21" s="1"/>
  <c r="AB167" i="21"/>
  <c r="AJ167" i="21" s="1"/>
  <c r="AA167" i="21"/>
  <c r="AI167" i="21" s="1"/>
  <c r="AC166" i="21"/>
  <c r="AK166" i="21" s="1"/>
  <c r="AB166" i="21"/>
  <c r="AJ166" i="21" s="1"/>
  <c r="AA166" i="21"/>
  <c r="AI166" i="21" s="1"/>
  <c r="AC165" i="21"/>
  <c r="AK165" i="21" s="1"/>
  <c r="AB165" i="21"/>
  <c r="AJ165" i="21" s="1"/>
  <c r="AA165" i="21"/>
  <c r="AI165" i="21" s="1"/>
  <c r="AC164" i="21"/>
  <c r="AK164" i="21" s="1"/>
  <c r="AB164" i="21"/>
  <c r="AJ164" i="21" s="1"/>
  <c r="AA164" i="21"/>
  <c r="AI164" i="21" s="1"/>
  <c r="AC163" i="21"/>
  <c r="AK163" i="21" s="1"/>
  <c r="AB163" i="21"/>
  <c r="AJ163" i="21" s="1"/>
  <c r="AA163" i="21"/>
  <c r="AI163" i="21" s="1"/>
  <c r="AC162" i="21"/>
  <c r="AK162" i="21" s="1"/>
  <c r="AB162" i="21"/>
  <c r="AJ162" i="21" s="1"/>
  <c r="AA162" i="21"/>
  <c r="AI162" i="21" s="1"/>
  <c r="AC161" i="21"/>
  <c r="AK161" i="21" s="1"/>
  <c r="AB161" i="21"/>
  <c r="AJ161" i="21" s="1"/>
  <c r="AA161" i="21"/>
  <c r="AI161" i="21" s="1"/>
  <c r="AC160" i="21"/>
  <c r="AK160" i="21" s="1"/>
  <c r="AB160" i="21"/>
  <c r="AJ160" i="21" s="1"/>
  <c r="AA160" i="21"/>
  <c r="AI160" i="21" s="1"/>
  <c r="AC159" i="21"/>
  <c r="AK159" i="21" s="1"/>
  <c r="AB159" i="21"/>
  <c r="AJ159" i="21" s="1"/>
  <c r="AA159" i="21"/>
  <c r="AI159" i="21" s="1"/>
  <c r="AC158" i="21"/>
  <c r="AK158" i="21" s="1"/>
  <c r="AB158" i="21"/>
  <c r="AJ158" i="21" s="1"/>
  <c r="AA158" i="21"/>
  <c r="AI158" i="21" s="1"/>
  <c r="AC157" i="21"/>
  <c r="AK157" i="21" s="1"/>
  <c r="AB157" i="21"/>
  <c r="AJ157" i="21" s="1"/>
  <c r="AA157" i="21"/>
  <c r="AI157" i="21" s="1"/>
  <c r="AC156" i="21"/>
  <c r="AK156" i="21" s="1"/>
  <c r="AB156" i="21"/>
  <c r="AJ156" i="21" s="1"/>
  <c r="AA156" i="21"/>
  <c r="AI156" i="21" s="1"/>
  <c r="AC155" i="21"/>
  <c r="AK155" i="21" s="1"/>
  <c r="AB155" i="21"/>
  <c r="AJ155" i="21" s="1"/>
  <c r="AA155" i="21"/>
  <c r="AI155" i="21" s="1"/>
  <c r="AC154" i="21"/>
  <c r="AK154" i="21" s="1"/>
  <c r="AB154" i="21"/>
  <c r="AJ154" i="21" s="1"/>
  <c r="AA154" i="21"/>
  <c r="AI154" i="21" s="1"/>
  <c r="AC153" i="21"/>
  <c r="AK153" i="21" s="1"/>
  <c r="AB153" i="21"/>
  <c r="AJ153" i="21" s="1"/>
  <c r="AA153" i="21"/>
  <c r="AI153" i="21" s="1"/>
  <c r="AC152" i="21"/>
  <c r="AK152" i="21" s="1"/>
  <c r="AB152" i="21"/>
  <c r="AJ152" i="21" s="1"/>
  <c r="AA152" i="21"/>
  <c r="AI152" i="21" s="1"/>
  <c r="AC151" i="21"/>
  <c r="AK151" i="21" s="1"/>
  <c r="AB151" i="21"/>
  <c r="AJ151" i="21" s="1"/>
  <c r="AA151" i="21"/>
  <c r="AI151" i="21" s="1"/>
  <c r="AC150" i="21"/>
  <c r="AK150" i="21" s="1"/>
  <c r="AB150" i="21"/>
  <c r="AJ150" i="21" s="1"/>
  <c r="AA150" i="21"/>
  <c r="AI150" i="21" s="1"/>
  <c r="AC149" i="21"/>
  <c r="AK149" i="21" s="1"/>
  <c r="AB149" i="21"/>
  <c r="AJ149" i="21" s="1"/>
  <c r="AA149" i="21"/>
  <c r="AI149" i="21" s="1"/>
  <c r="AC148" i="21"/>
  <c r="AK148" i="21" s="1"/>
  <c r="AB148" i="21"/>
  <c r="AJ148" i="21" s="1"/>
  <c r="AA148" i="21"/>
  <c r="AI148" i="21" s="1"/>
  <c r="AC147" i="21"/>
  <c r="AK147" i="21" s="1"/>
  <c r="AB147" i="21"/>
  <c r="AJ147" i="21" s="1"/>
  <c r="AA147" i="21"/>
  <c r="AI147" i="21" s="1"/>
  <c r="AC146" i="21"/>
  <c r="AK146" i="21" s="1"/>
  <c r="AB146" i="21"/>
  <c r="AJ146" i="21" s="1"/>
  <c r="AA146" i="21"/>
  <c r="AI146" i="21" s="1"/>
  <c r="AC145" i="21"/>
  <c r="AK145" i="21" s="1"/>
  <c r="AB145" i="21"/>
  <c r="AJ145" i="21" s="1"/>
  <c r="AA145" i="21"/>
  <c r="AI145" i="21" s="1"/>
  <c r="AC144" i="21"/>
  <c r="AK144" i="21" s="1"/>
  <c r="AB144" i="21"/>
  <c r="AJ144" i="21" s="1"/>
  <c r="AA144" i="21"/>
  <c r="AI144" i="21" s="1"/>
  <c r="AC143" i="21"/>
  <c r="AK143" i="21" s="1"/>
  <c r="AB143" i="21"/>
  <c r="AJ143" i="21" s="1"/>
  <c r="AA143" i="21"/>
  <c r="AI143" i="21" s="1"/>
  <c r="AC142" i="21"/>
  <c r="AK142" i="21" s="1"/>
  <c r="AB142" i="21"/>
  <c r="AJ142" i="21" s="1"/>
  <c r="AA142" i="21"/>
  <c r="AI142" i="21" s="1"/>
  <c r="AC141" i="21"/>
  <c r="AK141" i="21" s="1"/>
  <c r="AB141" i="21"/>
  <c r="AJ141" i="21" s="1"/>
  <c r="AA141" i="21"/>
  <c r="AI141" i="21" s="1"/>
  <c r="AC140" i="21"/>
  <c r="AK140" i="21" s="1"/>
  <c r="AB140" i="21"/>
  <c r="AJ140" i="21" s="1"/>
  <c r="AA140" i="21"/>
  <c r="AI140" i="21" s="1"/>
  <c r="AC139" i="21"/>
  <c r="AK139" i="21" s="1"/>
  <c r="AB139" i="21"/>
  <c r="AJ139" i="21" s="1"/>
  <c r="AA139" i="21"/>
  <c r="AI139" i="21" s="1"/>
  <c r="AC138" i="21"/>
  <c r="AK138" i="21" s="1"/>
  <c r="AB138" i="21"/>
  <c r="AJ138" i="21" s="1"/>
  <c r="AA138" i="21"/>
  <c r="AI138" i="21" s="1"/>
  <c r="AC137" i="21"/>
  <c r="AK137" i="21" s="1"/>
  <c r="AB137" i="21"/>
  <c r="AJ137" i="21" s="1"/>
  <c r="AA137" i="21"/>
  <c r="AI137" i="21" s="1"/>
  <c r="AC136" i="21"/>
  <c r="AK136" i="21" s="1"/>
  <c r="AB136" i="21"/>
  <c r="AJ136" i="21" s="1"/>
  <c r="AA136" i="21"/>
  <c r="AI136" i="21" s="1"/>
  <c r="AC135" i="21"/>
  <c r="AK135" i="21" s="1"/>
  <c r="AB135" i="21"/>
  <c r="AJ135" i="21" s="1"/>
  <c r="AA135" i="21"/>
  <c r="AI135" i="21" s="1"/>
  <c r="AC134" i="21"/>
  <c r="AK134" i="21" s="1"/>
  <c r="AB134" i="21"/>
  <c r="AJ134" i="21" s="1"/>
  <c r="AA134" i="21"/>
  <c r="AI134" i="21" s="1"/>
  <c r="AC133" i="21"/>
  <c r="AK133" i="21" s="1"/>
  <c r="AB133" i="21"/>
  <c r="AJ133" i="21" s="1"/>
  <c r="AA133" i="21"/>
  <c r="AI133" i="21" s="1"/>
  <c r="AC132" i="21"/>
  <c r="AK132" i="21" s="1"/>
  <c r="AB132" i="21"/>
  <c r="AJ132" i="21" s="1"/>
  <c r="AA132" i="21"/>
  <c r="AI132" i="21" s="1"/>
  <c r="AC131" i="21"/>
  <c r="AK131" i="21" s="1"/>
  <c r="AB131" i="21"/>
  <c r="AJ131" i="21" s="1"/>
  <c r="AA131" i="21"/>
  <c r="AI131" i="21" s="1"/>
  <c r="AC130" i="21"/>
  <c r="AK130" i="21" s="1"/>
  <c r="AB130" i="21"/>
  <c r="AJ130" i="21" s="1"/>
  <c r="AA130" i="21"/>
  <c r="AI130" i="21" s="1"/>
  <c r="AC129" i="21"/>
  <c r="AK129" i="21" s="1"/>
  <c r="AB129" i="21"/>
  <c r="AJ129" i="21" s="1"/>
  <c r="AA129" i="21"/>
  <c r="AI129" i="21" s="1"/>
  <c r="AC128" i="21"/>
  <c r="AK128" i="21" s="1"/>
  <c r="AB128" i="21"/>
  <c r="AJ128" i="21" s="1"/>
  <c r="AA128" i="21"/>
  <c r="AI128" i="21" s="1"/>
  <c r="AC127" i="21"/>
  <c r="AK127" i="21" s="1"/>
  <c r="AB127" i="21"/>
  <c r="AJ127" i="21" s="1"/>
  <c r="AA127" i="21"/>
  <c r="AI127" i="21" s="1"/>
  <c r="AC126" i="21"/>
  <c r="AK126" i="21" s="1"/>
  <c r="AB126" i="21"/>
  <c r="AJ126" i="21" s="1"/>
  <c r="AA126" i="21"/>
  <c r="AI126" i="21" s="1"/>
  <c r="AC125" i="21"/>
  <c r="AK125" i="21" s="1"/>
  <c r="AB125" i="21"/>
  <c r="AJ125" i="21" s="1"/>
  <c r="AA125" i="21"/>
  <c r="AI125" i="21" s="1"/>
  <c r="AC124" i="21"/>
  <c r="AK124" i="21" s="1"/>
  <c r="AB124" i="21"/>
  <c r="AJ124" i="21" s="1"/>
  <c r="AA124" i="21"/>
  <c r="AI124" i="21" s="1"/>
  <c r="AC123" i="21"/>
  <c r="AK123" i="21" s="1"/>
  <c r="AB123" i="21"/>
  <c r="AJ123" i="21" s="1"/>
  <c r="AA123" i="21"/>
  <c r="AI123" i="21" s="1"/>
  <c r="AC122" i="21"/>
  <c r="AK122" i="21" s="1"/>
  <c r="AB122" i="21"/>
  <c r="AJ122" i="21" s="1"/>
  <c r="AA122" i="21"/>
  <c r="AI122" i="21" s="1"/>
  <c r="AC121" i="21"/>
  <c r="AK121" i="21" s="1"/>
  <c r="AB121" i="21"/>
  <c r="AJ121" i="21" s="1"/>
  <c r="AA121" i="21"/>
  <c r="AI121" i="21" s="1"/>
  <c r="AC120" i="21"/>
  <c r="AK120" i="21" s="1"/>
  <c r="AB120" i="21"/>
  <c r="AJ120" i="21" s="1"/>
  <c r="AA120" i="21"/>
  <c r="AI120" i="21" s="1"/>
  <c r="AC119" i="21"/>
  <c r="AK119" i="21" s="1"/>
  <c r="AB119" i="21"/>
  <c r="AJ119" i="21" s="1"/>
  <c r="AA119" i="21"/>
  <c r="AI119" i="21" s="1"/>
  <c r="AC118" i="21"/>
  <c r="AK118" i="21" s="1"/>
  <c r="AB118" i="21"/>
  <c r="AJ118" i="21" s="1"/>
  <c r="AA118" i="21"/>
  <c r="AI118" i="21" s="1"/>
  <c r="AC117" i="21"/>
  <c r="AK117" i="21" s="1"/>
  <c r="AB117" i="21"/>
  <c r="AJ117" i="21" s="1"/>
  <c r="AA117" i="21"/>
  <c r="AI117" i="21" s="1"/>
  <c r="AC116" i="21"/>
  <c r="AK116" i="21" s="1"/>
  <c r="AB116" i="21"/>
  <c r="AJ116" i="21" s="1"/>
  <c r="AA116" i="21"/>
  <c r="AI116" i="21" s="1"/>
  <c r="AC115" i="21"/>
  <c r="AK115" i="21" s="1"/>
  <c r="AB115" i="21"/>
  <c r="AJ115" i="21" s="1"/>
  <c r="AA115" i="21"/>
  <c r="AI115" i="21" s="1"/>
  <c r="AC114" i="21"/>
  <c r="AK114" i="21" s="1"/>
  <c r="AB114" i="21"/>
  <c r="AJ114" i="21" s="1"/>
  <c r="AA114" i="21"/>
  <c r="AI114" i="21" s="1"/>
  <c r="AC113" i="21"/>
  <c r="AK113" i="21" s="1"/>
  <c r="AB113" i="21"/>
  <c r="AJ113" i="21" s="1"/>
  <c r="AA113" i="21"/>
  <c r="AI113" i="21" s="1"/>
  <c r="AC112" i="21"/>
  <c r="AK112" i="21" s="1"/>
  <c r="AB112" i="21"/>
  <c r="AJ112" i="21" s="1"/>
  <c r="AA112" i="21"/>
  <c r="AI112" i="21" s="1"/>
  <c r="AC111" i="21"/>
  <c r="AK111" i="21" s="1"/>
  <c r="AB111" i="21"/>
  <c r="AJ111" i="21" s="1"/>
  <c r="AA111" i="21"/>
  <c r="AI111" i="21" s="1"/>
  <c r="AC110" i="21"/>
  <c r="AK110" i="21" s="1"/>
  <c r="AB110" i="21"/>
  <c r="AJ110" i="21" s="1"/>
  <c r="AA110" i="21"/>
  <c r="AI110" i="21" s="1"/>
  <c r="AC109" i="21"/>
  <c r="AK109" i="21" s="1"/>
  <c r="AB109" i="21"/>
  <c r="AJ109" i="21" s="1"/>
  <c r="AA109" i="21"/>
  <c r="AI109" i="21" s="1"/>
  <c r="AC108" i="21"/>
  <c r="AK108" i="21" s="1"/>
  <c r="AB108" i="21"/>
  <c r="AJ108" i="21" s="1"/>
  <c r="AA108" i="21"/>
  <c r="AI108" i="21" s="1"/>
  <c r="AC107" i="21"/>
  <c r="AK107" i="21" s="1"/>
  <c r="AB107" i="21"/>
  <c r="AJ107" i="21" s="1"/>
  <c r="AA107" i="21"/>
  <c r="AI107" i="21" s="1"/>
  <c r="AC106" i="21"/>
  <c r="AK106" i="21" s="1"/>
  <c r="AB106" i="21"/>
  <c r="AJ106" i="21" s="1"/>
  <c r="AA106" i="21"/>
  <c r="AI106" i="21" s="1"/>
  <c r="AC105" i="21"/>
  <c r="AK105" i="21" s="1"/>
  <c r="AB105" i="21"/>
  <c r="AJ105" i="21" s="1"/>
  <c r="AA105" i="21"/>
  <c r="AI105" i="21" s="1"/>
  <c r="AC104" i="21"/>
  <c r="AK104" i="21" s="1"/>
  <c r="AB104" i="21"/>
  <c r="AJ104" i="21" s="1"/>
  <c r="AA104" i="21"/>
  <c r="AI104" i="21" s="1"/>
  <c r="AC103" i="21"/>
  <c r="AK103" i="21" s="1"/>
  <c r="AB103" i="21"/>
  <c r="AJ103" i="21" s="1"/>
  <c r="AA103" i="21"/>
  <c r="AI103" i="21" s="1"/>
  <c r="AC102" i="21"/>
  <c r="AK102" i="21" s="1"/>
  <c r="AB102" i="21"/>
  <c r="AJ102" i="21" s="1"/>
  <c r="AA102" i="21"/>
  <c r="AI102" i="21" s="1"/>
  <c r="AC101" i="21"/>
  <c r="AK101" i="21" s="1"/>
  <c r="AB101" i="21"/>
  <c r="AJ101" i="21" s="1"/>
  <c r="AA101" i="21"/>
  <c r="AI101" i="21" s="1"/>
  <c r="AC100" i="21"/>
  <c r="AK100" i="21" s="1"/>
  <c r="AB100" i="21"/>
  <c r="AJ100" i="21" s="1"/>
  <c r="AA100" i="21"/>
  <c r="AI100" i="21" s="1"/>
  <c r="AC99" i="21"/>
  <c r="AK99" i="21" s="1"/>
  <c r="AB99" i="21"/>
  <c r="AJ99" i="21" s="1"/>
  <c r="AA99" i="21"/>
  <c r="AI99" i="21" s="1"/>
  <c r="AC98" i="21"/>
  <c r="AK98" i="21" s="1"/>
  <c r="AB98" i="21"/>
  <c r="AJ98" i="21" s="1"/>
  <c r="AA98" i="21"/>
  <c r="AI98" i="21" s="1"/>
  <c r="AC97" i="21"/>
  <c r="AK97" i="21" s="1"/>
  <c r="AB97" i="21"/>
  <c r="AJ97" i="21" s="1"/>
  <c r="AA97" i="21"/>
  <c r="AI97" i="21" s="1"/>
  <c r="AC96" i="21"/>
  <c r="AK96" i="21" s="1"/>
  <c r="AB96" i="21"/>
  <c r="AJ96" i="21" s="1"/>
  <c r="AA96" i="21"/>
  <c r="AI96" i="21" s="1"/>
  <c r="AC95" i="21"/>
  <c r="AK95" i="21" s="1"/>
  <c r="AB95" i="21"/>
  <c r="AJ95" i="21" s="1"/>
  <c r="AA95" i="21"/>
  <c r="AI95" i="21" s="1"/>
  <c r="AC94" i="21"/>
  <c r="AK94" i="21" s="1"/>
  <c r="AB94" i="21"/>
  <c r="AJ94" i="21" s="1"/>
  <c r="AA94" i="21"/>
  <c r="AI94" i="21" s="1"/>
  <c r="AC93" i="21"/>
  <c r="AK93" i="21" s="1"/>
  <c r="AB93" i="21"/>
  <c r="AJ93" i="21" s="1"/>
  <c r="AA93" i="21"/>
  <c r="AI93" i="21" s="1"/>
  <c r="AC92" i="21"/>
  <c r="AK92" i="21" s="1"/>
  <c r="AB92" i="21"/>
  <c r="AJ92" i="21" s="1"/>
  <c r="AA92" i="21"/>
  <c r="AI92" i="21" s="1"/>
  <c r="AC91" i="21"/>
  <c r="AK91" i="21" s="1"/>
  <c r="AB91" i="21"/>
  <c r="AJ91" i="21" s="1"/>
  <c r="AA91" i="21"/>
  <c r="AI91" i="21" s="1"/>
  <c r="AC90" i="21"/>
  <c r="AK90" i="21" s="1"/>
  <c r="AB90" i="21"/>
  <c r="AJ90" i="21" s="1"/>
  <c r="AA90" i="21"/>
  <c r="AI90" i="21" s="1"/>
  <c r="AC89" i="21"/>
  <c r="AK89" i="21" s="1"/>
  <c r="AB89" i="21"/>
  <c r="AJ89" i="21" s="1"/>
  <c r="AA89" i="21"/>
  <c r="AI89" i="21" s="1"/>
  <c r="AC88" i="21"/>
  <c r="AK88" i="21" s="1"/>
  <c r="AB88" i="21"/>
  <c r="AJ88" i="21" s="1"/>
  <c r="AA88" i="21"/>
  <c r="AI88" i="21" s="1"/>
  <c r="AC87" i="21"/>
  <c r="AK87" i="21" s="1"/>
  <c r="AB87" i="21"/>
  <c r="AJ87" i="21" s="1"/>
  <c r="AA87" i="21"/>
  <c r="AI87" i="21" s="1"/>
  <c r="AC86" i="21"/>
  <c r="AK86" i="21" s="1"/>
  <c r="AB86" i="21"/>
  <c r="AJ86" i="21" s="1"/>
  <c r="AA86" i="21"/>
  <c r="AI86" i="21" s="1"/>
  <c r="AC85" i="21"/>
  <c r="AK85" i="21" s="1"/>
  <c r="AB85" i="21"/>
  <c r="AJ85" i="21" s="1"/>
  <c r="AA85" i="21"/>
  <c r="AI85" i="21" s="1"/>
  <c r="AC84" i="21"/>
  <c r="AK84" i="21" s="1"/>
  <c r="AB84" i="21"/>
  <c r="AJ84" i="21" s="1"/>
  <c r="AA84" i="21"/>
  <c r="AI84" i="21" s="1"/>
  <c r="AC83" i="21"/>
  <c r="AK83" i="21" s="1"/>
  <c r="AB83" i="21"/>
  <c r="AJ83" i="21" s="1"/>
  <c r="AA83" i="21"/>
  <c r="AI83" i="21" s="1"/>
  <c r="AC82" i="21"/>
  <c r="AK82" i="21" s="1"/>
  <c r="AB82" i="21"/>
  <c r="AJ82" i="21" s="1"/>
  <c r="AA82" i="21"/>
  <c r="AI82" i="21" s="1"/>
  <c r="AC81" i="21"/>
  <c r="AK81" i="21" s="1"/>
  <c r="AB81" i="21"/>
  <c r="AJ81" i="21" s="1"/>
  <c r="AA81" i="21"/>
  <c r="AI81" i="21" s="1"/>
  <c r="AC80" i="21"/>
  <c r="AK80" i="21" s="1"/>
  <c r="AB80" i="21"/>
  <c r="AJ80" i="21" s="1"/>
  <c r="AA80" i="21"/>
  <c r="AI80" i="21" s="1"/>
  <c r="AC79" i="21"/>
  <c r="AK79" i="21" s="1"/>
  <c r="AB79" i="21"/>
  <c r="AJ79" i="21" s="1"/>
  <c r="AA79" i="21"/>
  <c r="AI79" i="21" s="1"/>
  <c r="AC78" i="21"/>
  <c r="AK78" i="21" s="1"/>
  <c r="AB78" i="21"/>
  <c r="AJ78" i="21" s="1"/>
  <c r="AA78" i="21"/>
  <c r="AI78" i="21" s="1"/>
  <c r="AC77" i="21"/>
  <c r="AK77" i="21" s="1"/>
  <c r="AB77" i="21"/>
  <c r="AJ77" i="21" s="1"/>
  <c r="AA77" i="21"/>
  <c r="AI77" i="21" s="1"/>
  <c r="AC76" i="21"/>
  <c r="AK76" i="21" s="1"/>
  <c r="AB76" i="21"/>
  <c r="AJ76" i="21" s="1"/>
  <c r="AA76" i="21"/>
  <c r="AI76" i="21" s="1"/>
  <c r="AC75" i="21"/>
  <c r="AK75" i="21" s="1"/>
  <c r="AB75" i="21"/>
  <c r="AJ75" i="21" s="1"/>
  <c r="AA75" i="21"/>
  <c r="AI75" i="21" s="1"/>
  <c r="AC74" i="21"/>
  <c r="AK74" i="21" s="1"/>
  <c r="AB74" i="21"/>
  <c r="AJ74" i="21" s="1"/>
  <c r="AA74" i="21"/>
  <c r="AI74" i="21" s="1"/>
  <c r="AC73" i="21"/>
  <c r="AK73" i="21" s="1"/>
  <c r="AB73" i="21"/>
  <c r="AJ73" i="21" s="1"/>
  <c r="AA73" i="21"/>
  <c r="AI73" i="21" s="1"/>
  <c r="AC72" i="21"/>
  <c r="AK72" i="21" s="1"/>
  <c r="AB72" i="21"/>
  <c r="AJ72" i="21" s="1"/>
  <c r="AA72" i="21"/>
  <c r="AI72" i="21" s="1"/>
  <c r="AC71" i="21"/>
  <c r="AK71" i="21" s="1"/>
  <c r="AB71" i="21"/>
  <c r="AJ71" i="21" s="1"/>
  <c r="AA71" i="21"/>
  <c r="AI71" i="21" s="1"/>
  <c r="AC70" i="21"/>
  <c r="AK70" i="21" s="1"/>
  <c r="AB70" i="21"/>
  <c r="AJ70" i="21" s="1"/>
  <c r="AA70" i="21"/>
  <c r="AI70" i="21" s="1"/>
  <c r="AC69" i="21"/>
  <c r="AK69" i="21" s="1"/>
  <c r="AB69" i="21"/>
  <c r="AJ69" i="21" s="1"/>
  <c r="AA69" i="21"/>
  <c r="AI69" i="21" s="1"/>
  <c r="AC68" i="21"/>
  <c r="AK68" i="21" s="1"/>
  <c r="AB68" i="21"/>
  <c r="AJ68" i="21" s="1"/>
  <c r="AA68" i="21"/>
  <c r="AI68" i="21" s="1"/>
  <c r="AC67" i="21"/>
  <c r="AK67" i="21" s="1"/>
  <c r="AB67" i="21"/>
  <c r="AJ67" i="21" s="1"/>
  <c r="AA67" i="21"/>
  <c r="AI67" i="21" s="1"/>
  <c r="AC66" i="21"/>
  <c r="AK66" i="21" s="1"/>
  <c r="AB66" i="21"/>
  <c r="AJ66" i="21" s="1"/>
  <c r="AA66" i="21"/>
  <c r="AI66" i="21" s="1"/>
  <c r="AC65" i="21"/>
  <c r="AK65" i="21" s="1"/>
  <c r="AB65" i="21"/>
  <c r="AJ65" i="21" s="1"/>
  <c r="AA65" i="21"/>
  <c r="AI65" i="21" s="1"/>
  <c r="AC64" i="21"/>
  <c r="AK64" i="21" s="1"/>
  <c r="AB64" i="21"/>
  <c r="AJ64" i="21" s="1"/>
  <c r="AA64" i="21"/>
  <c r="AI64" i="21" s="1"/>
  <c r="AC63" i="21"/>
  <c r="AK63" i="21" s="1"/>
  <c r="AB63" i="21"/>
  <c r="AJ63" i="21" s="1"/>
  <c r="AA63" i="21"/>
  <c r="AI63" i="21" s="1"/>
  <c r="AC62" i="21"/>
  <c r="AK62" i="21" s="1"/>
  <c r="AB62" i="21"/>
  <c r="AJ62" i="21" s="1"/>
  <c r="AA62" i="21"/>
  <c r="AI62" i="21" s="1"/>
  <c r="AC61" i="21"/>
  <c r="AK61" i="21" s="1"/>
  <c r="AB61" i="21"/>
  <c r="AJ61" i="21" s="1"/>
  <c r="AA61" i="21"/>
  <c r="AI61" i="21" s="1"/>
  <c r="AC60" i="21"/>
  <c r="AK60" i="21" s="1"/>
  <c r="AB60" i="21"/>
  <c r="AJ60" i="21" s="1"/>
  <c r="AA60" i="21"/>
  <c r="AI60" i="21" s="1"/>
  <c r="AC59" i="21"/>
  <c r="AK59" i="21" s="1"/>
  <c r="AB59" i="21"/>
  <c r="AJ59" i="21" s="1"/>
  <c r="AA59" i="21"/>
  <c r="AI59" i="21" s="1"/>
  <c r="AC58" i="21"/>
  <c r="AK58" i="21" s="1"/>
  <c r="AB58" i="21"/>
  <c r="AJ58" i="21" s="1"/>
  <c r="AA58" i="21"/>
  <c r="AI58" i="21" s="1"/>
  <c r="AC57" i="21"/>
  <c r="AK57" i="21" s="1"/>
  <c r="AB57" i="21"/>
  <c r="AJ57" i="21" s="1"/>
  <c r="AA57" i="21"/>
  <c r="AI57" i="21" s="1"/>
  <c r="AC56" i="21"/>
  <c r="AK56" i="21" s="1"/>
  <c r="AB56" i="21"/>
  <c r="AJ56" i="21" s="1"/>
  <c r="AA56" i="21"/>
  <c r="AI56" i="21" s="1"/>
  <c r="AC55" i="21"/>
  <c r="AK55" i="21" s="1"/>
  <c r="AB55" i="21"/>
  <c r="AJ55" i="21" s="1"/>
  <c r="AA55" i="21"/>
  <c r="AI55" i="21" s="1"/>
  <c r="AC54" i="21"/>
  <c r="AK54" i="21" s="1"/>
  <c r="AB54" i="21"/>
  <c r="AJ54" i="21" s="1"/>
  <c r="AA54" i="21"/>
  <c r="AI54" i="21" s="1"/>
  <c r="AC53" i="21"/>
  <c r="AK53" i="21" s="1"/>
  <c r="AB53" i="21"/>
  <c r="AJ53" i="21" s="1"/>
  <c r="AA53" i="21"/>
  <c r="AI53" i="21" s="1"/>
  <c r="AC52" i="21"/>
  <c r="AK52" i="21" s="1"/>
  <c r="AB52" i="21"/>
  <c r="AJ52" i="21" s="1"/>
  <c r="AA52" i="21"/>
  <c r="AI52" i="21" s="1"/>
  <c r="AC51" i="21"/>
  <c r="AK51" i="21" s="1"/>
  <c r="AB51" i="21"/>
  <c r="AJ51" i="21" s="1"/>
  <c r="AA51" i="21"/>
  <c r="AI51" i="21" s="1"/>
  <c r="AC50" i="21"/>
  <c r="AK50" i="21" s="1"/>
  <c r="AB50" i="21"/>
  <c r="AJ50" i="21" s="1"/>
  <c r="AA50" i="21"/>
  <c r="AI50" i="21" s="1"/>
  <c r="AC49" i="21"/>
  <c r="AK49" i="21" s="1"/>
  <c r="AB49" i="21"/>
  <c r="AJ49" i="21" s="1"/>
  <c r="AA49" i="21"/>
  <c r="AI49" i="21" s="1"/>
  <c r="AC48" i="21"/>
  <c r="AK48" i="21" s="1"/>
  <c r="AB48" i="21"/>
  <c r="AJ48" i="21" s="1"/>
  <c r="AA48" i="21"/>
  <c r="AI48" i="21" s="1"/>
  <c r="AC47" i="21"/>
  <c r="AK47" i="21" s="1"/>
  <c r="AB47" i="21"/>
  <c r="AJ47" i="21" s="1"/>
  <c r="AA47" i="21"/>
  <c r="AI47" i="21" s="1"/>
  <c r="AC46" i="21"/>
  <c r="AK46" i="21" s="1"/>
  <c r="AB46" i="21"/>
  <c r="AJ46" i="21" s="1"/>
  <c r="AA46" i="21"/>
  <c r="AI46" i="21" s="1"/>
  <c r="AC45" i="21"/>
  <c r="AK45" i="21" s="1"/>
  <c r="AB45" i="21"/>
  <c r="AJ45" i="21" s="1"/>
  <c r="AA45" i="21"/>
  <c r="AI45" i="21" s="1"/>
  <c r="AC44" i="21"/>
  <c r="AK44" i="21" s="1"/>
  <c r="AB44" i="21"/>
  <c r="AJ44" i="21" s="1"/>
  <c r="AA44" i="21"/>
  <c r="AI44" i="21" s="1"/>
  <c r="AC43" i="21"/>
  <c r="AK43" i="21" s="1"/>
  <c r="AB43" i="21"/>
  <c r="AJ43" i="21" s="1"/>
  <c r="AA43" i="21"/>
  <c r="AI43" i="21" s="1"/>
  <c r="AC42" i="21"/>
  <c r="AK42" i="21" s="1"/>
  <c r="AB42" i="21"/>
  <c r="AJ42" i="21" s="1"/>
  <c r="AA42" i="21"/>
  <c r="AI42" i="21" s="1"/>
  <c r="AC41" i="21"/>
  <c r="AK41" i="21" s="1"/>
  <c r="AB41" i="21"/>
  <c r="AJ41" i="21" s="1"/>
  <c r="AA41" i="21"/>
  <c r="AI41" i="21" s="1"/>
  <c r="AC40" i="21"/>
  <c r="AK40" i="21" s="1"/>
  <c r="AB40" i="21"/>
  <c r="AJ40" i="21" s="1"/>
  <c r="AA40" i="21"/>
  <c r="AI40" i="21" s="1"/>
  <c r="AC39" i="21"/>
  <c r="AK39" i="21" s="1"/>
  <c r="AB39" i="21"/>
  <c r="AJ39" i="21" s="1"/>
  <c r="AA39" i="21"/>
  <c r="AI39" i="21" s="1"/>
  <c r="AC38" i="21"/>
  <c r="AK38" i="21" s="1"/>
  <c r="AB38" i="21"/>
  <c r="AJ38" i="21" s="1"/>
  <c r="AA38" i="21"/>
  <c r="AI38" i="21" s="1"/>
  <c r="AC37" i="21"/>
  <c r="AK37" i="21" s="1"/>
  <c r="AB37" i="21"/>
  <c r="AJ37" i="21" s="1"/>
  <c r="AA37" i="21"/>
  <c r="AI37" i="21" s="1"/>
  <c r="AC36" i="21"/>
  <c r="AK36" i="21" s="1"/>
  <c r="AB36" i="21"/>
  <c r="AJ36" i="21" s="1"/>
  <c r="AA36" i="21"/>
  <c r="AI36" i="21" s="1"/>
  <c r="AC35" i="21"/>
  <c r="AK35" i="21" s="1"/>
  <c r="AB35" i="21"/>
  <c r="AJ35" i="21" s="1"/>
  <c r="AA35" i="21"/>
  <c r="AI35" i="21" s="1"/>
  <c r="AC34" i="21"/>
  <c r="AK34" i="21" s="1"/>
  <c r="AB34" i="21"/>
  <c r="AJ34" i="21" s="1"/>
  <c r="AA34" i="21"/>
  <c r="AI34" i="21" s="1"/>
  <c r="AC33" i="21"/>
  <c r="AK33" i="21" s="1"/>
  <c r="AB33" i="21"/>
  <c r="AJ33" i="21" s="1"/>
  <c r="AA33" i="21"/>
  <c r="AI33" i="21" s="1"/>
  <c r="AC32" i="21"/>
  <c r="AK32" i="21" s="1"/>
  <c r="AB32" i="21"/>
  <c r="AJ32" i="21" s="1"/>
  <c r="AA32" i="21"/>
  <c r="AI32" i="21" s="1"/>
  <c r="AC31" i="21"/>
  <c r="AK31" i="21" s="1"/>
  <c r="AB31" i="21"/>
  <c r="AJ31" i="21" s="1"/>
  <c r="AA31" i="21"/>
  <c r="AI31" i="21" s="1"/>
  <c r="AC30" i="21"/>
  <c r="AK30" i="21" s="1"/>
  <c r="AB30" i="21"/>
  <c r="AJ30" i="21" s="1"/>
  <c r="AA30" i="21"/>
  <c r="AI30" i="21" s="1"/>
  <c r="AC29" i="21"/>
  <c r="AK29" i="21" s="1"/>
  <c r="AB29" i="21"/>
  <c r="AJ29" i="21" s="1"/>
  <c r="AA29" i="21"/>
  <c r="AI29" i="21" s="1"/>
  <c r="AC28" i="21"/>
  <c r="AK28" i="21" s="1"/>
  <c r="AB28" i="21"/>
  <c r="AJ28" i="21" s="1"/>
  <c r="AA28" i="21"/>
  <c r="AI28" i="21" s="1"/>
  <c r="AC27" i="21"/>
  <c r="AK27" i="21" s="1"/>
  <c r="AB27" i="21"/>
  <c r="AJ27" i="21" s="1"/>
  <c r="AA27" i="21"/>
  <c r="AI27" i="21" s="1"/>
  <c r="AC26" i="21"/>
  <c r="AK26" i="21" s="1"/>
  <c r="AB26" i="21"/>
  <c r="AJ26" i="21" s="1"/>
  <c r="AA26" i="21"/>
  <c r="AI26" i="21" s="1"/>
  <c r="AC25" i="21"/>
  <c r="AK25" i="21" s="1"/>
  <c r="AB25" i="21"/>
  <c r="AJ25" i="21" s="1"/>
  <c r="AA25" i="21"/>
  <c r="AI25" i="21" s="1"/>
  <c r="AC24" i="21"/>
  <c r="AK24" i="21" s="1"/>
  <c r="AB24" i="21"/>
  <c r="AJ24" i="21" s="1"/>
  <c r="AA24" i="21"/>
  <c r="AI24" i="21" s="1"/>
  <c r="AC23" i="21"/>
  <c r="AK23" i="21" s="1"/>
  <c r="AB23" i="21"/>
  <c r="AJ23" i="21" s="1"/>
  <c r="AA23" i="21"/>
  <c r="AI23" i="21" s="1"/>
  <c r="AC22" i="21"/>
  <c r="AK22" i="21" s="1"/>
  <c r="AB22" i="21"/>
  <c r="AJ22" i="21" s="1"/>
  <c r="AA22" i="21"/>
  <c r="AI22" i="21" s="1"/>
  <c r="AC21" i="21"/>
  <c r="AK21" i="21" s="1"/>
  <c r="AB21" i="21"/>
  <c r="AJ21" i="21" s="1"/>
  <c r="AA21" i="21"/>
  <c r="AI21" i="21" s="1"/>
  <c r="AC20" i="21"/>
  <c r="AK20" i="21" s="1"/>
  <c r="AB20" i="21"/>
  <c r="AJ20" i="21" s="1"/>
  <c r="AA20" i="21"/>
  <c r="AI20" i="21" s="1"/>
  <c r="AC19" i="21"/>
  <c r="AK19" i="21" s="1"/>
  <c r="AB19" i="21"/>
  <c r="AJ19" i="21" s="1"/>
  <c r="AA19" i="21"/>
  <c r="AI19" i="21" s="1"/>
  <c r="AC18" i="21"/>
  <c r="AK18" i="21" s="1"/>
  <c r="AB18" i="21"/>
  <c r="AJ18" i="21" s="1"/>
  <c r="AA18" i="21"/>
  <c r="AI18" i="21" s="1"/>
  <c r="AC17" i="21"/>
  <c r="AK17" i="21" s="1"/>
  <c r="AB17" i="21"/>
  <c r="AJ17" i="21" s="1"/>
  <c r="AA17" i="21"/>
  <c r="AI17" i="21" s="1"/>
  <c r="AC16" i="21"/>
  <c r="AK16" i="21" s="1"/>
  <c r="AB16" i="21"/>
  <c r="AJ16" i="21" s="1"/>
  <c r="AA16" i="21"/>
  <c r="AI16" i="21" s="1"/>
  <c r="AC15" i="21"/>
  <c r="AK15" i="21" s="1"/>
  <c r="AB15" i="21"/>
  <c r="AJ15" i="21" s="1"/>
  <c r="AA15" i="21"/>
  <c r="AI15" i="21" s="1"/>
  <c r="AC14" i="21"/>
  <c r="AK14" i="21" s="1"/>
  <c r="AB14" i="21"/>
  <c r="AJ14" i="21" s="1"/>
  <c r="AA14" i="21"/>
  <c r="AI14" i="21" s="1"/>
  <c r="AC13" i="21"/>
  <c r="AK13" i="21" s="1"/>
  <c r="AB13" i="21"/>
  <c r="AJ13" i="21" s="1"/>
  <c r="AA13" i="21"/>
  <c r="AI13" i="21" s="1"/>
  <c r="AC12" i="21"/>
  <c r="AK12" i="21" s="1"/>
  <c r="AB12" i="21"/>
  <c r="AJ12" i="21" s="1"/>
  <c r="AA12" i="21"/>
  <c r="AI12" i="21" s="1"/>
  <c r="AC11" i="21"/>
  <c r="AK11" i="21" s="1"/>
  <c r="AB11" i="21"/>
  <c r="AJ11" i="21" s="1"/>
  <c r="AA11" i="21"/>
  <c r="AI11" i="21" s="1"/>
  <c r="AC10" i="21"/>
  <c r="AK10" i="21" s="1"/>
  <c r="AB10" i="21"/>
  <c r="AJ10" i="21" s="1"/>
  <c r="AA10" i="21"/>
  <c r="AI10" i="21" s="1"/>
  <c r="AC9" i="21"/>
  <c r="AK9" i="21" s="1"/>
  <c r="AB9" i="21"/>
  <c r="AJ9" i="21" s="1"/>
  <c r="AA9" i="21"/>
  <c r="AI9" i="21" s="1"/>
  <c r="AC8" i="21"/>
  <c r="AK8" i="21" s="1"/>
  <c r="AB8" i="21"/>
  <c r="AJ8" i="21" s="1"/>
  <c r="AA8" i="21"/>
  <c r="AI8" i="21" s="1"/>
  <c r="AC7" i="21"/>
  <c r="AK7" i="21" s="1"/>
  <c r="AB7" i="21"/>
  <c r="AJ7" i="21" s="1"/>
  <c r="AA7" i="21"/>
  <c r="AI7" i="21" s="1"/>
  <c r="AC6" i="21"/>
  <c r="AK6" i="21" s="1"/>
  <c r="AB6" i="21"/>
  <c r="AJ6" i="21" s="1"/>
  <c r="AA6" i="21"/>
  <c r="AI6" i="21" s="1"/>
  <c r="AC5" i="21"/>
  <c r="AK5" i="21" s="1"/>
  <c r="AB5" i="21"/>
  <c r="AJ5" i="21" s="1"/>
  <c r="AA5" i="21"/>
  <c r="AI5" i="21" s="1"/>
  <c r="AC4" i="21"/>
  <c r="AK4" i="21" s="1"/>
  <c r="AB4" i="21"/>
  <c r="AJ4" i="21" s="1"/>
  <c r="AA4" i="21"/>
  <c r="AI4" i="21" s="1"/>
  <c r="AC3" i="21"/>
  <c r="AK3" i="21" s="1"/>
  <c r="AB3" i="21"/>
  <c r="AJ3" i="21" s="1"/>
  <c r="AA3" i="21"/>
  <c r="AI3" i="21" s="1"/>
  <c r="AC2" i="21"/>
  <c r="AK2" i="21" s="1"/>
  <c r="AB2" i="21"/>
  <c r="AJ2" i="21" s="1"/>
  <c r="AA2" i="21"/>
  <c r="AI2" i="21" s="1"/>
  <c r="SF7" i="20" l="1"/>
  <c r="SF9" i="20"/>
  <c r="SJ7" i="20" l="1"/>
  <c r="SJ9" i="20"/>
  <c r="QX27" i="20" l="1"/>
  <c r="QX21" i="20"/>
  <c r="AE472" i="21"/>
  <c r="AD472" i="21"/>
  <c r="AL472" i="21" s="1"/>
  <c r="Z472" i="21"/>
  <c r="AH472" i="21" s="1"/>
  <c r="Y472" i="21"/>
  <c r="AG472" i="21" s="1"/>
  <c r="W472" i="21"/>
  <c r="S472" i="21"/>
  <c r="R472" i="21"/>
  <c r="AE471" i="21"/>
  <c r="AD471" i="21"/>
  <c r="AL471" i="21" s="1"/>
  <c r="Z471" i="21"/>
  <c r="AH471" i="21" s="1"/>
  <c r="Y471" i="21"/>
  <c r="W471" i="21"/>
  <c r="S471" i="21"/>
  <c r="T471" i="21" s="1"/>
  <c r="R471" i="21"/>
  <c r="AE470" i="21"/>
  <c r="AD470" i="21"/>
  <c r="AL470" i="21" s="1"/>
  <c r="Z470" i="21"/>
  <c r="AH470" i="21" s="1"/>
  <c r="Y470" i="21"/>
  <c r="W470" i="21"/>
  <c r="S470" i="21"/>
  <c r="R470" i="21"/>
  <c r="AE469" i="21"/>
  <c r="AD469" i="21"/>
  <c r="AL469" i="21" s="1"/>
  <c r="Z469" i="21"/>
  <c r="AH469" i="21" s="1"/>
  <c r="Y469" i="21"/>
  <c r="AG469" i="21" s="1"/>
  <c r="W469" i="21"/>
  <c r="S469" i="21"/>
  <c r="T469" i="21" s="1"/>
  <c r="R469" i="21"/>
  <c r="AE468" i="21"/>
  <c r="AD468" i="21"/>
  <c r="AL468" i="21" s="1"/>
  <c r="Z468" i="21"/>
  <c r="AH468" i="21" s="1"/>
  <c r="Y468" i="21"/>
  <c r="W468" i="21"/>
  <c r="S468" i="21"/>
  <c r="R468" i="21"/>
  <c r="AE467" i="21"/>
  <c r="AD467" i="21"/>
  <c r="AL467" i="21" s="1"/>
  <c r="Z467" i="21"/>
  <c r="AH467" i="21" s="1"/>
  <c r="Y467" i="21"/>
  <c r="AG467" i="21" s="1"/>
  <c r="W467" i="21"/>
  <c r="S467" i="21"/>
  <c r="R467" i="21"/>
  <c r="AE466" i="21"/>
  <c r="AD466" i="21"/>
  <c r="AL466" i="21" s="1"/>
  <c r="Z466" i="21"/>
  <c r="AH466" i="21" s="1"/>
  <c r="Y466" i="21"/>
  <c r="W466" i="21"/>
  <c r="S466" i="21"/>
  <c r="T466" i="21" s="1"/>
  <c r="R466" i="21"/>
  <c r="AE465" i="21"/>
  <c r="AD465" i="21"/>
  <c r="AL465" i="21" s="1"/>
  <c r="Z465" i="21"/>
  <c r="AH465" i="21" s="1"/>
  <c r="Y465" i="21"/>
  <c r="W465" i="21"/>
  <c r="S465" i="21"/>
  <c r="T465" i="21" s="1"/>
  <c r="R465" i="21"/>
  <c r="AE464" i="21"/>
  <c r="AD464" i="21"/>
  <c r="AL464" i="21" s="1"/>
  <c r="Z464" i="21"/>
  <c r="AH464" i="21" s="1"/>
  <c r="Y464" i="21"/>
  <c r="W464" i="21"/>
  <c r="S464" i="21"/>
  <c r="R464" i="21"/>
  <c r="AE463" i="21"/>
  <c r="AD463" i="21"/>
  <c r="AL463" i="21" s="1"/>
  <c r="Z463" i="21"/>
  <c r="AH463" i="21" s="1"/>
  <c r="Y463" i="21"/>
  <c r="AG463" i="21" s="1"/>
  <c r="W463" i="21"/>
  <c r="S463" i="21"/>
  <c r="R463" i="21"/>
  <c r="AE462" i="21"/>
  <c r="AD462" i="21"/>
  <c r="AL462" i="21" s="1"/>
  <c r="Z462" i="21"/>
  <c r="AH462" i="21" s="1"/>
  <c r="Y462" i="21"/>
  <c r="AG462" i="21" s="1"/>
  <c r="W462" i="21"/>
  <c r="S462" i="21"/>
  <c r="R462" i="21"/>
  <c r="AE461" i="21"/>
  <c r="AD461" i="21"/>
  <c r="AL461" i="21" s="1"/>
  <c r="Z461" i="21"/>
  <c r="AH461" i="21" s="1"/>
  <c r="Y461" i="21"/>
  <c r="AG461" i="21" s="1"/>
  <c r="W461" i="21"/>
  <c r="S461" i="21"/>
  <c r="R461" i="21"/>
  <c r="AE460" i="21"/>
  <c r="AD460" i="21"/>
  <c r="AL460" i="21" s="1"/>
  <c r="Z460" i="21"/>
  <c r="AH460" i="21" s="1"/>
  <c r="Y460" i="21"/>
  <c r="W460" i="21"/>
  <c r="S460" i="21"/>
  <c r="T460" i="21" s="1"/>
  <c r="R460" i="21"/>
  <c r="AE459" i="21"/>
  <c r="AD459" i="21"/>
  <c r="AL459" i="21" s="1"/>
  <c r="Z459" i="21"/>
  <c r="AH459" i="21" s="1"/>
  <c r="Y459" i="21"/>
  <c r="W459" i="21"/>
  <c r="S459" i="21"/>
  <c r="T459" i="21" s="1"/>
  <c r="R459" i="21"/>
  <c r="AE458" i="21"/>
  <c r="AD458" i="21"/>
  <c r="AL458" i="21" s="1"/>
  <c r="Z458" i="21"/>
  <c r="AH458" i="21" s="1"/>
  <c r="Y458" i="21"/>
  <c r="W458" i="21"/>
  <c r="S458" i="21"/>
  <c r="T458" i="21" s="1"/>
  <c r="R458" i="21"/>
  <c r="AE457" i="21"/>
  <c r="AD457" i="21"/>
  <c r="AL457" i="21" s="1"/>
  <c r="Z457" i="21"/>
  <c r="AH457" i="21" s="1"/>
  <c r="Y457" i="21"/>
  <c r="AG457" i="21" s="1"/>
  <c r="W457" i="21"/>
  <c r="S457" i="21"/>
  <c r="R457" i="21"/>
  <c r="AE456" i="21"/>
  <c r="AD456" i="21"/>
  <c r="AL456" i="21" s="1"/>
  <c r="Z456" i="21"/>
  <c r="AH456" i="21" s="1"/>
  <c r="Y456" i="21"/>
  <c r="AG456" i="21" s="1"/>
  <c r="W456" i="21"/>
  <c r="S456" i="21"/>
  <c r="R456" i="21"/>
  <c r="AE455" i="21"/>
  <c r="AD455" i="21"/>
  <c r="AL455" i="21" s="1"/>
  <c r="Z455" i="21"/>
  <c r="AH455" i="21" s="1"/>
  <c r="Y455" i="21"/>
  <c r="AG455" i="21" s="1"/>
  <c r="W455" i="21"/>
  <c r="S455" i="21"/>
  <c r="R455" i="21"/>
  <c r="AE454" i="21"/>
  <c r="AD454" i="21"/>
  <c r="AL454" i="21" s="1"/>
  <c r="Z454" i="21"/>
  <c r="AH454" i="21" s="1"/>
  <c r="Y454" i="21"/>
  <c r="W454" i="21"/>
  <c r="S454" i="21"/>
  <c r="R454" i="21"/>
  <c r="AE453" i="21"/>
  <c r="AD453" i="21"/>
  <c r="AL453" i="21" s="1"/>
  <c r="Z453" i="21"/>
  <c r="AH453" i="21" s="1"/>
  <c r="Y453" i="21"/>
  <c r="W453" i="21"/>
  <c r="S453" i="21"/>
  <c r="R453" i="21"/>
  <c r="AE452" i="21"/>
  <c r="AD452" i="21"/>
  <c r="AL452" i="21" s="1"/>
  <c r="Z452" i="21"/>
  <c r="AH452" i="21" s="1"/>
  <c r="Y452" i="21"/>
  <c r="W452" i="21"/>
  <c r="S452" i="21"/>
  <c r="R452" i="21"/>
  <c r="AE451" i="21"/>
  <c r="AD451" i="21"/>
  <c r="AL451" i="21" s="1"/>
  <c r="Z451" i="21"/>
  <c r="AH451" i="21" s="1"/>
  <c r="Y451" i="21"/>
  <c r="AG451" i="21" s="1"/>
  <c r="W451" i="21"/>
  <c r="S451" i="21"/>
  <c r="R451" i="21"/>
  <c r="AE450" i="21"/>
  <c r="AD450" i="21"/>
  <c r="AL450" i="21" s="1"/>
  <c r="Z450" i="21"/>
  <c r="AH450" i="21" s="1"/>
  <c r="Y450" i="21"/>
  <c r="W450" i="21"/>
  <c r="S450" i="21"/>
  <c r="R450" i="21"/>
  <c r="AE449" i="21"/>
  <c r="AD449" i="21"/>
  <c r="AL449" i="21" s="1"/>
  <c r="Z449" i="21"/>
  <c r="AH449" i="21" s="1"/>
  <c r="Y449" i="21"/>
  <c r="AG449" i="21" s="1"/>
  <c r="W449" i="21"/>
  <c r="S449" i="21"/>
  <c r="R449" i="21"/>
  <c r="AE448" i="21"/>
  <c r="AD448" i="21"/>
  <c r="AL448" i="21" s="1"/>
  <c r="Z448" i="21"/>
  <c r="AH448" i="21" s="1"/>
  <c r="Y448" i="21"/>
  <c r="W448" i="21"/>
  <c r="S448" i="21"/>
  <c r="R448" i="21"/>
  <c r="AE447" i="21"/>
  <c r="AD447" i="21"/>
  <c r="AL447" i="21" s="1"/>
  <c r="Z447" i="21"/>
  <c r="AH447" i="21" s="1"/>
  <c r="Y447" i="21"/>
  <c r="AG447" i="21" s="1"/>
  <c r="W447" i="21"/>
  <c r="S447" i="21"/>
  <c r="T447" i="21" s="1"/>
  <c r="R447" i="21"/>
  <c r="AE446" i="21"/>
  <c r="AD446" i="21"/>
  <c r="AL446" i="21" s="1"/>
  <c r="Z446" i="21"/>
  <c r="AH446" i="21" s="1"/>
  <c r="Y446" i="21"/>
  <c r="W446" i="21"/>
  <c r="S446" i="21"/>
  <c r="R446" i="21"/>
  <c r="AE445" i="21"/>
  <c r="AD445" i="21"/>
  <c r="AL445" i="21" s="1"/>
  <c r="Z445" i="21"/>
  <c r="AH445" i="21" s="1"/>
  <c r="Y445" i="21"/>
  <c r="AG445" i="21" s="1"/>
  <c r="W445" i="21"/>
  <c r="S445" i="21"/>
  <c r="R445" i="21"/>
  <c r="AE444" i="21"/>
  <c r="AD444" i="21"/>
  <c r="AL444" i="21" s="1"/>
  <c r="Z444" i="21"/>
  <c r="AH444" i="21" s="1"/>
  <c r="Y444" i="21"/>
  <c r="W444" i="21"/>
  <c r="S444" i="21"/>
  <c r="R444" i="21"/>
  <c r="AE443" i="21"/>
  <c r="AD443" i="21"/>
  <c r="AL443" i="21" s="1"/>
  <c r="Z443" i="21"/>
  <c r="AH443" i="21" s="1"/>
  <c r="Y443" i="21"/>
  <c r="AG443" i="21" s="1"/>
  <c r="W443" i="21"/>
  <c r="S443" i="21"/>
  <c r="R443" i="21"/>
  <c r="AE442" i="21"/>
  <c r="AD442" i="21"/>
  <c r="AL442" i="21" s="1"/>
  <c r="Z442" i="21"/>
  <c r="AH442" i="21" s="1"/>
  <c r="Y442" i="21"/>
  <c r="W442" i="21"/>
  <c r="S442" i="21"/>
  <c r="R442" i="21"/>
  <c r="AE441" i="21"/>
  <c r="AD441" i="21"/>
  <c r="AL441" i="21" s="1"/>
  <c r="Z441" i="21"/>
  <c r="AH441" i="21" s="1"/>
  <c r="Y441" i="21"/>
  <c r="AG441" i="21" s="1"/>
  <c r="W441" i="21"/>
  <c r="S441" i="21"/>
  <c r="R441" i="21"/>
  <c r="AE440" i="21"/>
  <c r="AD440" i="21"/>
  <c r="AL440" i="21" s="1"/>
  <c r="Z440" i="21"/>
  <c r="AH440" i="21" s="1"/>
  <c r="Y440" i="21"/>
  <c r="W440" i="21"/>
  <c r="S440" i="21"/>
  <c r="R440" i="21"/>
  <c r="AE439" i="21"/>
  <c r="AD439" i="21"/>
  <c r="AL439" i="21" s="1"/>
  <c r="Z439" i="21"/>
  <c r="AH439" i="21" s="1"/>
  <c r="Y439" i="21"/>
  <c r="AG439" i="21" s="1"/>
  <c r="W439" i="21"/>
  <c r="S439" i="21"/>
  <c r="R439" i="21"/>
  <c r="AE438" i="21"/>
  <c r="AD438" i="21"/>
  <c r="AL438" i="21" s="1"/>
  <c r="Z438" i="21"/>
  <c r="AH438" i="21" s="1"/>
  <c r="Y438" i="21"/>
  <c r="AG438" i="21" s="1"/>
  <c r="W438" i="21"/>
  <c r="S438" i="21"/>
  <c r="R438" i="21"/>
  <c r="AE437" i="21"/>
  <c r="AD437" i="21"/>
  <c r="AL437" i="21" s="1"/>
  <c r="Z437" i="21"/>
  <c r="AH437" i="21" s="1"/>
  <c r="Y437" i="21"/>
  <c r="AG437" i="21" s="1"/>
  <c r="W437" i="21"/>
  <c r="S437" i="21"/>
  <c r="R437" i="21"/>
  <c r="AE436" i="21"/>
  <c r="AD436" i="21"/>
  <c r="AL436" i="21" s="1"/>
  <c r="Z436" i="21"/>
  <c r="AH436" i="21" s="1"/>
  <c r="Y436" i="21"/>
  <c r="W436" i="21"/>
  <c r="S436" i="21"/>
  <c r="R436" i="21"/>
  <c r="AE435" i="21"/>
  <c r="AD435" i="21"/>
  <c r="AL435" i="21" s="1"/>
  <c r="Z435" i="21"/>
  <c r="AH435" i="21" s="1"/>
  <c r="Y435" i="21"/>
  <c r="W435" i="21"/>
  <c r="S435" i="21"/>
  <c r="R435" i="21"/>
  <c r="AE434" i="21"/>
  <c r="AD434" i="21"/>
  <c r="AL434" i="21" s="1"/>
  <c r="Z434" i="21"/>
  <c r="AH434" i="21" s="1"/>
  <c r="Y434" i="21"/>
  <c r="W434" i="21"/>
  <c r="S434" i="21"/>
  <c r="R434" i="21"/>
  <c r="AE433" i="21"/>
  <c r="AD433" i="21"/>
  <c r="AL433" i="21" s="1"/>
  <c r="Z433" i="21"/>
  <c r="AH433" i="21" s="1"/>
  <c r="Y433" i="21"/>
  <c r="AG433" i="21" s="1"/>
  <c r="W433" i="21"/>
  <c r="S433" i="21"/>
  <c r="T433" i="21" s="1"/>
  <c r="R433" i="21"/>
  <c r="AE432" i="21"/>
  <c r="AD432" i="21"/>
  <c r="AL432" i="21" s="1"/>
  <c r="Z432" i="21"/>
  <c r="AH432" i="21" s="1"/>
  <c r="Y432" i="21"/>
  <c r="AG432" i="21" s="1"/>
  <c r="W432" i="21"/>
  <c r="S432" i="21"/>
  <c r="T432" i="21" s="1"/>
  <c r="R432" i="21"/>
  <c r="AE431" i="21"/>
  <c r="AD431" i="21"/>
  <c r="AL431" i="21" s="1"/>
  <c r="Z431" i="21"/>
  <c r="AH431" i="21" s="1"/>
  <c r="Y431" i="21"/>
  <c r="AG431" i="21" s="1"/>
  <c r="W431" i="21"/>
  <c r="S431" i="21"/>
  <c r="R431" i="21"/>
  <c r="AE430" i="21"/>
  <c r="AD430" i="21"/>
  <c r="AL430" i="21" s="1"/>
  <c r="Z430" i="21"/>
  <c r="AH430" i="21" s="1"/>
  <c r="Y430" i="21"/>
  <c r="AG430" i="21" s="1"/>
  <c r="W430" i="21"/>
  <c r="S430" i="21"/>
  <c r="R430" i="21"/>
  <c r="AE429" i="21"/>
  <c r="AD429" i="21"/>
  <c r="AL429" i="21" s="1"/>
  <c r="Z429" i="21"/>
  <c r="AH429" i="21" s="1"/>
  <c r="Y429" i="21"/>
  <c r="AG429" i="21" s="1"/>
  <c r="W429" i="21"/>
  <c r="S429" i="21"/>
  <c r="R429" i="21"/>
  <c r="AE428" i="21"/>
  <c r="AD428" i="21"/>
  <c r="AL428" i="21" s="1"/>
  <c r="Z428" i="21"/>
  <c r="AH428" i="21" s="1"/>
  <c r="Y428" i="21"/>
  <c r="AG428" i="21" s="1"/>
  <c r="W428" i="21"/>
  <c r="S428" i="21"/>
  <c r="R428" i="21"/>
  <c r="AE427" i="21"/>
  <c r="AD427" i="21"/>
  <c r="AL427" i="21" s="1"/>
  <c r="Z427" i="21"/>
  <c r="AH427" i="21" s="1"/>
  <c r="Y427" i="21"/>
  <c r="AG427" i="21" s="1"/>
  <c r="W427" i="21"/>
  <c r="S427" i="21"/>
  <c r="R427" i="21"/>
  <c r="AE426" i="21"/>
  <c r="AD426" i="21"/>
  <c r="AL426" i="21" s="1"/>
  <c r="Z426" i="21"/>
  <c r="Y426" i="21"/>
  <c r="AG426" i="21" s="1"/>
  <c r="W426" i="21"/>
  <c r="S426" i="21"/>
  <c r="R426" i="21"/>
  <c r="AE425" i="21"/>
  <c r="AD425" i="21"/>
  <c r="AL425" i="21" s="1"/>
  <c r="Z425" i="21"/>
  <c r="AH425" i="21" s="1"/>
  <c r="Y425" i="21"/>
  <c r="AG425" i="21" s="1"/>
  <c r="W425" i="21"/>
  <c r="S425" i="21"/>
  <c r="R425" i="21"/>
  <c r="AE424" i="21"/>
  <c r="AD424" i="21"/>
  <c r="AL424" i="21" s="1"/>
  <c r="Z424" i="21"/>
  <c r="AH424" i="21" s="1"/>
  <c r="Y424" i="21"/>
  <c r="AG424" i="21" s="1"/>
  <c r="W424" i="21"/>
  <c r="S424" i="21"/>
  <c r="R424" i="21"/>
  <c r="AE423" i="21"/>
  <c r="AD423" i="21"/>
  <c r="AL423" i="21" s="1"/>
  <c r="Z423" i="21"/>
  <c r="AH423" i="21" s="1"/>
  <c r="Y423" i="21"/>
  <c r="AG423" i="21" s="1"/>
  <c r="W423" i="21"/>
  <c r="S423" i="21"/>
  <c r="R423" i="21"/>
  <c r="AE422" i="21"/>
  <c r="AD422" i="21"/>
  <c r="AL422" i="21" s="1"/>
  <c r="Z422" i="21"/>
  <c r="AH422" i="21" s="1"/>
  <c r="Y422" i="21"/>
  <c r="AG422" i="21" s="1"/>
  <c r="W422" i="21"/>
  <c r="S422" i="21"/>
  <c r="R422" i="21"/>
  <c r="AE421" i="21"/>
  <c r="AD421" i="21"/>
  <c r="AL421" i="21" s="1"/>
  <c r="Z421" i="21"/>
  <c r="AH421" i="21" s="1"/>
  <c r="Y421" i="21"/>
  <c r="AG421" i="21" s="1"/>
  <c r="W421" i="21"/>
  <c r="S421" i="21"/>
  <c r="R421" i="21"/>
  <c r="AE420" i="21"/>
  <c r="AD420" i="21"/>
  <c r="AL420" i="21" s="1"/>
  <c r="Z420" i="21"/>
  <c r="Y420" i="21"/>
  <c r="AG420" i="21" s="1"/>
  <c r="W420" i="21"/>
  <c r="S420" i="21"/>
  <c r="R420" i="21"/>
  <c r="AE419" i="21"/>
  <c r="AD419" i="21"/>
  <c r="AL419" i="21" s="1"/>
  <c r="Z419" i="21"/>
  <c r="AH419" i="21" s="1"/>
  <c r="Y419" i="21"/>
  <c r="AG419" i="21" s="1"/>
  <c r="W419" i="21"/>
  <c r="S419" i="21"/>
  <c r="R419" i="21"/>
  <c r="AE418" i="21"/>
  <c r="AD418" i="21"/>
  <c r="AL418" i="21" s="1"/>
  <c r="Z418" i="21"/>
  <c r="AH418" i="21" s="1"/>
  <c r="Y418" i="21"/>
  <c r="AG418" i="21" s="1"/>
  <c r="W418" i="21"/>
  <c r="S418" i="21"/>
  <c r="R418" i="21"/>
  <c r="AE417" i="21"/>
  <c r="AD417" i="21"/>
  <c r="AL417" i="21" s="1"/>
  <c r="Z417" i="21"/>
  <c r="AH417" i="21" s="1"/>
  <c r="Y417" i="21"/>
  <c r="AG417" i="21" s="1"/>
  <c r="W417" i="21"/>
  <c r="S417" i="21"/>
  <c r="R417" i="21"/>
  <c r="AE416" i="21"/>
  <c r="AD416" i="21"/>
  <c r="AL416" i="21" s="1"/>
  <c r="Z416" i="21"/>
  <c r="AH416" i="21" s="1"/>
  <c r="Y416" i="21"/>
  <c r="AG416" i="21" s="1"/>
  <c r="W416" i="21"/>
  <c r="S416" i="21"/>
  <c r="R416" i="21"/>
  <c r="AE415" i="21"/>
  <c r="AD415" i="21"/>
  <c r="AL415" i="21" s="1"/>
  <c r="Z415" i="21"/>
  <c r="AH415" i="21" s="1"/>
  <c r="Y415" i="21"/>
  <c r="AG415" i="21" s="1"/>
  <c r="W415" i="21"/>
  <c r="S415" i="21"/>
  <c r="R415" i="21"/>
  <c r="AE414" i="21"/>
  <c r="AD414" i="21"/>
  <c r="AL414" i="21" s="1"/>
  <c r="Z414" i="21"/>
  <c r="AH414" i="21" s="1"/>
  <c r="Y414" i="21"/>
  <c r="AG414" i="21" s="1"/>
  <c r="W414" i="21"/>
  <c r="S414" i="21"/>
  <c r="R414" i="21"/>
  <c r="AE413" i="21"/>
  <c r="AD413" i="21"/>
  <c r="AL413" i="21" s="1"/>
  <c r="Z413" i="21"/>
  <c r="AH413" i="21" s="1"/>
  <c r="Y413" i="21"/>
  <c r="AG413" i="21" s="1"/>
  <c r="W413" i="21"/>
  <c r="S413" i="21"/>
  <c r="R413" i="21"/>
  <c r="AE412" i="21"/>
  <c r="AD412" i="21"/>
  <c r="AL412" i="21" s="1"/>
  <c r="Z412" i="21"/>
  <c r="AH412" i="21" s="1"/>
  <c r="Y412" i="21"/>
  <c r="AG412" i="21" s="1"/>
  <c r="W412" i="21"/>
  <c r="S412" i="21"/>
  <c r="T412" i="21" s="1"/>
  <c r="R412" i="21"/>
  <c r="AE411" i="21"/>
  <c r="AD411" i="21"/>
  <c r="AL411" i="21" s="1"/>
  <c r="Z411" i="21"/>
  <c r="Y411" i="21"/>
  <c r="AG411" i="21" s="1"/>
  <c r="W411" i="21"/>
  <c r="S411" i="21"/>
  <c r="T411" i="21" s="1"/>
  <c r="R411" i="21"/>
  <c r="AE410" i="21"/>
  <c r="AD410" i="21"/>
  <c r="AL410" i="21" s="1"/>
  <c r="Z410" i="21"/>
  <c r="AH410" i="21" s="1"/>
  <c r="Y410" i="21"/>
  <c r="W410" i="21"/>
  <c r="S410" i="21"/>
  <c r="R410" i="21"/>
  <c r="AE409" i="21"/>
  <c r="AD409" i="21"/>
  <c r="AL409" i="21" s="1"/>
  <c r="Z409" i="21"/>
  <c r="AH409" i="21" s="1"/>
  <c r="Y409" i="21"/>
  <c r="W409" i="21"/>
  <c r="S409" i="21"/>
  <c r="R409" i="21"/>
  <c r="AE408" i="21"/>
  <c r="AD408" i="21"/>
  <c r="Z408" i="21"/>
  <c r="AH408" i="21" s="1"/>
  <c r="Y408" i="21"/>
  <c r="AG408" i="21" s="1"/>
  <c r="W408" i="21"/>
  <c r="S408" i="21"/>
  <c r="R408" i="21"/>
  <c r="AE407" i="21"/>
  <c r="AD407" i="21"/>
  <c r="AL407" i="21" s="1"/>
  <c r="Z407" i="21"/>
  <c r="Y407" i="21"/>
  <c r="AG407" i="21" s="1"/>
  <c r="W407" i="21"/>
  <c r="S407" i="21"/>
  <c r="R407" i="21"/>
  <c r="AE406" i="21"/>
  <c r="AD406" i="21"/>
  <c r="AL406" i="21" s="1"/>
  <c r="Z406" i="21"/>
  <c r="AH406" i="21" s="1"/>
  <c r="Y406" i="21"/>
  <c r="W406" i="21"/>
  <c r="S406" i="21"/>
  <c r="R406" i="21"/>
  <c r="AE405" i="21"/>
  <c r="AD405" i="21"/>
  <c r="AL405" i="21" s="1"/>
  <c r="Z405" i="21"/>
  <c r="AH405" i="21" s="1"/>
  <c r="Y405" i="21"/>
  <c r="AG405" i="21" s="1"/>
  <c r="W405" i="21"/>
  <c r="S405" i="21"/>
  <c r="R405" i="21"/>
  <c r="AE404" i="21"/>
  <c r="AD404" i="21"/>
  <c r="AL404" i="21" s="1"/>
  <c r="Z404" i="21"/>
  <c r="AH404" i="21" s="1"/>
  <c r="Y404" i="21"/>
  <c r="AG404" i="21" s="1"/>
  <c r="W404" i="21"/>
  <c r="S404" i="21"/>
  <c r="R404" i="21"/>
  <c r="AE403" i="21"/>
  <c r="AD403" i="21"/>
  <c r="AL403" i="21" s="1"/>
  <c r="Z403" i="21"/>
  <c r="AH403" i="21" s="1"/>
  <c r="Y403" i="21"/>
  <c r="AG403" i="21" s="1"/>
  <c r="W403" i="21"/>
  <c r="S403" i="21"/>
  <c r="R403" i="21"/>
  <c r="AE402" i="21"/>
  <c r="AD402" i="21"/>
  <c r="AL402" i="21" s="1"/>
  <c r="Z402" i="21"/>
  <c r="AH402" i="21" s="1"/>
  <c r="Y402" i="21"/>
  <c r="AG402" i="21" s="1"/>
  <c r="W402" i="21"/>
  <c r="S402" i="21"/>
  <c r="R402" i="21"/>
  <c r="AE401" i="21"/>
  <c r="AD401" i="21"/>
  <c r="AL401" i="21" s="1"/>
  <c r="Z401" i="21"/>
  <c r="AH401" i="21" s="1"/>
  <c r="Y401" i="21"/>
  <c r="AG401" i="21" s="1"/>
  <c r="W401" i="21"/>
  <c r="S401" i="21"/>
  <c r="R401" i="21"/>
  <c r="AE400" i="21"/>
  <c r="AD400" i="21"/>
  <c r="AL400" i="21" s="1"/>
  <c r="Z400" i="21"/>
  <c r="AH400" i="21" s="1"/>
  <c r="Y400" i="21"/>
  <c r="AG400" i="21" s="1"/>
  <c r="W400" i="21"/>
  <c r="S400" i="21"/>
  <c r="T400" i="21" s="1"/>
  <c r="R400" i="21"/>
  <c r="AE399" i="21"/>
  <c r="AD399" i="21"/>
  <c r="AL399" i="21" s="1"/>
  <c r="Z399" i="21"/>
  <c r="Y399" i="21"/>
  <c r="AG399" i="21" s="1"/>
  <c r="W399" i="21"/>
  <c r="S399" i="21"/>
  <c r="T399" i="21" s="1"/>
  <c r="R399" i="21"/>
  <c r="AE398" i="21"/>
  <c r="AD398" i="21"/>
  <c r="AL398" i="21" s="1"/>
  <c r="Z398" i="21"/>
  <c r="AH398" i="21" s="1"/>
  <c r="Y398" i="21"/>
  <c r="W398" i="21"/>
  <c r="S398" i="21"/>
  <c r="R398" i="21"/>
  <c r="AE397" i="21"/>
  <c r="AD397" i="21"/>
  <c r="AL397" i="21" s="1"/>
  <c r="Z397" i="21"/>
  <c r="AH397" i="21" s="1"/>
  <c r="Y397" i="21"/>
  <c r="W397" i="21"/>
  <c r="S397" i="21"/>
  <c r="R397" i="21"/>
  <c r="AE396" i="21"/>
  <c r="AD396" i="21"/>
  <c r="Z396" i="21"/>
  <c r="AH396" i="21" s="1"/>
  <c r="Y396" i="21"/>
  <c r="AG396" i="21" s="1"/>
  <c r="W396" i="21"/>
  <c r="S396" i="21"/>
  <c r="R396" i="21"/>
  <c r="AE395" i="21"/>
  <c r="AD395" i="21"/>
  <c r="AL395" i="21" s="1"/>
  <c r="Z395" i="21"/>
  <c r="Y395" i="21"/>
  <c r="AG395" i="21" s="1"/>
  <c r="W395" i="21"/>
  <c r="S395" i="21"/>
  <c r="T395" i="21" s="1"/>
  <c r="R395" i="21"/>
  <c r="AE394" i="21"/>
  <c r="AD394" i="21"/>
  <c r="AL394" i="21" s="1"/>
  <c r="Z394" i="21"/>
  <c r="AH394" i="21" s="1"/>
  <c r="Y394" i="21"/>
  <c r="W394" i="21"/>
  <c r="S394" i="21"/>
  <c r="R394" i="21"/>
  <c r="AE393" i="21"/>
  <c r="AD393" i="21"/>
  <c r="AL393" i="21" s="1"/>
  <c r="Z393" i="21"/>
  <c r="AH393" i="21" s="1"/>
  <c r="Y393" i="21"/>
  <c r="AG393" i="21" s="1"/>
  <c r="W393" i="21"/>
  <c r="S393" i="21"/>
  <c r="R393" i="21"/>
  <c r="AE392" i="21"/>
  <c r="AD392" i="21"/>
  <c r="AL392" i="21" s="1"/>
  <c r="Z392" i="21"/>
  <c r="AH392" i="21" s="1"/>
  <c r="Y392" i="21"/>
  <c r="W392" i="21"/>
  <c r="S392" i="21"/>
  <c r="T392" i="21" s="1"/>
  <c r="R392" i="21"/>
  <c r="AE391" i="21"/>
  <c r="AD391" i="21"/>
  <c r="AL391" i="21" s="1"/>
  <c r="Z391" i="21"/>
  <c r="AH391" i="21" s="1"/>
  <c r="Y391" i="21"/>
  <c r="AG391" i="21" s="1"/>
  <c r="W391" i="21"/>
  <c r="S391" i="21"/>
  <c r="T391" i="21" s="1"/>
  <c r="R391" i="21"/>
  <c r="AE390" i="21"/>
  <c r="AD390" i="21"/>
  <c r="AL390" i="21" s="1"/>
  <c r="Z390" i="21"/>
  <c r="AH390" i="21" s="1"/>
  <c r="Y390" i="21"/>
  <c r="AG390" i="21" s="1"/>
  <c r="W390" i="21"/>
  <c r="S390" i="21"/>
  <c r="R390" i="21"/>
  <c r="AE389" i="21"/>
  <c r="AD389" i="21"/>
  <c r="Z389" i="21"/>
  <c r="AH389" i="21" s="1"/>
  <c r="Y389" i="21"/>
  <c r="AG389" i="21" s="1"/>
  <c r="W389" i="21"/>
  <c r="S389" i="21"/>
  <c r="R389" i="21"/>
  <c r="AE388" i="21"/>
  <c r="AD388" i="21"/>
  <c r="AL388" i="21" s="1"/>
  <c r="Z388" i="21"/>
  <c r="AH388" i="21" s="1"/>
  <c r="Y388" i="21"/>
  <c r="W388" i="21"/>
  <c r="S388" i="21"/>
  <c r="R388" i="21"/>
  <c r="AE387" i="21"/>
  <c r="AD387" i="21"/>
  <c r="AL387" i="21" s="1"/>
  <c r="Z387" i="21"/>
  <c r="Y387" i="21"/>
  <c r="AG387" i="21" s="1"/>
  <c r="W387" i="21"/>
  <c r="S387" i="21"/>
  <c r="R387" i="21"/>
  <c r="AE386" i="21"/>
  <c r="AD386" i="21"/>
  <c r="AL386" i="21" s="1"/>
  <c r="Z386" i="21"/>
  <c r="AH386" i="21" s="1"/>
  <c r="Y386" i="21"/>
  <c r="W386" i="21"/>
  <c r="S386" i="21"/>
  <c r="R386" i="21"/>
  <c r="AE385" i="21"/>
  <c r="AD385" i="21"/>
  <c r="AL385" i="21" s="1"/>
  <c r="Z385" i="21"/>
  <c r="AH385" i="21" s="1"/>
  <c r="Y385" i="21"/>
  <c r="W385" i="21"/>
  <c r="S385" i="21"/>
  <c r="R385" i="21"/>
  <c r="AE384" i="21"/>
  <c r="AD384" i="21"/>
  <c r="Z384" i="21"/>
  <c r="AH384" i="21" s="1"/>
  <c r="Y384" i="21"/>
  <c r="AG384" i="21" s="1"/>
  <c r="W384" i="21"/>
  <c r="S384" i="21"/>
  <c r="R384" i="21"/>
  <c r="AE383" i="21"/>
  <c r="AD383" i="21"/>
  <c r="AL383" i="21" s="1"/>
  <c r="Z383" i="21"/>
  <c r="Y383" i="21"/>
  <c r="AG383" i="21" s="1"/>
  <c r="W383" i="21"/>
  <c r="S383" i="21"/>
  <c r="T383" i="21" s="1"/>
  <c r="R383" i="21"/>
  <c r="AE382" i="21"/>
  <c r="AD382" i="21"/>
  <c r="AL382" i="21" s="1"/>
  <c r="Z382" i="21"/>
  <c r="AH382" i="21" s="1"/>
  <c r="Y382" i="21"/>
  <c r="W382" i="21"/>
  <c r="S382" i="21"/>
  <c r="T382" i="21" s="1"/>
  <c r="R382" i="21"/>
  <c r="AE381" i="21"/>
  <c r="AD381" i="21"/>
  <c r="AL381" i="21" s="1"/>
  <c r="Z381" i="21"/>
  <c r="AH381" i="21" s="1"/>
  <c r="Y381" i="21"/>
  <c r="W381" i="21"/>
  <c r="S381" i="21"/>
  <c r="R381" i="21"/>
  <c r="AE380" i="21"/>
  <c r="AD380" i="21"/>
  <c r="AL380" i="21" s="1"/>
  <c r="Z380" i="21"/>
  <c r="AH380" i="21" s="1"/>
  <c r="Y380" i="21"/>
  <c r="AG380" i="21" s="1"/>
  <c r="W380" i="21"/>
  <c r="S380" i="21"/>
  <c r="T380" i="21" s="1"/>
  <c r="R380" i="21"/>
  <c r="AE379" i="21"/>
  <c r="AD379" i="21"/>
  <c r="AL379" i="21" s="1"/>
  <c r="Z379" i="21"/>
  <c r="AH379" i="21" s="1"/>
  <c r="Y379" i="21"/>
  <c r="AG379" i="21" s="1"/>
  <c r="W379" i="21"/>
  <c r="S379" i="21"/>
  <c r="R379" i="21"/>
  <c r="AE378" i="21"/>
  <c r="AD378" i="21"/>
  <c r="AL378" i="21" s="1"/>
  <c r="Z378" i="21"/>
  <c r="AH378" i="21" s="1"/>
  <c r="Y378" i="21"/>
  <c r="W378" i="21"/>
  <c r="S378" i="21"/>
  <c r="R378" i="21"/>
  <c r="AE377" i="21"/>
  <c r="AD377" i="21"/>
  <c r="AL377" i="21" s="1"/>
  <c r="Z377" i="21"/>
  <c r="AH377" i="21" s="1"/>
  <c r="Y377" i="21"/>
  <c r="W377" i="21"/>
  <c r="S377" i="21"/>
  <c r="R377" i="21"/>
  <c r="AE376" i="21"/>
  <c r="AD376" i="21"/>
  <c r="AL376" i="21" s="1"/>
  <c r="Z376" i="21"/>
  <c r="AH376" i="21" s="1"/>
  <c r="Y376" i="21"/>
  <c r="AG376" i="21" s="1"/>
  <c r="W376" i="21"/>
  <c r="S376" i="21"/>
  <c r="T376" i="21" s="1"/>
  <c r="R376" i="21"/>
  <c r="AE375" i="21"/>
  <c r="AD375" i="21"/>
  <c r="AL375" i="21" s="1"/>
  <c r="Z375" i="21"/>
  <c r="Y375" i="21"/>
  <c r="AG375" i="21" s="1"/>
  <c r="W375" i="21"/>
  <c r="S375" i="21"/>
  <c r="T375" i="21" s="1"/>
  <c r="R375" i="21"/>
  <c r="AE374" i="21"/>
  <c r="AD374" i="21"/>
  <c r="AL374" i="21" s="1"/>
  <c r="Z374" i="21"/>
  <c r="AH374" i="21" s="1"/>
  <c r="Y374" i="21"/>
  <c r="AG374" i="21" s="1"/>
  <c r="W374" i="21"/>
  <c r="S374" i="21"/>
  <c r="R374" i="21"/>
  <c r="AE373" i="21"/>
  <c r="AD373" i="21"/>
  <c r="AL373" i="21" s="1"/>
  <c r="Z373" i="21"/>
  <c r="AH373" i="21" s="1"/>
  <c r="Y373" i="21"/>
  <c r="AG373" i="21" s="1"/>
  <c r="W373" i="21"/>
  <c r="S373" i="21"/>
  <c r="R373" i="21"/>
  <c r="AE372" i="21"/>
  <c r="AD372" i="21"/>
  <c r="AL372" i="21" s="1"/>
  <c r="Z372" i="21"/>
  <c r="AH372" i="21" s="1"/>
  <c r="Y372" i="21"/>
  <c r="AG372" i="21" s="1"/>
  <c r="W372" i="21"/>
  <c r="S372" i="21"/>
  <c r="T372" i="21" s="1"/>
  <c r="R372" i="21"/>
  <c r="AE371" i="21"/>
  <c r="AD371" i="21"/>
  <c r="AL371" i="21" s="1"/>
  <c r="Z371" i="21"/>
  <c r="AH371" i="21" s="1"/>
  <c r="Y371" i="21"/>
  <c r="AG371" i="21" s="1"/>
  <c r="W371" i="21"/>
  <c r="S371" i="21"/>
  <c r="T371" i="21" s="1"/>
  <c r="R371" i="21"/>
  <c r="AE370" i="21"/>
  <c r="AD370" i="21"/>
  <c r="AL370" i="21" s="1"/>
  <c r="Z370" i="21"/>
  <c r="Y370" i="21"/>
  <c r="AG370" i="21" s="1"/>
  <c r="W370" i="21"/>
  <c r="S370" i="21"/>
  <c r="T370" i="21" s="1"/>
  <c r="R370" i="21"/>
  <c r="AE369" i="21"/>
  <c r="AD369" i="21"/>
  <c r="AL369" i="21" s="1"/>
  <c r="Z369" i="21"/>
  <c r="AH369" i="21" s="1"/>
  <c r="Y369" i="21"/>
  <c r="AG369" i="21" s="1"/>
  <c r="W369" i="21"/>
  <c r="S369" i="21"/>
  <c r="R369" i="21"/>
  <c r="AE368" i="21"/>
  <c r="AD368" i="21"/>
  <c r="AL368" i="21" s="1"/>
  <c r="Z368" i="21"/>
  <c r="AH368" i="21" s="1"/>
  <c r="Y368" i="21"/>
  <c r="AG368" i="21" s="1"/>
  <c r="W368" i="21"/>
  <c r="S368" i="21"/>
  <c r="R368" i="21"/>
  <c r="AE367" i="21"/>
  <c r="AD367" i="21"/>
  <c r="AL367" i="21" s="1"/>
  <c r="Z367" i="21"/>
  <c r="AH367" i="21" s="1"/>
  <c r="Y367" i="21"/>
  <c r="AG367" i="21" s="1"/>
  <c r="W367" i="21"/>
  <c r="S367" i="21"/>
  <c r="R367" i="21"/>
  <c r="AE366" i="21"/>
  <c r="AD366" i="21"/>
  <c r="AL366" i="21" s="1"/>
  <c r="Z366" i="21"/>
  <c r="Y366" i="21"/>
  <c r="AG366" i="21" s="1"/>
  <c r="W366" i="21"/>
  <c r="S366" i="21"/>
  <c r="T366" i="21" s="1"/>
  <c r="R366" i="21"/>
  <c r="AE365" i="21"/>
  <c r="AD365" i="21"/>
  <c r="AL365" i="21" s="1"/>
  <c r="Z365" i="21"/>
  <c r="Y365" i="21"/>
  <c r="AG365" i="21" s="1"/>
  <c r="W365" i="21"/>
  <c r="S365" i="21"/>
  <c r="T365" i="21" s="1"/>
  <c r="R365" i="21"/>
  <c r="AE364" i="21"/>
  <c r="AD364" i="21"/>
  <c r="AL364" i="21" s="1"/>
  <c r="Z364" i="21"/>
  <c r="AH364" i="21" s="1"/>
  <c r="Y364" i="21"/>
  <c r="AG364" i="21" s="1"/>
  <c r="W364" i="21"/>
  <c r="S364" i="21"/>
  <c r="T364" i="21" s="1"/>
  <c r="R364" i="21"/>
  <c r="AE363" i="21"/>
  <c r="AD363" i="21"/>
  <c r="AL363" i="21" s="1"/>
  <c r="Z363" i="21"/>
  <c r="AH363" i="21" s="1"/>
  <c r="Y363" i="21"/>
  <c r="AG363" i="21" s="1"/>
  <c r="W363" i="21"/>
  <c r="S363" i="21"/>
  <c r="R363" i="21"/>
  <c r="AE362" i="21"/>
  <c r="AD362" i="21"/>
  <c r="AL362" i="21" s="1"/>
  <c r="Z362" i="21"/>
  <c r="AH362" i="21" s="1"/>
  <c r="Y362" i="21"/>
  <c r="W362" i="21"/>
  <c r="S362" i="21"/>
  <c r="R362" i="21"/>
  <c r="AE361" i="21"/>
  <c r="AD361" i="21"/>
  <c r="AL361" i="21" s="1"/>
  <c r="Z361" i="21"/>
  <c r="Y361" i="21"/>
  <c r="AG361" i="21" s="1"/>
  <c r="W361" i="21"/>
  <c r="S361" i="21"/>
  <c r="T361" i="21" s="1"/>
  <c r="R361" i="21"/>
  <c r="AE360" i="21"/>
  <c r="AD360" i="21"/>
  <c r="AL360" i="21" s="1"/>
  <c r="Z360" i="21"/>
  <c r="AH360" i="21" s="1"/>
  <c r="Y360" i="21"/>
  <c r="AG360" i="21" s="1"/>
  <c r="W360" i="21"/>
  <c r="S360" i="21"/>
  <c r="T360" i="21" s="1"/>
  <c r="R360" i="21"/>
  <c r="AE359" i="21"/>
  <c r="AD359" i="21"/>
  <c r="AL359" i="21" s="1"/>
  <c r="Z359" i="21"/>
  <c r="AH359" i="21" s="1"/>
  <c r="Y359" i="21"/>
  <c r="AG359" i="21" s="1"/>
  <c r="W359" i="21"/>
  <c r="S359" i="21"/>
  <c r="R359" i="21"/>
  <c r="AE358" i="21"/>
  <c r="AD358" i="21"/>
  <c r="AL358" i="21" s="1"/>
  <c r="Z358" i="21"/>
  <c r="AH358" i="21" s="1"/>
  <c r="Y358" i="21"/>
  <c r="W358" i="21"/>
  <c r="S358" i="21"/>
  <c r="T358" i="21" s="1"/>
  <c r="R358" i="21"/>
  <c r="AE357" i="21"/>
  <c r="AD357" i="21"/>
  <c r="AL357" i="21" s="1"/>
  <c r="Z357" i="21"/>
  <c r="Y357" i="21"/>
  <c r="AG357" i="21" s="1"/>
  <c r="W357" i="21"/>
  <c r="S357" i="21"/>
  <c r="T357" i="21" s="1"/>
  <c r="R357" i="21"/>
  <c r="AE356" i="21"/>
  <c r="AD356" i="21"/>
  <c r="AL356" i="21" s="1"/>
  <c r="Z356" i="21"/>
  <c r="AH356" i="21" s="1"/>
  <c r="Y356" i="21"/>
  <c r="AG356" i="21" s="1"/>
  <c r="W356" i="21"/>
  <c r="S356" i="21"/>
  <c r="R356" i="21"/>
  <c r="AE355" i="21"/>
  <c r="AD355" i="21"/>
  <c r="AL355" i="21" s="1"/>
  <c r="Z355" i="21"/>
  <c r="AH355" i="21" s="1"/>
  <c r="Y355" i="21"/>
  <c r="AG355" i="21" s="1"/>
  <c r="W355" i="21"/>
  <c r="S355" i="21"/>
  <c r="R355" i="21"/>
  <c r="AE354" i="21"/>
  <c r="AD354" i="21"/>
  <c r="AL354" i="21" s="1"/>
  <c r="Z354" i="21"/>
  <c r="AH354" i="21" s="1"/>
  <c r="Y354" i="21"/>
  <c r="AG354" i="21" s="1"/>
  <c r="W354" i="21"/>
  <c r="S354" i="21"/>
  <c r="T354" i="21" s="1"/>
  <c r="R354" i="21"/>
  <c r="AE353" i="21"/>
  <c r="AD353" i="21"/>
  <c r="AL353" i="21" s="1"/>
  <c r="Z353" i="21"/>
  <c r="AH353" i="21" s="1"/>
  <c r="Y353" i="21"/>
  <c r="AG353" i="21" s="1"/>
  <c r="W353" i="21"/>
  <c r="S353" i="21"/>
  <c r="R353" i="21"/>
  <c r="AE352" i="21"/>
  <c r="AD352" i="21"/>
  <c r="AL352" i="21" s="1"/>
  <c r="Z352" i="21"/>
  <c r="AH352" i="21" s="1"/>
  <c r="Y352" i="21"/>
  <c r="AG352" i="21" s="1"/>
  <c r="W352" i="21"/>
  <c r="S352" i="21"/>
  <c r="T352" i="21" s="1"/>
  <c r="R352" i="21"/>
  <c r="AE351" i="21"/>
  <c r="AD351" i="21"/>
  <c r="AL351" i="21" s="1"/>
  <c r="Z351" i="21"/>
  <c r="AH351" i="21" s="1"/>
  <c r="Y351" i="21"/>
  <c r="AG351" i="21" s="1"/>
  <c r="W351" i="21"/>
  <c r="S351" i="21"/>
  <c r="R351" i="21"/>
  <c r="AE350" i="21"/>
  <c r="AD350" i="21"/>
  <c r="AL350" i="21" s="1"/>
  <c r="Z350" i="21"/>
  <c r="AH350" i="21" s="1"/>
  <c r="Y350" i="21"/>
  <c r="W350" i="21"/>
  <c r="S350" i="21"/>
  <c r="R350" i="21"/>
  <c r="AE349" i="21"/>
  <c r="AD349" i="21"/>
  <c r="AL349" i="21" s="1"/>
  <c r="Z349" i="21"/>
  <c r="Y349" i="21"/>
  <c r="AG349" i="21" s="1"/>
  <c r="W349" i="21"/>
  <c r="S349" i="21"/>
  <c r="R349" i="21"/>
  <c r="AE348" i="21"/>
  <c r="AD348" i="21"/>
  <c r="AL348" i="21" s="1"/>
  <c r="Z348" i="21"/>
  <c r="AH348" i="21" s="1"/>
  <c r="Y348" i="21"/>
  <c r="AG348" i="21" s="1"/>
  <c r="W348" i="21"/>
  <c r="S348" i="21"/>
  <c r="R348" i="21"/>
  <c r="AE347" i="21"/>
  <c r="AD347" i="21"/>
  <c r="AL347" i="21" s="1"/>
  <c r="Z347" i="21"/>
  <c r="AH347" i="21" s="1"/>
  <c r="Y347" i="21"/>
  <c r="AG347" i="21" s="1"/>
  <c r="W347" i="21"/>
  <c r="S347" i="21"/>
  <c r="R347" i="21"/>
  <c r="AE346" i="21"/>
  <c r="AD346" i="21"/>
  <c r="AL346" i="21" s="1"/>
  <c r="Z346" i="21"/>
  <c r="AH346" i="21" s="1"/>
  <c r="Y346" i="21"/>
  <c r="AG346" i="21" s="1"/>
  <c r="W346" i="21"/>
  <c r="S346" i="21"/>
  <c r="T346" i="21" s="1"/>
  <c r="R346" i="21"/>
  <c r="AE345" i="21"/>
  <c r="AD345" i="21"/>
  <c r="AL345" i="21" s="1"/>
  <c r="Z345" i="21"/>
  <c r="AH345" i="21" s="1"/>
  <c r="Y345" i="21"/>
  <c r="AG345" i="21" s="1"/>
  <c r="W345" i="21"/>
  <c r="S345" i="21"/>
  <c r="T345" i="21" s="1"/>
  <c r="R345" i="21"/>
  <c r="AE344" i="21"/>
  <c r="AD344" i="21"/>
  <c r="AL344" i="21" s="1"/>
  <c r="Z344" i="21"/>
  <c r="Y344" i="21"/>
  <c r="AG344" i="21" s="1"/>
  <c r="W344" i="21"/>
  <c r="S344" i="21"/>
  <c r="T344" i="21" s="1"/>
  <c r="R344" i="21"/>
  <c r="AE343" i="21"/>
  <c r="AD343" i="21"/>
  <c r="AL343" i="21" s="1"/>
  <c r="Z343" i="21"/>
  <c r="AH343" i="21" s="1"/>
  <c r="Y343" i="21"/>
  <c r="AG343" i="21" s="1"/>
  <c r="W343" i="21"/>
  <c r="S343" i="21"/>
  <c r="T343" i="21" s="1"/>
  <c r="R343" i="21"/>
  <c r="AE342" i="21"/>
  <c r="AD342" i="21"/>
  <c r="AL342" i="21" s="1"/>
  <c r="Z342" i="21"/>
  <c r="AH342" i="21" s="1"/>
  <c r="Y342" i="21"/>
  <c r="AG342" i="21" s="1"/>
  <c r="W342" i="21"/>
  <c r="S342" i="21"/>
  <c r="T342" i="21" s="1"/>
  <c r="R342" i="21"/>
  <c r="AE341" i="21"/>
  <c r="AD341" i="21"/>
  <c r="AL341" i="21" s="1"/>
  <c r="Z341" i="21"/>
  <c r="Y341" i="21"/>
  <c r="AG341" i="21" s="1"/>
  <c r="W341" i="21"/>
  <c r="S341" i="21"/>
  <c r="T341" i="21" s="1"/>
  <c r="R341" i="21"/>
  <c r="AE340" i="21"/>
  <c r="AD340" i="21"/>
  <c r="AL340" i="21" s="1"/>
  <c r="Z340" i="21"/>
  <c r="AH340" i="21" s="1"/>
  <c r="Y340" i="21"/>
  <c r="AG340" i="21" s="1"/>
  <c r="W340" i="21"/>
  <c r="S340" i="21"/>
  <c r="R340" i="21"/>
  <c r="AE339" i="21"/>
  <c r="AD339" i="21"/>
  <c r="AL339" i="21" s="1"/>
  <c r="Z339" i="21"/>
  <c r="AH339" i="21" s="1"/>
  <c r="Y339" i="21"/>
  <c r="AG339" i="21" s="1"/>
  <c r="W339" i="21"/>
  <c r="S339" i="21"/>
  <c r="T339" i="21" s="1"/>
  <c r="R339" i="21"/>
  <c r="AE338" i="21"/>
  <c r="AD338" i="21"/>
  <c r="AL338" i="21" s="1"/>
  <c r="Z338" i="21"/>
  <c r="Y338" i="21"/>
  <c r="AG338" i="21" s="1"/>
  <c r="W338" i="21"/>
  <c r="S338" i="21"/>
  <c r="R338" i="21"/>
  <c r="AE337" i="21"/>
  <c r="AD337" i="21"/>
  <c r="AL337" i="21" s="1"/>
  <c r="Z337" i="21"/>
  <c r="AH337" i="21" s="1"/>
  <c r="Y337" i="21"/>
  <c r="AG337" i="21" s="1"/>
  <c r="W337" i="21"/>
  <c r="S337" i="21"/>
  <c r="R337" i="21"/>
  <c r="AE336" i="21"/>
  <c r="AD336" i="21"/>
  <c r="AL336" i="21" s="1"/>
  <c r="Z336" i="21"/>
  <c r="AH336" i="21" s="1"/>
  <c r="Y336" i="21"/>
  <c r="AG336" i="21" s="1"/>
  <c r="W336" i="21"/>
  <c r="S336" i="21"/>
  <c r="T336" i="21" s="1"/>
  <c r="R336" i="21"/>
  <c r="AE335" i="21"/>
  <c r="AD335" i="21"/>
  <c r="AL335" i="21" s="1"/>
  <c r="Z335" i="21"/>
  <c r="Y335" i="21"/>
  <c r="AG335" i="21" s="1"/>
  <c r="W335" i="21"/>
  <c r="S335" i="21"/>
  <c r="T335" i="21" s="1"/>
  <c r="R335" i="21"/>
  <c r="AE334" i="21"/>
  <c r="AD334" i="21"/>
  <c r="AL334" i="21" s="1"/>
  <c r="Z334" i="21"/>
  <c r="AH334" i="21" s="1"/>
  <c r="Y334" i="21"/>
  <c r="AG334" i="21" s="1"/>
  <c r="W334" i="21"/>
  <c r="S334" i="21"/>
  <c r="T334" i="21" s="1"/>
  <c r="R334" i="21"/>
  <c r="AE333" i="21"/>
  <c r="AD333" i="21"/>
  <c r="AL333" i="21" s="1"/>
  <c r="Z333" i="21"/>
  <c r="AH333" i="21" s="1"/>
  <c r="Y333" i="21"/>
  <c r="W333" i="21"/>
  <c r="S333" i="21"/>
  <c r="T333" i="21" s="1"/>
  <c r="R333" i="21"/>
  <c r="AE332" i="21"/>
  <c r="AD332" i="21"/>
  <c r="AL332" i="21" s="1"/>
  <c r="Z332" i="21"/>
  <c r="Y332" i="21"/>
  <c r="AG332" i="21" s="1"/>
  <c r="W332" i="21"/>
  <c r="S332" i="21"/>
  <c r="T332" i="21" s="1"/>
  <c r="R332" i="21"/>
  <c r="AE331" i="21"/>
  <c r="AD331" i="21"/>
  <c r="AL331" i="21" s="1"/>
  <c r="Z331" i="21"/>
  <c r="AH331" i="21" s="1"/>
  <c r="Y331" i="21"/>
  <c r="AG331" i="21" s="1"/>
  <c r="W331" i="21"/>
  <c r="S331" i="21"/>
  <c r="T331" i="21" s="1"/>
  <c r="R331" i="21"/>
  <c r="AE330" i="21"/>
  <c r="AD330" i="21"/>
  <c r="AL330" i="21" s="1"/>
  <c r="Z330" i="21"/>
  <c r="AH330" i="21" s="1"/>
  <c r="Y330" i="21"/>
  <c r="W330" i="21"/>
  <c r="S330" i="21"/>
  <c r="T330" i="21" s="1"/>
  <c r="R330" i="21"/>
  <c r="AE329" i="21"/>
  <c r="AD329" i="21"/>
  <c r="AL329" i="21" s="1"/>
  <c r="Z329" i="21"/>
  <c r="Y329" i="21"/>
  <c r="AG329" i="21" s="1"/>
  <c r="W329" i="21"/>
  <c r="S329" i="21"/>
  <c r="T329" i="21" s="1"/>
  <c r="R329" i="21"/>
  <c r="AE328" i="21"/>
  <c r="AD328" i="21"/>
  <c r="AL328" i="21" s="1"/>
  <c r="Z328" i="21"/>
  <c r="AH328" i="21" s="1"/>
  <c r="Y328" i="21"/>
  <c r="AG328" i="21" s="1"/>
  <c r="W328" i="21"/>
  <c r="S328" i="21"/>
  <c r="T328" i="21" s="1"/>
  <c r="R328" i="21"/>
  <c r="AE327" i="21"/>
  <c r="AD327" i="21"/>
  <c r="AL327" i="21" s="1"/>
  <c r="Z327" i="21"/>
  <c r="AH327" i="21" s="1"/>
  <c r="Y327" i="21"/>
  <c r="AG327" i="21" s="1"/>
  <c r="W327" i="21"/>
  <c r="S327" i="21"/>
  <c r="T327" i="21" s="1"/>
  <c r="R327" i="21"/>
  <c r="AE326" i="21"/>
  <c r="AD326" i="21"/>
  <c r="AL326" i="21" s="1"/>
  <c r="Z326" i="21"/>
  <c r="Y326" i="21"/>
  <c r="AG326" i="21" s="1"/>
  <c r="W326" i="21"/>
  <c r="S326" i="21"/>
  <c r="T326" i="21" s="1"/>
  <c r="R326" i="21"/>
  <c r="AE325" i="21"/>
  <c r="AD325" i="21"/>
  <c r="AL325" i="21" s="1"/>
  <c r="Z325" i="21"/>
  <c r="AH325" i="21" s="1"/>
  <c r="Y325" i="21"/>
  <c r="AG325" i="21" s="1"/>
  <c r="W325" i="21"/>
  <c r="S325" i="21"/>
  <c r="T325" i="21" s="1"/>
  <c r="R325" i="21"/>
  <c r="AE324" i="21"/>
  <c r="AD324" i="21"/>
  <c r="AL324" i="21" s="1"/>
  <c r="Z324" i="21"/>
  <c r="AH324" i="21" s="1"/>
  <c r="Y324" i="21"/>
  <c r="AG324" i="21" s="1"/>
  <c r="W324" i="21"/>
  <c r="S324" i="21"/>
  <c r="T324" i="21" s="1"/>
  <c r="R324" i="21"/>
  <c r="AE323" i="21"/>
  <c r="AD323" i="21"/>
  <c r="AL323" i="21" s="1"/>
  <c r="Z323" i="21"/>
  <c r="Y323" i="21"/>
  <c r="AG323" i="21" s="1"/>
  <c r="W323" i="21"/>
  <c r="S323" i="21"/>
  <c r="T323" i="21" s="1"/>
  <c r="R323" i="21"/>
  <c r="AE322" i="21"/>
  <c r="AD322" i="21"/>
  <c r="AL322" i="21" s="1"/>
  <c r="Z322" i="21"/>
  <c r="AH322" i="21" s="1"/>
  <c r="Y322" i="21"/>
  <c r="AG322" i="21" s="1"/>
  <c r="W322" i="21"/>
  <c r="S322" i="21"/>
  <c r="T322" i="21" s="1"/>
  <c r="R322" i="21"/>
  <c r="AE321" i="21"/>
  <c r="AD321" i="21"/>
  <c r="AL321" i="21" s="1"/>
  <c r="Z321" i="21"/>
  <c r="AH321" i="21" s="1"/>
  <c r="Y321" i="21"/>
  <c r="AG321" i="21" s="1"/>
  <c r="W321" i="21"/>
  <c r="S321" i="21"/>
  <c r="T321" i="21" s="1"/>
  <c r="R321" i="21"/>
  <c r="AE320" i="21"/>
  <c r="AD320" i="21"/>
  <c r="AL320" i="21" s="1"/>
  <c r="Z320" i="21"/>
  <c r="Y320" i="21"/>
  <c r="AG320" i="21" s="1"/>
  <c r="W320" i="21"/>
  <c r="S320" i="21"/>
  <c r="T320" i="21" s="1"/>
  <c r="R320" i="21"/>
  <c r="AE319" i="21"/>
  <c r="AD319" i="21"/>
  <c r="AL319" i="21" s="1"/>
  <c r="Z319" i="21"/>
  <c r="AH319" i="21" s="1"/>
  <c r="Y319" i="21"/>
  <c r="AG319" i="21" s="1"/>
  <c r="W319" i="21"/>
  <c r="S319" i="21"/>
  <c r="T319" i="21" s="1"/>
  <c r="R319" i="21"/>
  <c r="AE318" i="21"/>
  <c r="AD318" i="21"/>
  <c r="AL318" i="21" s="1"/>
  <c r="Z318" i="21"/>
  <c r="AH318" i="21" s="1"/>
  <c r="Y318" i="21"/>
  <c r="AG318" i="21" s="1"/>
  <c r="W318" i="21"/>
  <c r="S318" i="21"/>
  <c r="T318" i="21" s="1"/>
  <c r="R318" i="21"/>
  <c r="AE317" i="21"/>
  <c r="AD317" i="21"/>
  <c r="AL317" i="21" s="1"/>
  <c r="Z317" i="21"/>
  <c r="Y317" i="21"/>
  <c r="AG317" i="21" s="1"/>
  <c r="W317" i="21"/>
  <c r="S317" i="21"/>
  <c r="T317" i="21" s="1"/>
  <c r="R317" i="21"/>
  <c r="AE316" i="21"/>
  <c r="AD316" i="21"/>
  <c r="AL316" i="21" s="1"/>
  <c r="Z316" i="21"/>
  <c r="AH316" i="21" s="1"/>
  <c r="Y316" i="21"/>
  <c r="AG316" i="21" s="1"/>
  <c r="W316" i="21"/>
  <c r="S316" i="21"/>
  <c r="T316" i="21" s="1"/>
  <c r="R316" i="21"/>
  <c r="AE315" i="21"/>
  <c r="AD315" i="21"/>
  <c r="Z315" i="21"/>
  <c r="AH315" i="21" s="1"/>
  <c r="Y315" i="21"/>
  <c r="AG315" i="21" s="1"/>
  <c r="W315" i="21"/>
  <c r="S315" i="21"/>
  <c r="R315" i="21"/>
  <c r="AE314" i="21"/>
  <c r="AD314" i="21"/>
  <c r="AL314" i="21" s="1"/>
  <c r="Z314" i="21"/>
  <c r="Y314" i="21"/>
  <c r="AG314" i="21" s="1"/>
  <c r="W314" i="21"/>
  <c r="S314" i="21"/>
  <c r="T314" i="21" s="1"/>
  <c r="R314" i="21"/>
  <c r="AE313" i="21"/>
  <c r="AD313" i="21"/>
  <c r="AL313" i="21" s="1"/>
  <c r="Z313" i="21"/>
  <c r="AH313" i="21" s="1"/>
  <c r="Y313" i="21"/>
  <c r="AG313" i="21" s="1"/>
  <c r="W313" i="21"/>
  <c r="S313" i="21"/>
  <c r="T313" i="21" s="1"/>
  <c r="R313" i="21"/>
  <c r="AE312" i="21"/>
  <c r="AD312" i="21"/>
  <c r="AL312" i="21" s="1"/>
  <c r="Z312" i="21"/>
  <c r="AH312" i="21" s="1"/>
  <c r="Y312" i="21"/>
  <c r="AG312" i="21" s="1"/>
  <c r="W312" i="21"/>
  <c r="S312" i="21"/>
  <c r="R312" i="21"/>
  <c r="AE311" i="21"/>
  <c r="AD311" i="21"/>
  <c r="AL311" i="21" s="1"/>
  <c r="Z311" i="21"/>
  <c r="AH311" i="21" s="1"/>
  <c r="Y311" i="21"/>
  <c r="AG311" i="21" s="1"/>
  <c r="W311" i="21"/>
  <c r="S311" i="21"/>
  <c r="T311" i="21" s="1"/>
  <c r="R311" i="21"/>
  <c r="AE310" i="21"/>
  <c r="AD310" i="21"/>
  <c r="AL310" i="21" s="1"/>
  <c r="Z310" i="21"/>
  <c r="AH310" i="21" s="1"/>
  <c r="Y310" i="21"/>
  <c r="AG310" i="21" s="1"/>
  <c r="W310" i="21"/>
  <c r="S310" i="21"/>
  <c r="T310" i="21" s="1"/>
  <c r="R310" i="21"/>
  <c r="AE309" i="21"/>
  <c r="AD309" i="21"/>
  <c r="AL309" i="21" s="1"/>
  <c r="Z309" i="21"/>
  <c r="AH309" i="21" s="1"/>
  <c r="Y309" i="21"/>
  <c r="AG309" i="21" s="1"/>
  <c r="W309" i="21"/>
  <c r="S309" i="21"/>
  <c r="T309" i="21" s="1"/>
  <c r="R309" i="21"/>
  <c r="AE308" i="21"/>
  <c r="AD308" i="21"/>
  <c r="AL308" i="21" s="1"/>
  <c r="Z308" i="21"/>
  <c r="AH308" i="21" s="1"/>
  <c r="Y308" i="21"/>
  <c r="AG308" i="21" s="1"/>
  <c r="W308" i="21"/>
  <c r="S308" i="21"/>
  <c r="T308" i="21" s="1"/>
  <c r="R308" i="21"/>
  <c r="AE307" i="21"/>
  <c r="AD307" i="21"/>
  <c r="AL307" i="21" s="1"/>
  <c r="Z307" i="21"/>
  <c r="AH307" i="21" s="1"/>
  <c r="Y307" i="21"/>
  <c r="AG307" i="21" s="1"/>
  <c r="W307" i="21"/>
  <c r="S307" i="21"/>
  <c r="T307" i="21" s="1"/>
  <c r="R307" i="21"/>
  <c r="AE306" i="21"/>
  <c r="AD306" i="21"/>
  <c r="AL306" i="21" s="1"/>
  <c r="Z306" i="21"/>
  <c r="AH306" i="21" s="1"/>
  <c r="Y306" i="21"/>
  <c r="AG306" i="21" s="1"/>
  <c r="W306" i="21"/>
  <c r="S306" i="21"/>
  <c r="R306" i="21"/>
  <c r="AE305" i="21"/>
  <c r="AD305" i="21"/>
  <c r="AL305" i="21" s="1"/>
  <c r="Z305" i="21"/>
  <c r="AH305" i="21" s="1"/>
  <c r="Y305" i="21"/>
  <c r="AG305" i="21" s="1"/>
  <c r="W305" i="21"/>
  <c r="S305" i="21"/>
  <c r="R305" i="21"/>
  <c r="AE304" i="21"/>
  <c r="AD304" i="21"/>
  <c r="AL304" i="21" s="1"/>
  <c r="Z304" i="21"/>
  <c r="AH304" i="21" s="1"/>
  <c r="Y304" i="21"/>
  <c r="AG304" i="21" s="1"/>
  <c r="W304" i="21"/>
  <c r="S304" i="21"/>
  <c r="T304" i="21" s="1"/>
  <c r="R304" i="21"/>
  <c r="AE303" i="21"/>
  <c r="AD303" i="21"/>
  <c r="AL303" i="21" s="1"/>
  <c r="Z303" i="21"/>
  <c r="AH303" i="21" s="1"/>
  <c r="Y303" i="21"/>
  <c r="AG303" i="21" s="1"/>
  <c r="W303" i="21"/>
  <c r="S303" i="21"/>
  <c r="R303" i="21"/>
  <c r="AE302" i="21"/>
  <c r="AD302" i="21"/>
  <c r="AL302" i="21" s="1"/>
  <c r="Z302" i="21"/>
  <c r="AH302" i="21" s="1"/>
  <c r="Y302" i="21"/>
  <c r="AG302" i="21" s="1"/>
  <c r="W302" i="21"/>
  <c r="S302" i="21"/>
  <c r="R302" i="21"/>
  <c r="AE301" i="21"/>
  <c r="AD301" i="21"/>
  <c r="AL301" i="21" s="1"/>
  <c r="Z301" i="21"/>
  <c r="AH301" i="21" s="1"/>
  <c r="Y301" i="21"/>
  <c r="AG301" i="21" s="1"/>
  <c r="W301" i="21"/>
  <c r="S301" i="21"/>
  <c r="T301" i="21" s="1"/>
  <c r="R301" i="21"/>
  <c r="AE300" i="21"/>
  <c r="AD300" i="21"/>
  <c r="AL300" i="21" s="1"/>
  <c r="Z300" i="21"/>
  <c r="AH300" i="21" s="1"/>
  <c r="Y300" i="21"/>
  <c r="W300" i="21"/>
  <c r="S300" i="21"/>
  <c r="T300" i="21" s="1"/>
  <c r="R300" i="21"/>
  <c r="AE299" i="21"/>
  <c r="AD299" i="21"/>
  <c r="AL299" i="21" s="1"/>
  <c r="Z299" i="21"/>
  <c r="AH299" i="21" s="1"/>
  <c r="Y299" i="21"/>
  <c r="AG299" i="21" s="1"/>
  <c r="W299" i="21"/>
  <c r="S299" i="21"/>
  <c r="R299" i="21"/>
  <c r="AE298" i="21"/>
  <c r="AD298" i="21"/>
  <c r="AL298" i="21" s="1"/>
  <c r="Z298" i="21"/>
  <c r="AH298" i="21" s="1"/>
  <c r="Y298" i="21"/>
  <c r="AG298" i="21" s="1"/>
  <c r="W298" i="21"/>
  <c r="S298" i="21"/>
  <c r="T298" i="21" s="1"/>
  <c r="R298" i="21"/>
  <c r="AE297" i="21"/>
  <c r="AD297" i="21"/>
  <c r="AL297" i="21" s="1"/>
  <c r="Z297" i="21"/>
  <c r="AH297" i="21" s="1"/>
  <c r="Y297" i="21"/>
  <c r="AG297" i="21" s="1"/>
  <c r="W297" i="21"/>
  <c r="S297" i="21"/>
  <c r="T297" i="21" s="1"/>
  <c r="R297" i="21"/>
  <c r="AE296" i="21"/>
  <c r="AD296" i="21"/>
  <c r="AL296" i="21" s="1"/>
  <c r="Z296" i="21"/>
  <c r="AH296" i="21" s="1"/>
  <c r="Y296" i="21"/>
  <c r="AG296" i="21" s="1"/>
  <c r="W296" i="21"/>
  <c r="S296" i="21"/>
  <c r="R296" i="21"/>
  <c r="AE295" i="21"/>
  <c r="AD295" i="21"/>
  <c r="AL295" i="21" s="1"/>
  <c r="Z295" i="21"/>
  <c r="AH295" i="21" s="1"/>
  <c r="Y295" i="21"/>
  <c r="AG295" i="21" s="1"/>
  <c r="W295" i="21"/>
  <c r="S295" i="21"/>
  <c r="T295" i="21" s="1"/>
  <c r="R295" i="21"/>
  <c r="AE294" i="21"/>
  <c r="AD294" i="21"/>
  <c r="AL294" i="21" s="1"/>
  <c r="Z294" i="21"/>
  <c r="AH294" i="21" s="1"/>
  <c r="Y294" i="21"/>
  <c r="W294" i="21"/>
  <c r="S294" i="21"/>
  <c r="T294" i="21" s="1"/>
  <c r="R294" i="21"/>
  <c r="AE293" i="21"/>
  <c r="AD293" i="21"/>
  <c r="AL293" i="21" s="1"/>
  <c r="Z293" i="21"/>
  <c r="AH293" i="21" s="1"/>
  <c r="Y293" i="21"/>
  <c r="AG293" i="21" s="1"/>
  <c r="W293" i="21"/>
  <c r="S293" i="21"/>
  <c r="R293" i="21"/>
  <c r="AE292" i="21"/>
  <c r="AD292" i="21"/>
  <c r="AL292" i="21" s="1"/>
  <c r="Z292" i="21"/>
  <c r="AH292" i="21" s="1"/>
  <c r="Y292" i="21"/>
  <c r="AG292" i="21" s="1"/>
  <c r="W292" i="21"/>
  <c r="S292" i="21"/>
  <c r="R292" i="21"/>
  <c r="AE291" i="21"/>
  <c r="AD291" i="21"/>
  <c r="AL291" i="21" s="1"/>
  <c r="Z291" i="21"/>
  <c r="AH291" i="21" s="1"/>
  <c r="Y291" i="21"/>
  <c r="W291" i="21"/>
  <c r="S291" i="21"/>
  <c r="R291" i="21"/>
  <c r="AE290" i="21"/>
  <c r="AD290" i="21"/>
  <c r="AL290" i="21" s="1"/>
  <c r="Z290" i="21"/>
  <c r="AH290" i="21" s="1"/>
  <c r="Y290" i="21"/>
  <c r="W290" i="21"/>
  <c r="S290" i="21"/>
  <c r="R290" i="21"/>
  <c r="AE289" i="21"/>
  <c r="AD289" i="21"/>
  <c r="AL289" i="21" s="1"/>
  <c r="Z289" i="21"/>
  <c r="AH289" i="21" s="1"/>
  <c r="Y289" i="21"/>
  <c r="AG289" i="21" s="1"/>
  <c r="W289" i="21"/>
  <c r="S289" i="21"/>
  <c r="R289" i="21"/>
  <c r="AE288" i="21"/>
  <c r="AD288" i="21"/>
  <c r="AL288" i="21" s="1"/>
  <c r="Z288" i="21"/>
  <c r="AH288" i="21" s="1"/>
  <c r="Y288" i="21"/>
  <c r="AG288" i="21" s="1"/>
  <c r="W288" i="21"/>
  <c r="S288" i="21"/>
  <c r="R288" i="21"/>
  <c r="AE287" i="21"/>
  <c r="AD287" i="21"/>
  <c r="AL287" i="21" s="1"/>
  <c r="Z287" i="21"/>
  <c r="AH287" i="21" s="1"/>
  <c r="Y287" i="21"/>
  <c r="W287" i="21"/>
  <c r="S287" i="21"/>
  <c r="R287" i="21"/>
  <c r="AE286" i="21"/>
  <c r="AD286" i="21"/>
  <c r="AL286" i="21" s="1"/>
  <c r="Z286" i="21"/>
  <c r="AH286" i="21" s="1"/>
  <c r="Y286" i="21"/>
  <c r="AG286" i="21" s="1"/>
  <c r="W286" i="21"/>
  <c r="S286" i="21"/>
  <c r="R286" i="21"/>
  <c r="AE285" i="21"/>
  <c r="AD285" i="21"/>
  <c r="AL285" i="21" s="1"/>
  <c r="Z285" i="21"/>
  <c r="AH285" i="21" s="1"/>
  <c r="Y285" i="21"/>
  <c r="AG285" i="21" s="1"/>
  <c r="W285" i="21"/>
  <c r="S285" i="21"/>
  <c r="T285" i="21" s="1"/>
  <c r="R285" i="21"/>
  <c r="AE284" i="21"/>
  <c r="AD284" i="21"/>
  <c r="AL284" i="21" s="1"/>
  <c r="Z284" i="21"/>
  <c r="AH284" i="21" s="1"/>
  <c r="Y284" i="21"/>
  <c r="W284" i="21"/>
  <c r="S284" i="21"/>
  <c r="T284" i="21" s="1"/>
  <c r="R284" i="21"/>
  <c r="AE283" i="21"/>
  <c r="AD283" i="21"/>
  <c r="AL283" i="21" s="1"/>
  <c r="Z283" i="21"/>
  <c r="Y283" i="21"/>
  <c r="AG283" i="21" s="1"/>
  <c r="W283" i="21"/>
  <c r="S283" i="21"/>
  <c r="T283" i="21" s="1"/>
  <c r="R283" i="21"/>
  <c r="AE282" i="21"/>
  <c r="AD282" i="21"/>
  <c r="Z282" i="21"/>
  <c r="AH282" i="21" s="1"/>
  <c r="Y282" i="21"/>
  <c r="AG282" i="21" s="1"/>
  <c r="W282" i="21"/>
  <c r="S282" i="21"/>
  <c r="R282" i="21"/>
  <c r="AE281" i="21"/>
  <c r="AD281" i="21"/>
  <c r="AL281" i="21" s="1"/>
  <c r="Z281" i="21"/>
  <c r="AH281" i="21" s="1"/>
  <c r="Y281" i="21"/>
  <c r="W281" i="21"/>
  <c r="S281" i="21"/>
  <c r="R281" i="21"/>
  <c r="AE280" i="21"/>
  <c r="AD280" i="21"/>
  <c r="Z280" i="21"/>
  <c r="AH280" i="21" s="1"/>
  <c r="Y280" i="21"/>
  <c r="AG280" i="21" s="1"/>
  <c r="W280" i="21"/>
  <c r="S280" i="21"/>
  <c r="R280" i="21"/>
  <c r="AE279" i="21"/>
  <c r="AD279" i="21"/>
  <c r="AL279" i="21" s="1"/>
  <c r="Z279" i="21"/>
  <c r="Y279" i="21"/>
  <c r="AG279" i="21" s="1"/>
  <c r="W279" i="21"/>
  <c r="S279" i="21"/>
  <c r="R279" i="21"/>
  <c r="AE278" i="21"/>
  <c r="AD278" i="21"/>
  <c r="AL278" i="21" s="1"/>
  <c r="Z278" i="21"/>
  <c r="AH278" i="21" s="1"/>
  <c r="Y278" i="21"/>
  <c r="AG278" i="21" s="1"/>
  <c r="W278" i="21"/>
  <c r="S278" i="21"/>
  <c r="R278" i="21"/>
  <c r="AE277" i="21"/>
  <c r="AD277" i="21"/>
  <c r="Z277" i="21"/>
  <c r="AH277" i="21" s="1"/>
  <c r="Y277" i="21"/>
  <c r="AG277" i="21" s="1"/>
  <c r="W277" i="21"/>
  <c r="S277" i="21"/>
  <c r="R277" i="21"/>
  <c r="AE276" i="21"/>
  <c r="AD276" i="21"/>
  <c r="AL276" i="21" s="1"/>
  <c r="Z276" i="21"/>
  <c r="AH276" i="21" s="1"/>
  <c r="Y276" i="21"/>
  <c r="AG276" i="21" s="1"/>
  <c r="W276" i="21"/>
  <c r="S276" i="21"/>
  <c r="R276" i="21"/>
  <c r="AE275" i="21"/>
  <c r="AD275" i="21"/>
  <c r="AL275" i="21" s="1"/>
  <c r="Z275" i="21"/>
  <c r="AH275" i="21" s="1"/>
  <c r="Y275" i="21"/>
  <c r="W275" i="21"/>
  <c r="S275" i="21"/>
  <c r="R275" i="21"/>
  <c r="AE274" i="21"/>
  <c r="AD274" i="21"/>
  <c r="AL274" i="21" s="1"/>
  <c r="Z274" i="21"/>
  <c r="AH274" i="21" s="1"/>
  <c r="Y274" i="21"/>
  <c r="W274" i="21"/>
  <c r="S274" i="21"/>
  <c r="R274" i="21"/>
  <c r="AE273" i="21"/>
  <c r="AD273" i="21"/>
  <c r="AL273" i="21" s="1"/>
  <c r="Z273" i="21"/>
  <c r="AH273" i="21" s="1"/>
  <c r="Y273" i="21"/>
  <c r="AG273" i="21" s="1"/>
  <c r="W273" i="21"/>
  <c r="S273" i="21"/>
  <c r="R273" i="21"/>
  <c r="AE272" i="21"/>
  <c r="AD272" i="21"/>
  <c r="AL272" i="21" s="1"/>
  <c r="Z272" i="21"/>
  <c r="AH272" i="21" s="1"/>
  <c r="Y272" i="21"/>
  <c r="AG272" i="21" s="1"/>
  <c r="W272" i="21"/>
  <c r="S272" i="21"/>
  <c r="R272" i="21"/>
  <c r="AE271" i="21"/>
  <c r="AD271" i="21"/>
  <c r="AL271" i="21" s="1"/>
  <c r="Z271" i="21"/>
  <c r="AH271" i="21" s="1"/>
  <c r="Y271" i="21"/>
  <c r="AG271" i="21" s="1"/>
  <c r="W271" i="21"/>
  <c r="S271" i="21"/>
  <c r="R271" i="21"/>
  <c r="AE270" i="21"/>
  <c r="AD270" i="21"/>
  <c r="AL270" i="21" s="1"/>
  <c r="Z270" i="21"/>
  <c r="AH270" i="21" s="1"/>
  <c r="Y270" i="21"/>
  <c r="AG270" i="21" s="1"/>
  <c r="W270" i="21"/>
  <c r="S270" i="21"/>
  <c r="R270" i="21"/>
  <c r="AE269" i="21"/>
  <c r="AD269" i="21"/>
  <c r="AL269" i="21" s="1"/>
  <c r="Z269" i="21"/>
  <c r="AH269" i="21" s="1"/>
  <c r="Y269" i="21"/>
  <c r="AG269" i="21" s="1"/>
  <c r="W269" i="21"/>
  <c r="S269" i="21"/>
  <c r="R269" i="21"/>
  <c r="AE268" i="21"/>
  <c r="AD268" i="21"/>
  <c r="AL268" i="21" s="1"/>
  <c r="Z268" i="21"/>
  <c r="AH268" i="21" s="1"/>
  <c r="Y268" i="21"/>
  <c r="W268" i="21"/>
  <c r="S268" i="21"/>
  <c r="R268" i="21"/>
  <c r="AE267" i="21"/>
  <c r="AD267" i="21"/>
  <c r="AL267" i="21" s="1"/>
  <c r="Z267" i="21"/>
  <c r="AH267" i="21" s="1"/>
  <c r="Y267" i="21"/>
  <c r="AG267" i="21" s="1"/>
  <c r="W267" i="21"/>
  <c r="S267" i="21"/>
  <c r="R267" i="21"/>
  <c r="AE266" i="21"/>
  <c r="AD266" i="21"/>
  <c r="AL266" i="21" s="1"/>
  <c r="Z266" i="21"/>
  <c r="AH266" i="21" s="1"/>
  <c r="Y266" i="21"/>
  <c r="W266" i="21"/>
  <c r="S266" i="21"/>
  <c r="R266" i="21"/>
  <c r="AE265" i="21"/>
  <c r="AD265" i="21"/>
  <c r="AL265" i="21" s="1"/>
  <c r="Z265" i="21"/>
  <c r="AH265" i="21" s="1"/>
  <c r="Y265" i="21"/>
  <c r="AG265" i="21" s="1"/>
  <c r="W265" i="21"/>
  <c r="S265" i="21"/>
  <c r="R265" i="21"/>
  <c r="AE264" i="21"/>
  <c r="AD264" i="21"/>
  <c r="AL264" i="21" s="1"/>
  <c r="Z264" i="21"/>
  <c r="AH264" i="21" s="1"/>
  <c r="Y264" i="21"/>
  <c r="W264" i="21"/>
  <c r="S264" i="21"/>
  <c r="R264" i="21"/>
  <c r="AE263" i="21"/>
  <c r="AD263" i="21"/>
  <c r="AL263" i="21" s="1"/>
  <c r="Z263" i="21"/>
  <c r="AH263" i="21" s="1"/>
  <c r="Y263" i="21"/>
  <c r="W263" i="21"/>
  <c r="S263" i="21"/>
  <c r="R263" i="21"/>
  <c r="AE262" i="21"/>
  <c r="AD262" i="21"/>
  <c r="AL262" i="21" s="1"/>
  <c r="Z262" i="21"/>
  <c r="AH262" i="21" s="1"/>
  <c r="Y262" i="21"/>
  <c r="W262" i="21"/>
  <c r="S262" i="21"/>
  <c r="R262" i="21"/>
  <c r="AE261" i="21"/>
  <c r="AD261" i="21"/>
  <c r="AL261" i="21" s="1"/>
  <c r="Z261" i="21"/>
  <c r="AH261" i="21" s="1"/>
  <c r="Y261" i="21"/>
  <c r="AG261" i="21" s="1"/>
  <c r="W261" i="21"/>
  <c r="S261" i="21"/>
  <c r="R261" i="21"/>
  <c r="AE260" i="21"/>
  <c r="AD260" i="21"/>
  <c r="AL260" i="21" s="1"/>
  <c r="Z260" i="21"/>
  <c r="AH260" i="21" s="1"/>
  <c r="Y260" i="21"/>
  <c r="W260" i="21"/>
  <c r="S260" i="21"/>
  <c r="R260" i="21"/>
  <c r="AE259" i="21"/>
  <c r="AD259" i="21"/>
  <c r="AL259" i="21" s="1"/>
  <c r="Z259" i="21"/>
  <c r="AH259" i="21" s="1"/>
  <c r="Y259" i="21"/>
  <c r="AG259" i="21" s="1"/>
  <c r="W259" i="21"/>
  <c r="S259" i="21"/>
  <c r="R259" i="21"/>
  <c r="AE258" i="21"/>
  <c r="AD258" i="21"/>
  <c r="AL258" i="21" s="1"/>
  <c r="Z258" i="21"/>
  <c r="AH258" i="21" s="1"/>
  <c r="Y258" i="21"/>
  <c r="W258" i="21"/>
  <c r="S258" i="21"/>
  <c r="R258" i="21"/>
  <c r="AE257" i="21"/>
  <c r="AD257" i="21"/>
  <c r="AL257" i="21" s="1"/>
  <c r="Z257" i="21"/>
  <c r="AH257" i="21" s="1"/>
  <c r="Y257" i="21"/>
  <c r="AG257" i="21" s="1"/>
  <c r="W257" i="21"/>
  <c r="S257" i="21"/>
  <c r="R257" i="21"/>
  <c r="AE256" i="21"/>
  <c r="AD256" i="21"/>
  <c r="AL256" i="21" s="1"/>
  <c r="Z256" i="21"/>
  <c r="AH256" i="21" s="1"/>
  <c r="Y256" i="21"/>
  <c r="AG256" i="21" s="1"/>
  <c r="W256" i="21"/>
  <c r="S256" i="21"/>
  <c r="R256" i="21"/>
  <c r="AE255" i="21"/>
  <c r="AD255" i="21"/>
  <c r="AL255" i="21" s="1"/>
  <c r="Z255" i="21"/>
  <c r="AH255" i="21" s="1"/>
  <c r="Y255" i="21"/>
  <c r="W255" i="21"/>
  <c r="S255" i="21"/>
  <c r="R255" i="21"/>
  <c r="AE254" i="21"/>
  <c r="AD254" i="21"/>
  <c r="AL254" i="21" s="1"/>
  <c r="Z254" i="21"/>
  <c r="AH254" i="21" s="1"/>
  <c r="Y254" i="21"/>
  <c r="W254" i="21"/>
  <c r="S254" i="21"/>
  <c r="R254" i="21"/>
  <c r="AE253" i="21"/>
  <c r="AD253" i="21"/>
  <c r="AL253" i="21" s="1"/>
  <c r="Z253" i="21"/>
  <c r="AH253" i="21" s="1"/>
  <c r="Y253" i="21"/>
  <c r="AG253" i="21" s="1"/>
  <c r="W253" i="21"/>
  <c r="S253" i="21"/>
  <c r="R253" i="21"/>
  <c r="AE252" i="21"/>
  <c r="AD252" i="21"/>
  <c r="AL252" i="21" s="1"/>
  <c r="Z252" i="21"/>
  <c r="AH252" i="21" s="1"/>
  <c r="Y252" i="21"/>
  <c r="AG252" i="21" s="1"/>
  <c r="W252" i="21"/>
  <c r="S252" i="21"/>
  <c r="R252" i="21"/>
  <c r="AE251" i="21"/>
  <c r="AD251" i="21"/>
  <c r="AL251" i="21" s="1"/>
  <c r="Z251" i="21"/>
  <c r="AH251" i="21" s="1"/>
  <c r="Y251" i="21"/>
  <c r="AG251" i="21" s="1"/>
  <c r="W251" i="21"/>
  <c r="S251" i="21"/>
  <c r="R251" i="21"/>
  <c r="AE250" i="21"/>
  <c r="AD250" i="21"/>
  <c r="AL250" i="21" s="1"/>
  <c r="Z250" i="21"/>
  <c r="AH250" i="21" s="1"/>
  <c r="Y250" i="21"/>
  <c r="W250" i="21"/>
  <c r="S250" i="21"/>
  <c r="R250" i="21"/>
  <c r="AE249" i="21"/>
  <c r="AD249" i="21"/>
  <c r="AL249" i="21" s="1"/>
  <c r="Z249" i="21"/>
  <c r="AH249" i="21" s="1"/>
  <c r="Y249" i="21"/>
  <c r="AG249" i="21" s="1"/>
  <c r="W249" i="21"/>
  <c r="S249" i="21"/>
  <c r="R249" i="21"/>
  <c r="AE248" i="21"/>
  <c r="AD248" i="21"/>
  <c r="AL248" i="21" s="1"/>
  <c r="Z248" i="21"/>
  <c r="AH248" i="21" s="1"/>
  <c r="Y248" i="21"/>
  <c r="W248" i="21"/>
  <c r="S248" i="21"/>
  <c r="R248" i="21"/>
  <c r="AE247" i="21"/>
  <c r="AD247" i="21"/>
  <c r="AL247" i="21" s="1"/>
  <c r="Z247" i="21"/>
  <c r="AH247" i="21" s="1"/>
  <c r="Y247" i="21"/>
  <c r="W247" i="21"/>
  <c r="S247" i="21"/>
  <c r="R247" i="21"/>
  <c r="AE246" i="21"/>
  <c r="AD246" i="21"/>
  <c r="AL246" i="21" s="1"/>
  <c r="Z246" i="21"/>
  <c r="AH246" i="21" s="1"/>
  <c r="Y246" i="21"/>
  <c r="W246" i="21"/>
  <c r="S246" i="21"/>
  <c r="R246" i="21"/>
  <c r="AE245" i="21"/>
  <c r="AD245" i="21"/>
  <c r="AL245" i="21" s="1"/>
  <c r="Z245" i="21"/>
  <c r="AH245" i="21" s="1"/>
  <c r="Y245" i="21"/>
  <c r="AG245" i="21" s="1"/>
  <c r="W245" i="21"/>
  <c r="S245" i="21"/>
  <c r="R245" i="21"/>
  <c r="AE244" i="21"/>
  <c r="AD244" i="21"/>
  <c r="AL244" i="21" s="1"/>
  <c r="Z244" i="21"/>
  <c r="AH244" i="21" s="1"/>
  <c r="Y244" i="21"/>
  <c r="AG244" i="21" s="1"/>
  <c r="W244" i="21"/>
  <c r="S244" i="21"/>
  <c r="R244" i="21"/>
  <c r="AE243" i="21"/>
  <c r="AD243" i="21"/>
  <c r="AL243" i="21" s="1"/>
  <c r="Z243" i="21"/>
  <c r="AH243" i="21" s="1"/>
  <c r="Y243" i="21"/>
  <c r="AG243" i="21" s="1"/>
  <c r="W243" i="21"/>
  <c r="S243" i="21"/>
  <c r="R243" i="21"/>
  <c r="AE242" i="21"/>
  <c r="AD242" i="21"/>
  <c r="AL242" i="21" s="1"/>
  <c r="Z242" i="21"/>
  <c r="AH242" i="21" s="1"/>
  <c r="Y242" i="21"/>
  <c r="W242" i="21"/>
  <c r="S242" i="21"/>
  <c r="R242" i="21"/>
  <c r="AE241" i="21"/>
  <c r="AD241" i="21"/>
  <c r="AL241" i="21" s="1"/>
  <c r="Z241" i="21"/>
  <c r="AH241" i="21" s="1"/>
  <c r="Y241" i="21"/>
  <c r="AG241" i="21" s="1"/>
  <c r="W241" i="21"/>
  <c r="S241" i="21"/>
  <c r="R241" i="21"/>
  <c r="AE240" i="21"/>
  <c r="AD240" i="21"/>
  <c r="AL240" i="21" s="1"/>
  <c r="Z240" i="21"/>
  <c r="AH240" i="21" s="1"/>
  <c r="Y240" i="21"/>
  <c r="W240" i="21"/>
  <c r="S240" i="21"/>
  <c r="R240" i="21"/>
  <c r="AE239" i="21"/>
  <c r="AD239" i="21"/>
  <c r="AL239" i="21" s="1"/>
  <c r="Z239" i="21"/>
  <c r="AH239" i="21" s="1"/>
  <c r="Y239" i="21"/>
  <c r="W239" i="21"/>
  <c r="S239" i="21"/>
  <c r="R239" i="21"/>
  <c r="AE238" i="21"/>
  <c r="AD238" i="21"/>
  <c r="AL238" i="21" s="1"/>
  <c r="Z238" i="21"/>
  <c r="AH238" i="21" s="1"/>
  <c r="Y238" i="21"/>
  <c r="W238" i="21"/>
  <c r="S238" i="21"/>
  <c r="R238" i="21"/>
  <c r="AE237" i="21"/>
  <c r="AD237" i="21"/>
  <c r="AL237" i="21" s="1"/>
  <c r="Z237" i="21"/>
  <c r="AH237" i="21" s="1"/>
  <c r="Y237" i="21"/>
  <c r="AG237" i="21" s="1"/>
  <c r="W237" i="21"/>
  <c r="S237" i="21"/>
  <c r="R237" i="21"/>
  <c r="AE236" i="21"/>
  <c r="AD236" i="21"/>
  <c r="AL236" i="21" s="1"/>
  <c r="Z236" i="21"/>
  <c r="AH236" i="21" s="1"/>
  <c r="Y236" i="21"/>
  <c r="AG236" i="21" s="1"/>
  <c r="W236" i="21"/>
  <c r="S236" i="21"/>
  <c r="R236" i="21"/>
  <c r="AE235" i="21"/>
  <c r="AD235" i="21"/>
  <c r="AL235" i="21" s="1"/>
  <c r="Z235" i="21"/>
  <c r="AH235" i="21" s="1"/>
  <c r="Y235" i="21"/>
  <c r="W235" i="21"/>
  <c r="S235" i="21"/>
  <c r="R235" i="21"/>
  <c r="AE234" i="21"/>
  <c r="AD234" i="21"/>
  <c r="AL234" i="21" s="1"/>
  <c r="Z234" i="21"/>
  <c r="AH234" i="21" s="1"/>
  <c r="Y234" i="21"/>
  <c r="W234" i="21"/>
  <c r="S234" i="21"/>
  <c r="R234" i="21"/>
  <c r="AE233" i="21"/>
  <c r="AD233" i="21"/>
  <c r="AL233" i="21" s="1"/>
  <c r="Z233" i="21"/>
  <c r="AH233" i="21" s="1"/>
  <c r="Y233" i="21"/>
  <c r="AG233" i="21" s="1"/>
  <c r="W233" i="21"/>
  <c r="S233" i="21"/>
  <c r="R233" i="21"/>
  <c r="AE232" i="21"/>
  <c r="AD232" i="21"/>
  <c r="AL232" i="21" s="1"/>
  <c r="Z232" i="21"/>
  <c r="AH232" i="21" s="1"/>
  <c r="Y232" i="21"/>
  <c r="W232" i="21"/>
  <c r="S232" i="21"/>
  <c r="R232" i="21"/>
  <c r="AE231" i="21"/>
  <c r="AD231" i="21"/>
  <c r="AL231" i="21" s="1"/>
  <c r="Z231" i="21"/>
  <c r="AH231" i="21" s="1"/>
  <c r="Y231" i="21"/>
  <c r="AG231" i="21" s="1"/>
  <c r="W231" i="21"/>
  <c r="S231" i="21"/>
  <c r="R231" i="21"/>
  <c r="AE230" i="21"/>
  <c r="AD230" i="21"/>
  <c r="AL230" i="21" s="1"/>
  <c r="Z230" i="21"/>
  <c r="AH230" i="21" s="1"/>
  <c r="Y230" i="21"/>
  <c r="AG230" i="21" s="1"/>
  <c r="W230" i="21"/>
  <c r="S230" i="21"/>
  <c r="R230" i="21"/>
  <c r="AE229" i="21"/>
  <c r="AD229" i="21"/>
  <c r="AL229" i="21" s="1"/>
  <c r="Z229" i="21"/>
  <c r="AH229" i="21" s="1"/>
  <c r="Y229" i="21"/>
  <c r="W229" i="21"/>
  <c r="S229" i="21"/>
  <c r="R229" i="21"/>
  <c r="AE228" i="21"/>
  <c r="AD228" i="21"/>
  <c r="Z228" i="21"/>
  <c r="AH228" i="21" s="1"/>
  <c r="Y228" i="21"/>
  <c r="AG228" i="21" s="1"/>
  <c r="W228" i="21"/>
  <c r="S228" i="21"/>
  <c r="R228" i="21"/>
  <c r="AE227" i="21"/>
  <c r="AD227" i="21"/>
  <c r="AL227" i="21" s="1"/>
  <c r="Z227" i="21"/>
  <c r="AH227" i="21" s="1"/>
  <c r="Y227" i="21"/>
  <c r="AG227" i="21" s="1"/>
  <c r="W227" i="21"/>
  <c r="S227" i="21"/>
  <c r="R227" i="21"/>
  <c r="AE226" i="21"/>
  <c r="AD226" i="21"/>
  <c r="AL226" i="21" s="1"/>
  <c r="Z226" i="21"/>
  <c r="AH226" i="21" s="1"/>
  <c r="Y226" i="21"/>
  <c r="W226" i="21"/>
  <c r="S226" i="21"/>
  <c r="R226" i="21"/>
  <c r="AE225" i="21"/>
  <c r="AD225" i="21"/>
  <c r="AL225" i="21" s="1"/>
  <c r="Z225" i="21"/>
  <c r="AH225" i="21" s="1"/>
  <c r="Y225" i="21"/>
  <c r="W225" i="21"/>
  <c r="S225" i="21"/>
  <c r="R225" i="21"/>
  <c r="AE224" i="21"/>
  <c r="AD224" i="21"/>
  <c r="Z224" i="21"/>
  <c r="AH224" i="21" s="1"/>
  <c r="Y224" i="21"/>
  <c r="AG224" i="21" s="1"/>
  <c r="W224" i="21"/>
  <c r="S224" i="21"/>
  <c r="R224" i="21"/>
  <c r="AE223" i="21"/>
  <c r="AD223" i="21"/>
  <c r="AL223" i="21" s="1"/>
  <c r="Z223" i="21"/>
  <c r="AH223" i="21" s="1"/>
  <c r="Y223" i="21"/>
  <c r="W223" i="21"/>
  <c r="S223" i="21"/>
  <c r="R223" i="21"/>
  <c r="AE222" i="21"/>
  <c r="AD222" i="21"/>
  <c r="AL222" i="21" s="1"/>
  <c r="Z222" i="21"/>
  <c r="AH222" i="21" s="1"/>
  <c r="Y222" i="21"/>
  <c r="AG222" i="21" s="1"/>
  <c r="W222" i="21"/>
  <c r="S222" i="21"/>
  <c r="R222" i="21"/>
  <c r="AE221" i="21"/>
  <c r="AD221" i="21"/>
  <c r="AL221" i="21" s="1"/>
  <c r="Z221" i="21"/>
  <c r="Y221" i="21"/>
  <c r="AG221" i="21" s="1"/>
  <c r="W221" i="21"/>
  <c r="S221" i="21"/>
  <c r="R221" i="21"/>
  <c r="AE220" i="21"/>
  <c r="AD220" i="21"/>
  <c r="Z220" i="21"/>
  <c r="AH220" i="21" s="1"/>
  <c r="Y220" i="21"/>
  <c r="AG220" i="21" s="1"/>
  <c r="W220" i="21"/>
  <c r="S220" i="21"/>
  <c r="R220" i="21"/>
  <c r="AE219" i="21"/>
  <c r="AD219" i="21"/>
  <c r="AL219" i="21" s="1"/>
  <c r="Z219" i="21"/>
  <c r="AH219" i="21" s="1"/>
  <c r="Y219" i="21"/>
  <c r="AG219" i="21" s="1"/>
  <c r="W219" i="21"/>
  <c r="S219" i="21"/>
  <c r="R219" i="21"/>
  <c r="AE218" i="21"/>
  <c r="AD218" i="21"/>
  <c r="AL218" i="21" s="1"/>
  <c r="Z218" i="21"/>
  <c r="AH218" i="21" s="1"/>
  <c r="Y218" i="21"/>
  <c r="W218" i="21"/>
  <c r="S218" i="21"/>
  <c r="R218" i="21"/>
  <c r="AE217" i="21"/>
  <c r="AD217" i="21"/>
  <c r="AL217" i="21" s="1"/>
  <c r="Z217" i="21"/>
  <c r="Y217" i="21"/>
  <c r="AG217" i="21" s="1"/>
  <c r="W217" i="21"/>
  <c r="S217" i="21"/>
  <c r="R217" i="21"/>
  <c r="AE216" i="21"/>
  <c r="AD216" i="21"/>
  <c r="AL216" i="21" s="1"/>
  <c r="Z216" i="21"/>
  <c r="AH216" i="21" s="1"/>
  <c r="Y216" i="21"/>
  <c r="AG216" i="21" s="1"/>
  <c r="W216" i="21"/>
  <c r="S216" i="21"/>
  <c r="R216" i="21"/>
  <c r="AE215" i="21"/>
  <c r="AD215" i="21"/>
  <c r="AL215" i="21" s="1"/>
  <c r="Z215" i="21"/>
  <c r="AH215" i="21" s="1"/>
  <c r="Y215" i="21"/>
  <c r="AG215" i="21" s="1"/>
  <c r="W215" i="21"/>
  <c r="S215" i="21"/>
  <c r="R215" i="21"/>
  <c r="AE214" i="21"/>
  <c r="AD214" i="21"/>
  <c r="AL214" i="21" s="1"/>
  <c r="Z214" i="21"/>
  <c r="AH214" i="21" s="1"/>
  <c r="Y214" i="21"/>
  <c r="AG214" i="21" s="1"/>
  <c r="W214" i="21"/>
  <c r="S214" i="21"/>
  <c r="R214" i="21"/>
  <c r="AE213" i="21"/>
  <c r="AD213" i="21"/>
  <c r="AL213" i="21" s="1"/>
  <c r="Z213" i="21"/>
  <c r="AH213" i="21" s="1"/>
  <c r="Y213" i="21"/>
  <c r="AG213" i="21" s="1"/>
  <c r="W213" i="21"/>
  <c r="S213" i="21"/>
  <c r="R213" i="21"/>
  <c r="AE212" i="21"/>
  <c r="AD212" i="21"/>
  <c r="AL212" i="21" s="1"/>
  <c r="Z212" i="21"/>
  <c r="AH212" i="21" s="1"/>
  <c r="Y212" i="21"/>
  <c r="W212" i="21"/>
  <c r="S212" i="21"/>
  <c r="R212" i="21"/>
  <c r="AE211" i="21"/>
  <c r="AD211" i="21"/>
  <c r="AL211" i="21" s="1"/>
  <c r="Z211" i="21"/>
  <c r="AH211" i="21" s="1"/>
  <c r="Y211" i="21"/>
  <c r="AG211" i="21" s="1"/>
  <c r="W211" i="21"/>
  <c r="S211" i="21"/>
  <c r="R211" i="21"/>
  <c r="AE210" i="21"/>
  <c r="AD210" i="21"/>
  <c r="AL210" i="21" s="1"/>
  <c r="Z210" i="21"/>
  <c r="AH210" i="21" s="1"/>
  <c r="Y210" i="21"/>
  <c r="W210" i="21"/>
  <c r="S210" i="21"/>
  <c r="R210" i="21"/>
  <c r="AE209" i="21"/>
  <c r="AD209" i="21"/>
  <c r="AL209" i="21" s="1"/>
  <c r="Z209" i="21"/>
  <c r="AH209" i="21" s="1"/>
  <c r="Y209" i="21"/>
  <c r="AG209" i="21" s="1"/>
  <c r="W209" i="21"/>
  <c r="S209" i="21"/>
  <c r="R209" i="21"/>
  <c r="AE208" i="21"/>
  <c r="AD208" i="21"/>
  <c r="AL208" i="21" s="1"/>
  <c r="Z208" i="21"/>
  <c r="AH208" i="21" s="1"/>
  <c r="Y208" i="21"/>
  <c r="AG208" i="21" s="1"/>
  <c r="W208" i="21"/>
  <c r="S208" i="21"/>
  <c r="R208" i="21"/>
  <c r="AE207" i="21"/>
  <c r="AD207" i="21"/>
  <c r="AL207" i="21" s="1"/>
  <c r="Z207" i="21"/>
  <c r="AH207" i="21" s="1"/>
  <c r="Y207" i="21"/>
  <c r="W207" i="21"/>
  <c r="S207" i="21"/>
  <c r="R207" i="21"/>
  <c r="AE206" i="21"/>
  <c r="AD206" i="21"/>
  <c r="AL206" i="21" s="1"/>
  <c r="Z206" i="21"/>
  <c r="AH206" i="21" s="1"/>
  <c r="Y206" i="21"/>
  <c r="W206" i="21"/>
  <c r="S206" i="21"/>
  <c r="R206" i="21"/>
  <c r="AE205" i="21"/>
  <c r="AD205" i="21"/>
  <c r="AL205" i="21" s="1"/>
  <c r="Z205" i="21"/>
  <c r="AH205" i="21" s="1"/>
  <c r="Y205" i="21"/>
  <c r="AG205" i="21" s="1"/>
  <c r="W205" i="21"/>
  <c r="S205" i="21"/>
  <c r="R205" i="21"/>
  <c r="AE204" i="21"/>
  <c r="AD204" i="21"/>
  <c r="AL204" i="21" s="1"/>
  <c r="Z204" i="21"/>
  <c r="AH204" i="21" s="1"/>
  <c r="Y204" i="21"/>
  <c r="W204" i="21"/>
  <c r="S204" i="21"/>
  <c r="R204" i="21"/>
  <c r="AE203" i="21"/>
  <c r="AD203" i="21"/>
  <c r="AL203" i="21" s="1"/>
  <c r="Z203" i="21"/>
  <c r="AH203" i="21" s="1"/>
  <c r="Y203" i="21"/>
  <c r="AG203" i="21" s="1"/>
  <c r="W203" i="21"/>
  <c r="S203" i="21"/>
  <c r="R203" i="21"/>
  <c r="AE202" i="21"/>
  <c r="AD202" i="21"/>
  <c r="AL202" i="21" s="1"/>
  <c r="Z202" i="21"/>
  <c r="AH202" i="21" s="1"/>
  <c r="Y202" i="21"/>
  <c r="AG202" i="21" s="1"/>
  <c r="W202" i="21"/>
  <c r="S202" i="21"/>
  <c r="R202" i="21"/>
  <c r="AE201" i="21"/>
  <c r="AD201" i="21"/>
  <c r="AL201" i="21" s="1"/>
  <c r="Z201" i="21"/>
  <c r="AH201" i="21" s="1"/>
  <c r="Y201" i="21"/>
  <c r="AG201" i="21" s="1"/>
  <c r="W201" i="21"/>
  <c r="S201" i="21"/>
  <c r="R201" i="21"/>
  <c r="AE200" i="21"/>
  <c r="AD200" i="21"/>
  <c r="AL200" i="21" s="1"/>
  <c r="Z200" i="21"/>
  <c r="AH200" i="21" s="1"/>
  <c r="Y200" i="21"/>
  <c r="W200" i="21"/>
  <c r="S200" i="21"/>
  <c r="R200" i="21"/>
  <c r="AE199" i="21"/>
  <c r="AD199" i="21"/>
  <c r="AL199" i="21" s="1"/>
  <c r="Z199" i="21"/>
  <c r="AH199" i="21" s="1"/>
  <c r="Y199" i="21"/>
  <c r="AG199" i="21" s="1"/>
  <c r="W199" i="21"/>
  <c r="S199" i="21"/>
  <c r="R199" i="21"/>
  <c r="AE198" i="21"/>
  <c r="AD198" i="21"/>
  <c r="AL198" i="21" s="1"/>
  <c r="Z198" i="21"/>
  <c r="Y198" i="21"/>
  <c r="AG198" i="21" s="1"/>
  <c r="W198" i="21"/>
  <c r="S198" i="21"/>
  <c r="R198" i="21"/>
  <c r="AE197" i="21"/>
  <c r="AD197" i="21"/>
  <c r="AL197" i="21" s="1"/>
  <c r="Z197" i="21"/>
  <c r="AH197" i="21" s="1"/>
  <c r="Y197" i="21"/>
  <c r="AG197" i="21" s="1"/>
  <c r="W197" i="21"/>
  <c r="S197" i="21"/>
  <c r="R197" i="21"/>
  <c r="AE196" i="21"/>
  <c r="AD196" i="21"/>
  <c r="AL196" i="21" s="1"/>
  <c r="Z196" i="21"/>
  <c r="AH196" i="21" s="1"/>
  <c r="Y196" i="21"/>
  <c r="AG196" i="21" s="1"/>
  <c r="W196" i="21"/>
  <c r="S196" i="21"/>
  <c r="R196" i="21"/>
  <c r="AE195" i="21"/>
  <c r="AD195" i="21"/>
  <c r="AL195" i="21" s="1"/>
  <c r="Z195" i="21"/>
  <c r="Y195" i="21"/>
  <c r="AG195" i="21" s="1"/>
  <c r="W195" i="21"/>
  <c r="S195" i="21"/>
  <c r="R195" i="21"/>
  <c r="AE194" i="21"/>
  <c r="AD194" i="21"/>
  <c r="AL194" i="21" s="1"/>
  <c r="Z194" i="21"/>
  <c r="AH194" i="21" s="1"/>
  <c r="Y194" i="21"/>
  <c r="W194" i="21"/>
  <c r="S194" i="21"/>
  <c r="R194" i="21"/>
  <c r="AE193" i="21"/>
  <c r="AD193" i="21"/>
  <c r="AL193" i="21" s="1"/>
  <c r="Z193" i="21"/>
  <c r="Y193" i="21"/>
  <c r="AG193" i="21" s="1"/>
  <c r="W193" i="21"/>
  <c r="S193" i="21"/>
  <c r="R193" i="21"/>
  <c r="AE192" i="21"/>
  <c r="AD192" i="21"/>
  <c r="AL192" i="21" s="1"/>
  <c r="Z192" i="21"/>
  <c r="Y192" i="21"/>
  <c r="AG192" i="21" s="1"/>
  <c r="W192" i="21"/>
  <c r="S192" i="21"/>
  <c r="R192" i="21"/>
  <c r="AE191" i="21"/>
  <c r="AD191" i="21"/>
  <c r="AL191" i="21" s="1"/>
  <c r="Z191" i="21"/>
  <c r="AH191" i="21" s="1"/>
  <c r="Y191" i="21"/>
  <c r="W191" i="21"/>
  <c r="S191" i="21"/>
  <c r="T191" i="21" s="1"/>
  <c r="R191" i="21"/>
  <c r="AE190" i="21"/>
  <c r="AD190" i="21"/>
  <c r="AL190" i="21" s="1"/>
  <c r="Z190" i="21"/>
  <c r="AH190" i="21" s="1"/>
  <c r="Y190" i="21"/>
  <c r="AG190" i="21" s="1"/>
  <c r="W190" i="21"/>
  <c r="S190" i="21"/>
  <c r="R190" i="21"/>
  <c r="AE189" i="21"/>
  <c r="AD189" i="21"/>
  <c r="AL189" i="21" s="1"/>
  <c r="Z189" i="21"/>
  <c r="AH189" i="21" s="1"/>
  <c r="Y189" i="21"/>
  <c r="W189" i="21"/>
  <c r="S189" i="21"/>
  <c r="R189" i="21"/>
  <c r="AE188" i="21"/>
  <c r="AD188" i="21"/>
  <c r="AL188" i="21" s="1"/>
  <c r="Z188" i="21"/>
  <c r="AH188" i="21" s="1"/>
  <c r="Y188" i="21"/>
  <c r="W188" i="21"/>
  <c r="S188" i="21"/>
  <c r="R188" i="21"/>
  <c r="AE187" i="21"/>
  <c r="AD187" i="21"/>
  <c r="AL187" i="21" s="1"/>
  <c r="Z187" i="21"/>
  <c r="AH187" i="21" s="1"/>
  <c r="Y187" i="21"/>
  <c r="AG187" i="21" s="1"/>
  <c r="W187" i="21"/>
  <c r="S187" i="21"/>
  <c r="R187" i="21"/>
  <c r="AE186" i="21"/>
  <c r="AD186" i="21"/>
  <c r="AL186" i="21" s="1"/>
  <c r="Z186" i="21"/>
  <c r="AH186" i="21" s="1"/>
  <c r="Y186" i="21"/>
  <c r="W186" i="21"/>
  <c r="S186" i="21"/>
  <c r="T186" i="21" s="1"/>
  <c r="R186" i="21"/>
  <c r="AE185" i="21"/>
  <c r="AD185" i="21"/>
  <c r="AL185" i="21" s="1"/>
  <c r="Z185" i="21"/>
  <c r="AH185" i="21" s="1"/>
  <c r="Y185" i="21"/>
  <c r="W185" i="21"/>
  <c r="S185" i="21"/>
  <c r="T185" i="21" s="1"/>
  <c r="R185" i="21"/>
  <c r="AE184" i="21"/>
  <c r="AD184" i="21"/>
  <c r="AL184" i="21" s="1"/>
  <c r="Z184" i="21"/>
  <c r="AH184" i="21" s="1"/>
  <c r="Y184" i="21"/>
  <c r="AG184" i="21" s="1"/>
  <c r="W184" i="21"/>
  <c r="S184" i="21"/>
  <c r="R184" i="21"/>
  <c r="AE183" i="21"/>
  <c r="AD183" i="21"/>
  <c r="AL183" i="21" s="1"/>
  <c r="Z183" i="21"/>
  <c r="AH183" i="21" s="1"/>
  <c r="Y183" i="21"/>
  <c r="AG183" i="21" s="1"/>
  <c r="W183" i="21"/>
  <c r="S183" i="21"/>
  <c r="R183" i="21"/>
  <c r="AE182" i="21"/>
  <c r="AD182" i="21"/>
  <c r="AL182" i="21" s="1"/>
  <c r="Z182" i="21"/>
  <c r="AH182" i="21" s="1"/>
  <c r="Y182" i="21"/>
  <c r="AG182" i="21" s="1"/>
  <c r="W182" i="21"/>
  <c r="S182" i="21"/>
  <c r="R182" i="21"/>
  <c r="AE181" i="21"/>
  <c r="AD181" i="21"/>
  <c r="AL181" i="21" s="1"/>
  <c r="Z181" i="21"/>
  <c r="AH181" i="21" s="1"/>
  <c r="Y181" i="21"/>
  <c r="AG181" i="21" s="1"/>
  <c r="W181" i="21"/>
  <c r="S181" i="21"/>
  <c r="T181" i="21" s="1"/>
  <c r="R181" i="21"/>
  <c r="AE180" i="21"/>
  <c r="AD180" i="21"/>
  <c r="AL180" i="21" s="1"/>
  <c r="Z180" i="21"/>
  <c r="AH180" i="21" s="1"/>
  <c r="Y180" i="21"/>
  <c r="W180" i="21"/>
  <c r="S180" i="21"/>
  <c r="R180" i="21"/>
  <c r="AE179" i="21"/>
  <c r="AD179" i="21"/>
  <c r="AL179" i="21" s="1"/>
  <c r="Z179" i="21"/>
  <c r="AH179" i="21" s="1"/>
  <c r="Y179" i="21"/>
  <c r="W179" i="21"/>
  <c r="S179" i="21"/>
  <c r="T179" i="21" s="1"/>
  <c r="R179" i="21"/>
  <c r="AE178" i="21"/>
  <c r="AD178" i="21"/>
  <c r="AL178" i="21" s="1"/>
  <c r="Z178" i="21"/>
  <c r="AH178" i="21" s="1"/>
  <c r="Y178" i="21"/>
  <c r="AG178" i="21" s="1"/>
  <c r="W178" i="21"/>
  <c r="S178" i="21"/>
  <c r="R178" i="21"/>
  <c r="AE177" i="21"/>
  <c r="AD177" i="21"/>
  <c r="AL177" i="21" s="1"/>
  <c r="Z177" i="21"/>
  <c r="AH177" i="21" s="1"/>
  <c r="Y177" i="21"/>
  <c r="AG177" i="21" s="1"/>
  <c r="W177" i="21"/>
  <c r="S177" i="21"/>
  <c r="T177" i="21" s="1"/>
  <c r="R177" i="21"/>
  <c r="AE176" i="21"/>
  <c r="AD176" i="21"/>
  <c r="AL176" i="21" s="1"/>
  <c r="Z176" i="21"/>
  <c r="AH176" i="21" s="1"/>
  <c r="Y176" i="21"/>
  <c r="AG176" i="21" s="1"/>
  <c r="W176" i="21"/>
  <c r="S176" i="21"/>
  <c r="R176" i="21"/>
  <c r="AE175" i="21"/>
  <c r="AD175" i="21"/>
  <c r="AL175" i="21" s="1"/>
  <c r="Z175" i="21"/>
  <c r="AH175" i="21" s="1"/>
  <c r="Y175" i="21"/>
  <c r="AG175" i="21" s="1"/>
  <c r="W175" i="21"/>
  <c r="S175" i="21"/>
  <c r="R175" i="21"/>
  <c r="AE174" i="21"/>
  <c r="AD174" i="21"/>
  <c r="AL174" i="21" s="1"/>
  <c r="Z174" i="21"/>
  <c r="AH174" i="21" s="1"/>
  <c r="Y174" i="21"/>
  <c r="W174" i="21"/>
  <c r="S174" i="21"/>
  <c r="R174" i="21"/>
  <c r="AE173" i="21"/>
  <c r="AD173" i="21"/>
  <c r="AL173" i="21" s="1"/>
  <c r="Z173" i="21"/>
  <c r="AH173" i="21" s="1"/>
  <c r="Y173" i="21"/>
  <c r="AG173" i="21" s="1"/>
  <c r="W173" i="21"/>
  <c r="S173" i="21"/>
  <c r="R173" i="21"/>
  <c r="AE172" i="21"/>
  <c r="AD172" i="21"/>
  <c r="AL172" i="21" s="1"/>
  <c r="Z172" i="21"/>
  <c r="AH172" i="21" s="1"/>
  <c r="Y172" i="21"/>
  <c r="AG172" i="21" s="1"/>
  <c r="W172" i="21"/>
  <c r="S172" i="21"/>
  <c r="T172" i="21" s="1"/>
  <c r="R172" i="21"/>
  <c r="AE171" i="21"/>
  <c r="AD171" i="21"/>
  <c r="AL171" i="21" s="1"/>
  <c r="Z171" i="21"/>
  <c r="AH171" i="21" s="1"/>
  <c r="Y171" i="21"/>
  <c r="AG171" i="21" s="1"/>
  <c r="W171" i="21"/>
  <c r="S171" i="21"/>
  <c r="R171" i="21"/>
  <c r="AE170" i="21"/>
  <c r="AD170" i="21"/>
  <c r="AL170" i="21" s="1"/>
  <c r="Z170" i="21"/>
  <c r="AH170" i="21" s="1"/>
  <c r="Y170" i="21"/>
  <c r="AG170" i="21" s="1"/>
  <c r="W170" i="21"/>
  <c r="S170" i="21"/>
  <c r="R170" i="21"/>
  <c r="AE169" i="21"/>
  <c r="AD169" i="21"/>
  <c r="AL169" i="21" s="1"/>
  <c r="Z169" i="21"/>
  <c r="AH169" i="21" s="1"/>
  <c r="Y169" i="21"/>
  <c r="W169" i="21"/>
  <c r="S169" i="21"/>
  <c r="R169" i="21"/>
  <c r="AE168" i="21"/>
  <c r="AD168" i="21"/>
  <c r="AL168" i="21" s="1"/>
  <c r="Z168" i="21"/>
  <c r="AH168" i="21" s="1"/>
  <c r="Y168" i="21"/>
  <c r="W168" i="21"/>
  <c r="S168" i="21"/>
  <c r="R168" i="21"/>
  <c r="AE167" i="21"/>
  <c r="AD167" i="21"/>
  <c r="AL167" i="21" s="1"/>
  <c r="Z167" i="21"/>
  <c r="AH167" i="21" s="1"/>
  <c r="Y167" i="21"/>
  <c r="W167" i="21"/>
  <c r="S167" i="21"/>
  <c r="R167" i="21"/>
  <c r="AE166" i="21"/>
  <c r="AD166" i="21"/>
  <c r="AL166" i="21" s="1"/>
  <c r="Z166" i="21"/>
  <c r="AH166" i="21" s="1"/>
  <c r="Y166" i="21"/>
  <c r="AG166" i="21" s="1"/>
  <c r="W166" i="21"/>
  <c r="S166" i="21"/>
  <c r="T166" i="21" s="1"/>
  <c r="R166" i="21"/>
  <c r="AE165" i="21"/>
  <c r="AD165" i="21"/>
  <c r="AL165" i="21" s="1"/>
  <c r="Z165" i="21"/>
  <c r="AH165" i="21" s="1"/>
  <c r="Y165" i="21"/>
  <c r="AG165" i="21" s="1"/>
  <c r="W165" i="21"/>
  <c r="S165" i="21"/>
  <c r="R165" i="21"/>
  <c r="AE164" i="21"/>
  <c r="AD164" i="21"/>
  <c r="AL164" i="21" s="1"/>
  <c r="Z164" i="21"/>
  <c r="AH164" i="21" s="1"/>
  <c r="Y164" i="21"/>
  <c r="AG164" i="21" s="1"/>
  <c r="W164" i="21"/>
  <c r="S164" i="21"/>
  <c r="R164" i="21"/>
  <c r="AE163" i="21"/>
  <c r="AD163" i="21"/>
  <c r="AL163" i="21" s="1"/>
  <c r="Z163" i="21"/>
  <c r="AH163" i="21" s="1"/>
  <c r="Y163" i="21"/>
  <c r="W163" i="21"/>
  <c r="S163" i="21"/>
  <c r="T163" i="21" s="1"/>
  <c r="R163" i="21"/>
  <c r="AE162" i="21"/>
  <c r="AD162" i="21"/>
  <c r="AL162" i="21" s="1"/>
  <c r="Z162" i="21"/>
  <c r="AH162" i="21" s="1"/>
  <c r="Y162" i="21"/>
  <c r="W162" i="21"/>
  <c r="S162" i="21"/>
  <c r="R162" i="21"/>
  <c r="AE161" i="21"/>
  <c r="AD161" i="21"/>
  <c r="AL161" i="21" s="1"/>
  <c r="Z161" i="21"/>
  <c r="AH161" i="21" s="1"/>
  <c r="Y161" i="21"/>
  <c r="W161" i="21"/>
  <c r="S161" i="21"/>
  <c r="R161" i="21"/>
  <c r="AE160" i="21"/>
  <c r="AD160" i="21"/>
  <c r="AL160" i="21" s="1"/>
  <c r="Z160" i="21"/>
  <c r="AH160" i="21" s="1"/>
  <c r="Y160" i="21"/>
  <c r="AG160" i="21" s="1"/>
  <c r="W160" i="21"/>
  <c r="S160" i="21"/>
  <c r="R160" i="21"/>
  <c r="AE159" i="21"/>
  <c r="AD159" i="21"/>
  <c r="AL159" i="21" s="1"/>
  <c r="Z159" i="21"/>
  <c r="AH159" i="21" s="1"/>
  <c r="Y159" i="21"/>
  <c r="AG159" i="21" s="1"/>
  <c r="W159" i="21"/>
  <c r="S159" i="21"/>
  <c r="R159" i="21"/>
  <c r="AE158" i="21"/>
  <c r="AD158" i="21"/>
  <c r="AL158" i="21" s="1"/>
  <c r="Z158" i="21"/>
  <c r="AH158" i="21" s="1"/>
  <c r="Y158" i="21"/>
  <c r="AG158" i="21" s="1"/>
  <c r="W158" i="21"/>
  <c r="S158" i="21"/>
  <c r="R158" i="21"/>
  <c r="AE157" i="21"/>
  <c r="AD157" i="21"/>
  <c r="AL157" i="21" s="1"/>
  <c r="Z157" i="21"/>
  <c r="AH157" i="21" s="1"/>
  <c r="Y157" i="21"/>
  <c r="W157" i="21"/>
  <c r="S157" i="21"/>
  <c r="R157" i="21"/>
  <c r="AE156" i="21"/>
  <c r="AD156" i="21"/>
  <c r="AL156" i="21" s="1"/>
  <c r="Z156" i="21"/>
  <c r="AH156" i="21" s="1"/>
  <c r="Y156" i="21"/>
  <c r="W156" i="21"/>
  <c r="S156" i="21"/>
  <c r="R156" i="21"/>
  <c r="AE155" i="21"/>
  <c r="AD155" i="21"/>
  <c r="AL155" i="21" s="1"/>
  <c r="Z155" i="21"/>
  <c r="AH155" i="21" s="1"/>
  <c r="Y155" i="21"/>
  <c r="W155" i="21"/>
  <c r="S155" i="21"/>
  <c r="R155" i="21"/>
  <c r="AE154" i="21"/>
  <c r="AD154" i="21"/>
  <c r="AL154" i="21" s="1"/>
  <c r="Z154" i="21"/>
  <c r="AH154" i="21" s="1"/>
  <c r="Y154" i="21"/>
  <c r="AG154" i="21" s="1"/>
  <c r="W154" i="21"/>
  <c r="S154" i="21"/>
  <c r="T154" i="21" s="1"/>
  <c r="R154" i="21"/>
  <c r="AE153" i="21"/>
  <c r="AD153" i="21"/>
  <c r="AL153" i="21" s="1"/>
  <c r="Z153" i="21"/>
  <c r="AH153" i="21" s="1"/>
  <c r="Y153" i="21"/>
  <c r="AG153" i="21" s="1"/>
  <c r="W153" i="21"/>
  <c r="S153" i="21"/>
  <c r="T153" i="21" s="1"/>
  <c r="R153" i="21"/>
  <c r="AE152" i="21"/>
  <c r="AD152" i="21"/>
  <c r="AL152" i="21" s="1"/>
  <c r="Z152" i="21"/>
  <c r="AH152" i="21" s="1"/>
  <c r="Y152" i="21"/>
  <c r="AG152" i="21" s="1"/>
  <c r="W152" i="21"/>
  <c r="S152" i="21"/>
  <c r="R152" i="21"/>
  <c r="AE151" i="21"/>
  <c r="AD151" i="21"/>
  <c r="AL151" i="21" s="1"/>
  <c r="Z151" i="21"/>
  <c r="AH151" i="21" s="1"/>
  <c r="Y151" i="21"/>
  <c r="W151" i="21"/>
  <c r="S151" i="21"/>
  <c r="T151" i="21" s="1"/>
  <c r="R151" i="21"/>
  <c r="AE150" i="21"/>
  <c r="AD150" i="21"/>
  <c r="AL150" i="21" s="1"/>
  <c r="Z150" i="21"/>
  <c r="AH150" i="21" s="1"/>
  <c r="Y150" i="21"/>
  <c r="W150" i="21"/>
  <c r="S150" i="21"/>
  <c r="R150" i="21"/>
  <c r="AE149" i="21"/>
  <c r="AD149" i="21"/>
  <c r="AL149" i="21" s="1"/>
  <c r="Z149" i="21"/>
  <c r="AH149" i="21" s="1"/>
  <c r="Y149" i="21"/>
  <c r="W149" i="21"/>
  <c r="S149" i="21"/>
  <c r="T149" i="21" s="1"/>
  <c r="R149" i="21"/>
  <c r="AE148" i="21"/>
  <c r="AD148" i="21"/>
  <c r="AL148" i="21" s="1"/>
  <c r="Z148" i="21"/>
  <c r="AH148" i="21" s="1"/>
  <c r="Y148" i="21"/>
  <c r="W148" i="21"/>
  <c r="S148" i="21"/>
  <c r="R148" i="21"/>
  <c r="AE147" i="21"/>
  <c r="AD147" i="21"/>
  <c r="AL147" i="21" s="1"/>
  <c r="Z147" i="21"/>
  <c r="AH147" i="21" s="1"/>
  <c r="Y147" i="21"/>
  <c r="AG147" i="21" s="1"/>
  <c r="W147" i="21"/>
  <c r="S147" i="21"/>
  <c r="T147" i="21" s="1"/>
  <c r="R147" i="21"/>
  <c r="AE146" i="21"/>
  <c r="AD146" i="21"/>
  <c r="AL146" i="21" s="1"/>
  <c r="Z146" i="21"/>
  <c r="AH146" i="21" s="1"/>
  <c r="Y146" i="21"/>
  <c r="W146" i="21"/>
  <c r="S146" i="21"/>
  <c r="R146" i="21"/>
  <c r="AE145" i="21"/>
  <c r="AD145" i="21"/>
  <c r="AL145" i="21" s="1"/>
  <c r="Z145" i="21"/>
  <c r="AH145" i="21" s="1"/>
  <c r="Y145" i="21"/>
  <c r="AG145" i="21" s="1"/>
  <c r="W145" i="21"/>
  <c r="S145" i="21"/>
  <c r="R145" i="21"/>
  <c r="AE144" i="21"/>
  <c r="AD144" i="21"/>
  <c r="AL144" i="21" s="1"/>
  <c r="Z144" i="21"/>
  <c r="AH144" i="21" s="1"/>
  <c r="Y144" i="21"/>
  <c r="W144" i="21"/>
  <c r="S144" i="21"/>
  <c r="R144" i="21"/>
  <c r="AE143" i="21"/>
  <c r="AD143" i="21"/>
  <c r="AL143" i="21" s="1"/>
  <c r="Z143" i="21"/>
  <c r="AH143" i="21" s="1"/>
  <c r="Y143" i="21"/>
  <c r="AG143" i="21" s="1"/>
  <c r="W143" i="21"/>
  <c r="S143" i="21"/>
  <c r="R143" i="21"/>
  <c r="AE142" i="21"/>
  <c r="AD142" i="21"/>
  <c r="AL142" i="21" s="1"/>
  <c r="Z142" i="21"/>
  <c r="AH142" i="21" s="1"/>
  <c r="Y142" i="21"/>
  <c r="W142" i="21"/>
  <c r="S142" i="21"/>
  <c r="R142" i="21"/>
  <c r="AE141" i="21"/>
  <c r="AD141" i="21"/>
  <c r="AL141" i="21" s="1"/>
  <c r="Z141" i="21"/>
  <c r="AH141" i="21" s="1"/>
  <c r="Y141" i="21"/>
  <c r="W141" i="21"/>
  <c r="S141" i="21"/>
  <c r="R141" i="21"/>
  <c r="AE140" i="21"/>
  <c r="AD140" i="21"/>
  <c r="AL140" i="21" s="1"/>
  <c r="Z140" i="21"/>
  <c r="AH140" i="21" s="1"/>
  <c r="Y140" i="21"/>
  <c r="W140" i="21"/>
  <c r="S140" i="21"/>
  <c r="R140" i="21"/>
  <c r="AE139" i="21"/>
  <c r="AD139" i="21"/>
  <c r="AL139" i="21" s="1"/>
  <c r="Z139" i="21"/>
  <c r="AH139" i="21" s="1"/>
  <c r="Y139" i="21"/>
  <c r="W139" i="21"/>
  <c r="S139" i="21"/>
  <c r="R139" i="21"/>
  <c r="AE138" i="21"/>
  <c r="AD138" i="21"/>
  <c r="AL138" i="21" s="1"/>
  <c r="Z138" i="21"/>
  <c r="AH138" i="21" s="1"/>
  <c r="Y138" i="21"/>
  <c r="W138" i="21"/>
  <c r="S138" i="21"/>
  <c r="R138" i="21"/>
  <c r="AE137" i="21"/>
  <c r="AD137" i="21"/>
  <c r="AL137" i="21" s="1"/>
  <c r="Z137" i="21"/>
  <c r="AH137" i="21" s="1"/>
  <c r="Y137" i="21"/>
  <c r="AG137" i="21" s="1"/>
  <c r="W137" i="21"/>
  <c r="S137" i="21"/>
  <c r="R137" i="21"/>
  <c r="AE136" i="21"/>
  <c r="AD136" i="21"/>
  <c r="AL136" i="21" s="1"/>
  <c r="Z136" i="21"/>
  <c r="AH136" i="21" s="1"/>
  <c r="Y136" i="21"/>
  <c r="W136" i="21"/>
  <c r="S136" i="21"/>
  <c r="R136" i="21"/>
  <c r="AE135" i="21"/>
  <c r="AD135" i="21"/>
  <c r="AL135" i="21" s="1"/>
  <c r="Z135" i="21"/>
  <c r="AH135" i="21" s="1"/>
  <c r="Y135" i="21"/>
  <c r="W135" i="21"/>
  <c r="S135" i="21"/>
  <c r="R135" i="21"/>
  <c r="AE134" i="21"/>
  <c r="AD134" i="21"/>
  <c r="AL134" i="21" s="1"/>
  <c r="Z134" i="21"/>
  <c r="AH134" i="21" s="1"/>
  <c r="Y134" i="21"/>
  <c r="W134" i="21"/>
  <c r="S134" i="21"/>
  <c r="R134" i="21"/>
  <c r="AE133" i="21"/>
  <c r="AD133" i="21"/>
  <c r="AL133" i="21" s="1"/>
  <c r="Z133" i="21"/>
  <c r="AH133" i="21" s="1"/>
  <c r="Y133" i="21"/>
  <c r="AG133" i="21" s="1"/>
  <c r="W133" i="21"/>
  <c r="S133" i="21"/>
  <c r="R133" i="21"/>
  <c r="AE132" i="21"/>
  <c r="AD132" i="21"/>
  <c r="AL132" i="21" s="1"/>
  <c r="Z132" i="21"/>
  <c r="AH132" i="21" s="1"/>
  <c r="Y132" i="21"/>
  <c r="W132" i="21"/>
  <c r="S132" i="21"/>
  <c r="R132" i="21"/>
  <c r="AE131" i="21"/>
  <c r="AD131" i="21"/>
  <c r="AL131" i="21" s="1"/>
  <c r="Z131" i="21"/>
  <c r="AH131" i="21" s="1"/>
  <c r="Y131" i="21"/>
  <c r="W131" i="21"/>
  <c r="S131" i="21"/>
  <c r="R131" i="21"/>
  <c r="AE130" i="21"/>
  <c r="AD130" i="21"/>
  <c r="AL130" i="21" s="1"/>
  <c r="Z130" i="21"/>
  <c r="AH130" i="21" s="1"/>
  <c r="Y130" i="21"/>
  <c r="W130" i="21"/>
  <c r="S130" i="21"/>
  <c r="R130" i="21"/>
  <c r="AE129" i="21"/>
  <c r="AD129" i="21"/>
  <c r="AL129" i="21" s="1"/>
  <c r="Z129" i="21"/>
  <c r="AH129" i="21" s="1"/>
  <c r="Y129" i="21"/>
  <c r="W129" i="21"/>
  <c r="S129" i="21"/>
  <c r="R129" i="21"/>
  <c r="AE128" i="21"/>
  <c r="AD128" i="21"/>
  <c r="AL128" i="21" s="1"/>
  <c r="Z128" i="21"/>
  <c r="AH128" i="21" s="1"/>
  <c r="Y128" i="21"/>
  <c r="W128" i="21"/>
  <c r="S128" i="21"/>
  <c r="R128" i="21"/>
  <c r="AE127" i="21"/>
  <c r="AD127" i="21"/>
  <c r="AL127" i="21" s="1"/>
  <c r="Z127" i="21"/>
  <c r="AH127" i="21" s="1"/>
  <c r="Y127" i="21"/>
  <c r="W127" i="21"/>
  <c r="S127" i="21"/>
  <c r="R127" i="21"/>
  <c r="AE126" i="21"/>
  <c r="AD126" i="21"/>
  <c r="AL126" i="21" s="1"/>
  <c r="Z126" i="21"/>
  <c r="AH126" i="21" s="1"/>
  <c r="Y126" i="21"/>
  <c r="W126" i="21"/>
  <c r="S126" i="21"/>
  <c r="R126" i="21"/>
  <c r="AE125" i="21"/>
  <c r="AD125" i="21"/>
  <c r="AL125" i="21" s="1"/>
  <c r="Z125" i="21"/>
  <c r="AH125" i="21" s="1"/>
  <c r="Y125" i="21"/>
  <c r="W125" i="21"/>
  <c r="S125" i="21"/>
  <c r="R125" i="21"/>
  <c r="AE124" i="21"/>
  <c r="AD124" i="21"/>
  <c r="AL124" i="21" s="1"/>
  <c r="Z124" i="21"/>
  <c r="AH124" i="21" s="1"/>
  <c r="Y124" i="21"/>
  <c r="W124" i="21"/>
  <c r="S124" i="21"/>
  <c r="R124" i="21"/>
  <c r="AE123" i="21"/>
  <c r="AD123" i="21"/>
  <c r="AL123" i="21" s="1"/>
  <c r="Z123" i="21"/>
  <c r="AH123" i="21" s="1"/>
  <c r="Y123" i="21"/>
  <c r="W123" i="21"/>
  <c r="S123" i="21"/>
  <c r="R123" i="21"/>
  <c r="AE122" i="21"/>
  <c r="AD122" i="21"/>
  <c r="AL122" i="21" s="1"/>
  <c r="Z122" i="21"/>
  <c r="AH122" i="21" s="1"/>
  <c r="Y122" i="21"/>
  <c r="W122" i="21"/>
  <c r="S122" i="21"/>
  <c r="R122" i="21"/>
  <c r="AE121" i="21"/>
  <c r="AD121" i="21"/>
  <c r="AL121" i="21" s="1"/>
  <c r="Z121" i="21"/>
  <c r="AH121" i="21" s="1"/>
  <c r="Y121" i="21"/>
  <c r="AG121" i="21" s="1"/>
  <c r="W121" i="21"/>
  <c r="S121" i="21"/>
  <c r="R121" i="21"/>
  <c r="AE120" i="21"/>
  <c r="AD120" i="21"/>
  <c r="AL120" i="21" s="1"/>
  <c r="Z120" i="21"/>
  <c r="AH120" i="21" s="1"/>
  <c r="Y120" i="21"/>
  <c r="W120" i="21"/>
  <c r="S120" i="21"/>
  <c r="R120" i="21"/>
  <c r="AE119" i="21"/>
  <c r="AD119" i="21"/>
  <c r="AL119" i="21" s="1"/>
  <c r="Z119" i="21"/>
  <c r="AH119" i="21" s="1"/>
  <c r="Y119" i="21"/>
  <c r="W119" i="21"/>
  <c r="S119" i="21"/>
  <c r="R119" i="21"/>
  <c r="AE118" i="21"/>
  <c r="AD118" i="21"/>
  <c r="AL118" i="21" s="1"/>
  <c r="Z118" i="21"/>
  <c r="AH118" i="21" s="1"/>
  <c r="Y118" i="21"/>
  <c r="W118" i="21"/>
  <c r="S118" i="21"/>
  <c r="R118" i="21"/>
  <c r="AE117" i="21"/>
  <c r="AD117" i="21"/>
  <c r="AL117" i="21" s="1"/>
  <c r="Z117" i="21"/>
  <c r="AH117" i="21" s="1"/>
  <c r="Y117" i="21"/>
  <c r="AG117" i="21" s="1"/>
  <c r="W117" i="21"/>
  <c r="S117" i="21"/>
  <c r="R117" i="21"/>
  <c r="AE116" i="21"/>
  <c r="AD116" i="21"/>
  <c r="AL116" i="21" s="1"/>
  <c r="Z116" i="21"/>
  <c r="AH116" i="21" s="1"/>
  <c r="Y116" i="21"/>
  <c r="W116" i="21"/>
  <c r="S116" i="21"/>
  <c r="R116" i="21"/>
  <c r="AE115" i="21"/>
  <c r="AD115" i="21"/>
  <c r="AL115" i="21" s="1"/>
  <c r="Z115" i="21"/>
  <c r="AH115" i="21" s="1"/>
  <c r="Y115" i="21"/>
  <c r="W115" i="21"/>
  <c r="S115" i="21"/>
  <c r="R115" i="21"/>
  <c r="AE114" i="21"/>
  <c r="AD114" i="21"/>
  <c r="AL114" i="21" s="1"/>
  <c r="Z114" i="21"/>
  <c r="AH114" i="21" s="1"/>
  <c r="Y114" i="21"/>
  <c r="AG114" i="21" s="1"/>
  <c r="W114" i="21"/>
  <c r="S114" i="21"/>
  <c r="R114" i="21"/>
  <c r="AE113" i="21"/>
  <c r="AD113" i="21"/>
  <c r="AL113" i="21" s="1"/>
  <c r="Z113" i="21"/>
  <c r="AH113" i="21" s="1"/>
  <c r="Y113" i="21"/>
  <c r="AG113" i="21" s="1"/>
  <c r="W113" i="21"/>
  <c r="S113" i="21"/>
  <c r="R113" i="21"/>
  <c r="AE112" i="21"/>
  <c r="AD112" i="21"/>
  <c r="AL112" i="21" s="1"/>
  <c r="Z112" i="21"/>
  <c r="AH112" i="21" s="1"/>
  <c r="Y112" i="21"/>
  <c r="W112" i="21"/>
  <c r="S112" i="21"/>
  <c r="R112" i="21"/>
  <c r="AE111" i="21"/>
  <c r="AD111" i="21"/>
  <c r="AL111" i="21" s="1"/>
  <c r="Z111" i="21"/>
  <c r="AH111" i="21" s="1"/>
  <c r="Y111" i="21"/>
  <c r="W111" i="21"/>
  <c r="S111" i="21"/>
  <c r="R111" i="21"/>
  <c r="AE110" i="21"/>
  <c r="AD110" i="21"/>
  <c r="AL110" i="21" s="1"/>
  <c r="Z110" i="21"/>
  <c r="AH110" i="21" s="1"/>
  <c r="Y110" i="21"/>
  <c r="AG110" i="21" s="1"/>
  <c r="W110" i="21"/>
  <c r="S110" i="21"/>
  <c r="R110" i="21"/>
  <c r="AE109" i="21"/>
  <c r="AD109" i="21"/>
  <c r="AL109" i="21" s="1"/>
  <c r="Z109" i="21"/>
  <c r="AH109" i="21" s="1"/>
  <c r="Y109" i="21"/>
  <c r="AG109" i="21" s="1"/>
  <c r="W109" i="21"/>
  <c r="S109" i="21"/>
  <c r="R109" i="21"/>
  <c r="AE108" i="21"/>
  <c r="AD108" i="21"/>
  <c r="AL108" i="21" s="1"/>
  <c r="Z108" i="21"/>
  <c r="AH108" i="21" s="1"/>
  <c r="Y108" i="21"/>
  <c r="W108" i="21"/>
  <c r="S108" i="21"/>
  <c r="R108" i="21"/>
  <c r="AE107" i="21"/>
  <c r="AD107" i="21"/>
  <c r="AL107" i="21" s="1"/>
  <c r="Z107" i="21"/>
  <c r="AH107" i="21" s="1"/>
  <c r="Y107" i="21"/>
  <c r="W107" i="21"/>
  <c r="S107" i="21"/>
  <c r="R107" i="21"/>
  <c r="AE106" i="21"/>
  <c r="AD106" i="21"/>
  <c r="AL106" i="21" s="1"/>
  <c r="Z106" i="21"/>
  <c r="AH106" i="21" s="1"/>
  <c r="Y106" i="21"/>
  <c r="AG106" i="21" s="1"/>
  <c r="W106" i="21"/>
  <c r="S106" i="21"/>
  <c r="R106" i="21"/>
  <c r="AE105" i="21"/>
  <c r="AD105" i="21"/>
  <c r="AL105" i="21" s="1"/>
  <c r="Z105" i="21"/>
  <c r="AH105" i="21" s="1"/>
  <c r="Y105" i="21"/>
  <c r="AG105" i="21" s="1"/>
  <c r="W105" i="21"/>
  <c r="S105" i="21"/>
  <c r="R105" i="21"/>
  <c r="AE104" i="21"/>
  <c r="AD104" i="21"/>
  <c r="AL104" i="21" s="1"/>
  <c r="Z104" i="21"/>
  <c r="AH104" i="21" s="1"/>
  <c r="Y104" i="21"/>
  <c r="W104" i="21"/>
  <c r="S104" i="21"/>
  <c r="R104" i="21"/>
  <c r="AE103" i="21"/>
  <c r="AD103" i="21"/>
  <c r="AL103" i="21" s="1"/>
  <c r="Z103" i="21"/>
  <c r="AH103" i="21" s="1"/>
  <c r="Y103" i="21"/>
  <c r="AG103" i="21" s="1"/>
  <c r="W103" i="21"/>
  <c r="S103" i="21"/>
  <c r="R103" i="21"/>
  <c r="AE102" i="21"/>
  <c r="AD102" i="21"/>
  <c r="AL102" i="21" s="1"/>
  <c r="Z102" i="21"/>
  <c r="AH102" i="21" s="1"/>
  <c r="Y102" i="21"/>
  <c r="W102" i="21"/>
  <c r="S102" i="21"/>
  <c r="R102" i="21"/>
  <c r="AE101" i="21"/>
  <c r="AD101" i="21"/>
  <c r="AL101" i="21" s="1"/>
  <c r="Z101" i="21"/>
  <c r="AH101" i="21" s="1"/>
  <c r="Y101" i="21"/>
  <c r="AG101" i="21" s="1"/>
  <c r="W101" i="21"/>
  <c r="S101" i="21"/>
  <c r="T101" i="21" s="1"/>
  <c r="R101" i="21"/>
  <c r="AE100" i="21"/>
  <c r="AD100" i="21"/>
  <c r="AL100" i="21" s="1"/>
  <c r="Z100" i="21"/>
  <c r="AH100" i="21" s="1"/>
  <c r="Y100" i="21"/>
  <c r="AG100" i="21" s="1"/>
  <c r="W100" i="21"/>
  <c r="S100" i="21"/>
  <c r="R100" i="21"/>
  <c r="AE99" i="21"/>
  <c r="AD99" i="21"/>
  <c r="AL99" i="21" s="1"/>
  <c r="Z99" i="21"/>
  <c r="AH99" i="21" s="1"/>
  <c r="Y99" i="21"/>
  <c r="AG99" i="21" s="1"/>
  <c r="W99" i="21"/>
  <c r="S99" i="21"/>
  <c r="R99" i="21"/>
  <c r="AE98" i="21"/>
  <c r="AD98" i="21"/>
  <c r="AL98" i="21" s="1"/>
  <c r="Z98" i="21"/>
  <c r="AH98" i="21" s="1"/>
  <c r="Y98" i="21"/>
  <c r="AG98" i="21" s="1"/>
  <c r="W98" i="21"/>
  <c r="S98" i="21"/>
  <c r="R98" i="21"/>
  <c r="AE97" i="21"/>
  <c r="AD97" i="21"/>
  <c r="AL97" i="21" s="1"/>
  <c r="Z97" i="21"/>
  <c r="AH97" i="21" s="1"/>
  <c r="Y97" i="21"/>
  <c r="W97" i="21"/>
  <c r="S97" i="21"/>
  <c r="R97" i="21"/>
  <c r="AE96" i="21"/>
  <c r="AD96" i="21"/>
  <c r="AL96" i="21" s="1"/>
  <c r="Z96" i="21"/>
  <c r="AH96" i="21" s="1"/>
  <c r="Y96" i="21"/>
  <c r="W96" i="21"/>
  <c r="S96" i="21"/>
  <c r="R96" i="21"/>
  <c r="AE95" i="21"/>
  <c r="AD95" i="21"/>
  <c r="AL95" i="21" s="1"/>
  <c r="Z95" i="21"/>
  <c r="AH95" i="21" s="1"/>
  <c r="Y95" i="21"/>
  <c r="W95" i="21"/>
  <c r="S95" i="21"/>
  <c r="R95" i="21"/>
  <c r="AE94" i="21"/>
  <c r="AD94" i="21"/>
  <c r="AL94" i="21" s="1"/>
  <c r="Z94" i="21"/>
  <c r="AH94" i="21" s="1"/>
  <c r="Y94" i="21"/>
  <c r="W94" i="21"/>
  <c r="S94" i="21"/>
  <c r="T94" i="21" s="1"/>
  <c r="R94" i="21"/>
  <c r="AE93" i="21"/>
  <c r="AD93" i="21"/>
  <c r="AL93" i="21" s="1"/>
  <c r="Z93" i="21"/>
  <c r="AH93" i="21" s="1"/>
  <c r="Y93" i="21"/>
  <c r="W93" i="21"/>
  <c r="S93" i="21"/>
  <c r="R93" i="21"/>
  <c r="AE92" i="21"/>
  <c r="AD92" i="21"/>
  <c r="AL92" i="21" s="1"/>
  <c r="Z92" i="21"/>
  <c r="AH92" i="21" s="1"/>
  <c r="Y92" i="21"/>
  <c r="W92" i="21"/>
  <c r="S92" i="21"/>
  <c r="T92" i="21" s="1"/>
  <c r="R92" i="21"/>
  <c r="AE91" i="21"/>
  <c r="AD91" i="21"/>
  <c r="AL91" i="21" s="1"/>
  <c r="Z91" i="21"/>
  <c r="AH91" i="21" s="1"/>
  <c r="Y91" i="21"/>
  <c r="AG91" i="21" s="1"/>
  <c r="W91" i="21"/>
  <c r="S91" i="21"/>
  <c r="T91" i="21" s="1"/>
  <c r="R91" i="21"/>
  <c r="AE90" i="21"/>
  <c r="AD90" i="21"/>
  <c r="AL90" i="21" s="1"/>
  <c r="Z90" i="21"/>
  <c r="AH90" i="21" s="1"/>
  <c r="Y90" i="21"/>
  <c r="AG90" i="21" s="1"/>
  <c r="W90" i="21"/>
  <c r="S90" i="21"/>
  <c r="T90" i="21" s="1"/>
  <c r="R90" i="21"/>
  <c r="AE89" i="21"/>
  <c r="AD89" i="21"/>
  <c r="AL89" i="21" s="1"/>
  <c r="Z89" i="21"/>
  <c r="AH89" i="21" s="1"/>
  <c r="Y89" i="21"/>
  <c r="AG89" i="21" s="1"/>
  <c r="W89" i="21"/>
  <c r="S89" i="21"/>
  <c r="R89" i="21"/>
  <c r="AE88" i="21"/>
  <c r="AD88" i="21"/>
  <c r="AL88" i="21" s="1"/>
  <c r="Z88" i="21"/>
  <c r="AH88" i="21" s="1"/>
  <c r="Y88" i="21"/>
  <c r="AG88" i="21" s="1"/>
  <c r="W88" i="21"/>
  <c r="S88" i="21"/>
  <c r="T88" i="21" s="1"/>
  <c r="R88" i="21"/>
  <c r="AE87" i="21"/>
  <c r="AD87" i="21"/>
  <c r="AL87" i="21" s="1"/>
  <c r="Z87" i="21"/>
  <c r="AH87" i="21" s="1"/>
  <c r="Y87" i="21"/>
  <c r="AG87" i="21" s="1"/>
  <c r="W87" i="21"/>
  <c r="S87" i="21"/>
  <c r="R87" i="21"/>
  <c r="AE86" i="21"/>
  <c r="AD86" i="21"/>
  <c r="AL86" i="21" s="1"/>
  <c r="Z86" i="21"/>
  <c r="AH86" i="21" s="1"/>
  <c r="Y86" i="21"/>
  <c r="AG86" i="21" s="1"/>
  <c r="W86" i="21"/>
  <c r="S86" i="21"/>
  <c r="R86" i="21"/>
  <c r="AE85" i="21"/>
  <c r="AD85" i="21"/>
  <c r="AL85" i="21" s="1"/>
  <c r="Z85" i="21"/>
  <c r="AH85" i="21" s="1"/>
  <c r="Y85" i="21"/>
  <c r="W85" i="21"/>
  <c r="S85" i="21"/>
  <c r="R85" i="21"/>
  <c r="AE84" i="21"/>
  <c r="AD84" i="21"/>
  <c r="AL84" i="21" s="1"/>
  <c r="Z84" i="21"/>
  <c r="AH84" i="21" s="1"/>
  <c r="Y84" i="21"/>
  <c r="W84" i="21"/>
  <c r="S84" i="21"/>
  <c r="R84" i="21"/>
  <c r="AE83" i="21"/>
  <c r="AD83" i="21"/>
  <c r="AL83" i="21" s="1"/>
  <c r="Z83" i="21"/>
  <c r="AH83" i="21" s="1"/>
  <c r="Y83" i="21"/>
  <c r="W83" i="21"/>
  <c r="S83" i="21"/>
  <c r="R83" i="21"/>
  <c r="AE82" i="21"/>
  <c r="AD82" i="21"/>
  <c r="AL82" i="21" s="1"/>
  <c r="Z82" i="21"/>
  <c r="AH82" i="21" s="1"/>
  <c r="Y82" i="21"/>
  <c r="AG82" i="21" s="1"/>
  <c r="W82" i="21"/>
  <c r="S82" i="21"/>
  <c r="R82" i="21"/>
  <c r="AE81" i="21"/>
  <c r="AD81" i="21"/>
  <c r="AL81" i="21" s="1"/>
  <c r="Z81" i="21"/>
  <c r="AH81" i="21" s="1"/>
  <c r="Y81" i="21"/>
  <c r="AG81" i="21" s="1"/>
  <c r="W81" i="21"/>
  <c r="S81" i="21"/>
  <c r="T81" i="21" s="1"/>
  <c r="R81" i="21"/>
  <c r="AE80" i="21"/>
  <c r="AD80" i="21"/>
  <c r="AL80" i="21" s="1"/>
  <c r="Z80" i="21"/>
  <c r="AH80" i="21" s="1"/>
  <c r="Y80" i="21"/>
  <c r="W80" i="21"/>
  <c r="S80" i="21"/>
  <c r="T80" i="21" s="1"/>
  <c r="R80" i="21"/>
  <c r="AE79" i="21"/>
  <c r="AD79" i="21"/>
  <c r="AL79" i="21" s="1"/>
  <c r="Z79" i="21"/>
  <c r="AH79" i="21" s="1"/>
  <c r="Y79" i="21"/>
  <c r="W79" i="21"/>
  <c r="S79" i="21"/>
  <c r="R79" i="21"/>
  <c r="AE78" i="21"/>
  <c r="AD78" i="21"/>
  <c r="AL78" i="21" s="1"/>
  <c r="Z78" i="21"/>
  <c r="AH78" i="21" s="1"/>
  <c r="Y78" i="21"/>
  <c r="AG78" i="21" s="1"/>
  <c r="W78" i="21"/>
  <c r="S78" i="21"/>
  <c r="T78" i="21" s="1"/>
  <c r="R78" i="21"/>
  <c r="AE77" i="21"/>
  <c r="AD77" i="21"/>
  <c r="AL77" i="21" s="1"/>
  <c r="Z77" i="21"/>
  <c r="AH77" i="21" s="1"/>
  <c r="Y77" i="21"/>
  <c r="W77" i="21"/>
  <c r="S77" i="21"/>
  <c r="R77" i="21"/>
  <c r="AE76" i="21"/>
  <c r="AD76" i="21"/>
  <c r="AL76" i="21" s="1"/>
  <c r="Z76" i="21"/>
  <c r="AH76" i="21" s="1"/>
  <c r="Y76" i="21"/>
  <c r="AG76" i="21" s="1"/>
  <c r="W76" i="21"/>
  <c r="S76" i="21"/>
  <c r="T76" i="21" s="1"/>
  <c r="R76" i="21"/>
  <c r="AE75" i="21"/>
  <c r="AD75" i="21"/>
  <c r="AL75" i="21" s="1"/>
  <c r="Z75" i="21"/>
  <c r="Y75" i="21"/>
  <c r="AG75" i="21" s="1"/>
  <c r="W75" i="21"/>
  <c r="S75" i="21"/>
  <c r="T75" i="21" s="1"/>
  <c r="R75" i="21"/>
  <c r="AE74" i="21"/>
  <c r="AD74" i="21"/>
  <c r="AL74" i="21" s="1"/>
  <c r="Z74" i="21"/>
  <c r="AH74" i="21" s="1"/>
  <c r="Y74" i="21"/>
  <c r="AG74" i="21" s="1"/>
  <c r="W74" i="21"/>
  <c r="S74" i="21"/>
  <c r="R74" i="21"/>
  <c r="AE73" i="21"/>
  <c r="AD73" i="21"/>
  <c r="AL73" i="21" s="1"/>
  <c r="Z73" i="21"/>
  <c r="AH73" i="21" s="1"/>
  <c r="Y73" i="21"/>
  <c r="W73" i="21"/>
  <c r="S73" i="21"/>
  <c r="R73" i="21"/>
  <c r="AE72" i="21"/>
  <c r="AD72" i="21"/>
  <c r="AL72" i="21" s="1"/>
  <c r="Z72" i="21"/>
  <c r="AH72" i="21" s="1"/>
  <c r="Y72" i="21"/>
  <c r="AG72" i="21" s="1"/>
  <c r="W72" i="21"/>
  <c r="S72" i="21"/>
  <c r="R72" i="21"/>
  <c r="AE71" i="21"/>
  <c r="AD71" i="21"/>
  <c r="AL71" i="21" s="1"/>
  <c r="Z71" i="21"/>
  <c r="AH71" i="21" s="1"/>
  <c r="Y71" i="21"/>
  <c r="W71" i="21"/>
  <c r="S71" i="21"/>
  <c r="T71" i="21" s="1"/>
  <c r="R71" i="21"/>
  <c r="AE70" i="21"/>
  <c r="AD70" i="21"/>
  <c r="AL70" i="21" s="1"/>
  <c r="Z70" i="21"/>
  <c r="AH70" i="21" s="1"/>
  <c r="Y70" i="21"/>
  <c r="AG70" i="21" s="1"/>
  <c r="W70" i="21"/>
  <c r="S70" i="21"/>
  <c r="T70" i="21" s="1"/>
  <c r="R70" i="21"/>
  <c r="AE69" i="21"/>
  <c r="AD69" i="21"/>
  <c r="AL69" i="21" s="1"/>
  <c r="Z69" i="21"/>
  <c r="AH69" i="21" s="1"/>
  <c r="Y69" i="21"/>
  <c r="AG69" i="21" s="1"/>
  <c r="W69" i="21"/>
  <c r="S69" i="21"/>
  <c r="R69" i="21"/>
  <c r="AE68" i="21"/>
  <c r="AD68" i="21"/>
  <c r="AL68" i="21" s="1"/>
  <c r="Z68" i="21"/>
  <c r="AH68" i="21" s="1"/>
  <c r="Y68" i="21"/>
  <c r="AG68" i="21" s="1"/>
  <c r="W68" i="21"/>
  <c r="S68" i="21"/>
  <c r="T68" i="21" s="1"/>
  <c r="R68" i="21"/>
  <c r="AE67" i="21"/>
  <c r="AD67" i="21"/>
  <c r="AL67" i="21" s="1"/>
  <c r="Z67" i="21"/>
  <c r="Y67" i="21"/>
  <c r="AG67" i="21" s="1"/>
  <c r="W67" i="21"/>
  <c r="S67" i="21"/>
  <c r="R67" i="21"/>
  <c r="AE66" i="21"/>
  <c r="AD66" i="21"/>
  <c r="AL66" i="21" s="1"/>
  <c r="Z66" i="21"/>
  <c r="AH66" i="21" s="1"/>
  <c r="Y66" i="21"/>
  <c r="AG66" i="21" s="1"/>
  <c r="W66" i="21"/>
  <c r="S66" i="21"/>
  <c r="R66" i="21"/>
  <c r="AE65" i="21"/>
  <c r="AD65" i="21"/>
  <c r="AL65" i="21" s="1"/>
  <c r="Z65" i="21"/>
  <c r="AH65" i="21" s="1"/>
  <c r="Y65" i="21"/>
  <c r="AG65" i="21" s="1"/>
  <c r="W65" i="21"/>
  <c r="S65" i="21"/>
  <c r="T65" i="21" s="1"/>
  <c r="R65" i="21"/>
  <c r="AE64" i="21"/>
  <c r="AD64" i="21"/>
  <c r="AL64" i="21" s="1"/>
  <c r="Z64" i="21"/>
  <c r="AH64" i="21" s="1"/>
  <c r="Y64" i="21"/>
  <c r="W64" i="21"/>
  <c r="S64" i="21"/>
  <c r="T64" i="21" s="1"/>
  <c r="R64" i="21"/>
  <c r="AE63" i="21"/>
  <c r="AD63" i="21"/>
  <c r="AL63" i="21" s="1"/>
  <c r="Z63" i="21"/>
  <c r="AH63" i="21" s="1"/>
  <c r="Y63" i="21"/>
  <c r="W63" i="21"/>
  <c r="S63" i="21"/>
  <c r="R63" i="21"/>
  <c r="AE62" i="21"/>
  <c r="AD62" i="21"/>
  <c r="AL62" i="21" s="1"/>
  <c r="Z62" i="21"/>
  <c r="AH62" i="21" s="1"/>
  <c r="Y62" i="21"/>
  <c r="AG62" i="21" s="1"/>
  <c r="W62" i="21"/>
  <c r="S62" i="21"/>
  <c r="R62" i="21"/>
  <c r="AE61" i="21"/>
  <c r="AD61" i="21"/>
  <c r="AL61" i="21" s="1"/>
  <c r="Z61" i="21"/>
  <c r="AH61" i="21" s="1"/>
  <c r="Y61" i="21"/>
  <c r="AG61" i="21" s="1"/>
  <c r="W61" i="21"/>
  <c r="S61" i="21"/>
  <c r="R61" i="21"/>
  <c r="AE60" i="21"/>
  <c r="AD60" i="21"/>
  <c r="AL60" i="21" s="1"/>
  <c r="Z60" i="21"/>
  <c r="AH60" i="21" s="1"/>
  <c r="Y60" i="21"/>
  <c r="AG60" i="21" s="1"/>
  <c r="W60" i="21"/>
  <c r="S60" i="21"/>
  <c r="R60" i="21"/>
  <c r="AE59" i="21"/>
  <c r="AD59" i="21"/>
  <c r="AL59" i="21" s="1"/>
  <c r="Z59" i="21"/>
  <c r="AH59" i="21" s="1"/>
  <c r="Y59" i="21"/>
  <c r="AG59" i="21" s="1"/>
  <c r="W59" i="21"/>
  <c r="S59" i="21"/>
  <c r="T59" i="21" s="1"/>
  <c r="R59" i="21"/>
  <c r="AE58" i="21"/>
  <c r="AD58" i="21"/>
  <c r="AL58" i="21" s="1"/>
  <c r="Z58" i="21"/>
  <c r="AH58" i="21" s="1"/>
  <c r="Y58" i="21"/>
  <c r="AG58" i="21" s="1"/>
  <c r="W58" i="21"/>
  <c r="S58" i="21"/>
  <c r="R58" i="21"/>
  <c r="AE57" i="21"/>
  <c r="AD57" i="21"/>
  <c r="AL57" i="21" s="1"/>
  <c r="Z57" i="21"/>
  <c r="AH57" i="21" s="1"/>
  <c r="Y57" i="21"/>
  <c r="AG57" i="21" s="1"/>
  <c r="W57" i="21"/>
  <c r="S57" i="21"/>
  <c r="R57" i="21"/>
  <c r="AE56" i="21"/>
  <c r="AD56" i="21"/>
  <c r="AL56" i="21" s="1"/>
  <c r="Z56" i="21"/>
  <c r="AH56" i="21" s="1"/>
  <c r="Y56" i="21"/>
  <c r="AG56" i="21" s="1"/>
  <c r="W56" i="21"/>
  <c r="S56" i="21"/>
  <c r="T56" i="21" s="1"/>
  <c r="R56" i="21"/>
  <c r="AE55" i="21"/>
  <c r="AD55" i="21"/>
  <c r="AL55" i="21" s="1"/>
  <c r="Z55" i="21"/>
  <c r="AH55" i="21" s="1"/>
  <c r="Y55" i="21"/>
  <c r="AG55" i="21" s="1"/>
  <c r="W55" i="21"/>
  <c r="S55" i="21"/>
  <c r="T55" i="21" s="1"/>
  <c r="R55" i="21"/>
  <c r="AE54" i="21"/>
  <c r="AD54" i="21"/>
  <c r="AL54" i="21" s="1"/>
  <c r="Z54" i="21"/>
  <c r="AH54" i="21" s="1"/>
  <c r="Y54" i="21"/>
  <c r="AG54" i="21" s="1"/>
  <c r="W54" i="21"/>
  <c r="S54" i="21"/>
  <c r="R54" i="21"/>
  <c r="AE53" i="21"/>
  <c r="AD53" i="21"/>
  <c r="AL53" i="21" s="1"/>
  <c r="Z53" i="21"/>
  <c r="AH53" i="21" s="1"/>
  <c r="Y53" i="21"/>
  <c r="AG53" i="21" s="1"/>
  <c r="W53" i="21"/>
  <c r="S53" i="21"/>
  <c r="T53" i="21" s="1"/>
  <c r="R53" i="21"/>
  <c r="AE52" i="21"/>
  <c r="AD52" i="21"/>
  <c r="AL52" i="21" s="1"/>
  <c r="Z52" i="21"/>
  <c r="AH52" i="21" s="1"/>
  <c r="Y52" i="21"/>
  <c r="AG52" i="21" s="1"/>
  <c r="W52" i="21"/>
  <c r="S52" i="21"/>
  <c r="R52" i="21"/>
  <c r="AE51" i="21"/>
  <c r="AD51" i="21"/>
  <c r="AL51" i="21" s="1"/>
  <c r="Z51" i="21"/>
  <c r="AH51" i="21" s="1"/>
  <c r="Y51" i="21"/>
  <c r="AG51" i="21" s="1"/>
  <c r="W51" i="21"/>
  <c r="S51" i="21"/>
  <c r="R51" i="21"/>
  <c r="AE50" i="21"/>
  <c r="AD50" i="21"/>
  <c r="AL50" i="21" s="1"/>
  <c r="Z50" i="21"/>
  <c r="AH50" i="21" s="1"/>
  <c r="Y50" i="21"/>
  <c r="AG50" i="21" s="1"/>
  <c r="W50" i="21"/>
  <c r="S50" i="21"/>
  <c r="R50" i="21"/>
  <c r="AE49" i="21"/>
  <c r="AD49" i="21"/>
  <c r="AL49" i="21" s="1"/>
  <c r="Z49" i="21"/>
  <c r="AH49" i="21" s="1"/>
  <c r="Y49" i="21"/>
  <c r="W49" i="21"/>
  <c r="S49" i="21"/>
  <c r="R49" i="21"/>
  <c r="AE48" i="21"/>
  <c r="AD48" i="21"/>
  <c r="AL48" i="21" s="1"/>
  <c r="Z48" i="21"/>
  <c r="AH48" i="21" s="1"/>
  <c r="Y48" i="21"/>
  <c r="AG48" i="21" s="1"/>
  <c r="W48" i="21"/>
  <c r="S48" i="21"/>
  <c r="R48" i="21"/>
  <c r="AE47" i="21"/>
  <c r="AD47" i="21"/>
  <c r="AL47" i="21" s="1"/>
  <c r="Z47" i="21"/>
  <c r="AH47" i="21" s="1"/>
  <c r="Y47" i="21"/>
  <c r="AG47" i="21" s="1"/>
  <c r="W47" i="21"/>
  <c r="S47" i="21"/>
  <c r="R47" i="21"/>
  <c r="AE46" i="21"/>
  <c r="AD46" i="21"/>
  <c r="AL46" i="21" s="1"/>
  <c r="Z46" i="21"/>
  <c r="AH46" i="21" s="1"/>
  <c r="Y46" i="21"/>
  <c r="W46" i="21"/>
  <c r="S46" i="21"/>
  <c r="T46" i="21" s="1"/>
  <c r="R46" i="21"/>
  <c r="AE45" i="21"/>
  <c r="AD45" i="21"/>
  <c r="AL45" i="21" s="1"/>
  <c r="Z45" i="21"/>
  <c r="AH45" i="21" s="1"/>
  <c r="Y45" i="21"/>
  <c r="W45" i="21"/>
  <c r="S45" i="21"/>
  <c r="R45" i="21"/>
  <c r="AE44" i="21"/>
  <c r="AD44" i="21"/>
  <c r="AL44" i="21" s="1"/>
  <c r="Z44" i="21"/>
  <c r="AH44" i="21" s="1"/>
  <c r="Y44" i="21"/>
  <c r="AG44" i="21" s="1"/>
  <c r="W44" i="21"/>
  <c r="S44" i="21"/>
  <c r="R44" i="21"/>
  <c r="AE43" i="21"/>
  <c r="AD43" i="21"/>
  <c r="AL43" i="21" s="1"/>
  <c r="Z43" i="21"/>
  <c r="AH43" i="21" s="1"/>
  <c r="Y43" i="21"/>
  <c r="AG43" i="21" s="1"/>
  <c r="W43" i="21"/>
  <c r="S43" i="21"/>
  <c r="T43" i="21" s="1"/>
  <c r="R43" i="21"/>
  <c r="AE42" i="21"/>
  <c r="AD42" i="21"/>
  <c r="AL42" i="21" s="1"/>
  <c r="Z42" i="21"/>
  <c r="AH42" i="21" s="1"/>
  <c r="Y42" i="21"/>
  <c r="AG42" i="21" s="1"/>
  <c r="W42" i="21"/>
  <c r="S42" i="21"/>
  <c r="T42" i="21" s="1"/>
  <c r="R42" i="21"/>
  <c r="AE41" i="21"/>
  <c r="AD41" i="21"/>
  <c r="AL41" i="21" s="1"/>
  <c r="Z41" i="21"/>
  <c r="AH41" i="21" s="1"/>
  <c r="Y41" i="21"/>
  <c r="AG41" i="21" s="1"/>
  <c r="W41" i="21"/>
  <c r="S41" i="21"/>
  <c r="R41" i="21"/>
  <c r="AE40" i="21"/>
  <c r="AD40" i="21"/>
  <c r="AL40" i="21" s="1"/>
  <c r="Z40" i="21"/>
  <c r="AH40" i="21" s="1"/>
  <c r="Y40" i="21"/>
  <c r="AG40" i="21" s="1"/>
  <c r="W40" i="21"/>
  <c r="S40" i="21"/>
  <c r="T40" i="21" s="1"/>
  <c r="R40" i="21"/>
  <c r="AE39" i="21"/>
  <c r="AD39" i="21"/>
  <c r="AL39" i="21" s="1"/>
  <c r="Z39" i="21"/>
  <c r="AH39" i="21" s="1"/>
  <c r="Y39" i="21"/>
  <c r="AG39" i="21" s="1"/>
  <c r="W39" i="21"/>
  <c r="S39" i="21"/>
  <c r="T39" i="21" s="1"/>
  <c r="R39" i="21"/>
  <c r="AE38" i="21"/>
  <c r="AD38" i="21"/>
  <c r="AL38" i="21" s="1"/>
  <c r="Z38" i="21"/>
  <c r="Y38" i="21"/>
  <c r="AG38" i="21" s="1"/>
  <c r="W38" i="21"/>
  <c r="S38" i="21"/>
  <c r="T38" i="21" s="1"/>
  <c r="R38" i="21"/>
  <c r="AE37" i="21"/>
  <c r="AD37" i="21"/>
  <c r="AL37" i="21" s="1"/>
  <c r="Z37" i="21"/>
  <c r="AH37" i="21" s="1"/>
  <c r="Y37" i="21"/>
  <c r="W37" i="21"/>
  <c r="S37" i="21"/>
  <c r="R37" i="21"/>
  <c r="AE36" i="21"/>
  <c r="AD36" i="21"/>
  <c r="AL36" i="21" s="1"/>
  <c r="Z36" i="21"/>
  <c r="AH36" i="21" s="1"/>
  <c r="Y36" i="21"/>
  <c r="AG36" i="21" s="1"/>
  <c r="W36" i="21"/>
  <c r="S36" i="21"/>
  <c r="R36" i="21"/>
  <c r="AE35" i="21"/>
  <c r="AD35" i="21"/>
  <c r="AL35" i="21" s="1"/>
  <c r="Z35" i="21"/>
  <c r="Y35" i="21"/>
  <c r="AG35" i="21" s="1"/>
  <c r="W35" i="21"/>
  <c r="S35" i="21"/>
  <c r="R35" i="21"/>
  <c r="AE34" i="21"/>
  <c r="AD34" i="21"/>
  <c r="AL34" i="21" s="1"/>
  <c r="Z34" i="21"/>
  <c r="AH34" i="21" s="1"/>
  <c r="Y34" i="21"/>
  <c r="W34" i="21"/>
  <c r="S34" i="21"/>
  <c r="T34" i="21" s="1"/>
  <c r="R34" i="21"/>
  <c r="AE33" i="21"/>
  <c r="AD33" i="21"/>
  <c r="AL33" i="21" s="1"/>
  <c r="Z33" i="21"/>
  <c r="AH33" i="21" s="1"/>
  <c r="Y33" i="21"/>
  <c r="W33" i="21"/>
  <c r="S33" i="21"/>
  <c r="R33" i="21"/>
  <c r="AE32" i="21"/>
  <c r="AD32" i="21"/>
  <c r="AL32" i="21" s="1"/>
  <c r="Z32" i="21"/>
  <c r="AH32" i="21" s="1"/>
  <c r="Y32" i="21"/>
  <c r="AG32" i="21" s="1"/>
  <c r="W32" i="21"/>
  <c r="S32" i="21"/>
  <c r="R32" i="21"/>
  <c r="AE31" i="21"/>
  <c r="AD31" i="21"/>
  <c r="AL31" i="21" s="1"/>
  <c r="Z31" i="21"/>
  <c r="AH31" i="21" s="1"/>
  <c r="Y31" i="21"/>
  <c r="AG31" i="21" s="1"/>
  <c r="W31" i="21"/>
  <c r="S31" i="21"/>
  <c r="T31" i="21" s="1"/>
  <c r="R31" i="21"/>
  <c r="AE30" i="21"/>
  <c r="AD30" i="21"/>
  <c r="AL30" i="21" s="1"/>
  <c r="Z30" i="21"/>
  <c r="AH30" i="21" s="1"/>
  <c r="Y30" i="21"/>
  <c r="AG30" i="21" s="1"/>
  <c r="W30" i="21"/>
  <c r="S30" i="21"/>
  <c r="T30" i="21" s="1"/>
  <c r="R30" i="21"/>
  <c r="AE29" i="21"/>
  <c r="AD29" i="21"/>
  <c r="AL29" i="21" s="1"/>
  <c r="Z29" i="21"/>
  <c r="AH29" i="21" s="1"/>
  <c r="Y29" i="21"/>
  <c r="W29" i="21"/>
  <c r="S29" i="21"/>
  <c r="T29" i="21" s="1"/>
  <c r="R29" i="21"/>
  <c r="AE28" i="21"/>
  <c r="AD28" i="21"/>
  <c r="AL28" i="21" s="1"/>
  <c r="Z28" i="21"/>
  <c r="AH28" i="21" s="1"/>
  <c r="Y28" i="21"/>
  <c r="AG28" i="21" s="1"/>
  <c r="W28" i="21"/>
  <c r="S28" i="21"/>
  <c r="R28" i="21"/>
  <c r="AE27" i="21"/>
  <c r="AD27" i="21"/>
  <c r="AL27" i="21" s="1"/>
  <c r="Z27" i="21"/>
  <c r="AH27" i="21" s="1"/>
  <c r="Y27" i="21"/>
  <c r="AG27" i="21" s="1"/>
  <c r="W27" i="21"/>
  <c r="S27" i="21"/>
  <c r="T27" i="21" s="1"/>
  <c r="R27" i="21"/>
  <c r="AE26" i="21"/>
  <c r="AD26" i="21"/>
  <c r="AL26" i="21" s="1"/>
  <c r="Z26" i="21"/>
  <c r="Y26" i="21"/>
  <c r="AG26" i="21" s="1"/>
  <c r="W26" i="21"/>
  <c r="S26" i="21"/>
  <c r="R26" i="21"/>
  <c r="AE25" i="21"/>
  <c r="AD25" i="21"/>
  <c r="AL25" i="21" s="1"/>
  <c r="Z25" i="21"/>
  <c r="AH25" i="21" s="1"/>
  <c r="Y25" i="21"/>
  <c r="W25" i="21"/>
  <c r="S25" i="21"/>
  <c r="R25" i="21"/>
  <c r="AE24" i="21"/>
  <c r="AD24" i="21"/>
  <c r="AL24" i="21" s="1"/>
  <c r="Z24" i="21"/>
  <c r="AH24" i="21" s="1"/>
  <c r="Y24" i="21"/>
  <c r="W24" i="21"/>
  <c r="S24" i="21"/>
  <c r="R24" i="21"/>
  <c r="AE23" i="21"/>
  <c r="AD23" i="21"/>
  <c r="AL23" i="21" s="1"/>
  <c r="Z23" i="21"/>
  <c r="AH23" i="21" s="1"/>
  <c r="Y23" i="21"/>
  <c r="W23" i="21"/>
  <c r="S23" i="21"/>
  <c r="R23" i="21"/>
  <c r="AE22" i="21"/>
  <c r="AD22" i="21"/>
  <c r="AL22" i="21" s="1"/>
  <c r="Z22" i="21"/>
  <c r="AH22" i="21" s="1"/>
  <c r="Y22" i="21"/>
  <c r="AG22" i="21" s="1"/>
  <c r="W22" i="21"/>
  <c r="S22" i="21"/>
  <c r="R22" i="21"/>
  <c r="AE21" i="21"/>
  <c r="AD21" i="21"/>
  <c r="AL21" i="21" s="1"/>
  <c r="Z21" i="21"/>
  <c r="AH21" i="21" s="1"/>
  <c r="Y21" i="21"/>
  <c r="W21" i="21"/>
  <c r="S21" i="21"/>
  <c r="R21" i="21"/>
  <c r="AE20" i="21"/>
  <c r="AD20" i="21"/>
  <c r="AL20" i="21" s="1"/>
  <c r="Z20" i="21"/>
  <c r="AH20" i="21" s="1"/>
  <c r="Y20" i="21"/>
  <c r="AG20" i="21" s="1"/>
  <c r="W20" i="21"/>
  <c r="S20" i="21"/>
  <c r="R20" i="21"/>
  <c r="AE19" i="21"/>
  <c r="AD19" i="21"/>
  <c r="AL19" i="21" s="1"/>
  <c r="Z19" i="21"/>
  <c r="AH19" i="21" s="1"/>
  <c r="Y19" i="21"/>
  <c r="AG19" i="21" s="1"/>
  <c r="W19" i="21"/>
  <c r="S19" i="21"/>
  <c r="T19" i="21" s="1"/>
  <c r="R19" i="21"/>
  <c r="AE18" i="21"/>
  <c r="AD18" i="21"/>
  <c r="AL18" i="21" s="1"/>
  <c r="Z18" i="21"/>
  <c r="AH18" i="21" s="1"/>
  <c r="Y18" i="21"/>
  <c r="AG18" i="21" s="1"/>
  <c r="W18" i="21"/>
  <c r="S18" i="21"/>
  <c r="T18" i="21" s="1"/>
  <c r="R18" i="21"/>
  <c r="AE17" i="21"/>
  <c r="AD17" i="21"/>
  <c r="AL17" i="21" s="1"/>
  <c r="Z17" i="21"/>
  <c r="AH17" i="21" s="1"/>
  <c r="Y17" i="21"/>
  <c r="AG17" i="21" s="1"/>
  <c r="W17" i="21"/>
  <c r="S17" i="21"/>
  <c r="T17" i="21" s="1"/>
  <c r="R17" i="21"/>
  <c r="AE16" i="21"/>
  <c r="AD16" i="21"/>
  <c r="AL16" i="21" s="1"/>
  <c r="Z16" i="21"/>
  <c r="AH16" i="21" s="1"/>
  <c r="Y16" i="21"/>
  <c r="AG16" i="21" s="1"/>
  <c r="W16" i="21"/>
  <c r="S16" i="21"/>
  <c r="T16" i="21" s="1"/>
  <c r="R16" i="21"/>
  <c r="AE15" i="21"/>
  <c r="AD15" i="21"/>
  <c r="AL15" i="21" s="1"/>
  <c r="Z15" i="21"/>
  <c r="Y15" i="21"/>
  <c r="AG15" i="21" s="1"/>
  <c r="W15" i="21"/>
  <c r="S15" i="21"/>
  <c r="T15" i="21" s="1"/>
  <c r="R15" i="21"/>
  <c r="AE14" i="21"/>
  <c r="AD14" i="21"/>
  <c r="AL14" i="21" s="1"/>
  <c r="Z14" i="21"/>
  <c r="AH14" i="21" s="1"/>
  <c r="Y14" i="21"/>
  <c r="AG14" i="21" s="1"/>
  <c r="W14" i="21"/>
  <c r="S14" i="21"/>
  <c r="T14" i="21" s="1"/>
  <c r="R14" i="21"/>
  <c r="AE13" i="21"/>
  <c r="AD13" i="21"/>
  <c r="AL13" i="21" s="1"/>
  <c r="Z13" i="21"/>
  <c r="AH13" i="21" s="1"/>
  <c r="Y13" i="21"/>
  <c r="AG13" i="21" s="1"/>
  <c r="W13" i="21"/>
  <c r="S13" i="21"/>
  <c r="R13" i="21"/>
  <c r="AE12" i="21"/>
  <c r="AD12" i="21"/>
  <c r="AL12" i="21" s="1"/>
  <c r="Z12" i="21"/>
  <c r="AH12" i="21" s="1"/>
  <c r="Y12" i="21"/>
  <c r="W12" i="21"/>
  <c r="S12" i="21"/>
  <c r="R12" i="21"/>
  <c r="AE11" i="21"/>
  <c r="AD11" i="21"/>
  <c r="AL11" i="21" s="1"/>
  <c r="Z11" i="21"/>
  <c r="AH11" i="21" s="1"/>
  <c r="Y11" i="21"/>
  <c r="AG11" i="21" s="1"/>
  <c r="W11" i="21"/>
  <c r="S11" i="21"/>
  <c r="R11" i="21"/>
  <c r="AE10" i="21"/>
  <c r="AD10" i="21"/>
  <c r="AL10" i="21" s="1"/>
  <c r="Z10" i="21"/>
  <c r="AH10" i="21" s="1"/>
  <c r="Y10" i="21"/>
  <c r="AG10" i="21" s="1"/>
  <c r="W10" i="21"/>
  <c r="S10" i="21"/>
  <c r="R10" i="21"/>
  <c r="AE9" i="21"/>
  <c r="AD9" i="21"/>
  <c r="AL9" i="21" s="1"/>
  <c r="Z9" i="21"/>
  <c r="AH9" i="21" s="1"/>
  <c r="Y9" i="21"/>
  <c r="W9" i="21"/>
  <c r="S9" i="21"/>
  <c r="R9" i="21"/>
  <c r="AE8" i="21"/>
  <c r="AD8" i="21"/>
  <c r="AL8" i="21" s="1"/>
  <c r="Z8" i="21"/>
  <c r="AH8" i="21" s="1"/>
  <c r="Y8" i="21"/>
  <c r="AG8" i="21" s="1"/>
  <c r="W8" i="21"/>
  <c r="S8" i="21"/>
  <c r="R8" i="21"/>
  <c r="AE7" i="21"/>
  <c r="AD7" i="21"/>
  <c r="AL7" i="21" s="1"/>
  <c r="Z7" i="21"/>
  <c r="AH7" i="21" s="1"/>
  <c r="Y7" i="21"/>
  <c r="AG7" i="21" s="1"/>
  <c r="W7" i="21"/>
  <c r="S7" i="21"/>
  <c r="T7" i="21" s="1"/>
  <c r="R7" i="21"/>
  <c r="AE6" i="21"/>
  <c r="AD6" i="21"/>
  <c r="AL6" i="21" s="1"/>
  <c r="Z6" i="21"/>
  <c r="AH6" i="21" s="1"/>
  <c r="Y6" i="21"/>
  <c r="AG6" i="21" s="1"/>
  <c r="W6" i="21"/>
  <c r="S6" i="21"/>
  <c r="T6" i="21" s="1"/>
  <c r="R6" i="21"/>
  <c r="AE5" i="21"/>
  <c r="AD5" i="21"/>
  <c r="AL5" i="21" s="1"/>
  <c r="Z5" i="21"/>
  <c r="Y5" i="21"/>
  <c r="AG5" i="21" s="1"/>
  <c r="W5" i="21"/>
  <c r="S5" i="21"/>
  <c r="R5" i="21"/>
  <c r="AE4" i="21"/>
  <c r="AD4" i="21"/>
  <c r="AL4" i="21" s="1"/>
  <c r="Z4" i="21"/>
  <c r="AH4" i="21" s="1"/>
  <c r="Y4" i="21"/>
  <c r="AG4" i="21" s="1"/>
  <c r="W4" i="21"/>
  <c r="S4" i="21"/>
  <c r="R4" i="21"/>
  <c r="AE3" i="21"/>
  <c r="AD3" i="21"/>
  <c r="AL3" i="21" s="1"/>
  <c r="Z3" i="21"/>
  <c r="AH3" i="21" s="1"/>
  <c r="Y3" i="21"/>
  <c r="AG3" i="21" s="1"/>
  <c r="W3" i="21"/>
  <c r="S3" i="21"/>
  <c r="T3" i="21" s="1"/>
  <c r="R3" i="21"/>
  <c r="AE2" i="21"/>
  <c r="AD2" i="21"/>
  <c r="AL2" i="21" s="1"/>
  <c r="Z2" i="21"/>
  <c r="AH2" i="21" s="1"/>
  <c r="Y2" i="21"/>
  <c r="AG2" i="21" s="1"/>
  <c r="W2" i="21"/>
  <c r="S2" i="21"/>
  <c r="R2" i="21"/>
  <c r="AM299" i="21" l="1"/>
  <c r="AM306" i="21"/>
  <c r="AM318" i="21"/>
  <c r="AM317" i="21"/>
  <c r="AM463" i="21"/>
  <c r="AF463" i="21" s="1"/>
  <c r="AM351" i="21"/>
  <c r="AM437" i="21"/>
  <c r="X362" i="21"/>
  <c r="T23" i="21"/>
  <c r="AM332" i="21"/>
  <c r="X368" i="21"/>
  <c r="AM189" i="21"/>
  <c r="AM420" i="21"/>
  <c r="AM468" i="21"/>
  <c r="AM333" i="21"/>
  <c r="X380" i="21"/>
  <c r="AM198" i="21"/>
  <c r="AM446" i="21"/>
  <c r="AM464" i="21"/>
  <c r="AM342" i="21"/>
  <c r="AM190" i="21"/>
  <c r="AM293" i="21"/>
  <c r="X23" i="21"/>
  <c r="AM419" i="21"/>
  <c r="AM425" i="21"/>
  <c r="AM188" i="21"/>
  <c r="AM352" i="21"/>
  <c r="AM210" i="21"/>
  <c r="T62" i="21"/>
  <c r="X15" i="21"/>
  <c r="AM311" i="21"/>
  <c r="X33" i="21"/>
  <c r="X256" i="21"/>
  <c r="AM445" i="21"/>
  <c r="T84" i="21"/>
  <c r="AM152" i="21"/>
  <c r="AM111" i="21"/>
  <c r="T139" i="21"/>
  <c r="AM142" i="21"/>
  <c r="AM453" i="21"/>
  <c r="AM172" i="21"/>
  <c r="AF172" i="21" s="1"/>
  <c r="AM289" i="21"/>
  <c r="AM303" i="21"/>
  <c r="T5" i="21"/>
  <c r="AM117" i="21"/>
  <c r="AM146" i="21"/>
  <c r="T238" i="21"/>
  <c r="T50" i="21"/>
  <c r="AM207" i="21"/>
  <c r="AM353" i="21"/>
  <c r="T394" i="21"/>
  <c r="X412" i="21"/>
  <c r="T445" i="21"/>
  <c r="AM449" i="21"/>
  <c r="T26" i="21"/>
  <c r="T140" i="21"/>
  <c r="AM159" i="21"/>
  <c r="T169" i="21"/>
  <c r="T178" i="21"/>
  <c r="T180" i="21"/>
  <c r="T187" i="21"/>
  <c r="AM214" i="21"/>
  <c r="AM372" i="21"/>
  <c r="T35" i="21"/>
  <c r="AM182" i="21"/>
  <c r="T194" i="21"/>
  <c r="T353" i="21"/>
  <c r="X48" i="21"/>
  <c r="T174" i="21"/>
  <c r="T175" i="21"/>
  <c r="X197" i="21"/>
  <c r="T441" i="21"/>
  <c r="T463" i="21"/>
  <c r="T41" i="21"/>
  <c r="AM112" i="21"/>
  <c r="AM180" i="21"/>
  <c r="T192" i="21"/>
  <c r="X203" i="21"/>
  <c r="T206" i="21"/>
  <c r="AM218" i="21"/>
  <c r="T241" i="21"/>
  <c r="AM284" i="21"/>
  <c r="AM430" i="21"/>
  <c r="AM452" i="21"/>
  <c r="AM459" i="21"/>
  <c r="T208" i="21"/>
  <c r="X24" i="21"/>
  <c r="T212" i="21"/>
  <c r="T355" i="21"/>
  <c r="T216" i="21"/>
  <c r="AM259" i="21"/>
  <c r="X76" i="21"/>
  <c r="AM104" i="21"/>
  <c r="AM154" i="21"/>
  <c r="T190" i="21"/>
  <c r="AM330" i="21"/>
  <c r="AM347" i="21"/>
  <c r="AM417" i="21"/>
  <c r="AM451" i="21"/>
  <c r="T102" i="21"/>
  <c r="T4" i="21"/>
  <c r="T134" i="21"/>
  <c r="T173" i="21"/>
  <c r="T220" i="21"/>
  <c r="AG229" i="21"/>
  <c r="X229" i="21"/>
  <c r="T291" i="21"/>
  <c r="AM302" i="21"/>
  <c r="T340" i="21"/>
  <c r="T348" i="21"/>
  <c r="T470" i="21"/>
  <c r="T379" i="21"/>
  <c r="X17" i="21"/>
  <c r="T47" i="21"/>
  <c r="AM116" i="21"/>
  <c r="AM168" i="21"/>
  <c r="T171" i="21"/>
  <c r="AM206" i="21"/>
  <c r="T378" i="21"/>
  <c r="X69" i="21"/>
  <c r="X58" i="21"/>
  <c r="X103" i="21"/>
  <c r="AM204" i="21"/>
  <c r="T210" i="21"/>
  <c r="T253" i="21"/>
  <c r="AM286" i="21"/>
  <c r="T347" i="21"/>
  <c r="X39" i="21"/>
  <c r="X40" i="21"/>
  <c r="X41" i="21"/>
  <c r="T218" i="21"/>
  <c r="T338" i="21"/>
  <c r="T72" i="21"/>
  <c r="AM166" i="21"/>
  <c r="AH195" i="21"/>
  <c r="X195" i="21"/>
  <c r="T288" i="21"/>
  <c r="T337" i="21"/>
  <c r="X12" i="21"/>
  <c r="AG12" i="21"/>
  <c r="X67" i="21"/>
  <c r="AM143" i="21"/>
  <c r="AF143" i="21" s="1"/>
  <c r="AM184" i="21"/>
  <c r="AM357" i="21"/>
  <c r="AM363" i="21"/>
  <c r="AM397" i="21"/>
  <c r="T467" i="21"/>
  <c r="T444" i="21"/>
  <c r="AH5" i="21"/>
  <c r="X5" i="21"/>
  <c r="X38" i="21"/>
  <c r="T52" i="21"/>
  <c r="AG29" i="21"/>
  <c r="X29" i="21"/>
  <c r="AM183" i="21"/>
  <c r="X225" i="21"/>
  <c r="AG225" i="21"/>
  <c r="X317" i="21"/>
  <c r="T350" i="21"/>
  <c r="T130" i="21"/>
  <c r="X25" i="21"/>
  <c r="T51" i="21"/>
  <c r="AG63" i="21"/>
  <c r="X63" i="21"/>
  <c r="T103" i="21"/>
  <c r="AM133" i="21"/>
  <c r="T144" i="21"/>
  <c r="AM192" i="21"/>
  <c r="AM296" i="21"/>
  <c r="T306" i="21"/>
  <c r="AM310" i="21"/>
  <c r="X34" i="21"/>
  <c r="AG34" i="21"/>
  <c r="X35" i="21"/>
  <c r="AH35" i="21"/>
  <c r="X61" i="21"/>
  <c r="X64" i="21"/>
  <c r="AG64" i="21"/>
  <c r="X79" i="21"/>
  <c r="T159" i="21"/>
  <c r="AM265" i="21"/>
  <c r="T349" i="21"/>
  <c r="T439" i="21"/>
  <c r="T443" i="21"/>
  <c r="X468" i="21"/>
  <c r="AM434" i="21"/>
  <c r="AM435" i="21"/>
  <c r="AM264" i="21"/>
  <c r="T386" i="21"/>
  <c r="AM457" i="21"/>
  <c r="X106" i="21"/>
  <c r="T155" i="21"/>
  <c r="T156" i="21"/>
  <c r="T157" i="21"/>
  <c r="AM163" i="21"/>
  <c r="T167" i="21"/>
  <c r="AM212" i="21"/>
  <c r="T229" i="21"/>
  <c r="T245" i="21"/>
  <c r="X271" i="21"/>
  <c r="AM300" i="21"/>
  <c r="X327" i="21"/>
  <c r="AM329" i="21"/>
  <c r="X366" i="21"/>
  <c r="AM367" i="21"/>
  <c r="X388" i="21"/>
  <c r="T398" i="21"/>
  <c r="T416" i="21"/>
  <c r="AM426" i="21"/>
  <c r="AG468" i="21"/>
  <c r="AM124" i="21"/>
  <c r="AM316" i="21"/>
  <c r="X341" i="21"/>
  <c r="T413" i="21"/>
  <c r="X51" i="21"/>
  <c r="X52" i="21"/>
  <c r="AM92" i="21"/>
  <c r="X118" i="21"/>
  <c r="X336" i="21"/>
  <c r="X75" i="21"/>
  <c r="X53" i="21"/>
  <c r="T96" i="21"/>
  <c r="AM147" i="21"/>
  <c r="AM174" i="21"/>
  <c r="AM176" i="21"/>
  <c r="AM200" i="21"/>
  <c r="T277" i="21"/>
  <c r="AM281" i="21"/>
  <c r="X289" i="21"/>
  <c r="AM292" i="21"/>
  <c r="AM314" i="21"/>
  <c r="AM320" i="21"/>
  <c r="X326" i="21"/>
  <c r="T356" i="21"/>
  <c r="X358" i="21"/>
  <c r="X364" i="21"/>
  <c r="X372" i="21"/>
  <c r="T435" i="21"/>
  <c r="X3" i="21"/>
  <c r="AM376" i="21"/>
  <c r="X386" i="21"/>
  <c r="X71" i="21"/>
  <c r="X27" i="21"/>
  <c r="T66" i="21"/>
  <c r="AM145" i="21"/>
  <c r="AM170" i="21"/>
  <c r="AM196" i="21"/>
  <c r="AM197" i="21"/>
  <c r="AM208" i="21"/>
  <c r="T225" i="21"/>
  <c r="T242" i="21"/>
  <c r="AM247" i="21"/>
  <c r="AG388" i="21"/>
  <c r="X414" i="21"/>
  <c r="AM418" i="21"/>
  <c r="AM424" i="21"/>
  <c r="AM462" i="21"/>
  <c r="AG94" i="21"/>
  <c r="X94" i="21"/>
  <c r="T221" i="21"/>
  <c r="T114" i="21"/>
  <c r="AM144" i="21"/>
  <c r="AH75" i="21"/>
  <c r="T98" i="21"/>
  <c r="T110" i="21"/>
  <c r="X130" i="21"/>
  <c r="AG130" i="21"/>
  <c r="T183" i="21"/>
  <c r="X215" i="21"/>
  <c r="T403" i="21"/>
  <c r="AG139" i="21"/>
  <c r="X139" i="21"/>
  <c r="AM4" i="21"/>
  <c r="T10" i="21"/>
  <c r="T11" i="21"/>
  <c r="AH67" i="21"/>
  <c r="AM71" i="21"/>
  <c r="T89" i="21"/>
  <c r="T100" i="21"/>
  <c r="X129" i="21"/>
  <c r="AG129" i="21"/>
  <c r="AM140" i="21"/>
  <c r="T148" i="21"/>
  <c r="T184" i="21"/>
  <c r="T189" i="21"/>
  <c r="T219" i="21"/>
  <c r="AG223" i="21"/>
  <c r="X223" i="21"/>
  <c r="AM243" i="21"/>
  <c r="X274" i="21"/>
  <c r="AG274" i="21"/>
  <c r="AH283" i="21"/>
  <c r="X283" i="21"/>
  <c r="T402" i="21"/>
  <c r="AM83" i="21"/>
  <c r="AM217" i="21"/>
  <c r="T37" i="21"/>
  <c r="X16" i="21"/>
  <c r="T28" i="21"/>
  <c r="AM40" i="21"/>
  <c r="T49" i="21"/>
  <c r="AM51" i="21"/>
  <c r="AG79" i="21"/>
  <c r="AM81" i="21"/>
  <c r="T108" i="21"/>
  <c r="T126" i="21"/>
  <c r="T142" i="21"/>
  <c r="T143" i="21"/>
  <c r="AM153" i="21"/>
  <c r="T290" i="21"/>
  <c r="T401" i="21"/>
  <c r="AM28" i="21"/>
  <c r="T87" i="21"/>
  <c r="AG23" i="21"/>
  <c r="AG24" i="21"/>
  <c r="T67" i="21"/>
  <c r="T145" i="21"/>
  <c r="AG248" i="21"/>
  <c r="X248" i="21"/>
  <c r="AG392" i="21"/>
  <c r="X392" i="21"/>
  <c r="X138" i="21"/>
  <c r="AG138" i="21"/>
  <c r="AH38" i="21"/>
  <c r="AG25" i="21"/>
  <c r="X26" i="21"/>
  <c r="AH26" i="21"/>
  <c r="T104" i="21"/>
  <c r="T106" i="21"/>
  <c r="AG210" i="21"/>
  <c r="X210" i="21"/>
  <c r="AG232" i="21"/>
  <c r="X232" i="21"/>
  <c r="T54" i="21"/>
  <c r="X2" i="21"/>
  <c r="X10" i="21"/>
  <c r="T13" i="21"/>
  <c r="AH15" i="21"/>
  <c r="X46" i="21"/>
  <c r="AG46" i="21"/>
  <c r="X47" i="21"/>
  <c r="AM58" i="21"/>
  <c r="AM63" i="21"/>
  <c r="T77" i="21"/>
  <c r="X88" i="21"/>
  <c r="T93" i="21"/>
  <c r="T105" i="21"/>
  <c r="X134" i="21"/>
  <c r="AG134" i="21"/>
  <c r="X148" i="21"/>
  <c r="AG148" i="21"/>
  <c r="AM164" i="21"/>
  <c r="T448" i="21"/>
  <c r="X14" i="21"/>
  <c r="T99" i="21"/>
  <c r="T2" i="21"/>
  <c r="X9" i="21"/>
  <c r="AM16" i="21"/>
  <c r="T22" i="21"/>
  <c r="X28" i="21"/>
  <c r="X37" i="21"/>
  <c r="X45" i="21"/>
  <c r="T61" i="21"/>
  <c r="T79" i="21"/>
  <c r="T82" i="21"/>
  <c r="X100" i="21"/>
  <c r="X101" i="21"/>
  <c r="T122" i="21"/>
  <c r="AG142" i="21"/>
  <c r="X142" i="21"/>
  <c r="AG207" i="21"/>
  <c r="X207" i="21"/>
  <c r="AG260" i="21"/>
  <c r="X260" i="21"/>
  <c r="T57" i="21"/>
  <c r="X122" i="21"/>
  <c r="AG122" i="21"/>
  <c r="X11" i="21"/>
  <c r="X90" i="21"/>
  <c r="X91" i="21"/>
  <c r="AM110" i="21"/>
  <c r="AM148" i="21"/>
  <c r="X191" i="21"/>
  <c r="AG191" i="21"/>
  <c r="T198" i="21"/>
  <c r="X205" i="21"/>
  <c r="X141" i="21"/>
  <c r="AG141" i="21"/>
  <c r="X204" i="21"/>
  <c r="AG204" i="21"/>
  <c r="T224" i="21"/>
  <c r="T234" i="21"/>
  <c r="X102" i="21"/>
  <c r="AG102" i="21"/>
  <c r="X4" i="21"/>
  <c r="X13" i="21"/>
  <c r="X50" i="21"/>
  <c r="T58" i="21"/>
  <c r="T63" i="21"/>
  <c r="AM65" i="21"/>
  <c r="X68" i="21"/>
  <c r="X72" i="21"/>
  <c r="X77" i="21"/>
  <c r="AG77" i="21"/>
  <c r="AG93" i="21"/>
  <c r="X93" i="21"/>
  <c r="AM101" i="21"/>
  <c r="T118" i="21"/>
  <c r="X201" i="21"/>
  <c r="X216" i="21"/>
  <c r="T223" i="21"/>
  <c r="AM216" i="21"/>
  <c r="AM263" i="21"/>
  <c r="AM283" i="21"/>
  <c r="X342" i="21"/>
  <c r="X344" i="21"/>
  <c r="T367" i="21"/>
  <c r="X389" i="21"/>
  <c r="AM413" i="21"/>
  <c r="AM416" i="21"/>
  <c r="AM441" i="21"/>
  <c r="AM442" i="21"/>
  <c r="T464" i="21"/>
  <c r="T315" i="21"/>
  <c r="AM328" i="21"/>
  <c r="AM440" i="21"/>
  <c r="AM458" i="21"/>
  <c r="AM150" i="21"/>
  <c r="AM151" i="21"/>
  <c r="AM158" i="21"/>
  <c r="AM161" i="21"/>
  <c r="AM162" i="21"/>
  <c r="AM165" i="21"/>
  <c r="AM191" i="21"/>
  <c r="X235" i="21"/>
  <c r="AG235" i="21"/>
  <c r="X236" i="21"/>
  <c r="X276" i="21"/>
  <c r="AM294" i="21"/>
  <c r="AM309" i="21"/>
  <c r="AM327" i="21"/>
  <c r="AM344" i="21"/>
  <c r="X352" i="21"/>
  <c r="X385" i="21"/>
  <c r="X421" i="21"/>
  <c r="X125" i="21"/>
  <c r="X126" i="21"/>
  <c r="AM149" i="21"/>
  <c r="AM160" i="21"/>
  <c r="AG275" i="21"/>
  <c r="X275" i="21"/>
  <c r="AM308" i="21"/>
  <c r="X324" i="21"/>
  <c r="AM326" i="21"/>
  <c r="X339" i="21"/>
  <c r="T359" i="21"/>
  <c r="AL389" i="21"/>
  <c r="AM389" i="21" s="1"/>
  <c r="T312" i="21"/>
  <c r="T440" i="21"/>
  <c r="AM469" i="21"/>
  <c r="AM136" i="21"/>
  <c r="AM175" i="21"/>
  <c r="AH221" i="21"/>
  <c r="X221" i="21"/>
  <c r="AG226" i="21"/>
  <c r="X226" i="21"/>
  <c r="AM235" i="21"/>
  <c r="X323" i="21"/>
  <c r="X338" i="21"/>
  <c r="AM341" i="21"/>
  <c r="T374" i="21"/>
  <c r="T410" i="21"/>
  <c r="X420" i="21"/>
  <c r="T438" i="21"/>
  <c r="T455" i="21"/>
  <c r="T456" i="21"/>
  <c r="X22" i="21"/>
  <c r="AM52" i="21"/>
  <c r="X56" i="21"/>
  <c r="X85" i="21"/>
  <c r="X87" i="21"/>
  <c r="X97" i="21"/>
  <c r="X113" i="21"/>
  <c r="X114" i="21"/>
  <c r="AM132" i="21"/>
  <c r="AM177" i="21"/>
  <c r="X188" i="21"/>
  <c r="T200" i="21"/>
  <c r="T201" i="21"/>
  <c r="X267" i="21"/>
  <c r="T281" i="21"/>
  <c r="T303" i="21"/>
  <c r="X335" i="21"/>
  <c r="T388" i="21"/>
  <c r="T389" i="21"/>
  <c r="T407" i="21"/>
  <c r="X426" i="21"/>
  <c r="AH426" i="21"/>
  <c r="T437" i="21"/>
  <c r="T451" i="21"/>
  <c r="T454" i="21"/>
  <c r="AM470" i="21"/>
  <c r="AM39" i="21"/>
  <c r="X21" i="21"/>
  <c r="T25" i="21"/>
  <c r="X36" i="21"/>
  <c r="X49" i="21"/>
  <c r="X99" i="21"/>
  <c r="X109" i="21"/>
  <c r="X110" i="21"/>
  <c r="AM121" i="21"/>
  <c r="AG125" i="21"/>
  <c r="AG126" i="21"/>
  <c r="AM128" i="21"/>
  <c r="T150" i="21"/>
  <c r="T160" i="21"/>
  <c r="T161" i="21"/>
  <c r="T162" i="21"/>
  <c r="T196" i="21"/>
  <c r="T204" i="21"/>
  <c r="X244" i="21"/>
  <c r="AM287" i="21"/>
  <c r="AL315" i="21"/>
  <c r="AM315" i="21" s="1"/>
  <c r="X315" i="21"/>
  <c r="X321" i="21"/>
  <c r="AM323" i="21"/>
  <c r="AG333" i="21"/>
  <c r="X333" i="21"/>
  <c r="AM336" i="21"/>
  <c r="AM338" i="21"/>
  <c r="T363" i="21"/>
  <c r="T387" i="21"/>
  <c r="X398" i="21"/>
  <c r="X399" i="21"/>
  <c r="X418" i="21"/>
  <c r="AM433" i="21"/>
  <c r="T453" i="21"/>
  <c r="AM465" i="21"/>
  <c r="T165" i="21"/>
  <c r="AM178" i="21"/>
  <c r="AM181" i="21"/>
  <c r="AM185" i="21"/>
  <c r="AM186" i="21"/>
  <c r="AM267" i="21"/>
  <c r="X288" i="21"/>
  <c r="AM305" i="21"/>
  <c r="X332" i="21"/>
  <c r="AM335" i="21"/>
  <c r="X379" i="21"/>
  <c r="T406" i="21"/>
  <c r="X417" i="21"/>
  <c r="T436" i="21"/>
  <c r="AM56" i="21"/>
  <c r="AM85" i="21"/>
  <c r="X89" i="21"/>
  <c r="X108" i="21"/>
  <c r="AM114" i="21"/>
  <c r="AG118" i="21"/>
  <c r="T168" i="21"/>
  <c r="AM187" i="21"/>
  <c r="X252" i="21"/>
  <c r="T274" i="21"/>
  <c r="T278" i="21"/>
  <c r="AM288" i="21"/>
  <c r="AG330" i="21"/>
  <c r="X330" i="21"/>
  <c r="X345" i="21"/>
  <c r="T362" i="21"/>
  <c r="AG377" i="21"/>
  <c r="X377" i="21"/>
  <c r="X393" i="21"/>
  <c r="X416" i="21"/>
  <c r="T273" i="21"/>
  <c r="AM297" i="21"/>
  <c r="AM312" i="21"/>
  <c r="X329" i="21"/>
  <c r="T368" i="21"/>
  <c r="T404" i="21"/>
  <c r="AM414" i="21"/>
  <c r="X415" i="21"/>
  <c r="AM251" i="21"/>
  <c r="AM255" i="21"/>
  <c r="AM257" i="21"/>
  <c r="AM261" i="21"/>
  <c r="AM278" i="21"/>
  <c r="AM285" i="21"/>
  <c r="X320" i="21"/>
  <c r="AM324" i="21"/>
  <c r="AM325" i="21"/>
  <c r="AM339" i="21"/>
  <c r="AM346" i="21"/>
  <c r="X349" i="21"/>
  <c r="X354" i="21"/>
  <c r="X360" i="21"/>
  <c r="X373" i="21"/>
  <c r="X401" i="21"/>
  <c r="AM421" i="21"/>
  <c r="AM422" i="21"/>
  <c r="AM428" i="21"/>
  <c r="AM429" i="21"/>
  <c r="AM431" i="21"/>
  <c r="AM432" i="21"/>
  <c r="AM461" i="21"/>
  <c r="AM385" i="21"/>
  <c r="AM400" i="21"/>
  <c r="AM171" i="21"/>
  <c r="X189" i="21"/>
  <c r="AM211" i="21"/>
  <c r="AM239" i="21"/>
  <c r="AM291" i="21"/>
  <c r="AM321" i="21"/>
  <c r="AM322" i="21"/>
  <c r="AM345" i="21"/>
  <c r="AM348" i="21"/>
  <c r="AM349" i="21"/>
  <c r="AM350" i="21"/>
  <c r="AM366" i="21"/>
  <c r="AM371" i="21"/>
  <c r="T377" i="21"/>
  <c r="T390" i="21"/>
  <c r="AM447" i="21"/>
  <c r="T457" i="21"/>
  <c r="AM156" i="21"/>
  <c r="T227" i="21"/>
  <c r="T228" i="21"/>
  <c r="X270" i="21"/>
  <c r="AM290" i="21"/>
  <c r="AM358" i="21"/>
  <c r="AM361" i="21"/>
  <c r="AM362" i="21"/>
  <c r="AM365" i="21"/>
  <c r="X387" i="21"/>
  <c r="X404" i="21"/>
  <c r="X405" i="21"/>
  <c r="AM301" i="21"/>
  <c r="X314" i="21"/>
  <c r="AM373" i="21"/>
  <c r="AM438" i="21"/>
  <c r="X456" i="21"/>
  <c r="AM137" i="21"/>
  <c r="X140" i="21"/>
  <c r="X190" i="21"/>
  <c r="AM356" i="21"/>
  <c r="AG358" i="21"/>
  <c r="AM359" i="21"/>
  <c r="AF359" i="21" s="1"/>
  <c r="AG362" i="21"/>
  <c r="AH366" i="21"/>
  <c r="X410" i="21"/>
  <c r="T418" i="21"/>
  <c r="T422" i="21"/>
  <c r="T425" i="21"/>
  <c r="T428" i="21"/>
  <c r="T430" i="21"/>
  <c r="T431" i="21"/>
  <c r="AM436" i="21"/>
  <c r="X469" i="21"/>
  <c r="AM193" i="21"/>
  <c r="AM194" i="21"/>
  <c r="AM202" i="21"/>
  <c r="X375" i="21"/>
  <c r="AM409" i="21"/>
  <c r="X411" i="21"/>
  <c r="T424" i="21"/>
  <c r="AM455" i="21"/>
  <c r="AM466" i="21"/>
  <c r="AM33" i="21"/>
  <c r="AM7" i="21"/>
  <c r="X124" i="21"/>
  <c r="AG124" i="21"/>
  <c r="X8" i="21"/>
  <c r="AM12" i="21"/>
  <c r="X20" i="21"/>
  <c r="AM24" i="21"/>
  <c r="X32" i="21"/>
  <c r="AM36" i="21"/>
  <c r="X44" i="21"/>
  <c r="AM48" i="21"/>
  <c r="X55" i="21"/>
  <c r="X60" i="21"/>
  <c r="X66" i="21"/>
  <c r="X105" i="21"/>
  <c r="X121" i="21"/>
  <c r="X137" i="21"/>
  <c r="AM44" i="21"/>
  <c r="T45" i="21"/>
  <c r="T69" i="21"/>
  <c r="T44" i="21"/>
  <c r="T85" i="21"/>
  <c r="X7" i="21"/>
  <c r="AM11" i="21"/>
  <c r="T12" i="21"/>
  <c r="X19" i="21"/>
  <c r="AM23" i="21"/>
  <c r="T24" i="21"/>
  <c r="X31" i="21"/>
  <c r="AM35" i="21"/>
  <c r="T36" i="21"/>
  <c r="X43" i="21"/>
  <c r="AM47" i="21"/>
  <c r="T48" i="21"/>
  <c r="AM61" i="21"/>
  <c r="X65" i="21"/>
  <c r="AM69" i="21"/>
  <c r="AM86" i="21"/>
  <c r="AG119" i="21"/>
  <c r="X119" i="21"/>
  <c r="AG135" i="21"/>
  <c r="X135" i="21"/>
  <c r="AM21" i="21"/>
  <c r="AM45" i="21"/>
  <c r="AM20" i="21"/>
  <c r="X6" i="21"/>
  <c r="AM10" i="21"/>
  <c r="X18" i="21"/>
  <c r="AM22" i="21"/>
  <c r="X30" i="21"/>
  <c r="AM34" i="21"/>
  <c r="AG37" i="21"/>
  <c r="X42" i="21"/>
  <c r="AM46" i="21"/>
  <c r="AG49" i="21"/>
  <c r="X54" i="21"/>
  <c r="X59" i="21"/>
  <c r="X70" i="21"/>
  <c r="AG71" i="21"/>
  <c r="T73" i="21"/>
  <c r="AM74" i="21"/>
  <c r="T95" i="21"/>
  <c r="T97" i="21"/>
  <c r="T113" i="21"/>
  <c r="X120" i="21"/>
  <c r="AG120" i="21"/>
  <c r="T129" i="21"/>
  <c r="X136" i="21"/>
  <c r="AG136" i="21"/>
  <c r="AM9" i="21"/>
  <c r="T21" i="21"/>
  <c r="AG123" i="21"/>
  <c r="X123" i="21"/>
  <c r="AM19" i="21"/>
  <c r="AM43" i="21"/>
  <c r="T33" i="21"/>
  <c r="AM55" i="21"/>
  <c r="T60" i="21"/>
  <c r="T83" i="21"/>
  <c r="T117" i="21"/>
  <c r="AM6" i="21"/>
  <c r="AG9" i="21"/>
  <c r="AM18" i="21"/>
  <c r="AG21" i="21"/>
  <c r="AM30" i="21"/>
  <c r="AG33" i="21"/>
  <c r="AM42" i="21"/>
  <c r="AG45" i="21"/>
  <c r="AM59" i="21"/>
  <c r="T74" i="21"/>
  <c r="X81" i="21"/>
  <c r="X95" i="21"/>
  <c r="AG95" i="21"/>
  <c r="AM107" i="21"/>
  <c r="AM109" i="21"/>
  <c r="AM125" i="21"/>
  <c r="AM8" i="21"/>
  <c r="T133" i="21"/>
  <c r="AM5" i="21"/>
  <c r="AM17" i="21"/>
  <c r="AM29" i="21"/>
  <c r="AM41" i="21"/>
  <c r="AM53" i="21"/>
  <c r="X57" i="21"/>
  <c r="X62" i="21"/>
  <c r="AM64" i="21"/>
  <c r="AM68" i="21"/>
  <c r="X73" i="21"/>
  <c r="AG73" i="21"/>
  <c r="X96" i="21"/>
  <c r="X98" i="21"/>
  <c r="AG104" i="21"/>
  <c r="X104" i="21"/>
  <c r="AG111" i="21"/>
  <c r="X111" i="21"/>
  <c r="AG127" i="21"/>
  <c r="X127" i="21"/>
  <c r="AM60" i="21"/>
  <c r="T32" i="21"/>
  <c r="T86" i="21"/>
  <c r="X112" i="21"/>
  <c r="AG112" i="21"/>
  <c r="T121" i="21"/>
  <c r="X128" i="21"/>
  <c r="AG128" i="21"/>
  <c r="T137" i="21"/>
  <c r="T146" i="21"/>
  <c r="X107" i="21"/>
  <c r="AG107" i="21"/>
  <c r="T9" i="21"/>
  <c r="AM31" i="21"/>
  <c r="X82" i="21"/>
  <c r="X83" i="21"/>
  <c r="AG83" i="21"/>
  <c r="AM95" i="21"/>
  <c r="AM97" i="21"/>
  <c r="AM113" i="21"/>
  <c r="X117" i="21"/>
  <c r="AM129" i="21"/>
  <c r="X133" i="21"/>
  <c r="AG80" i="21"/>
  <c r="X80" i="21"/>
  <c r="T20" i="21"/>
  <c r="AM3" i="21"/>
  <c r="AM15" i="21"/>
  <c r="AM27" i="21"/>
  <c r="AM2" i="21"/>
  <c r="AM14" i="21"/>
  <c r="AM26" i="21"/>
  <c r="AM38" i="21"/>
  <c r="AM50" i="21"/>
  <c r="AM62" i="21"/>
  <c r="AM73" i="21"/>
  <c r="X84" i="21"/>
  <c r="X86" i="21"/>
  <c r="AG92" i="21"/>
  <c r="X92" i="21"/>
  <c r="AM98" i="21"/>
  <c r="AG115" i="21"/>
  <c r="X115" i="21"/>
  <c r="AG131" i="21"/>
  <c r="X131" i="21"/>
  <c r="AM32" i="21"/>
  <c r="T8" i="21"/>
  <c r="AM120" i="21"/>
  <c r="AM13" i="21"/>
  <c r="AM25" i="21"/>
  <c r="AM37" i="21"/>
  <c r="AM49" i="21"/>
  <c r="AM57" i="21"/>
  <c r="X74" i="21"/>
  <c r="T107" i="21"/>
  <c r="T109" i="21"/>
  <c r="X116" i="21"/>
  <c r="AG116" i="21"/>
  <c r="T125" i="21"/>
  <c r="X132" i="21"/>
  <c r="AG132" i="21"/>
  <c r="X156" i="21"/>
  <c r="AG156" i="21"/>
  <c r="AM72" i="21"/>
  <c r="AM84" i="21"/>
  <c r="AM96" i="21"/>
  <c r="AM108" i="21"/>
  <c r="T263" i="21"/>
  <c r="AM70" i="21"/>
  <c r="X78" i="21"/>
  <c r="AM82" i="21"/>
  <c r="AG85" i="21"/>
  <c r="AM94" i="21"/>
  <c r="AG97" i="21"/>
  <c r="AM106" i="21"/>
  <c r="AG140" i="21"/>
  <c r="AG84" i="21"/>
  <c r="AM93" i="21"/>
  <c r="AG96" i="21"/>
  <c r="AM105" i="21"/>
  <c r="AG108" i="21"/>
  <c r="T112" i="21"/>
  <c r="T116" i="21"/>
  <c r="T120" i="21"/>
  <c r="T124" i="21"/>
  <c r="T128" i="21"/>
  <c r="T132" i="21"/>
  <c r="T136" i="21"/>
  <c r="AM139" i="21"/>
  <c r="AM80" i="21"/>
  <c r="AM115" i="21"/>
  <c r="AM119" i="21"/>
  <c r="AM123" i="21"/>
  <c r="AM127" i="21"/>
  <c r="AM131" i="21"/>
  <c r="AM135" i="21"/>
  <c r="AM67" i="21"/>
  <c r="AM79" i="21"/>
  <c r="AM91" i="21"/>
  <c r="AM103" i="21"/>
  <c r="X146" i="21"/>
  <c r="AG146" i="21"/>
  <c r="AG240" i="21"/>
  <c r="X240" i="21"/>
  <c r="AM54" i="21"/>
  <c r="AM66" i="21"/>
  <c r="AM78" i="21"/>
  <c r="AM90" i="21"/>
  <c r="AM102" i="21"/>
  <c r="T111" i="21"/>
  <c r="T115" i="21"/>
  <c r="T119" i="21"/>
  <c r="T123" i="21"/>
  <c r="T127" i="21"/>
  <c r="T131" i="21"/>
  <c r="T135" i="21"/>
  <c r="AM77" i="21"/>
  <c r="AM89" i="21"/>
  <c r="AM118" i="21"/>
  <c r="AM122" i="21"/>
  <c r="AM126" i="21"/>
  <c r="AM130" i="21"/>
  <c r="AM134" i="21"/>
  <c r="AM138" i="21"/>
  <c r="AM141" i="21"/>
  <c r="AH192" i="21"/>
  <c r="X192" i="21"/>
  <c r="AM76" i="21"/>
  <c r="AM88" i="21"/>
  <c r="AM100" i="21"/>
  <c r="AM75" i="21"/>
  <c r="AM87" i="21"/>
  <c r="AM99" i="21"/>
  <c r="T138" i="21"/>
  <c r="T141" i="21"/>
  <c r="AH198" i="21"/>
  <c r="X198" i="21"/>
  <c r="X150" i="21"/>
  <c r="AG150" i="21"/>
  <c r="AM169" i="21"/>
  <c r="AM179" i="21"/>
  <c r="AH193" i="21"/>
  <c r="X193" i="21"/>
  <c r="X144" i="21"/>
  <c r="AG144" i="21"/>
  <c r="T152" i="21"/>
  <c r="AM157" i="21"/>
  <c r="X224" i="21"/>
  <c r="AL224" i="21"/>
  <c r="AM224" i="21" s="1"/>
  <c r="X209" i="21"/>
  <c r="AM209" i="21"/>
  <c r="AG212" i="21"/>
  <c r="X212" i="21"/>
  <c r="AG264" i="21"/>
  <c r="X264" i="21"/>
  <c r="AM213" i="21"/>
  <c r="X213" i="21"/>
  <c r="T233" i="21"/>
  <c r="X143" i="21"/>
  <c r="T195" i="21"/>
  <c r="AH217" i="21"/>
  <c r="X217" i="21"/>
  <c r="X228" i="21"/>
  <c r="AL228" i="21"/>
  <c r="AM228" i="21" s="1"/>
  <c r="T236" i="21"/>
  <c r="T243" i="21"/>
  <c r="X145" i="21"/>
  <c r="X220" i="21"/>
  <c r="AL220" i="21"/>
  <c r="AM220" i="21" s="1"/>
  <c r="T247" i="21"/>
  <c r="T251" i="21"/>
  <c r="T265" i="21"/>
  <c r="AM155" i="21"/>
  <c r="AM167" i="21"/>
  <c r="AM173" i="21"/>
  <c r="T255" i="21"/>
  <c r="T259" i="21"/>
  <c r="X151" i="21"/>
  <c r="X157" i="21"/>
  <c r="X163" i="21"/>
  <c r="X169" i="21"/>
  <c r="X175" i="21"/>
  <c r="X181" i="21"/>
  <c r="X187" i="21"/>
  <c r="X214" i="21"/>
  <c r="AM215" i="21"/>
  <c r="X222" i="21"/>
  <c r="X230" i="21"/>
  <c r="T240" i="21"/>
  <c r="AM269" i="21"/>
  <c r="AF299" i="21"/>
  <c r="AG189" i="21"/>
  <c r="AM199" i="21"/>
  <c r="AG200" i="21"/>
  <c r="X200" i="21"/>
  <c r="T207" i="21"/>
  <c r="X211" i="21"/>
  <c r="AM219" i="21"/>
  <c r="AM227" i="21"/>
  <c r="X231" i="21"/>
  <c r="T248" i="21"/>
  <c r="T256" i="21"/>
  <c r="X272" i="21"/>
  <c r="X273" i="21"/>
  <c r="X285" i="21"/>
  <c r="X162" i="21"/>
  <c r="X168" i="21"/>
  <c r="X174" i="21"/>
  <c r="X180" i="21"/>
  <c r="X186" i="21"/>
  <c r="X238" i="21"/>
  <c r="AG238" i="21"/>
  <c r="X239" i="21"/>
  <c r="AG284" i="21"/>
  <c r="X284" i="21"/>
  <c r="T158" i="21"/>
  <c r="T164" i="21"/>
  <c r="T170" i="21"/>
  <c r="T176" i="21"/>
  <c r="T182" i="21"/>
  <c r="T188" i="21"/>
  <c r="AM195" i="21"/>
  <c r="T197" i="21"/>
  <c r="T202" i="21"/>
  <c r="AM205" i="21"/>
  <c r="AG206" i="21"/>
  <c r="X206" i="21"/>
  <c r="T213" i="21"/>
  <c r="T235" i="21"/>
  <c r="X246" i="21"/>
  <c r="AG246" i="21"/>
  <c r="X247" i="21"/>
  <c r="T249" i="21"/>
  <c r="X254" i="21"/>
  <c r="AG254" i="21"/>
  <c r="X255" i="21"/>
  <c r="T257" i="21"/>
  <c r="X262" i="21"/>
  <c r="AG262" i="21"/>
  <c r="AG263" i="21"/>
  <c r="X263" i="21"/>
  <c r="AM295" i="21"/>
  <c r="X149" i="21"/>
  <c r="X155" i="21"/>
  <c r="X161" i="21"/>
  <c r="X167" i="21"/>
  <c r="X173" i="21"/>
  <c r="X179" i="21"/>
  <c r="X185" i="21"/>
  <c r="AG188" i="21"/>
  <c r="X196" i="21"/>
  <c r="AM231" i="21"/>
  <c r="T270" i="21"/>
  <c r="AG151" i="21"/>
  <c r="X154" i="21"/>
  <c r="AG157" i="21"/>
  <c r="X160" i="21"/>
  <c r="AG163" i="21"/>
  <c r="X166" i="21"/>
  <c r="AG169" i="21"/>
  <c r="X172" i="21"/>
  <c r="X178" i="21"/>
  <c r="X184" i="21"/>
  <c r="T203" i="21"/>
  <c r="X266" i="21"/>
  <c r="AG266" i="21"/>
  <c r="T282" i="21"/>
  <c r="AG290" i="21"/>
  <c r="X290" i="21"/>
  <c r="AG194" i="21"/>
  <c r="X194" i="21"/>
  <c r="AM201" i="21"/>
  <c r="T214" i="21"/>
  <c r="AG218" i="21"/>
  <c r="X218" i="21"/>
  <c r="AM223" i="21"/>
  <c r="X234" i="21"/>
  <c r="AG234" i="21"/>
  <c r="T237" i="21"/>
  <c r="AG239" i="21"/>
  <c r="T244" i="21"/>
  <c r="T252" i="21"/>
  <c r="T260" i="21"/>
  <c r="X147" i="21"/>
  <c r="X153" i="21"/>
  <c r="X159" i="21"/>
  <c r="AG162" i="21"/>
  <c r="X165" i="21"/>
  <c r="AG168" i="21"/>
  <c r="X171" i="21"/>
  <c r="AG174" i="21"/>
  <c r="X177" i="21"/>
  <c r="AG180" i="21"/>
  <c r="X183" i="21"/>
  <c r="AG186" i="21"/>
  <c r="X202" i="21"/>
  <c r="AM203" i="21"/>
  <c r="T209" i="21"/>
  <c r="AG247" i="21"/>
  <c r="AG255" i="21"/>
  <c r="X199" i="21"/>
  <c r="X219" i="21"/>
  <c r="X227" i="21"/>
  <c r="T231" i="21"/>
  <c r="X242" i="21"/>
  <c r="AG242" i="21"/>
  <c r="X243" i="21"/>
  <c r="X250" i="21"/>
  <c r="AG250" i="21"/>
  <c r="X251" i="21"/>
  <c r="X258" i="21"/>
  <c r="AG258" i="21"/>
  <c r="X259" i="21"/>
  <c r="T261" i="21"/>
  <c r="T289" i="21"/>
  <c r="AG149" i="21"/>
  <c r="X152" i="21"/>
  <c r="AG155" i="21"/>
  <c r="X158" i="21"/>
  <c r="AG161" i="21"/>
  <c r="X164" i="21"/>
  <c r="AG167" i="21"/>
  <c r="X170" i="21"/>
  <c r="X176" i="21"/>
  <c r="AG179" i="21"/>
  <c r="X182" i="21"/>
  <c r="AG185" i="21"/>
  <c r="X208" i="21"/>
  <c r="T215" i="21"/>
  <c r="T232" i="21"/>
  <c r="T239" i="21"/>
  <c r="AG268" i="21"/>
  <c r="X268" i="21"/>
  <c r="AH279" i="21"/>
  <c r="X279" i="21"/>
  <c r="AL280" i="21"/>
  <c r="AM280" i="21" s="1"/>
  <c r="X280" i="21"/>
  <c r="AG300" i="21"/>
  <c r="X300" i="21"/>
  <c r="X309" i="21"/>
  <c r="AM233" i="21"/>
  <c r="AM237" i="21"/>
  <c r="AM241" i="21"/>
  <c r="AM245" i="21"/>
  <c r="AM249" i="21"/>
  <c r="AM253" i="21"/>
  <c r="X269" i="21"/>
  <c r="AG291" i="21"/>
  <c r="X291" i="21"/>
  <c r="AG294" i="21"/>
  <c r="X294" i="21"/>
  <c r="T351" i="21"/>
  <c r="AM307" i="21"/>
  <c r="AM319" i="21"/>
  <c r="T305" i="21"/>
  <c r="AM337" i="21"/>
  <c r="X337" i="21"/>
  <c r="AM222" i="21"/>
  <c r="AM226" i="21"/>
  <c r="AM230" i="21"/>
  <c r="T268" i="21"/>
  <c r="AM273" i="21"/>
  <c r="AG281" i="21"/>
  <c r="X281" i="21"/>
  <c r="T299" i="21"/>
  <c r="AM340" i="21"/>
  <c r="X340" i="21"/>
  <c r="AM234" i="21"/>
  <c r="AM238" i="21"/>
  <c r="AM242" i="21"/>
  <c r="AM246" i="21"/>
  <c r="AM250" i="21"/>
  <c r="AM254" i="21"/>
  <c r="AM258" i="21"/>
  <c r="AL277" i="21"/>
  <c r="AM277" i="21" s="1"/>
  <c r="X277" i="21"/>
  <c r="T293" i="21"/>
  <c r="T222" i="21"/>
  <c r="T226" i="21"/>
  <c r="T230" i="21"/>
  <c r="AM232" i="21"/>
  <c r="AM236" i="21"/>
  <c r="AM240" i="21"/>
  <c r="AM244" i="21"/>
  <c r="AM248" i="21"/>
  <c r="AM252" i="21"/>
  <c r="AM256" i="21"/>
  <c r="AM260" i="21"/>
  <c r="X265" i="21"/>
  <c r="T266" i="21"/>
  <c r="T269" i="21"/>
  <c r="T292" i="21"/>
  <c r="T193" i="21"/>
  <c r="T199" i="21"/>
  <c r="T205" i="21"/>
  <c r="T211" i="21"/>
  <c r="T217" i="21"/>
  <c r="AM221" i="21"/>
  <c r="AM225" i="21"/>
  <c r="AM229" i="21"/>
  <c r="X282" i="21"/>
  <c r="AL282" i="21"/>
  <c r="AM282" i="21" s="1"/>
  <c r="X233" i="21"/>
  <c r="X237" i="21"/>
  <c r="X241" i="21"/>
  <c r="X245" i="21"/>
  <c r="T246" i="21"/>
  <c r="X249" i="21"/>
  <c r="T250" i="21"/>
  <c r="X253" i="21"/>
  <c r="T254" i="21"/>
  <c r="X257" i="21"/>
  <c r="T258" i="21"/>
  <c r="X261" i="21"/>
  <c r="T262" i="21"/>
  <c r="T264" i="21"/>
  <c r="T280" i="21"/>
  <c r="T286" i="21"/>
  <c r="T287" i="21"/>
  <c r="AM268" i="21"/>
  <c r="AM272" i="21"/>
  <c r="AM276" i="21"/>
  <c r="X278" i="21"/>
  <c r="AM279" i="21"/>
  <c r="X297" i="21"/>
  <c r="X303" i="21"/>
  <c r="X312" i="21"/>
  <c r="T272" i="21"/>
  <c r="T276" i="21"/>
  <c r="T279" i="21"/>
  <c r="AM343" i="21"/>
  <c r="X343" i="21"/>
  <c r="AG350" i="21"/>
  <c r="X350" i="21"/>
  <c r="AM271" i="21"/>
  <c r="AM275" i="21"/>
  <c r="AM331" i="21"/>
  <c r="X331" i="21"/>
  <c r="AG287" i="21"/>
  <c r="X287" i="21"/>
  <c r="T296" i="21"/>
  <c r="T302" i="21"/>
  <c r="AM313" i="21"/>
  <c r="T267" i="21"/>
  <c r="T271" i="21"/>
  <c r="T275" i="21"/>
  <c r="AM298" i="21"/>
  <c r="AM304" i="21"/>
  <c r="X306" i="21"/>
  <c r="X318" i="21"/>
  <c r="AM334" i="21"/>
  <c r="X334" i="21"/>
  <c r="AM262" i="21"/>
  <c r="AM266" i="21"/>
  <c r="AM270" i="21"/>
  <c r="AM274" i="21"/>
  <c r="AF306" i="21"/>
  <c r="AF318" i="21"/>
  <c r="X351" i="21"/>
  <c r="X365" i="21"/>
  <c r="AH365" i="21"/>
  <c r="T373" i="21"/>
  <c r="X286" i="21"/>
  <c r="X292" i="21"/>
  <c r="X346" i="21"/>
  <c r="X353" i="21"/>
  <c r="AM364" i="21"/>
  <c r="X295" i="21"/>
  <c r="X298" i="21"/>
  <c r="X301" i="21"/>
  <c r="X304" i="21"/>
  <c r="X307" i="21"/>
  <c r="X310" i="21"/>
  <c r="X313" i="21"/>
  <c r="X316" i="21"/>
  <c r="X319" i="21"/>
  <c r="X322" i="21"/>
  <c r="X325" i="21"/>
  <c r="X328" i="21"/>
  <c r="X407" i="21"/>
  <c r="AH407" i="21"/>
  <c r="X408" i="21"/>
  <c r="AL408" i="21"/>
  <c r="AM408" i="21" s="1"/>
  <c r="X348" i="21"/>
  <c r="AH349" i="21"/>
  <c r="AM355" i="21"/>
  <c r="AH314" i="21"/>
  <c r="AH317" i="21"/>
  <c r="AH320" i="21"/>
  <c r="AH323" i="21"/>
  <c r="AH326" i="21"/>
  <c r="AH329" i="21"/>
  <c r="AH332" i="21"/>
  <c r="AH335" i="21"/>
  <c r="AH338" i="21"/>
  <c r="AH341" i="21"/>
  <c r="AH344" i="21"/>
  <c r="X356" i="21"/>
  <c r="AM360" i="21"/>
  <c r="X361" i="21"/>
  <c r="AH361" i="21"/>
  <c r="AH370" i="21"/>
  <c r="X370" i="21"/>
  <c r="AG381" i="21"/>
  <c r="X381" i="21"/>
  <c r="AM369" i="21"/>
  <c r="X347" i="21"/>
  <c r="X357" i="21"/>
  <c r="AH357" i="21"/>
  <c r="X293" i="21"/>
  <c r="X296" i="21"/>
  <c r="X299" i="21"/>
  <c r="X302" i="21"/>
  <c r="X305" i="21"/>
  <c r="X308" i="21"/>
  <c r="X311" i="21"/>
  <c r="AM354" i="21"/>
  <c r="X355" i="21"/>
  <c r="T409" i="21"/>
  <c r="X397" i="21"/>
  <c r="T369" i="21"/>
  <c r="T384" i="21"/>
  <c r="X394" i="21"/>
  <c r="AG394" i="21"/>
  <c r="X359" i="21"/>
  <c r="X363" i="21"/>
  <c r="X367" i="21"/>
  <c r="T385" i="21"/>
  <c r="X395" i="21"/>
  <c r="AH395" i="21"/>
  <c r="X396" i="21"/>
  <c r="AL396" i="21"/>
  <c r="AM396" i="21" s="1"/>
  <c r="X409" i="21"/>
  <c r="AM368" i="21"/>
  <c r="X406" i="21"/>
  <c r="AG406" i="21"/>
  <c r="X374" i="21"/>
  <c r="AG378" i="21"/>
  <c r="X378" i="21"/>
  <c r="AM370" i="21"/>
  <c r="AH375" i="21"/>
  <c r="X376" i="21"/>
  <c r="X382" i="21"/>
  <c r="AG382" i="21"/>
  <c r="X427" i="21"/>
  <c r="AM427" i="21"/>
  <c r="X369" i="21"/>
  <c r="X383" i="21"/>
  <c r="AH383" i="21"/>
  <c r="X384" i="21"/>
  <c r="AL384" i="21"/>
  <c r="AM384" i="21" s="1"/>
  <c r="T397" i="21"/>
  <c r="X371" i="21"/>
  <c r="AM439" i="21"/>
  <c r="T472" i="21"/>
  <c r="AM383" i="21"/>
  <c r="AG386" i="21"/>
  <c r="AH387" i="21"/>
  <c r="X391" i="21"/>
  <c r="AM395" i="21"/>
  <c r="T396" i="21"/>
  <c r="AG398" i="21"/>
  <c r="AH399" i="21"/>
  <c r="X403" i="21"/>
  <c r="AM407" i="21"/>
  <c r="T408" i="21"/>
  <c r="AG410" i="21"/>
  <c r="AH411" i="21"/>
  <c r="T419" i="21"/>
  <c r="T452" i="21"/>
  <c r="AM382" i="21"/>
  <c r="AG385" i="21"/>
  <c r="X390" i="21"/>
  <c r="AM394" i="21"/>
  <c r="AG397" i="21"/>
  <c r="X402" i="21"/>
  <c r="AM406" i="21"/>
  <c r="AG409" i="21"/>
  <c r="X413" i="21"/>
  <c r="T415" i="21"/>
  <c r="AM423" i="21"/>
  <c r="AM381" i="21"/>
  <c r="AM393" i="21"/>
  <c r="AM405" i="21"/>
  <c r="X425" i="21"/>
  <c r="T427" i="21"/>
  <c r="AM380" i="21"/>
  <c r="T381" i="21"/>
  <c r="AM392" i="21"/>
  <c r="T393" i="21"/>
  <c r="X400" i="21"/>
  <c r="AM404" i="21"/>
  <c r="T405" i="21"/>
  <c r="X435" i="21"/>
  <c r="AG435" i="21"/>
  <c r="AM379" i="21"/>
  <c r="AM391" i="21"/>
  <c r="AM403" i="21"/>
  <c r="T414" i="21"/>
  <c r="AH420" i="21"/>
  <c r="T446" i="21"/>
  <c r="AM448" i="21"/>
  <c r="AM378" i="21"/>
  <c r="AM390" i="21"/>
  <c r="AM402" i="21"/>
  <c r="AM415" i="21"/>
  <c r="X422" i="21"/>
  <c r="AM377" i="21"/>
  <c r="AM401" i="21"/>
  <c r="X419" i="21"/>
  <c r="T434" i="21"/>
  <c r="AM388" i="21"/>
  <c r="AM412" i="21"/>
  <c r="X453" i="21"/>
  <c r="AG453" i="21"/>
  <c r="AM375" i="21"/>
  <c r="AM387" i="21"/>
  <c r="AM399" i="21"/>
  <c r="AM411" i="21"/>
  <c r="T417" i="21"/>
  <c r="AM374" i="21"/>
  <c r="AM386" i="21"/>
  <c r="AM398" i="21"/>
  <c r="AM410" i="21"/>
  <c r="T421" i="21"/>
  <c r="X428" i="21"/>
  <c r="T442" i="21"/>
  <c r="AM467" i="21"/>
  <c r="X470" i="21"/>
  <c r="AG470" i="21"/>
  <c r="X424" i="21"/>
  <c r="X430" i="21"/>
  <c r="X438" i="21"/>
  <c r="X441" i="21"/>
  <c r="AM443" i="21"/>
  <c r="X458" i="21"/>
  <c r="AG458" i="21"/>
  <c r="X447" i="21"/>
  <c r="AM456" i="21"/>
  <c r="X464" i="21"/>
  <c r="AG464" i="21"/>
  <c r="T420" i="21"/>
  <c r="X423" i="21"/>
  <c r="T426" i="21"/>
  <c r="X429" i="21"/>
  <c r="X434" i="21"/>
  <c r="AG434" i="21"/>
  <c r="X444" i="21"/>
  <c r="X471" i="21"/>
  <c r="AG471" i="21"/>
  <c r="X472" i="21"/>
  <c r="X436" i="21"/>
  <c r="AG436" i="21"/>
  <c r="X450" i="21"/>
  <c r="X454" i="21"/>
  <c r="AG454" i="21"/>
  <c r="T461" i="21"/>
  <c r="X440" i="21"/>
  <c r="AG440" i="21"/>
  <c r="X459" i="21"/>
  <c r="AG459" i="21"/>
  <c r="X433" i="21"/>
  <c r="X442" i="21"/>
  <c r="AG442" i="21"/>
  <c r="AM444" i="21"/>
  <c r="T449" i="21"/>
  <c r="T462" i="21"/>
  <c r="X465" i="21"/>
  <c r="AG465" i="21"/>
  <c r="AM471" i="21"/>
  <c r="AM472" i="21"/>
  <c r="X446" i="21"/>
  <c r="AG446" i="21"/>
  <c r="X448" i="21"/>
  <c r="AG448" i="21"/>
  <c r="AM450" i="21"/>
  <c r="X452" i="21"/>
  <c r="AG452" i="21"/>
  <c r="AM454" i="21"/>
  <c r="X460" i="21"/>
  <c r="AG460" i="21"/>
  <c r="T468" i="21"/>
  <c r="X432" i="21"/>
  <c r="X466" i="21"/>
  <c r="AG466" i="21"/>
  <c r="T423" i="21"/>
  <c r="T429" i="21"/>
  <c r="AG444" i="21"/>
  <c r="T450" i="21"/>
  <c r="AG450" i="21"/>
  <c r="AM460" i="21"/>
  <c r="X439" i="21"/>
  <c r="X445" i="21"/>
  <c r="X451" i="21"/>
  <c r="X457" i="21"/>
  <c r="X463" i="21"/>
  <c r="X462" i="21"/>
  <c r="X431" i="21"/>
  <c r="X437" i="21"/>
  <c r="X443" i="21"/>
  <c r="X449" i="21"/>
  <c r="X455" i="21"/>
  <c r="X461" i="21"/>
  <c r="X467" i="21"/>
  <c r="AF342" i="21" l="1"/>
  <c r="AF176" i="21"/>
  <c r="SG12" i="20"/>
  <c r="SH12" i="20" s="1"/>
  <c r="RY12" i="20"/>
  <c r="RZ12" i="20" s="1"/>
  <c r="SC11" i="20"/>
  <c r="RY14" i="20"/>
  <c r="SE14" i="20"/>
  <c r="RW14" i="20"/>
  <c r="SA11" i="20"/>
  <c r="SE13" i="20"/>
  <c r="SF13" i="20" s="1"/>
  <c r="RW13" i="20"/>
  <c r="RX13" i="20" s="1"/>
  <c r="RY11" i="20"/>
  <c r="SE12" i="20"/>
  <c r="SF12" i="20" s="1"/>
  <c r="RW12" i="20"/>
  <c r="RX12" i="20" s="1"/>
  <c r="RW11" i="20"/>
  <c r="SA12" i="20"/>
  <c r="SB12" i="20" s="1"/>
  <c r="SG11" i="20"/>
  <c r="SC14" i="20"/>
  <c r="RU14" i="20"/>
  <c r="RU11" i="20"/>
  <c r="SC13" i="20"/>
  <c r="SD13" i="20" s="1"/>
  <c r="RU13" i="20"/>
  <c r="RV13" i="20" s="1"/>
  <c r="RS11" i="20"/>
  <c r="SC12" i="20"/>
  <c r="SD12" i="20" s="1"/>
  <c r="RU12" i="20"/>
  <c r="RV12" i="20" s="1"/>
  <c r="SA14" i="20"/>
  <c r="RS14" i="20"/>
  <c r="RS12" i="20"/>
  <c r="SG14" i="20"/>
  <c r="SA13" i="20"/>
  <c r="SB13" i="20" s="1"/>
  <c r="RS13" i="20"/>
  <c r="SG13" i="20"/>
  <c r="SH13" i="20" s="1"/>
  <c r="RY13" i="20"/>
  <c r="RZ13" i="20" s="1"/>
  <c r="SE11" i="20"/>
  <c r="AF396" i="21"/>
  <c r="AF227" i="21"/>
  <c r="U227" i="21" s="1"/>
  <c r="V227" i="21" s="1"/>
  <c r="AF99" i="21"/>
  <c r="AF47" i="21"/>
  <c r="AF371" i="21"/>
  <c r="AF433" i="21"/>
  <c r="U433" i="21" s="1"/>
  <c r="V433" i="21" s="1"/>
  <c r="AF58" i="21"/>
  <c r="U58" i="21" s="1"/>
  <c r="V58" i="21" s="1"/>
  <c r="AF81" i="21"/>
  <c r="AF462" i="21"/>
  <c r="U462" i="21" s="1"/>
  <c r="V462" i="21" s="1"/>
  <c r="AF183" i="21"/>
  <c r="U183" i="21" s="1"/>
  <c r="V183" i="21" s="1"/>
  <c r="AF298" i="21"/>
  <c r="AF11" i="21"/>
  <c r="AF257" i="21"/>
  <c r="AF376" i="21"/>
  <c r="U376" i="21" s="1"/>
  <c r="V376" i="21" s="1"/>
  <c r="AF295" i="21"/>
  <c r="U295" i="21" s="1"/>
  <c r="V295" i="21" s="1"/>
  <c r="AF219" i="21"/>
  <c r="U219" i="21" s="1"/>
  <c r="V219" i="21" s="1"/>
  <c r="AF87" i="21"/>
  <c r="AF109" i="21"/>
  <c r="AF18" i="21"/>
  <c r="U18" i="21" s="1"/>
  <c r="V18" i="21" s="1"/>
  <c r="AF400" i="21"/>
  <c r="AF251" i="21"/>
  <c r="AF177" i="21"/>
  <c r="AF389" i="21"/>
  <c r="AF28" i="21"/>
  <c r="U28" i="21" s="1"/>
  <c r="V28" i="21" s="1"/>
  <c r="AF154" i="21"/>
  <c r="AF363" i="21"/>
  <c r="AF360" i="21"/>
  <c r="AF270" i="21"/>
  <c r="U270" i="21" s="1"/>
  <c r="V270" i="21" s="1"/>
  <c r="AF282" i="21"/>
  <c r="U282" i="21" s="1"/>
  <c r="V282" i="21" s="1"/>
  <c r="AF280" i="21"/>
  <c r="AF220" i="21"/>
  <c r="AF216" i="21"/>
  <c r="U216" i="21" s="1"/>
  <c r="V216" i="21" s="1"/>
  <c r="AF51" i="21"/>
  <c r="AF424" i="21"/>
  <c r="U424" i="21" s="1"/>
  <c r="V424" i="21" s="1"/>
  <c r="AF145" i="21"/>
  <c r="U145" i="21" s="1"/>
  <c r="V145" i="21" s="1"/>
  <c r="AF265" i="21"/>
  <c r="AF310" i="21"/>
  <c r="AF214" i="21"/>
  <c r="AF412" i="21"/>
  <c r="AF276" i="21"/>
  <c r="AF78" i="21"/>
  <c r="U78" i="21" s="1"/>
  <c r="V78" i="21" s="1"/>
  <c r="AF57" i="21"/>
  <c r="AF6" i="21"/>
  <c r="AF461" i="21"/>
  <c r="U461" i="21" s="1"/>
  <c r="V461" i="21" s="1"/>
  <c r="AF346" i="21"/>
  <c r="U346" i="21" s="1"/>
  <c r="V346" i="21" s="1"/>
  <c r="AF414" i="21"/>
  <c r="U414" i="21" s="1"/>
  <c r="V414" i="21" s="1"/>
  <c r="AF315" i="21"/>
  <c r="U315" i="21" s="1"/>
  <c r="V315" i="21" s="1"/>
  <c r="AF175" i="21"/>
  <c r="U175" i="21" s="1"/>
  <c r="V175" i="21" s="1"/>
  <c r="AF184" i="21"/>
  <c r="U184" i="21" s="1"/>
  <c r="V184" i="21" s="1"/>
  <c r="AF353" i="21"/>
  <c r="U353" i="21" s="1"/>
  <c r="V353" i="21" s="1"/>
  <c r="AF355" i="21"/>
  <c r="AF313" i="21"/>
  <c r="U313" i="21" s="1"/>
  <c r="V313" i="21" s="1"/>
  <c r="AF337" i="21"/>
  <c r="U337" i="21" s="1"/>
  <c r="V337" i="21" s="1"/>
  <c r="AF253" i="21"/>
  <c r="U253" i="21" s="1"/>
  <c r="V253" i="21" s="1"/>
  <c r="AF201" i="21"/>
  <c r="U201" i="21" s="1"/>
  <c r="V201" i="21" s="1"/>
  <c r="AF215" i="21"/>
  <c r="U215" i="21" s="1"/>
  <c r="V215" i="21" s="1"/>
  <c r="AF88" i="21"/>
  <c r="U88" i="21" s="1"/>
  <c r="V88" i="21" s="1"/>
  <c r="AF89" i="21"/>
  <c r="AF53" i="21"/>
  <c r="U53" i="21" s="1"/>
  <c r="V53" i="21" s="1"/>
  <c r="AF348" i="21"/>
  <c r="U348" i="21" s="1"/>
  <c r="V348" i="21" s="1"/>
  <c r="AF432" i="21"/>
  <c r="AF339" i="21"/>
  <c r="U339" i="21" s="1"/>
  <c r="V339" i="21" s="1"/>
  <c r="AF187" i="21"/>
  <c r="AF110" i="21"/>
  <c r="U110" i="21" s="1"/>
  <c r="V110" i="21" s="1"/>
  <c r="AF40" i="21"/>
  <c r="U40" i="21" s="1"/>
  <c r="V40" i="21" s="1"/>
  <c r="AF457" i="21"/>
  <c r="AF286" i="21"/>
  <c r="AF159" i="21"/>
  <c r="AF152" i="21"/>
  <c r="AF408" i="21"/>
  <c r="AF249" i="21"/>
  <c r="U249" i="21" s="1"/>
  <c r="V249" i="21" s="1"/>
  <c r="AF76" i="21"/>
  <c r="U76" i="21" s="1"/>
  <c r="V76" i="21" s="1"/>
  <c r="AF54" i="21"/>
  <c r="U54" i="21" s="1"/>
  <c r="V54" i="21" s="1"/>
  <c r="AF82" i="21"/>
  <c r="AF41" i="21"/>
  <c r="U41" i="21" s="1"/>
  <c r="V41" i="21" s="1"/>
  <c r="AF345" i="21"/>
  <c r="AF431" i="21"/>
  <c r="AF325" i="21"/>
  <c r="U325" i="21" s="1"/>
  <c r="V325" i="21" s="1"/>
  <c r="AF181" i="21"/>
  <c r="AF469" i="21"/>
  <c r="AF416" i="21"/>
  <c r="AF4" i="21"/>
  <c r="U4" i="21" s="1"/>
  <c r="V4" i="21" s="1"/>
  <c r="AF316" i="21"/>
  <c r="U316" i="21" s="1"/>
  <c r="V316" i="21" s="1"/>
  <c r="AF296" i="21"/>
  <c r="U296" i="21" s="1"/>
  <c r="V296" i="21" s="1"/>
  <c r="AF269" i="21"/>
  <c r="U269" i="21" s="1"/>
  <c r="V269" i="21" s="1"/>
  <c r="AF245" i="21"/>
  <c r="AF322" i="21"/>
  <c r="AF327" i="21"/>
  <c r="AF16" i="21"/>
  <c r="U16" i="21" s="1"/>
  <c r="V16" i="21" s="1"/>
  <c r="AF303" i="21"/>
  <c r="AF30" i="21"/>
  <c r="AF402" i="21"/>
  <c r="AF472" i="21"/>
  <c r="AF374" i="21"/>
  <c r="AF369" i="21"/>
  <c r="U369" i="21" s="1"/>
  <c r="V369" i="21" s="1"/>
  <c r="AF319" i="21"/>
  <c r="AF17" i="21"/>
  <c r="U17" i="21" s="1"/>
  <c r="V17" i="21" s="1"/>
  <c r="AF22" i="21"/>
  <c r="AF455" i="21"/>
  <c r="AF321" i="21"/>
  <c r="AF428" i="21"/>
  <c r="AF308" i="21"/>
  <c r="AF309" i="21"/>
  <c r="U309" i="21" s="1"/>
  <c r="V309" i="21" s="1"/>
  <c r="AF302" i="21"/>
  <c r="U302" i="21" s="1"/>
  <c r="V302" i="21" s="1"/>
  <c r="AF430" i="21"/>
  <c r="AF401" i="21"/>
  <c r="AF427" i="21"/>
  <c r="AF307" i="21"/>
  <c r="U307" i="21" s="1"/>
  <c r="V307" i="21" s="1"/>
  <c r="AF356" i="21"/>
  <c r="U356" i="21" s="1"/>
  <c r="V356" i="21" s="1"/>
  <c r="AF422" i="21"/>
  <c r="AF285" i="21"/>
  <c r="AF293" i="21"/>
  <c r="AF390" i="21"/>
  <c r="U390" i="21" s="1"/>
  <c r="V390" i="21" s="1"/>
  <c r="AF391" i="21"/>
  <c r="U391" i="21" s="1"/>
  <c r="V391" i="21" s="1"/>
  <c r="AF364" i="21"/>
  <c r="AF304" i="21"/>
  <c r="AF273" i="21"/>
  <c r="AF233" i="21"/>
  <c r="AF10" i="21"/>
  <c r="U10" i="21" s="1"/>
  <c r="V10" i="21" s="1"/>
  <c r="AF61" i="21"/>
  <c r="U61" i="21" s="1"/>
  <c r="V61" i="21" s="1"/>
  <c r="AF421" i="21"/>
  <c r="U421" i="21" s="1"/>
  <c r="V421" i="21" s="1"/>
  <c r="AF336" i="21"/>
  <c r="U336" i="21" s="1"/>
  <c r="V336" i="21" s="1"/>
  <c r="AF52" i="21"/>
  <c r="AF208" i="21"/>
  <c r="AF467" i="21"/>
  <c r="AF368" i="21"/>
  <c r="U368" i="21" s="1"/>
  <c r="V368" i="21" s="1"/>
  <c r="AF213" i="21"/>
  <c r="AF297" i="21"/>
  <c r="AF182" i="21"/>
  <c r="AF195" i="21"/>
  <c r="AF117" i="21"/>
  <c r="AF351" i="21"/>
  <c r="AF429" i="21"/>
  <c r="AF324" i="21"/>
  <c r="U324" i="21" s="1"/>
  <c r="V324" i="21" s="1"/>
  <c r="AF158" i="21"/>
  <c r="AF420" i="21"/>
  <c r="AF164" i="21"/>
  <c r="AF311" i="21"/>
  <c r="AF418" i="21"/>
  <c r="AF419" i="21"/>
  <c r="AF29" i="21"/>
  <c r="U29" i="21" s="1"/>
  <c r="V29" i="21" s="1"/>
  <c r="AF425" i="21"/>
  <c r="AF210" i="21"/>
  <c r="AF437" i="21"/>
  <c r="U437" i="21" s="1"/>
  <c r="V437" i="21" s="1"/>
  <c r="AF63" i="21"/>
  <c r="AF25" i="21"/>
  <c r="AF198" i="21"/>
  <c r="AF236" i="21"/>
  <c r="U236" i="21" s="1"/>
  <c r="V236" i="21" s="1"/>
  <c r="AF202" i="21"/>
  <c r="AF197" i="21"/>
  <c r="AF445" i="21"/>
  <c r="AF362" i="21"/>
  <c r="AF39" i="21"/>
  <c r="AF438" i="21"/>
  <c r="U438" i="21" s="1"/>
  <c r="V438" i="21" s="1"/>
  <c r="AF330" i="21"/>
  <c r="AF468" i="21"/>
  <c r="U468" i="21" s="1"/>
  <c r="V468" i="21" s="1"/>
  <c r="AF347" i="21"/>
  <c r="U347" i="21" s="1"/>
  <c r="V347" i="21" s="1"/>
  <c r="AF141" i="21"/>
  <c r="AF139" i="21"/>
  <c r="AF358" i="21"/>
  <c r="AF101" i="21"/>
  <c r="AF352" i="21"/>
  <c r="U352" i="21" s="1"/>
  <c r="V352" i="21" s="1"/>
  <c r="AF64" i="21"/>
  <c r="U64" i="21" s="1"/>
  <c r="V64" i="21" s="1"/>
  <c r="AF171" i="21"/>
  <c r="U171" i="21" s="1"/>
  <c r="V171" i="21" s="1"/>
  <c r="AF301" i="21"/>
  <c r="AF439" i="21"/>
  <c r="AF361" i="21"/>
  <c r="AF235" i="21"/>
  <c r="AF413" i="21"/>
  <c r="AF166" i="21"/>
  <c r="AF388" i="21"/>
  <c r="AF147" i="21"/>
  <c r="U342" i="21"/>
  <c r="V342" i="21" s="1"/>
  <c r="AF289" i="21"/>
  <c r="U289" i="21" s="1"/>
  <c r="V289" i="21" s="1"/>
  <c r="AF229" i="21"/>
  <c r="AF441" i="21"/>
  <c r="AF417" i="21"/>
  <c r="AF190" i="21"/>
  <c r="U190" i="21" s="1"/>
  <c r="V190" i="21" s="1"/>
  <c r="AF312" i="21"/>
  <c r="U312" i="21" s="1"/>
  <c r="V312" i="21" s="1"/>
  <c r="AF12" i="21"/>
  <c r="AF367" i="21"/>
  <c r="U367" i="21" s="1"/>
  <c r="V367" i="21" s="1"/>
  <c r="AF178" i="21"/>
  <c r="U178" i="21" s="1"/>
  <c r="V178" i="21" s="1"/>
  <c r="AF426" i="21"/>
  <c r="AF148" i="21"/>
  <c r="AF114" i="21"/>
  <c r="AF283" i="21"/>
  <c r="AF65" i="21"/>
  <c r="AF366" i="21"/>
  <c r="AF192" i="21"/>
  <c r="AF223" i="21"/>
  <c r="U223" i="21" s="1"/>
  <c r="V223" i="21" s="1"/>
  <c r="AF217" i="21"/>
  <c r="AF121" i="21"/>
  <c r="U121" i="21" s="1"/>
  <c r="V121" i="21" s="1"/>
  <c r="AF451" i="21"/>
  <c r="U463" i="21"/>
  <c r="V463" i="21" s="1"/>
  <c r="AF231" i="21"/>
  <c r="AF48" i="21"/>
  <c r="AF292" i="21"/>
  <c r="AF5" i="21"/>
  <c r="AF196" i="21"/>
  <c r="AF160" i="21"/>
  <c r="AF372" i="21"/>
  <c r="U372" i="21" s="1"/>
  <c r="V372" i="21" s="1"/>
  <c r="AF288" i="21"/>
  <c r="AF259" i="21"/>
  <c r="AF261" i="21"/>
  <c r="AF79" i="21"/>
  <c r="U79" i="21" s="1"/>
  <c r="V79" i="21" s="1"/>
  <c r="AF19" i="21"/>
  <c r="U19" i="21" s="1"/>
  <c r="V19" i="21" s="1"/>
  <c r="AF334" i="21"/>
  <c r="U334" i="21" s="1"/>
  <c r="V334" i="21" s="1"/>
  <c r="AF343" i="21"/>
  <c r="AF170" i="21"/>
  <c r="AF142" i="21"/>
  <c r="AF137" i="21"/>
  <c r="AF35" i="21"/>
  <c r="U35" i="21" s="1"/>
  <c r="V35" i="21" s="1"/>
  <c r="AF328" i="21"/>
  <c r="AF449" i="21"/>
  <c r="AF331" i="21"/>
  <c r="AF278" i="21"/>
  <c r="AF125" i="21"/>
  <c r="AF221" i="21"/>
  <c r="AF443" i="21"/>
  <c r="AF377" i="21"/>
  <c r="AF333" i="21"/>
  <c r="U333" i="21" s="1"/>
  <c r="V333" i="21" s="1"/>
  <c r="AF165" i="21"/>
  <c r="AF24" i="21"/>
  <c r="AF56" i="21"/>
  <c r="AF55" i="21"/>
  <c r="U55" i="21" s="1"/>
  <c r="V55" i="21" s="1"/>
  <c r="AF133" i="21"/>
  <c r="AF225" i="21"/>
  <c r="AF204" i="21"/>
  <c r="AF27" i="21"/>
  <c r="AF7" i="21"/>
  <c r="U7" i="21" s="1"/>
  <c r="V7" i="21" s="1"/>
  <c r="AF305" i="21"/>
  <c r="U305" i="21" s="1"/>
  <c r="V305" i="21" s="1"/>
  <c r="AF373" i="21"/>
  <c r="AF224" i="21"/>
  <c r="U224" i="21" s="1"/>
  <c r="V224" i="21" s="1"/>
  <c r="AF274" i="21"/>
  <c r="AF153" i="21"/>
  <c r="AF36" i="21"/>
  <c r="AF15" i="21"/>
  <c r="AF207" i="21"/>
  <c r="AF447" i="21"/>
  <c r="U447" i="21" s="1"/>
  <c r="V447" i="21" s="1"/>
  <c r="AF349" i="21"/>
  <c r="U349" i="21" s="1"/>
  <c r="V349" i="21" s="1"/>
  <c r="AF199" i="21"/>
  <c r="AF211" i="21"/>
  <c r="AF70" i="21"/>
  <c r="AF191" i="21"/>
  <c r="AF403" i="21"/>
  <c r="U403" i="21" s="1"/>
  <c r="V403" i="21" s="1"/>
  <c r="AF393" i="21"/>
  <c r="AF279" i="21"/>
  <c r="AF94" i="21"/>
  <c r="AF74" i="21"/>
  <c r="AF20" i="21"/>
  <c r="AF380" i="21"/>
  <c r="AF267" i="21"/>
  <c r="AF209" i="21"/>
  <c r="AF69" i="21"/>
  <c r="U69" i="21" s="1"/>
  <c r="V69" i="21" s="1"/>
  <c r="AF67" i="21"/>
  <c r="AF43" i="21"/>
  <c r="AF68" i="21"/>
  <c r="AF271" i="21"/>
  <c r="U271" i="21" s="1"/>
  <c r="V271" i="21" s="1"/>
  <c r="AF241" i="21"/>
  <c r="U241" i="21" s="1"/>
  <c r="V241" i="21" s="1"/>
  <c r="AF77" i="21"/>
  <c r="AF256" i="21"/>
  <c r="AF193" i="21"/>
  <c r="AF23" i="21"/>
  <c r="AF42" i="21"/>
  <c r="U42" i="21" s="1"/>
  <c r="V42" i="21" s="1"/>
  <c r="AF243" i="21"/>
  <c r="U243" i="21" s="1"/>
  <c r="V243" i="21" s="1"/>
  <c r="AF46" i="21"/>
  <c r="AF387" i="21"/>
  <c r="AF384" i="21"/>
  <c r="AF228" i="21"/>
  <c r="AF104" i="21"/>
  <c r="AF470" i="21"/>
  <c r="AF453" i="21"/>
  <c r="AF395" i="21"/>
  <c r="AF326" i="21"/>
  <c r="AF275" i="21"/>
  <c r="AF149" i="21"/>
  <c r="AF186" i="21"/>
  <c r="AF194" i="21"/>
  <c r="AF248" i="21"/>
  <c r="AF246" i="21"/>
  <c r="AF84" i="21"/>
  <c r="AF126" i="21"/>
  <c r="AF138" i="21"/>
  <c r="AF123" i="21"/>
  <c r="AF136" i="21"/>
  <c r="AF119" i="21"/>
  <c r="AF60" i="21"/>
  <c r="AF14" i="21"/>
  <c r="AF34" i="21"/>
  <c r="AF38" i="21"/>
  <c r="AF3" i="21"/>
  <c r="AF440" i="21"/>
  <c r="AF406" i="21"/>
  <c r="AF234" i="21"/>
  <c r="AF435" i="21"/>
  <c r="AF397" i="21"/>
  <c r="AF378" i="21"/>
  <c r="AF323" i="21"/>
  <c r="AF185" i="21"/>
  <c r="AF226" i="21"/>
  <c r="U299" i="21"/>
  <c r="V299" i="21" s="1"/>
  <c r="AF140" i="21"/>
  <c r="AF132" i="21"/>
  <c r="AF203" i="21"/>
  <c r="AF106" i="21"/>
  <c r="AF105" i="21"/>
  <c r="AF98" i="21"/>
  <c r="AF13" i="21"/>
  <c r="U306" i="21"/>
  <c r="V306" i="21" s="1"/>
  <c r="AF320" i="21"/>
  <c r="AF350" i="21"/>
  <c r="AF340" i="21"/>
  <c r="AF255" i="21"/>
  <c r="AF180" i="21"/>
  <c r="AF169" i="21"/>
  <c r="U293" i="21"/>
  <c r="V293" i="21" s="1"/>
  <c r="U172" i="21"/>
  <c r="V172" i="21" s="1"/>
  <c r="AF173" i="21"/>
  <c r="AF118" i="21"/>
  <c r="AF45" i="21"/>
  <c r="AF49" i="21"/>
  <c r="AF44" i="21"/>
  <c r="AF102" i="21"/>
  <c r="AF66" i="21"/>
  <c r="AF365" i="21"/>
  <c r="AF317" i="21"/>
  <c r="AF179" i="21"/>
  <c r="AF247" i="21"/>
  <c r="AF263" i="21"/>
  <c r="AF230" i="21"/>
  <c r="AF200" i="21"/>
  <c r="AF277" i="21"/>
  <c r="AF129" i="21"/>
  <c r="U143" i="21"/>
  <c r="V143" i="21" s="1"/>
  <c r="AF444" i="21"/>
  <c r="AF460" i="21"/>
  <c r="AF434" i="21"/>
  <c r="AF386" i="21"/>
  <c r="AF379" i="21"/>
  <c r="AF392" i="21"/>
  <c r="U359" i="21"/>
  <c r="V359" i="21" s="1"/>
  <c r="AF314" i="21"/>
  <c r="AF174" i="21"/>
  <c r="AF163" i="21"/>
  <c r="AF262" i="21"/>
  <c r="AF232" i="21"/>
  <c r="AF238" i="21"/>
  <c r="U176" i="21"/>
  <c r="V176" i="21" s="1"/>
  <c r="AF97" i="21"/>
  <c r="AF91" i="21"/>
  <c r="AF107" i="21"/>
  <c r="AF90" i="21"/>
  <c r="AF122" i="21"/>
  <c r="AF33" i="21"/>
  <c r="AF93" i="21"/>
  <c r="AF50" i="21"/>
  <c r="AF471" i="21"/>
  <c r="AF128" i="21"/>
  <c r="AF385" i="21"/>
  <c r="AF411" i="21"/>
  <c r="AF383" i="21"/>
  <c r="AF357" i="21"/>
  <c r="AF407" i="21"/>
  <c r="AF287" i="21"/>
  <c r="AF258" i="21"/>
  <c r="AF290" i="21"/>
  <c r="AF188" i="21"/>
  <c r="AF284" i="21"/>
  <c r="AF189" i="21"/>
  <c r="AF260" i="21"/>
  <c r="AF264" i="21"/>
  <c r="AF131" i="21"/>
  <c r="AF112" i="21"/>
  <c r="U81" i="21"/>
  <c r="V81" i="21" s="1"/>
  <c r="AF86" i="21"/>
  <c r="AF59" i="21"/>
  <c r="AF8" i="21"/>
  <c r="AF454" i="21"/>
  <c r="AF410" i="21"/>
  <c r="AF382" i="21"/>
  <c r="AF404" i="21"/>
  <c r="AF354" i="21"/>
  <c r="AF381" i="21"/>
  <c r="AF344" i="21"/>
  <c r="AF167" i="21"/>
  <c r="AF168" i="21"/>
  <c r="AF218" i="21"/>
  <c r="AF157" i="21"/>
  <c r="AF222" i="21"/>
  <c r="AF85" i="21"/>
  <c r="AF21" i="21"/>
  <c r="AF134" i="21"/>
  <c r="AF120" i="21"/>
  <c r="AF37" i="21"/>
  <c r="AF32" i="21"/>
  <c r="AF329" i="21"/>
  <c r="AF240" i="21"/>
  <c r="AF452" i="21"/>
  <c r="AF465" i="21"/>
  <c r="AF459" i="21"/>
  <c r="AF436" i="21"/>
  <c r="AF423" i="21"/>
  <c r="AF341" i="21"/>
  <c r="AF281" i="21"/>
  <c r="AF300" i="21"/>
  <c r="AF272" i="21"/>
  <c r="AF252" i="21"/>
  <c r="AF237" i="21"/>
  <c r="AF75" i="21"/>
  <c r="AF146" i="21"/>
  <c r="AF108" i="21"/>
  <c r="AF116" i="21"/>
  <c r="AF115" i="21"/>
  <c r="AF127" i="21"/>
  <c r="AF73" i="21"/>
  <c r="AF130" i="21"/>
  <c r="AF124" i="21"/>
  <c r="AF100" i="21"/>
  <c r="AF212" i="21"/>
  <c r="AF156" i="21"/>
  <c r="AF456" i="21"/>
  <c r="AF466" i="21"/>
  <c r="AF405" i="21"/>
  <c r="AF394" i="21"/>
  <c r="AF370" i="21"/>
  <c r="AF338" i="21"/>
  <c r="AF161" i="21"/>
  <c r="AF250" i="21"/>
  <c r="AF162" i="21"/>
  <c r="AF266" i="21"/>
  <c r="AF151" i="21"/>
  <c r="AF254" i="21"/>
  <c r="AF83" i="21"/>
  <c r="AF95" i="21"/>
  <c r="AF9" i="21"/>
  <c r="AF71" i="21"/>
  <c r="AF31" i="21"/>
  <c r="AF26" i="21"/>
  <c r="AF72" i="21"/>
  <c r="AF398" i="21"/>
  <c r="AF291" i="21"/>
  <c r="AF450" i="21"/>
  <c r="AF458" i="21"/>
  <c r="U457" i="21"/>
  <c r="V457" i="21" s="1"/>
  <c r="AF409" i="21"/>
  <c r="AF375" i="21"/>
  <c r="AF415" i="21"/>
  <c r="AF335" i="21"/>
  <c r="U318" i="21"/>
  <c r="V318" i="21" s="1"/>
  <c r="U321" i="21"/>
  <c r="V321" i="21" s="1"/>
  <c r="AF294" i="21"/>
  <c r="AF268" i="21"/>
  <c r="AF239" i="21"/>
  <c r="AF206" i="21"/>
  <c r="AF244" i="21"/>
  <c r="AF205" i="21"/>
  <c r="AF96" i="21"/>
  <c r="AF113" i="21"/>
  <c r="AF80" i="21"/>
  <c r="AF103" i="21"/>
  <c r="AF111" i="21"/>
  <c r="AF242" i="21"/>
  <c r="AF446" i="21"/>
  <c r="AF442" i="21"/>
  <c r="AF448" i="21"/>
  <c r="AF464" i="21"/>
  <c r="AF399" i="21"/>
  <c r="AF332" i="21"/>
  <c r="AF155" i="21"/>
  <c r="AF144" i="21"/>
  <c r="AF150" i="21"/>
  <c r="AF92" i="21"/>
  <c r="AF135" i="21"/>
  <c r="AF62" i="21"/>
  <c r="AF2" i="21"/>
  <c r="U251" i="21" l="1"/>
  <c r="V251" i="21" s="1"/>
  <c r="U418" i="21"/>
  <c r="V418" i="21" s="1"/>
  <c r="U51" i="21"/>
  <c r="V51" i="21" s="1"/>
  <c r="U159" i="21"/>
  <c r="V159" i="21" s="1"/>
  <c r="U47" i="21"/>
  <c r="V47" i="21" s="1"/>
  <c r="U355" i="21"/>
  <c r="V355" i="21" s="1"/>
  <c r="U431" i="21"/>
  <c r="V431" i="21" s="1"/>
  <c r="U360" i="21"/>
  <c r="V360" i="21" s="1"/>
  <c r="U308" i="21"/>
  <c r="V308" i="21" s="1"/>
  <c r="U304" i="21"/>
  <c r="V304" i="21" s="1"/>
  <c r="U265" i="21"/>
  <c r="V265" i="21" s="1"/>
  <c r="U351" i="21"/>
  <c r="V351" i="21" s="1"/>
  <c r="U273" i="21"/>
  <c r="V273" i="21" s="1"/>
  <c r="U213" i="21"/>
  <c r="V213" i="21" s="1"/>
  <c r="U52" i="21"/>
  <c r="V52" i="21" s="1"/>
  <c r="U22" i="21"/>
  <c r="V22" i="21" s="1"/>
  <c r="U311" i="21"/>
  <c r="V311" i="21" s="1"/>
  <c r="U303" i="21"/>
  <c r="V303" i="21" s="1"/>
  <c r="U82" i="21"/>
  <c r="V82" i="21" s="1"/>
  <c r="U6" i="21"/>
  <c r="V6" i="21" s="1"/>
  <c r="U187" i="21"/>
  <c r="V187" i="21" s="1"/>
  <c r="U322" i="21"/>
  <c r="V322" i="21" s="1"/>
  <c r="U416" i="21"/>
  <c r="V416" i="21" s="1"/>
  <c r="U220" i="21"/>
  <c r="V220" i="21" s="1"/>
  <c r="U402" i="21"/>
  <c r="V402" i="21" s="1"/>
  <c r="U429" i="21"/>
  <c r="V429" i="21" s="1"/>
  <c r="U233" i="21"/>
  <c r="V233" i="21" s="1"/>
  <c r="U319" i="21"/>
  <c r="V319" i="21" s="1"/>
  <c r="U177" i="21"/>
  <c r="V177" i="21" s="1"/>
  <c r="U30" i="21"/>
  <c r="V30" i="21" s="1"/>
  <c r="U345" i="21"/>
  <c r="V345" i="21" s="1"/>
  <c r="U472" i="21"/>
  <c r="V472" i="21" s="1"/>
  <c r="U298" i="21"/>
  <c r="V298" i="21" s="1"/>
  <c r="U428" i="21"/>
  <c r="V428" i="21" s="1"/>
  <c r="U426" i="21"/>
  <c r="V426" i="21" s="1"/>
  <c r="U195" i="21"/>
  <c r="V195" i="21" s="1"/>
  <c r="U371" i="21"/>
  <c r="V371" i="21" s="1"/>
  <c r="U257" i="21"/>
  <c r="V257" i="21" s="1"/>
  <c r="U327" i="21"/>
  <c r="V327" i="21" s="1"/>
  <c r="U310" i="21"/>
  <c r="V310" i="21" s="1"/>
  <c r="U276" i="21"/>
  <c r="V276" i="21" s="1"/>
  <c r="U57" i="21"/>
  <c r="V57" i="21" s="1"/>
  <c r="U432" i="21"/>
  <c r="V432" i="21" s="1"/>
  <c r="U109" i="21"/>
  <c r="V109" i="21" s="1"/>
  <c r="U396" i="21"/>
  <c r="V396" i="21" s="1"/>
  <c r="U11" i="21"/>
  <c r="V11" i="21" s="1"/>
  <c r="U363" i="21"/>
  <c r="V363" i="21" s="1"/>
  <c r="U455" i="21"/>
  <c r="V455" i="21" s="1"/>
  <c r="RY10" i="20"/>
  <c r="RZ11" i="20"/>
  <c r="RT11" i="20"/>
  <c r="RS10" i="20"/>
  <c r="SI11" i="20"/>
  <c r="U389" i="21"/>
  <c r="V389" i="21" s="1"/>
  <c r="SF11" i="20"/>
  <c r="SE10" i="20"/>
  <c r="SB11" i="20"/>
  <c r="SA10" i="20"/>
  <c r="U89" i="21"/>
  <c r="V89" i="21" s="1"/>
  <c r="RV11" i="20"/>
  <c r="RU10" i="20"/>
  <c r="RT13" i="20"/>
  <c r="SI13" i="20"/>
  <c r="SJ13" i="20" s="1"/>
  <c r="U280" i="21"/>
  <c r="V280" i="21" s="1"/>
  <c r="SH11" i="20"/>
  <c r="SG10" i="20"/>
  <c r="SD11" i="20"/>
  <c r="SC10" i="20"/>
  <c r="U401" i="21"/>
  <c r="V401" i="21" s="1"/>
  <c r="RT12" i="20"/>
  <c r="SI12" i="20"/>
  <c r="SJ12" i="20" s="1"/>
  <c r="SI14" i="20"/>
  <c r="RX11" i="20"/>
  <c r="RW10" i="20"/>
  <c r="U364" i="21"/>
  <c r="V364" i="21" s="1"/>
  <c r="U285" i="21"/>
  <c r="V285" i="21" s="1"/>
  <c r="U182" i="21"/>
  <c r="V182" i="21" s="1"/>
  <c r="U469" i="21"/>
  <c r="V469" i="21" s="1"/>
  <c r="U99" i="21"/>
  <c r="V99" i="21" s="1"/>
  <c r="U297" i="21"/>
  <c r="V297" i="21" s="1"/>
  <c r="U301" i="21"/>
  <c r="V301" i="21" s="1"/>
  <c r="U374" i="21"/>
  <c r="V374" i="21" s="1"/>
  <c r="U467" i="21"/>
  <c r="V467" i="21" s="1"/>
  <c r="U181" i="21"/>
  <c r="V181" i="21" s="1"/>
  <c r="U154" i="21"/>
  <c r="V154" i="21" s="1"/>
  <c r="U214" i="21"/>
  <c r="V214" i="21" s="1"/>
  <c r="U208" i="21"/>
  <c r="V208" i="21" s="1"/>
  <c r="U412" i="21"/>
  <c r="V412" i="21" s="1"/>
  <c r="U422" i="21"/>
  <c r="V422" i="21" s="1"/>
  <c r="U117" i="21"/>
  <c r="V117" i="21" s="1"/>
  <c r="U87" i="21"/>
  <c r="V87" i="21" s="1"/>
  <c r="U400" i="21"/>
  <c r="V400" i="21" s="1"/>
  <c r="U427" i="21"/>
  <c r="V427" i="21" s="1"/>
  <c r="U430" i="21"/>
  <c r="V430" i="21" s="1"/>
  <c r="U408" i="21"/>
  <c r="V408" i="21" s="1"/>
  <c r="U245" i="21"/>
  <c r="V245" i="21" s="1"/>
  <c r="U286" i="21"/>
  <c r="V286" i="21" s="1"/>
  <c r="U362" i="21"/>
  <c r="V362" i="21" s="1"/>
  <c r="U152" i="21"/>
  <c r="V152" i="21" s="1"/>
  <c r="U158" i="21"/>
  <c r="V158" i="21" s="1"/>
  <c r="U164" i="21"/>
  <c r="V164" i="21" s="1"/>
  <c r="U420" i="21"/>
  <c r="V420" i="21" s="1"/>
  <c r="U192" i="21"/>
  <c r="V192" i="21" s="1"/>
  <c r="U425" i="21"/>
  <c r="V425" i="21" s="1"/>
  <c r="U210" i="21"/>
  <c r="V210" i="21" s="1"/>
  <c r="U39" i="21"/>
  <c r="V39" i="21" s="1"/>
  <c r="U419" i="21"/>
  <c r="V419" i="21" s="1"/>
  <c r="U393" i="21"/>
  <c r="V393" i="21" s="1"/>
  <c r="U147" i="21"/>
  <c r="V147" i="21" s="1"/>
  <c r="U198" i="21"/>
  <c r="V198" i="21" s="1"/>
  <c r="U139" i="21"/>
  <c r="V139" i="21" s="1"/>
  <c r="U63" i="21"/>
  <c r="V63" i="21" s="1"/>
  <c r="U231" i="21"/>
  <c r="V231" i="21" s="1"/>
  <c r="U25" i="21"/>
  <c r="V25" i="21" s="1"/>
  <c r="U67" i="21"/>
  <c r="V67" i="21" s="1"/>
  <c r="U202" i="21"/>
  <c r="V202" i="21" s="1"/>
  <c r="U197" i="21"/>
  <c r="V197" i="21" s="1"/>
  <c r="U229" i="21"/>
  <c r="V229" i="21" s="1"/>
  <c r="U445" i="21"/>
  <c r="V445" i="21" s="1"/>
  <c r="U330" i="21"/>
  <c r="V330" i="21" s="1"/>
  <c r="U358" i="21"/>
  <c r="V358" i="21" s="1"/>
  <c r="U153" i="21"/>
  <c r="V153" i="21" s="1"/>
  <c r="U235" i="21"/>
  <c r="V235" i="21" s="1"/>
  <c r="U366" i="21"/>
  <c r="V366" i="21" s="1"/>
  <c r="U388" i="21"/>
  <c r="V388" i="21" s="1"/>
  <c r="U133" i="21"/>
  <c r="V133" i="21" s="1"/>
  <c r="U413" i="21"/>
  <c r="V413" i="21" s="1"/>
  <c r="U141" i="21"/>
  <c r="V141" i="21" s="1"/>
  <c r="U101" i="21"/>
  <c r="V101" i="21" s="1"/>
  <c r="U274" i="21"/>
  <c r="V274" i="21" s="1"/>
  <c r="U449" i="21"/>
  <c r="V449" i="21" s="1"/>
  <c r="U441" i="21"/>
  <c r="V441" i="21" s="1"/>
  <c r="U217" i="21"/>
  <c r="V217" i="21" s="1"/>
  <c r="U166" i="21"/>
  <c r="V166" i="21" s="1"/>
  <c r="U12" i="21"/>
  <c r="V12" i="21" s="1"/>
  <c r="U439" i="21"/>
  <c r="V439" i="21" s="1"/>
  <c r="U199" i="21"/>
  <c r="V199" i="21" s="1"/>
  <c r="U361" i="21"/>
  <c r="V361" i="21" s="1"/>
  <c r="U23" i="21"/>
  <c r="V23" i="21" s="1"/>
  <c r="U417" i="21"/>
  <c r="V417" i="21" s="1"/>
  <c r="U451" i="21"/>
  <c r="V451" i="21" s="1"/>
  <c r="U24" i="21"/>
  <c r="V24" i="21" s="1"/>
  <c r="U160" i="21"/>
  <c r="V160" i="21" s="1"/>
  <c r="U267" i="21"/>
  <c r="V267" i="21" s="1"/>
  <c r="U225" i="21"/>
  <c r="V225" i="21" s="1"/>
  <c r="U279" i="21"/>
  <c r="V279" i="21" s="1"/>
  <c r="U261" i="21"/>
  <c r="V261" i="21" s="1"/>
  <c r="U65" i="21"/>
  <c r="V65" i="21" s="1"/>
  <c r="U211" i="21"/>
  <c r="V211" i="21" s="1"/>
  <c r="U331" i="21"/>
  <c r="V331" i="21" s="1"/>
  <c r="U443" i="21"/>
  <c r="V443" i="21" s="1"/>
  <c r="U36" i="21"/>
  <c r="V36" i="21" s="1"/>
  <c r="U380" i="21"/>
  <c r="V380" i="21" s="1"/>
  <c r="U46" i="21"/>
  <c r="V46" i="21" s="1"/>
  <c r="U283" i="21"/>
  <c r="V283" i="21" s="1"/>
  <c r="U20" i="21"/>
  <c r="V20" i="21" s="1"/>
  <c r="U165" i="21"/>
  <c r="V165" i="21" s="1"/>
  <c r="U221" i="21"/>
  <c r="V221" i="21" s="1"/>
  <c r="U74" i="21"/>
  <c r="V74" i="21" s="1"/>
  <c r="U256" i="21"/>
  <c r="V256" i="21" s="1"/>
  <c r="U142" i="21"/>
  <c r="V142" i="21" s="1"/>
  <c r="U70" i="21"/>
  <c r="V70" i="21" s="1"/>
  <c r="U43" i="21"/>
  <c r="V43" i="21" s="1"/>
  <c r="U114" i="21"/>
  <c r="V114" i="21" s="1"/>
  <c r="U278" i="21"/>
  <c r="V278" i="21" s="1"/>
  <c r="U196" i="21"/>
  <c r="V196" i="21" s="1"/>
  <c r="U193" i="21"/>
  <c r="V193" i="21" s="1"/>
  <c r="U68" i="21"/>
  <c r="V68" i="21" s="1"/>
  <c r="U48" i="21"/>
  <c r="V48" i="21" s="1"/>
  <c r="U27" i="21"/>
  <c r="V27" i="21" s="1"/>
  <c r="U148" i="21"/>
  <c r="V148" i="21" s="1"/>
  <c r="U387" i="21"/>
  <c r="V387" i="21" s="1"/>
  <c r="U204" i="21"/>
  <c r="V204" i="21" s="1"/>
  <c r="U259" i="21"/>
  <c r="V259" i="21" s="1"/>
  <c r="U5" i="21"/>
  <c r="V5" i="21" s="1"/>
  <c r="U288" i="21"/>
  <c r="V288" i="21" s="1"/>
  <c r="U377" i="21"/>
  <c r="V377" i="21" s="1"/>
  <c r="U170" i="21"/>
  <c r="V170" i="21" s="1"/>
  <c r="U125" i="21"/>
  <c r="V125" i="21" s="1"/>
  <c r="U209" i="21"/>
  <c r="V209" i="21" s="1"/>
  <c r="U15" i="21"/>
  <c r="V15" i="21" s="1"/>
  <c r="U343" i="21"/>
  <c r="V343" i="21" s="1"/>
  <c r="U137" i="21"/>
  <c r="V137" i="21" s="1"/>
  <c r="U292" i="21"/>
  <c r="V292" i="21" s="1"/>
  <c r="U328" i="21"/>
  <c r="V328" i="21" s="1"/>
  <c r="U56" i="21"/>
  <c r="V56" i="21" s="1"/>
  <c r="U94" i="21"/>
  <c r="V94" i="21" s="1"/>
  <c r="U373" i="21"/>
  <c r="V373" i="21" s="1"/>
  <c r="U77" i="21"/>
  <c r="V77" i="21" s="1"/>
  <c r="U191" i="21"/>
  <c r="V191" i="21" s="1"/>
  <c r="U207" i="21"/>
  <c r="V207" i="21" s="1"/>
  <c r="U151" i="21"/>
  <c r="V151" i="21" s="1"/>
  <c r="U129" i="21"/>
  <c r="V129" i="21" s="1"/>
  <c r="U44" i="21"/>
  <c r="V44" i="21" s="1"/>
  <c r="U173" i="21"/>
  <c r="V173" i="21" s="1"/>
  <c r="U13" i="21"/>
  <c r="V13" i="21" s="1"/>
  <c r="U228" i="21"/>
  <c r="V228" i="21" s="1"/>
  <c r="U205" i="21"/>
  <c r="V205" i="21" s="1"/>
  <c r="U398" i="21"/>
  <c r="V398" i="21" s="1"/>
  <c r="U71" i="21"/>
  <c r="V71" i="21" s="1"/>
  <c r="U108" i="21"/>
  <c r="V108" i="21" s="1"/>
  <c r="U37" i="21"/>
  <c r="V37" i="21" s="1"/>
  <c r="U131" i="21"/>
  <c r="V131" i="21" s="1"/>
  <c r="U189" i="21"/>
  <c r="V189" i="21" s="1"/>
  <c r="U277" i="21"/>
  <c r="V277" i="21" s="1"/>
  <c r="U106" i="21"/>
  <c r="V106" i="21" s="1"/>
  <c r="U123" i="21"/>
  <c r="V123" i="21" s="1"/>
  <c r="U149" i="21"/>
  <c r="V149" i="21" s="1"/>
  <c r="U161" i="21"/>
  <c r="V161" i="21" s="1"/>
  <c r="U239" i="21"/>
  <c r="V239" i="21" s="1"/>
  <c r="U266" i="21"/>
  <c r="V266" i="21" s="1"/>
  <c r="U240" i="21"/>
  <c r="V240" i="21" s="1"/>
  <c r="U232" i="21"/>
  <c r="V232" i="21" s="1"/>
  <c r="U200" i="21"/>
  <c r="V200" i="21" s="1"/>
  <c r="U45" i="21"/>
  <c r="V45" i="21" s="1"/>
  <c r="U340" i="21"/>
  <c r="V340" i="21" s="1"/>
  <c r="U440" i="21"/>
  <c r="V440" i="21" s="1"/>
  <c r="U246" i="21"/>
  <c r="V246" i="21" s="1"/>
  <c r="U453" i="21"/>
  <c r="V453" i="21" s="1"/>
  <c r="U382" i="21"/>
  <c r="V382" i="21" s="1"/>
  <c r="U446" i="21"/>
  <c r="V446" i="21" s="1"/>
  <c r="U96" i="21"/>
  <c r="V96" i="21" s="1"/>
  <c r="U244" i="21"/>
  <c r="V244" i="21" s="1"/>
  <c r="U458" i="21"/>
  <c r="V458" i="21" s="1"/>
  <c r="U466" i="21"/>
  <c r="V466" i="21" s="1"/>
  <c r="U73" i="21"/>
  <c r="V73" i="21" s="1"/>
  <c r="U459" i="21"/>
  <c r="V459" i="21" s="1"/>
  <c r="U167" i="21"/>
  <c r="V167" i="21" s="1"/>
  <c r="U460" i="21"/>
  <c r="V460" i="21" s="1"/>
  <c r="U247" i="21"/>
  <c r="V247" i="21" s="1"/>
  <c r="U203" i="21"/>
  <c r="V203" i="21" s="1"/>
  <c r="U2" i="21"/>
  <c r="V2" i="21" s="1"/>
  <c r="U375" i="21"/>
  <c r="V375" i="21" s="1"/>
  <c r="U450" i="21"/>
  <c r="V450" i="21" s="1"/>
  <c r="U72" i="21"/>
  <c r="V72" i="21" s="1"/>
  <c r="U370" i="21"/>
  <c r="V370" i="21" s="1"/>
  <c r="U146" i="21"/>
  <c r="V146" i="21" s="1"/>
  <c r="U272" i="21"/>
  <c r="V272" i="21" s="1"/>
  <c r="U120" i="21"/>
  <c r="V120" i="21" s="1"/>
  <c r="U411" i="21"/>
  <c r="V411" i="21" s="1"/>
  <c r="U91" i="21"/>
  <c r="V91" i="21" s="1"/>
  <c r="U262" i="21"/>
  <c r="V262" i="21" s="1"/>
  <c r="U320" i="21"/>
  <c r="V320" i="21" s="1"/>
  <c r="U3" i="21"/>
  <c r="V3" i="21" s="1"/>
  <c r="U138" i="21"/>
  <c r="V138" i="21" s="1"/>
  <c r="U326" i="21"/>
  <c r="V326" i="21" s="1"/>
  <c r="U62" i="21"/>
  <c r="V62" i="21" s="1"/>
  <c r="U399" i="21"/>
  <c r="V399" i="21" s="1"/>
  <c r="U242" i="21"/>
  <c r="V242" i="21" s="1"/>
  <c r="U268" i="21"/>
  <c r="V268" i="21" s="1"/>
  <c r="U456" i="21"/>
  <c r="V456" i="21" s="1"/>
  <c r="U127" i="21"/>
  <c r="V127" i="21" s="1"/>
  <c r="U465" i="21"/>
  <c r="V465" i="21" s="1"/>
  <c r="U329" i="21"/>
  <c r="V329" i="21" s="1"/>
  <c r="U410" i="21"/>
  <c r="V410" i="21" s="1"/>
  <c r="U385" i="21"/>
  <c r="V385" i="21" s="1"/>
  <c r="U93" i="21"/>
  <c r="V93" i="21" s="1"/>
  <c r="U97" i="21"/>
  <c r="V97" i="21" s="1"/>
  <c r="U314" i="21"/>
  <c r="V314" i="21" s="1"/>
  <c r="U444" i="21"/>
  <c r="V444" i="21" s="1"/>
  <c r="U230" i="21"/>
  <c r="V230" i="21" s="1"/>
  <c r="U317" i="21"/>
  <c r="V317" i="21" s="1"/>
  <c r="U66" i="21"/>
  <c r="V66" i="21" s="1"/>
  <c r="U169" i="21"/>
  <c r="V169" i="21" s="1"/>
  <c r="U226" i="21"/>
  <c r="V226" i="21" s="1"/>
  <c r="U397" i="21"/>
  <c r="V397" i="21" s="1"/>
  <c r="U38" i="21"/>
  <c r="V38" i="21" s="1"/>
  <c r="U248" i="21"/>
  <c r="V248" i="21" s="1"/>
  <c r="U470" i="21"/>
  <c r="V470" i="21" s="1"/>
  <c r="U384" i="21"/>
  <c r="V384" i="21" s="1"/>
  <c r="U206" i="21"/>
  <c r="V206" i="21" s="1"/>
  <c r="U338" i="21"/>
  <c r="V338" i="21" s="1"/>
  <c r="U111" i="21"/>
  <c r="V111" i="21" s="1"/>
  <c r="U124" i="21"/>
  <c r="V124" i="21" s="1"/>
  <c r="U222" i="21"/>
  <c r="V222" i="21" s="1"/>
  <c r="U290" i="21"/>
  <c r="V290" i="21" s="1"/>
  <c r="U33" i="21"/>
  <c r="V33" i="21" s="1"/>
  <c r="U163" i="21"/>
  <c r="V163" i="21" s="1"/>
  <c r="U179" i="21"/>
  <c r="V179" i="21" s="1"/>
  <c r="U98" i="21"/>
  <c r="V98" i="21" s="1"/>
  <c r="U34" i="21"/>
  <c r="V34" i="21" s="1"/>
  <c r="U194" i="21"/>
  <c r="V194" i="21" s="1"/>
  <c r="U275" i="21"/>
  <c r="V275" i="21" s="1"/>
  <c r="U464" i="21"/>
  <c r="V464" i="21" s="1"/>
  <c r="U100" i="21"/>
  <c r="V100" i="21" s="1"/>
  <c r="U75" i="21"/>
  <c r="V75" i="21" s="1"/>
  <c r="U452" i="21"/>
  <c r="V452" i="21" s="1"/>
  <c r="U32" i="21"/>
  <c r="V32" i="21" s="1"/>
  <c r="U134" i="21"/>
  <c r="V134" i="21" s="1"/>
  <c r="U157" i="21"/>
  <c r="V157" i="21" s="1"/>
  <c r="U344" i="21"/>
  <c r="V344" i="21" s="1"/>
  <c r="U8" i="21"/>
  <c r="V8" i="21" s="1"/>
  <c r="U284" i="21"/>
  <c r="V284" i="21" s="1"/>
  <c r="U128" i="21"/>
  <c r="V128" i="21" s="1"/>
  <c r="U49" i="21"/>
  <c r="V49" i="21" s="1"/>
  <c r="U132" i="21"/>
  <c r="V132" i="21" s="1"/>
  <c r="U185" i="21"/>
  <c r="V185" i="21" s="1"/>
  <c r="U323" i="21"/>
  <c r="V323" i="21" s="1"/>
  <c r="U234" i="21"/>
  <c r="V234" i="21" s="1"/>
  <c r="U14" i="21"/>
  <c r="V14" i="21" s="1"/>
  <c r="U409" i="21"/>
  <c r="V409" i="21" s="1"/>
  <c r="U394" i="21"/>
  <c r="V394" i="21" s="1"/>
  <c r="U332" i="21"/>
  <c r="V332" i="21" s="1"/>
  <c r="U103" i="21"/>
  <c r="V103" i="21" s="1"/>
  <c r="U294" i="21"/>
  <c r="V294" i="21" s="1"/>
  <c r="U26" i="21"/>
  <c r="V26" i="21" s="1"/>
  <c r="U9" i="21"/>
  <c r="V9" i="21" s="1"/>
  <c r="U405" i="21"/>
  <c r="V405" i="21" s="1"/>
  <c r="U130" i="21"/>
  <c r="V130" i="21" s="1"/>
  <c r="U237" i="21"/>
  <c r="V237" i="21" s="1"/>
  <c r="U423" i="21"/>
  <c r="V423" i="21" s="1"/>
  <c r="U21" i="21"/>
  <c r="V21" i="21" s="1"/>
  <c r="U86" i="21"/>
  <c r="V86" i="21" s="1"/>
  <c r="U122" i="21"/>
  <c r="V122" i="21" s="1"/>
  <c r="U350" i="21"/>
  <c r="V350" i="21" s="1"/>
  <c r="U435" i="21"/>
  <c r="V435" i="21" s="1"/>
  <c r="U60" i="21"/>
  <c r="V60" i="21" s="1"/>
  <c r="U126" i="21"/>
  <c r="V126" i="21" s="1"/>
  <c r="U168" i="21"/>
  <c r="V168" i="21" s="1"/>
  <c r="U92" i="21"/>
  <c r="V92" i="21" s="1"/>
  <c r="U335" i="21"/>
  <c r="V335" i="21" s="1"/>
  <c r="U95" i="21"/>
  <c r="V95" i="21" s="1"/>
  <c r="U162" i="21"/>
  <c r="V162" i="21" s="1"/>
  <c r="U300" i="21"/>
  <c r="V300" i="21" s="1"/>
  <c r="U218" i="21"/>
  <c r="V218" i="21" s="1"/>
  <c r="U381" i="21"/>
  <c r="V381" i="21" s="1"/>
  <c r="U59" i="21"/>
  <c r="V59" i="21" s="1"/>
  <c r="U188" i="21"/>
  <c r="V188" i="21" s="1"/>
  <c r="U287" i="21"/>
  <c r="V287" i="21" s="1"/>
  <c r="U357" i="21"/>
  <c r="V357" i="21" s="1"/>
  <c r="U90" i="21"/>
  <c r="V90" i="21" s="1"/>
  <c r="U392" i="21"/>
  <c r="V392" i="21" s="1"/>
  <c r="U263" i="21"/>
  <c r="V263" i="21" s="1"/>
  <c r="U365" i="21"/>
  <c r="V365" i="21" s="1"/>
  <c r="U118" i="21"/>
  <c r="V118" i="21" s="1"/>
  <c r="U140" i="21"/>
  <c r="V140" i="21" s="1"/>
  <c r="U378" i="21"/>
  <c r="V378" i="21" s="1"/>
  <c r="U84" i="21"/>
  <c r="V84" i="21" s="1"/>
  <c r="U186" i="21"/>
  <c r="V186" i="21" s="1"/>
  <c r="U395" i="21"/>
  <c r="V395" i="21" s="1"/>
  <c r="U31" i="21"/>
  <c r="V31" i="21" s="1"/>
  <c r="U252" i="21"/>
  <c r="V252" i="21" s="1"/>
  <c r="U150" i="21"/>
  <c r="V150" i="21" s="1"/>
  <c r="U80" i="21"/>
  <c r="V80" i="21" s="1"/>
  <c r="U291" i="21"/>
  <c r="V291" i="21" s="1"/>
  <c r="U250" i="21"/>
  <c r="V250" i="21" s="1"/>
  <c r="U156" i="21"/>
  <c r="V156" i="21" s="1"/>
  <c r="U115" i="21"/>
  <c r="V115" i="21" s="1"/>
  <c r="U85" i="21"/>
  <c r="V85" i="21" s="1"/>
  <c r="U454" i="21"/>
  <c r="V454" i="21" s="1"/>
  <c r="U264" i="21"/>
  <c r="V264" i="21" s="1"/>
  <c r="U258" i="21"/>
  <c r="V258" i="21" s="1"/>
  <c r="U471" i="21"/>
  <c r="V471" i="21" s="1"/>
  <c r="U107" i="21"/>
  <c r="V107" i="21" s="1"/>
  <c r="U238" i="21"/>
  <c r="V238" i="21" s="1"/>
  <c r="U379" i="21"/>
  <c r="V379" i="21" s="1"/>
  <c r="U105" i="21"/>
  <c r="V105" i="21" s="1"/>
  <c r="U119" i="21"/>
  <c r="V119" i="21" s="1"/>
  <c r="U442" i="21"/>
  <c r="V442" i="21" s="1"/>
  <c r="U135" i="21"/>
  <c r="V135" i="21" s="1"/>
  <c r="U155" i="21"/>
  <c r="V155" i="21" s="1"/>
  <c r="U448" i="21"/>
  <c r="V448" i="21" s="1"/>
  <c r="U113" i="21"/>
  <c r="V113" i="21" s="1"/>
  <c r="U83" i="21"/>
  <c r="V83" i="21" s="1"/>
  <c r="U354" i="21"/>
  <c r="V354" i="21" s="1"/>
  <c r="U386" i="21"/>
  <c r="V386" i="21" s="1"/>
  <c r="U180" i="21"/>
  <c r="V180" i="21" s="1"/>
  <c r="U104" i="21"/>
  <c r="V104" i="21" s="1"/>
  <c r="U281" i="21"/>
  <c r="V281" i="21" s="1"/>
  <c r="U254" i="21"/>
  <c r="V254" i="21" s="1"/>
  <c r="U212" i="21"/>
  <c r="V212" i="21" s="1"/>
  <c r="U383" i="21"/>
  <c r="V383" i="21" s="1"/>
  <c r="U50" i="21"/>
  <c r="V50" i="21" s="1"/>
  <c r="U434" i="21"/>
  <c r="V434" i="21" s="1"/>
  <c r="U144" i="21"/>
  <c r="V144" i="21" s="1"/>
  <c r="U415" i="21"/>
  <c r="V415" i="21" s="1"/>
  <c r="U116" i="21"/>
  <c r="V116" i="21" s="1"/>
  <c r="U341" i="21"/>
  <c r="V341" i="21" s="1"/>
  <c r="U436" i="21"/>
  <c r="V436" i="21" s="1"/>
  <c r="U404" i="21"/>
  <c r="V404" i="21" s="1"/>
  <c r="U112" i="21"/>
  <c r="V112" i="21" s="1"/>
  <c r="U260" i="21"/>
  <c r="V260" i="21" s="1"/>
  <c r="U407" i="21"/>
  <c r="V407" i="21" s="1"/>
  <c r="U174" i="21"/>
  <c r="V174" i="21" s="1"/>
  <c r="U102" i="21"/>
  <c r="V102" i="21" s="1"/>
  <c r="U255" i="21"/>
  <c r="V255" i="21" s="1"/>
  <c r="U406" i="21"/>
  <c r="V406" i="21" s="1"/>
  <c r="U136" i="21"/>
  <c r="V136" i="21" s="1"/>
  <c r="RZ10" i="20" l="1"/>
  <c r="RY8" i="20"/>
  <c r="SA8" i="20"/>
  <c r="SB10" i="20"/>
  <c r="SE8" i="20"/>
  <c r="SF10" i="20"/>
  <c r="SD10" i="20"/>
  <c r="SC8" i="20"/>
  <c r="SG8" i="20"/>
  <c r="SH10" i="20"/>
  <c r="RV10" i="20"/>
  <c r="RU8" i="20"/>
  <c r="SJ11" i="20"/>
  <c r="SI10" i="20"/>
  <c r="RX10" i="20"/>
  <c r="RW8" i="20"/>
  <c r="RS8" i="20"/>
  <c r="RT10" i="20"/>
  <c r="QS18" i="20"/>
  <c r="QT18" i="20"/>
  <c r="QU18" i="20"/>
  <c r="QV18" i="20"/>
  <c r="QW18" i="20"/>
  <c r="QS17" i="20"/>
  <c r="QT17" i="20"/>
  <c r="QU17" i="20"/>
  <c r="QV17" i="20"/>
  <c r="QW17" i="20"/>
  <c r="QX17" i="20"/>
  <c r="QX28" i="20"/>
  <c r="QX29" i="20"/>
  <c r="QX30" i="20"/>
  <c r="QX24" i="20"/>
  <c r="QX23" i="20"/>
  <c r="QX22" i="20"/>
  <c r="SG6" i="20" l="1"/>
  <c r="SH8" i="20"/>
  <c r="SD8" i="20"/>
  <c r="SC6" i="20"/>
  <c r="SI8" i="20"/>
  <c r="SJ10" i="20"/>
  <c r="SF8" i="20"/>
  <c r="SE6" i="20"/>
  <c r="RY6" i="20"/>
  <c r="RZ8" i="20"/>
  <c r="RV8" i="20"/>
  <c r="RU6" i="20"/>
  <c r="RS6" i="20"/>
  <c r="RT8" i="20"/>
  <c r="RX8" i="20"/>
  <c r="RW6" i="20"/>
  <c r="SA6" i="20"/>
  <c r="SB8" i="20"/>
  <c r="QQ12" i="20"/>
  <c r="QQ11" i="20"/>
  <c r="QQ10" i="20"/>
  <c r="QQ9" i="20"/>
  <c r="QQ8" i="20"/>
  <c r="QQ7" i="20"/>
  <c r="QQ6" i="20"/>
  <c r="PS12" i="20"/>
  <c r="PS11" i="20"/>
  <c r="PS10" i="20"/>
  <c r="PS9" i="20"/>
  <c r="PS8" i="20"/>
  <c r="PS7" i="20"/>
  <c r="PS6" i="20"/>
  <c r="RU15" i="20" l="1"/>
  <c r="RV15" i="20" s="1"/>
  <c r="RV6" i="20"/>
  <c r="RZ6" i="20"/>
  <c r="RY15" i="20"/>
  <c r="RZ15" i="20" s="1"/>
  <c r="SE15" i="20"/>
  <c r="SF15" i="20" s="1"/>
  <c r="SF6" i="20"/>
  <c r="SB6" i="20"/>
  <c r="SA15" i="20"/>
  <c r="SB15" i="20" s="1"/>
  <c r="SJ8" i="20"/>
  <c r="SI6" i="20"/>
  <c r="RX6" i="20"/>
  <c r="RW15" i="20"/>
  <c r="RX15" i="20" s="1"/>
  <c r="SD6" i="20"/>
  <c r="SC15" i="20"/>
  <c r="SD15" i="20" s="1"/>
  <c r="RS15" i="20"/>
  <c r="RT15" i="20" s="1"/>
  <c r="RT6" i="20"/>
  <c r="SH6" i="20"/>
  <c r="SG15" i="20"/>
  <c r="SH15" i="20" s="1"/>
  <c r="OU12" i="20"/>
  <c r="OU11" i="20"/>
  <c r="OU10" i="20"/>
  <c r="OU9" i="20"/>
  <c r="OU8" i="20"/>
  <c r="OU7" i="20"/>
  <c r="OU6" i="20"/>
  <c r="KX30" i="20"/>
  <c r="MY12" i="20"/>
  <c r="MY11" i="20"/>
  <c r="MY10" i="20"/>
  <c r="MY9" i="20"/>
  <c r="MY8" i="20"/>
  <c r="MY7" i="20"/>
  <c r="MY6" i="20"/>
  <c r="SI15" i="20" l="1"/>
  <c r="SJ15" i="20" s="1"/>
  <c r="SJ6" i="20"/>
  <c r="KY12" i="20"/>
  <c r="KY11" i="20"/>
  <c r="KY10" i="20"/>
  <c r="KY9" i="20"/>
  <c r="KY8" i="20"/>
  <c r="KY7" i="20"/>
  <c r="KY6" i="20"/>
  <c r="KA12" i="20" l="1"/>
  <c r="KA11" i="20"/>
  <c r="KA10" i="20"/>
  <c r="KA9" i="20"/>
  <c r="KA8" i="20"/>
  <c r="KA7" i="20"/>
  <c r="KA6" i="20"/>
  <c r="IE12" i="20"/>
  <c r="IE11" i="20"/>
  <c r="IE10" i="20"/>
  <c r="IE9" i="20"/>
  <c r="IE8" i="20"/>
  <c r="IE7" i="20"/>
  <c r="IE6" i="20"/>
  <c r="Z13" i="7"/>
  <c r="Z12" i="7"/>
  <c r="Z11" i="7"/>
  <c r="Z10" i="7"/>
  <c r="Z9" i="7"/>
  <c r="Z8" i="7"/>
  <c r="N13" i="7"/>
  <c r="N12" i="7"/>
  <c r="N11" i="7"/>
  <c r="N10" i="7"/>
  <c r="N9" i="7"/>
  <c r="N8" i="7"/>
  <c r="T13" i="7"/>
  <c r="T12" i="7"/>
  <c r="T11" i="7"/>
  <c r="T10" i="7"/>
  <c r="T9" i="7"/>
  <c r="T8" i="7"/>
  <c r="H13" i="7"/>
  <c r="H12" i="7"/>
  <c r="H11" i="7"/>
  <c r="H10" i="7"/>
  <c r="H9" i="7"/>
  <c r="H8" i="7"/>
  <c r="FA12" i="20"/>
  <c r="FA11" i="20"/>
  <c r="FA10" i="20"/>
  <c r="FA9" i="20"/>
  <c r="FA8" i="20"/>
  <c r="FA7" i="20"/>
  <c r="FA6" i="20"/>
  <c r="EI12" i="20"/>
  <c r="EI11" i="20"/>
  <c r="EI10" i="20"/>
  <c r="EI9" i="20"/>
  <c r="EI8" i="20"/>
  <c r="EI7" i="20"/>
  <c r="EI6" i="20"/>
  <c r="BN10" i="20"/>
  <c r="BN9" i="20"/>
  <c r="BN8" i="20"/>
  <c r="BN7" i="20"/>
  <c r="BN6" i="20"/>
  <c r="BN5" i="20"/>
  <c r="BN4" i="20"/>
  <c r="BH10" i="20"/>
  <c r="BH9" i="20"/>
  <c r="BH8" i="20"/>
  <c r="BH7" i="20"/>
  <c r="BH6" i="20"/>
  <c r="BH5" i="20"/>
  <c r="BH4" i="20"/>
  <c r="D19" i="7"/>
  <c r="BO10" i="20"/>
  <c r="BO9" i="20"/>
  <c r="BO8" i="20"/>
  <c r="BO7" i="20"/>
  <c r="BO6" i="20"/>
  <c r="BO5" i="20"/>
  <c r="BO4" i="20"/>
  <c r="BA10" i="20"/>
  <c r="BA9" i="20"/>
  <c r="BA8" i="20"/>
  <c r="BA7" i="20"/>
  <c r="BA6" i="20"/>
  <c r="BA5" i="20"/>
  <c r="BA4" i="20"/>
  <c r="S13" i="7"/>
  <c r="S12" i="7"/>
  <c r="S11" i="7"/>
  <c r="S10" i="7"/>
  <c r="S9" i="7"/>
  <c r="S8" i="7"/>
  <c r="G13" i="7"/>
  <c r="G12" i="7"/>
  <c r="G11" i="7"/>
  <c r="G10" i="7"/>
  <c r="G9" i="7"/>
  <c r="G8" i="7"/>
  <c r="AC10" i="20"/>
  <c r="AC9" i="20"/>
  <c r="AC8" i="20"/>
  <c r="AC7" i="20"/>
  <c r="AC6" i="20"/>
  <c r="AC5" i="20"/>
  <c r="AC4" i="20"/>
  <c r="H2" i="20"/>
  <c r="JO11" i="18"/>
  <c r="JN11" i="18"/>
  <c r="JM11" i="18"/>
  <c r="JL11" i="18"/>
  <c r="JK11" i="18"/>
  <c r="JJ11" i="18"/>
  <c r="JO10" i="18"/>
  <c r="JN10" i="18"/>
  <c r="JM10" i="18"/>
  <c r="JL10" i="18"/>
  <c r="JK10" i="18"/>
  <c r="JJ10" i="18"/>
  <c r="JO9" i="18"/>
  <c r="JN9" i="18"/>
  <c r="JM9" i="18"/>
  <c r="JL9" i="18"/>
  <c r="JK9" i="18"/>
  <c r="JJ9" i="18"/>
  <c r="JO8" i="18"/>
  <c r="JN8" i="18"/>
  <c r="JM8" i="18"/>
  <c r="JL8" i="18"/>
  <c r="JK8" i="18"/>
  <c r="JJ8" i="18"/>
  <c r="JO7" i="18"/>
  <c r="JN7" i="18"/>
  <c r="JM7" i="18"/>
  <c r="JL7" i="18"/>
  <c r="JK7" i="18"/>
  <c r="JJ7" i="18"/>
  <c r="JO6" i="18"/>
  <c r="JN6" i="18"/>
  <c r="JM6" i="18"/>
  <c r="JL6" i="18"/>
  <c r="JK6" i="18"/>
  <c r="JJ6" i="18"/>
  <c r="JO5" i="18"/>
  <c r="JN5" i="18"/>
  <c r="JM5" i="18"/>
  <c r="JL5" i="18"/>
  <c r="JK5" i="18"/>
  <c r="JJ5" i="18"/>
  <c r="JI11" i="18"/>
  <c r="JI10" i="18"/>
  <c r="JI9" i="18"/>
  <c r="JI8" i="18"/>
  <c r="JI7" i="18"/>
  <c r="JI6" i="18"/>
  <c r="JI5" i="18"/>
  <c r="Y13" i="7"/>
  <c r="Y12" i="7"/>
  <c r="Y11" i="7"/>
  <c r="Y10" i="7"/>
  <c r="Y9" i="7"/>
  <c r="Y8" i="7"/>
  <c r="M13" i="7"/>
  <c r="M12" i="7"/>
  <c r="M11" i="7"/>
  <c r="M10" i="7"/>
  <c r="M9" i="7"/>
  <c r="M8" i="7"/>
  <c r="N16" i="7" l="1"/>
  <c r="Z16" i="7"/>
  <c r="Z14" i="7"/>
  <c r="Z15" i="7" s="1"/>
  <c r="N14" i="7"/>
  <c r="T16" i="7"/>
  <c r="H16" i="7"/>
  <c r="T14" i="7"/>
  <c r="T15" i="7" s="1"/>
  <c r="H14" i="7"/>
  <c r="H15" i="7" s="1"/>
  <c r="S16" i="7"/>
  <c r="M16" i="7"/>
  <c r="Y16" i="7"/>
  <c r="G16" i="7"/>
  <c r="S14" i="7"/>
  <c r="S15" i="7" s="1"/>
  <c r="G14" i="7"/>
  <c r="G15" i="7" s="1"/>
  <c r="M14" i="7"/>
  <c r="M15" i="7" s="1"/>
  <c r="Y14" i="7"/>
  <c r="Y15" i="7" s="1"/>
  <c r="N15" i="7" l="1"/>
  <c r="X15" i="18"/>
  <c r="MH21" i="16" l="1"/>
  <c r="MH22" i="16" s="1"/>
  <c r="MB21" i="16"/>
  <c r="MB22" i="16" s="1"/>
  <c r="MA21" i="16"/>
  <c r="LZ21" i="16"/>
  <c r="LZ22" i="16" s="1"/>
  <c r="LY21" i="16"/>
  <c r="LY22" i="16" s="1"/>
  <c r="LX21" i="16"/>
  <c r="LX22" i="16" s="1"/>
  <c r="LW21" i="16"/>
  <c r="LW22" i="16" s="1"/>
  <c r="MH20" i="16"/>
  <c r="MG20" i="16"/>
  <c r="MF20" i="16"/>
  <c r="ME20" i="16"/>
  <c r="MD20" i="16"/>
  <c r="MC20" i="16"/>
  <c r="MB20" i="16"/>
  <c r="LZ20" i="16"/>
  <c r="LY20" i="16"/>
  <c r="LX20" i="16"/>
  <c r="LW20" i="16"/>
  <c r="MH19" i="16"/>
  <c r="MG19" i="16"/>
  <c r="MF19" i="16"/>
  <c r="ME19" i="16"/>
  <c r="MD19" i="16"/>
  <c r="MC19" i="16"/>
  <c r="MB19" i="16"/>
  <c r="LZ19" i="16"/>
  <c r="LY19" i="16"/>
  <c r="LX19" i="16"/>
  <c r="LW19" i="16"/>
  <c r="MH18" i="16"/>
  <c r="MG18" i="16"/>
  <c r="MF18" i="16"/>
  <c r="ME18" i="16"/>
  <c r="MD18" i="16"/>
  <c r="MC18" i="16"/>
  <c r="MB18" i="16"/>
  <c r="LZ18" i="16"/>
  <c r="LY18" i="16"/>
  <c r="LX18" i="16"/>
  <c r="LW18" i="16"/>
  <c r="MH17" i="16"/>
  <c r="MG17" i="16"/>
  <c r="MF17" i="16"/>
  <c r="ME17" i="16"/>
  <c r="MD17" i="16"/>
  <c r="MC17" i="16"/>
  <c r="MB17" i="16"/>
  <c r="LZ17" i="16"/>
  <c r="LY17" i="16"/>
  <c r="LX17" i="16"/>
  <c r="LW17" i="16"/>
  <c r="MH16" i="16"/>
  <c r="MG16" i="16"/>
  <c r="MF16" i="16"/>
  <c r="ME16" i="16"/>
  <c r="MD16" i="16"/>
  <c r="MC16" i="16"/>
  <c r="MB16" i="16"/>
  <c r="LZ16" i="16"/>
  <c r="LY16" i="16"/>
  <c r="LX16" i="16"/>
  <c r="LW16" i="16"/>
  <c r="MH15" i="16"/>
  <c r="MG15" i="16"/>
  <c r="MG21" i="16" s="1"/>
  <c r="MG22" i="16" s="1"/>
  <c r="MF15" i="16"/>
  <c r="MF21" i="16" s="1"/>
  <c r="MF22" i="16" s="1"/>
  <c r="ME15" i="16"/>
  <c r="ME21" i="16" s="1"/>
  <c r="ME22" i="16" s="1"/>
  <c r="MD15" i="16"/>
  <c r="MD21" i="16" s="1"/>
  <c r="MD22" i="16" s="1"/>
  <c r="MC15" i="16"/>
  <c r="MC21" i="16" s="1"/>
  <c r="MC22" i="16" s="1"/>
  <c r="MB15" i="16"/>
  <c r="LZ15" i="16"/>
  <c r="LY15" i="16"/>
  <c r="LX15" i="16"/>
  <c r="LW15" i="16"/>
  <c r="MH14" i="16"/>
  <c r="MG14" i="16"/>
  <c r="MF14" i="16"/>
  <c r="ME14" i="16"/>
  <c r="MD14" i="16"/>
  <c r="MC14" i="16"/>
  <c r="MB14" i="16"/>
  <c r="LZ14" i="16"/>
  <c r="LY14" i="16"/>
  <c r="LX14" i="16"/>
  <c r="LW14" i="16"/>
  <c r="MN10" i="16"/>
  <c r="MM10" i="16"/>
  <c r="ML10" i="16"/>
  <c r="MK10" i="16"/>
  <c r="MJ10" i="16"/>
  <c r="MN9" i="16"/>
  <c r="MM9" i="16"/>
  <c r="ML9" i="16"/>
  <c r="MK9" i="16"/>
  <c r="MJ9" i="16"/>
  <c r="MN8" i="16"/>
  <c r="MM8" i="16"/>
  <c r="ML8" i="16"/>
  <c r="MK8" i="16"/>
  <c r="MJ8" i="16"/>
  <c r="MN7" i="16"/>
  <c r="MM7" i="16"/>
  <c r="ML7" i="16"/>
  <c r="MK7" i="16"/>
  <c r="MJ7" i="16"/>
  <c r="MN6" i="16"/>
  <c r="MM6" i="16"/>
  <c r="ML6" i="16"/>
  <c r="MK6" i="16"/>
  <c r="MJ6" i="16"/>
  <c r="MN5" i="16"/>
  <c r="MM5" i="16"/>
  <c r="ML5" i="16"/>
  <c r="MK5" i="16"/>
  <c r="MJ5" i="16"/>
  <c r="MN4" i="16"/>
  <c r="MM4" i="16"/>
  <c r="ML4" i="16"/>
  <c r="MK4" i="16"/>
  <c r="MJ4" i="16"/>
  <c r="MI10" i="16"/>
  <c r="MI9" i="16"/>
  <c r="MI8" i="16"/>
  <c r="MI7" i="16"/>
  <c r="MI6" i="16"/>
  <c r="MI5" i="16"/>
  <c r="MI4" i="16"/>
  <c r="JB20" i="16" l="1"/>
  <c r="JA20" i="16"/>
  <c r="IZ20" i="16"/>
  <c r="IY20" i="16"/>
  <c r="IX20" i="16"/>
  <c r="IW20" i="16"/>
  <c r="IV20" i="16"/>
  <c r="IU20" i="16"/>
  <c r="IT20" i="16"/>
  <c r="IS20" i="16"/>
  <c r="IR20" i="16"/>
  <c r="IQ20" i="16"/>
  <c r="JB19" i="16"/>
  <c r="JA19" i="16"/>
  <c r="IZ19" i="16"/>
  <c r="IY19" i="16"/>
  <c r="IX19" i="16"/>
  <c r="IW19" i="16"/>
  <c r="IV19" i="16"/>
  <c r="IU19" i="16"/>
  <c r="IT19" i="16"/>
  <c r="IS19" i="16"/>
  <c r="IR19" i="16"/>
  <c r="IQ19" i="16"/>
  <c r="JB18" i="16"/>
  <c r="JA18" i="16"/>
  <c r="IZ18" i="16"/>
  <c r="IY18" i="16"/>
  <c r="IX18" i="16"/>
  <c r="IW18" i="16"/>
  <c r="IV18" i="16"/>
  <c r="IU18" i="16"/>
  <c r="IT18" i="16"/>
  <c r="IS18" i="16"/>
  <c r="IR18" i="16"/>
  <c r="IQ18" i="16"/>
  <c r="JB17" i="16"/>
  <c r="JA17" i="16"/>
  <c r="IZ17" i="16"/>
  <c r="IY17" i="16"/>
  <c r="IX17" i="16"/>
  <c r="IW17" i="16"/>
  <c r="IV17" i="16"/>
  <c r="IU17" i="16"/>
  <c r="IT17" i="16"/>
  <c r="IS17" i="16"/>
  <c r="IR17" i="16"/>
  <c r="IQ17" i="16"/>
  <c r="JB16" i="16"/>
  <c r="JA16" i="16"/>
  <c r="IZ16" i="16"/>
  <c r="IY16" i="16"/>
  <c r="IX16" i="16"/>
  <c r="IW16" i="16"/>
  <c r="IV16" i="16"/>
  <c r="IU16" i="16"/>
  <c r="IT16" i="16"/>
  <c r="IS16" i="16"/>
  <c r="IR16" i="16"/>
  <c r="IQ16" i="16"/>
  <c r="JB15" i="16"/>
  <c r="JA15" i="16"/>
  <c r="IZ15" i="16"/>
  <c r="IY15" i="16"/>
  <c r="IX15" i="16"/>
  <c r="IW15" i="16"/>
  <c r="IV15" i="16"/>
  <c r="IU15" i="16"/>
  <c r="IT15" i="16"/>
  <c r="IS15" i="16"/>
  <c r="IR15" i="16"/>
  <c r="IQ15" i="16"/>
  <c r="JB14" i="16"/>
  <c r="JA14" i="16"/>
  <c r="IZ14" i="16"/>
  <c r="IY14" i="16"/>
  <c r="IX14" i="16"/>
  <c r="IW14" i="16"/>
  <c r="IV14" i="16"/>
  <c r="IU14" i="16"/>
  <c r="IT14" i="16"/>
  <c r="IS14" i="16"/>
  <c r="IR14" i="16"/>
  <c r="IQ14" i="16"/>
  <c r="IN20" i="16"/>
  <c r="IM20" i="16"/>
  <c r="IL20" i="16"/>
  <c r="IK20" i="16"/>
  <c r="IJ20" i="16"/>
  <c r="II20" i="16"/>
  <c r="IH20" i="16"/>
  <c r="IG20" i="16"/>
  <c r="IF20" i="16"/>
  <c r="IE20" i="16"/>
  <c r="ID20" i="16"/>
  <c r="IC20" i="16"/>
  <c r="IN19" i="16"/>
  <c r="IM19" i="16"/>
  <c r="IL19" i="16"/>
  <c r="IK19" i="16"/>
  <c r="IJ19" i="16"/>
  <c r="II19" i="16"/>
  <c r="IH19" i="16"/>
  <c r="IG19" i="16"/>
  <c r="IF19" i="16"/>
  <c r="IE19" i="16"/>
  <c r="ID19" i="16"/>
  <c r="IC19" i="16"/>
  <c r="IN18" i="16"/>
  <c r="IM18" i="16"/>
  <c r="IL18" i="16"/>
  <c r="IK18" i="16"/>
  <c r="IJ18" i="16"/>
  <c r="II18" i="16"/>
  <c r="IH18" i="16"/>
  <c r="IG18" i="16"/>
  <c r="IF18" i="16"/>
  <c r="IE18" i="16"/>
  <c r="ID18" i="16"/>
  <c r="IC18" i="16"/>
  <c r="IN17" i="16"/>
  <c r="IM17" i="16"/>
  <c r="IL17" i="16"/>
  <c r="IK17" i="16"/>
  <c r="IJ17" i="16"/>
  <c r="II17" i="16"/>
  <c r="IH17" i="16"/>
  <c r="IG17" i="16"/>
  <c r="IF17" i="16"/>
  <c r="IE17" i="16"/>
  <c r="ID17" i="16"/>
  <c r="IC17" i="16"/>
  <c r="IN16" i="16"/>
  <c r="IM16" i="16"/>
  <c r="IL16" i="16"/>
  <c r="IK16" i="16"/>
  <c r="IJ16" i="16"/>
  <c r="II16" i="16"/>
  <c r="IH16" i="16"/>
  <c r="IG16" i="16"/>
  <c r="IF16" i="16"/>
  <c r="IE16" i="16"/>
  <c r="ID16" i="16"/>
  <c r="IC16" i="16"/>
  <c r="IN15" i="16"/>
  <c r="IM15" i="16"/>
  <c r="IL15" i="16"/>
  <c r="IK15" i="16"/>
  <c r="IJ15" i="16"/>
  <c r="II15" i="16"/>
  <c r="IH15" i="16"/>
  <c r="IG15" i="16"/>
  <c r="IF15" i="16"/>
  <c r="IE15" i="16"/>
  <c r="ID15" i="16"/>
  <c r="IC15" i="16"/>
  <c r="IN14" i="16"/>
  <c r="IM14" i="16"/>
  <c r="IL14" i="16"/>
  <c r="IK14" i="16"/>
  <c r="IJ14" i="16"/>
  <c r="II14" i="16"/>
  <c r="IH14" i="16"/>
  <c r="IG14" i="16"/>
  <c r="IF14" i="16"/>
  <c r="IE14" i="16"/>
  <c r="ID14" i="16"/>
  <c r="IC14" i="16"/>
  <c r="AQ506" i="17"/>
  <c r="AU506" i="17" s="1"/>
  <c r="AP506" i="17"/>
  <c r="AT506" i="17" s="1"/>
  <c r="AQ505" i="17"/>
  <c r="AU505" i="17" s="1"/>
  <c r="AP505" i="17"/>
  <c r="AT505" i="17" s="1"/>
  <c r="AQ504" i="17"/>
  <c r="AU504" i="17" s="1"/>
  <c r="AP504" i="17"/>
  <c r="AT504" i="17" s="1"/>
  <c r="AQ503" i="17"/>
  <c r="AU503" i="17" s="1"/>
  <c r="AP503" i="17"/>
  <c r="AT503" i="17" s="1"/>
  <c r="AQ502" i="17"/>
  <c r="AU502" i="17" s="1"/>
  <c r="AP502" i="17"/>
  <c r="AT502" i="17" s="1"/>
  <c r="AQ501" i="17"/>
  <c r="AU501" i="17" s="1"/>
  <c r="AP501" i="17"/>
  <c r="AT501" i="17" s="1"/>
  <c r="AQ500" i="17"/>
  <c r="AU500" i="17" s="1"/>
  <c r="AP500" i="17"/>
  <c r="AT500" i="17" s="1"/>
  <c r="AQ499" i="17"/>
  <c r="AU499" i="17" s="1"/>
  <c r="AP499" i="17"/>
  <c r="AT499" i="17" s="1"/>
  <c r="AQ498" i="17"/>
  <c r="AU498" i="17" s="1"/>
  <c r="AP498" i="17"/>
  <c r="AT498" i="17" s="1"/>
  <c r="AQ497" i="17"/>
  <c r="AU497" i="17" s="1"/>
  <c r="AP497" i="17"/>
  <c r="AT497" i="17" s="1"/>
  <c r="AQ496" i="17"/>
  <c r="AU496" i="17" s="1"/>
  <c r="AP496" i="17"/>
  <c r="AT496" i="17" s="1"/>
  <c r="AQ495" i="17"/>
  <c r="AU495" i="17" s="1"/>
  <c r="AP495" i="17"/>
  <c r="AT495" i="17" s="1"/>
  <c r="AQ494" i="17"/>
  <c r="AU494" i="17" s="1"/>
  <c r="AP494" i="17"/>
  <c r="AT494" i="17" s="1"/>
  <c r="AQ493" i="17"/>
  <c r="AU493" i="17" s="1"/>
  <c r="AP493" i="17"/>
  <c r="AT493" i="17" s="1"/>
  <c r="AQ492" i="17"/>
  <c r="AU492" i="17" s="1"/>
  <c r="AP492" i="17"/>
  <c r="AT492" i="17" s="1"/>
  <c r="AQ491" i="17"/>
  <c r="AU491" i="17" s="1"/>
  <c r="AP491" i="17"/>
  <c r="AT491" i="17" s="1"/>
  <c r="AQ490" i="17"/>
  <c r="AU490" i="17" s="1"/>
  <c r="AP490" i="17"/>
  <c r="AT490" i="17" s="1"/>
  <c r="AQ489" i="17"/>
  <c r="AU489" i="17" s="1"/>
  <c r="AP489" i="17"/>
  <c r="AT489" i="17" s="1"/>
  <c r="AQ488" i="17"/>
  <c r="AU488" i="17" s="1"/>
  <c r="AP488" i="17"/>
  <c r="AT488" i="17" s="1"/>
  <c r="AQ487" i="17"/>
  <c r="AU487" i="17" s="1"/>
  <c r="AP487" i="17"/>
  <c r="AT487" i="17" s="1"/>
  <c r="AQ486" i="17"/>
  <c r="AU486" i="17" s="1"/>
  <c r="AP486" i="17"/>
  <c r="AT486" i="17" s="1"/>
  <c r="AQ485" i="17"/>
  <c r="AU485" i="17" s="1"/>
  <c r="AP485" i="17"/>
  <c r="AT485" i="17" s="1"/>
  <c r="AQ484" i="17"/>
  <c r="AU484" i="17" s="1"/>
  <c r="AP484" i="17"/>
  <c r="AT484" i="17" s="1"/>
  <c r="AQ483" i="17"/>
  <c r="AU483" i="17" s="1"/>
  <c r="AP483" i="17"/>
  <c r="AT483" i="17" s="1"/>
  <c r="AQ482" i="17"/>
  <c r="AU482" i="17" s="1"/>
  <c r="AP482" i="17"/>
  <c r="AT482" i="17" s="1"/>
  <c r="AQ481" i="17"/>
  <c r="AU481" i="17" s="1"/>
  <c r="AP481" i="17"/>
  <c r="AT481" i="17" s="1"/>
  <c r="AQ480" i="17"/>
  <c r="AU480" i="17" s="1"/>
  <c r="AP480" i="17"/>
  <c r="AT480" i="17" s="1"/>
  <c r="AQ479" i="17"/>
  <c r="AU479" i="17" s="1"/>
  <c r="AP479" i="17"/>
  <c r="AT479" i="17" s="1"/>
  <c r="AQ478" i="17"/>
  <c r="AU478" i="17" s="1"/>
  <c r="AP478" i="17"/>
  <c r="AT478" i="17" s="1"/>
  <c r="AQ477" i="17"/>
  <c r="AU477" i="17" s="1"/>
  <c r="AP477" i="17"/>
  <c r="AT477" i="17" s="1"/>
  <c r="AQ476" i="17"/>
  <c r="AU476" i="17" s="1"/>
  <c r="AP476" i="17"/>
  <c r="AT476" i="17" s="1"/>
  <c r="AQ475" i="17"/>
  <c r="AU475" i="17" s="1"/>
  <c r="AP475" i="17"/>
  <c r="AT475" i="17" s="1"/>
  <c r="AQ474" i="17"/>
  <c r="AU474" i="17" s="1"/>
  <c r="AP474" i="17"/>
  <c r="AT474" i="17" s="1"/>
  <c r="AQ473" i="17"/>
  <c r="AU473" i="17" s="1"/>
  <c r="AP473" i="17"/>
  <c r="AT473" i="17" s="1"/>
  <c r="AQ472" i="17"/>
  <c r="AU472" i="17" s="1"/>
  <c r="AP472" i="17"/>
  <c r="AT472" i="17" s="1"/>
  <c r="AQ471" i="17"/>
  <c r="AU471" i="17" s="1"/>
  <c r="AP471" i="17"/>
  <c r="AT471" i="17" s="1"/>
  <c r="AQ470" i="17"/>
  <c r="AU470" i="17" s="1"/>
  <c r="AP470" i="17"/>
  <c r="AT470" i="17" s="1"/>
  <c r="AQ469" i="17"/>
  <c r="AU469" i="17" s="1"/>
  <c r="AP469" i="17"/>
  <c r="AT469" i="17" s="1"/>
  <c r="AQ468" i="17"/>
  <c r="AU468" i="17" s="1"/>
  <c r="AP468" i="17"/>
  <c r="AT468" i="17" s="1"/>
  <c r="AQ467" i="17"/>
  <c r="AU467" i="17" s="1"/>
  <c r="AP467" i="17"/>
  <c r="AT467" i="17" s="1"/>
  <c r="AQ466" i="17"/>
  <c r="AU466" i="17" s="1"/>
  <c r="AP466" i="17"/>
  <c r="AT466" i="17" s="1"/>
  <c r="AQ465" i="17"/>
  <c r="AU465" i="17" s="1"/>
  <c r="AP465" i="17"/>
  <c r="AT465" i="17" s="1"/>
  <c r="AQ464" i="17"/>
  <c r="AU464" i="17" s="1"/>
  <c r="AP464" i="17"/>
  <c r="AT464" i="17" s="1"/>
  <c r="AQ463" i="17"/>
  <c r="AU463" i="17" s="1"/>
  <c r="AP463" i="17"/>
  <c r="AT463" i="17" s="1"/>
  <c r="AQ462" i="17"/>
  <c r="AU462" i="17" s="1"/>
  <c r="AP462" i="17"/>
  <c r="AT462" i="17" s="1"/>
  <c r="AQ461" i="17"/>
  <c r="AU461" i="17" s="1"/>
  <c r="AP461" i="17"/>
  <c r="AT461" i="17" s="1"/>
  <c r="AQ460" i="17"/>
  <c r="AU460" i="17" s="1"/>
  <c r="AP460" i="17"/>
  <c r="AT460" i="17" s="1"/>
  <c r="AQ459" i="17"/>
  <c r="AU459" i="17" s="1"/>
  <c r="AP459" i="17"/>
  <c r="AT459" i="17" s="1"/>
  <c r="AQ458" i="17"/>
  <c r="AU458" i="17" s="1"/>
  <c r="AP458" i="17"/>
  <c r="AT458" i="17" s="1"/>
  <c r="AQ457" i="17"/>
  <c r="AU457" i="17" s="1"/>
  <c r="AP457" i="17"/>
  <c r="AT457" i="17" s="1"/>
  <c r="AQ456" i="17"/>
  <c r="AU456" i="17" s="1"/>
  <c r="AP456" i="17"/>
  <c r="AT456" i="17" s="1"/>
  <c r="AQ455" i="17"/>
  <c r="AU455" i="17" s="1"/>
  <c r="AP455" i="17"/>
  <c r="AT455" i="17" s="1"/>
  <c r="AQ454" i="17"/>
  <c r="AU454" i="17" s="1"/>
  <c r="AP454" i="17"/>
  <c r="AT454" i="17" s="1"/>
  <c r="AQ453" i="17"/>
  <c r="AU453" i="17" s="1"/>
  <c r="AP453" i="17"/>
  <c r="AT453" i="17" s="1"/>
  <c r="AQ452" i="17"/>
  <c r="AU452" i="17" s="1"/>
  <c r="AP452" i="17"/>
  <c r="AT452" i="17" s="1"/>
  <c r="AQ451" i="17"/>
  <c r="AU451" i="17" s="1"/>
  <c r="AP451" i="17"/>
  <c r="AT451" i="17" s="1"/>
  <c r="AQ450" i="17"/>
  <c r="AU450" i="17" s="1"/>
  <c r="AP450" i="17"/>
  <c r="AT450" i="17" s="1"/>
  <c r="AQ449" i="17"/>
  <c r="AU449" i="17" s="1"/>
  <c r="AP449" i="17"/>
  <c r="AT449" i="17" s="1"/>
  <c r="AQ448" i="17"/>
  <c r="AU448" i="17" s="1"/>
  <c r="AP448" i="17"/>
  <c r="AT448" i="17" s="1"/>
  <c r="AQ447" i="17"/>
  <c r="AU447" i="17" s="1"/>
  <c r="AP447" i="17"/>
  <c r="AT447" i="17" s="1"/>
  <c r="AQ446" i="17"/>
  <c r="AU446" i="17" s="1"/>
  <c r="AP446" i="17"/>
  <c r="AT446" i="17" s="1"/>
  <c r="AQ445" i="17"/>
  <c r="AU445" i="17" s="1"/>
  <c r="AP445" i="17"/>
  <c r="AT445" i="17" s="1"/>
  <c r="AQ444" i="17"/>
  <c r="AU444" i="17" s="1"/>
  <c r="AP444" i="17"/>
  <c r="AT444" i="17" s="1"/>
  <c r="AQ443" i="17"/>
  <c r="AU443" i="17" s="1"/>
  <c r="AP443" i="17"/>
  <c r="AT443" i="17" s="1"/>
  <c r="AQ442" i="17"/>
  <c r="AU442" i="17" s="1"/>
  <c r="AP442" i="17"/>
  <c r="AT442" i="17" s="1"/>
  <c r="AQ441" i="17"/>
  <c r="AU441" i="17" s="1"/>
  <c r="AP441" i="17"/>
  <c r="AT441" i="17" s="1"/>
  <c r="AQ440" i="17"/>
  <c r="AU440" i="17" s="1"/>
  <c r="AP440" i="17"/>
  <c r="AT440" i="17" s="1"/>
  <c r="AQ439" i="17"/>
  <c r="AU439" i="17" s="1"/>
  <c r="AP439" i="17"/>
  <c r="AT439" i="17" s="1"/>
  <c r="AQ438" i="17"/>
  <c r="AU438" i="17" s="1"/>
  <c r="AP438" i="17"/>
  <c r="AT438" i="17" s="1"/>
  <c r="AQ437" i="17"/>
  <c r="AU437" i="17" s="1"/>
  <c r="AP437" i="17"/>
  <c r="AT437" i="17" s="1"/>
  <c r="AQ436" i="17"/>
  <c r="AU436" i="17" s="1"/>
  <c r="AP436" i="17"/>
  <c r="AT436" i="17" s="1"/>
  <c r="AQ435" i="17"/>
  <c r="AU435" i="17" s="1"/>
  <c r="AP435" i="17"/>
  <c r="AT435" i="17" s="1"/>
  <c r="AQ434" i="17"/>
  <c r="AU434" i="17" s="1"/>
  <c r="AP434" i="17"/>
  <c r="AT434" i="17" s="1"/>
  <c r="AQ433" i="17"/>
  <c r="AU433" i="17" s="1"/>
  <c r="AP433" i="17"/>
  <c r="AT433" i="17" s="1"/>
  <c r="AQ432" i="17"/>
  <c r="AU432" i="17" s="1"/>
  <c r="AP432" i="17"/>
  <c r="AT432" i="17" s="1"/>
  <c r="AQ431" i="17"/>
  <c r="AU431" i="17" s="1"/>
  <c r="AP431" i="17"/>
  <c r="AT431" i="17" s="1"/>
  <c r="AQ430" i="17"/>
  <c r="AU430" i="17" s="1"/>
  <c r="AP430" i="17"/>
  <c r="AT430" i="17" s="1"/>
  <c r="AQ429" i="17"/>
  <c r="AU429" i="17" s="1"/>
  <c r="AP429" i="17"/>
  <c r="AT429" i="17" s="1"/>
  <c r="AQ428" i="17"/>
  <c r="AU428" i="17" s="1"/>
  <c r="AP428" i="17"/>
  <c r="AT428" i="17" s="1"/>
  <c r="AQ427" i="17"/>
  <c r="AU427" i="17" s="1"/>
  <c r="AP427" i="17"/>
  <c r="AT427" i="17" s="1"/>
  <c r="AQ426" i="17"/>
  <c r="AU426" i="17" s="1"/>
  <c r="AP426" i="17"/>
  <c r="AT426" i="17" s="1"/>
  <c r="AQ425" i="17"/>
  <c r="AU425" i="17" s="1"/>
  <c r="AP425" i="17"/>
  <c r="AT425" i="17" s="1"/>
  <c r="AQ424" i="17"/>
  <c r="AU424" i="17" s="1"/>
  <c r="AP424" i="17"/>
  <c r="AT424" i="17" s="1"/>
  <c r="AQ423" i="17"/>
  <c r="AU423" i="17" s="1"/>
  <c r="AP423" i="17"/>
  <c r="AT423" i="17" s="1"/>
  <c r="AQ422" i="17"/>
  <c r="AU422" i="17" s="1"/>
  <c r="AP422" i="17"/>
  <c r="AT422" i="17" s="1"/>
  <c r="AQ421" i="17"/>
  <c r="AU421" i="17" s="1"/>
  <c r="AP421" i="17"/>
  <c r="AT421" i="17" s="1"/>
  <c r="AQ420" i="17"/>
  <c r="AU420" i="17" s="1"/>
  <c r="AP420" i="17"/>
  <c r="AT420" i="17" s="1"/>
  <c r="AQ419" i="17"/>
  <c r="AU419" i="17" s="1"/>
  <c r="AP419" i="17"/>
  <c r="AT419" i="17" s="1"/>
  <c r="AQ418" i="17"/>
  <c r="AU418" i="17" s="1"/>
  <c r="AP418" i="17"/>
  <c r="AT418" i="17" s="1"/>
  <c r="AQ417" i="17"/>
  <c r="AU417" i="17" s="1"/>
  <c r="AP417" i="17"/>
  <c r="AT417" i="17" s="1"/>
  <c r="AQ416" i="17"/>
  <c r="AU416" i="17" s="1"/>
  <c r="AP416" i="17"/>
  <c r="AT416" i="17" s="1"/>
  <c r="AQ415" i="17"/>
  <c r="AU415" i="17" s="1"/>
  <c r="AP415" i="17"/>
  <c r="AT415" i="17" s="1"/>
  <c r="AQ414" i="17"/>
  <c r="AU414" i="17" s="1"/>
  <c r="AP414" i="17"/>
  <c r="AT414" i="17" s="1"/>
  <c r="AQ413" i="17"/>
  <c r="AU413" i="17" s="1"/>
  <c r="AP413" i="17"/>
  <c r="AT413" i="17" s="1"/>
  <c r="AQ412" i="17"/>
  <c r="AU412" i="17" s="1"/>
  <c r="AP412" i="17"/>
  <c r="AT412" i="17" s="1"/>
  <c r="AQ411" i="17"/>
  <c r="AU411" i="17" s="1"/>
  <c r="AP411" i="17"/>
  <c r="AT411" i="17" s="1"/>
  <c r="AQ410" i="17"/>
  <c r="AU410" i="17" s="1"/>
  <c r="AP410" i="17"/>
  <c r="AT410" i="17" s="1"/>
  <c r="AQ409" i="17"/>
  <c r="AU409" i="17" s="1"/>
  <c r="AP409" i="17"/>
  <c r="AT409" i="17" s="1"/>
  <c r="AQ408" i="17"/>
  <c r="AU408" i="17" s="1"/>
  <c r="AP408" i="17"/>
  <c r="AT408" i="17" s="1"/>
  <c r="AQ407" i="17"/>
  <c r="AU407" i="17" s="1"/>
  <c r="AP407" i="17"/>
  <c r="AT407" i="17" s="1"/>
  <c r="AQ406" i="17"/>
  <c r="AU406" i="17" s="1"/>
  <c r="AP406" i="17"/>
  <c r="AT406" i="17" s="1"/>
  <c r="AQ405" i="17"/>
  <c r="AU405" i="17" s="1"/>
  <c r="AP405" i="17"/>
  <c r="AT405" i="17" s="1"/>
  <c r="AQ404" i="17"/>
  <c r="AU404" i="17" s="1"/>
  <c r="AP404" i="17"/>
  <c r="AT404" i="17" s="1"/>
  <c r="AQ403" i="17"/>
  <c r="AU403" i="17" s="1"/>
  <c r="AP403" i="17"/>
  <c r="AT403" i="17" s="1"/>
  <c r="AQ402" i="17"/>
  <c r="AU402" i="17" s="1"/>
  <c r="AP402" i="17"/>
  <c r="AT402" i="17" s="1"/>
  <c r="AQ401" i="17"/>
  <c r="AU401" i="17" s="1"/>
  <c r="AP401" i="17"/>
  <c r="AT401" i="17" s="1"/>
  <c r="AQ400" i="17"/>
  <c r="AU400" i="17" s="1"/>
  <c r="AP400" i="17"/>
  <c r="AT400" i="17" s="1"/>
  <c r="AQ399" i="17"/>
  <c r="AU399" i="17" s="1"/>
  <c r="AP399" i="17"/>
  <c r="AT399" i="17" s="1"/>
  <c r="AQ398" i="17"/>
  <c r="AU398" i="17" s="1"/>
  <c r="AP398" i="17"/>
  <c r="AT398" i="17" s="1"/>
  <c r="AQ397" i="17"/>
  <c r="AU397" i="17" s="1"/>
  <c r="AP397" i="17"/>
  <c r="AT397" i="17" s="1"/>
  <c r="AQ396" i="17"/>
  <c r="AU396" i="17" s="1"/>
  <c r="AP396" i="17"/>
  <c r="AT396" i="17" s="1"/>
  <c r="AQ395" i="17"/>
  <c r="AU395" i="17" s="1"/>
  <c r="AP395" i="17"/>
  <c r="AT395" i="17" s="1"/>
  <c r="AQ394" i="17"/>
  <c r="AU394" i="17" s="1"/>
  <c r="AP394" i="17"/>
  <c r="AT394" i="17" s="1"/>
  <c r="AQ393" i="17"/>
  <c r="AU393" i="17" s="1"/>
  <c r="AP393" i="17"/>
  <c r="AT393" i="17" s="1"/>
  <c r="AQ392" i="17"/>
  <c r="AU392" i="17" s="1"/>
  <c r="AP392" i="17"/>
  <c r="AT392" i="17" s="1"/>
  <c r="AQ391" i="17"/>
  <c r="AU391" i="17" s="1"/>
  <c r="AP391" i="17"/>
  <c r="AT391" i="17" s="1"/>
  <c r="AQ390" i="17"/>
  <c r="AU390" i="17" s="1"/>
  <c r="AP390" i="17"/>
  <c r="AT390" i="17" s="1"/>
  <c r="AQ389" i="17"/>
  <c r="AU389" i="17" s="1"/>
  <c r="AP389" i="17"/>
  <c r="AT389" i="17" s="1"/>
  <c r="AQ388" i="17"/>
  <c r="AU388" i="17" s="1"/>
  <c r="AP388" i="17"/>
  <c r="AT388" i="17" s="1"/>
  <c r="AQ387" i="17"/>
  <c r="AU387" i="17" s="1"/>
  <c r="AP387" i="17"/>
  <c r="AT387" i="17" s="1"/>
  <c r="AQ386" i="17"/>
  <c r="AU386" i="17" s="1"/>
  <c r="AP386" i="17"/>
  <c r="AT386" i="17" s="1"/>
  <c r="AQ385" i="17"/>
  <c r="AU385" i="17" s="1"/>
  <c r="AP385" i="17"/>
  <c r="AT385" i="17" s="1"/>
  <c r="AQ384" i="17"/>
  <c r="AU384" i="17" s="1"/>
  <c r="AP384" i="17"/>
  <c r="AT384" i="17" s="1"/>
  <c r="AQ383" i="17"/>
  <c r="AU383" i="17" s="1"/>
  <c r="AP383" i="17"/>
  <c r="AT383" i="17" s="1"/>
  <c r="AQ382" i="17"/>
  <c r="AU382" i="17" s="1"/>
  <c r="AP382" i="17"/>
  <c r="AT382" i="17" s="1"/>
  <c r="AQ381" i="17"/>
  <c r="AU381" i="17" s="1"/>
  <c r="AP381" i="17"/>
  <c r="AT381" i="17" s="1"/>
  <c r="AQ380" i="17"/>
  <c r="AU380" i="17" s="1"/>
  <c r="AP380" i="17"/>
  <c r="AT380" i="17" s="1"/>
  <c r="AQ379" i="17"/>
  <c r="AU379" i="17" s="1"/>
  <c r="AP379" i="17"/>
  <c r="AT379" i="17" s="1"/>
  <c r="AQ378" i="17"/>
  <c r="AU378" i="17" s="1"/>
  <c r="AP378" i="17"/>
  <c r="AT378" i="17" s="1"/>
  <c r="AQ377" i="17"/>
  <c r="AU377" i="17" s="1"/>
  <c r="AP377" i="17"/>
  <c r="AT377" i="17" s="1"/>
  <c r="AQ376" i="17"/>
  <c r="AU376" i="17" s="1"/>
  <c r="AP376" i="17"/>
  <c r="AT376" i="17" s="1"/>
  <c r="AQ375" i="17"/>
  <c r="AU375" i="17" s="1"/>
  <c r="AP375" i="17"/>
  <c r="AT375" i="17" s="1"/>
  <c r="AQ374" i="17"/>
  <c r="AU374" i="17" s="1"/>
  <c r="AP374" i="17"/>
  <c r="AT374" i="17" s="1"/>
  <c r="AQ373" i="17"/>
  <c r="AU373" i="17" s="1"/>
  <c r="AP373" i="17"/>
  <c r="AT373" i="17" s="1"/>
  <c r="AQ372" i="17"/>
  <c r="AU372" i="17" s="1"/>
  <c r="AP372" i="17"/>
  <c r="AT372" i="17" s="1"/>
  <c r="AQ371" i="17"/>
  <c r="AU371" i="17" s="1"/>
  <c r="AP371" i="17"/>
  <c r="AT371" i="17" s="1"/>
  <c r="AQ370" i="17"/>
  <c r="AU370" i="17" s="1"/>
  <c r="AP370" i="17"/>
  <c r="AT370" i="17" s="1"/>
  <c r="AQ369" i="17"/>
  <c r="AU369" i="17" s="1"/>
  <c r="AP369" i="17"/>
  <c r="AT369" i="17" s="1"/>
  <c r="AQ368" i="17"/>
  <c r="AU368" i="17" s="1"/>
  <c r="AP368" i="17"/>
  <c r="AT368" i="17" s="1"/>
  <c r="AQ367" i="17"/>
  <c r="AU367" i="17" s="1"/>
  <c r="AP367" i="17"/>
  <c r="AT367" i="17" s="1"/>
  <c r="AQ366" i="17"/>
  <c r="AU366" i="17" s="1"/>
  <c r="AP366" i="17"/>
  <c r="AT366" i="17" s="1"/>
  <c r="AQ365" i="17"/>
  <c r="AU365" i="17" s="1"/>
  <c r="AP365" i="17"/>
  <c r="AT365" i="17" s="1"/>
  <c r="AQ364" i="17"/>
  <c r="AU364" i="17" s="1"/>
  <c r="AP364" i="17"/>
  <c r="AT364" i="17" s="1"/>
  <c r="AQ363" i="17"/>
  <c r="AU363" i="17" s="1"/>
  <c r="AP363" i="17"/>
  <c r="AT363" i="17" s="1"/>
  <c r="AQ362" i="17"/>
  <c r="AU362" i="17" s="1"/>
  <c r="AP362" i="17"/>
  <c r="AT362" i="17" s="1"/>
  <c r="AQ361" i="17"/>
  <c r="AU361" i="17" s="1"/>
  <c r="AP361" i="17"/>
  <c r="AT361" i="17" s="1"/>
  <c r="AQ360" i="17"/>
  <c r="AU360" i="17" s="1"/>
  <c r="AP360" i="17"/>
  <c r="AT360" i="17" s="1"/>
  <c r="AQ359" i="17"/>
  <c r="AU359" i="17" s="1"/>
  <c r="AP359" i="17"/>
  <c r="AT359" i="17" s="1"/>
  <c r="AQ358" i="17"/>
  <c r="AU358" i="17" s="1"/>
  <c r="AP358" i="17"/>
  <c r="AT358" i="17" s="1"/>
  <c r="AQ357" i="17"/>
  <c r="AU357" i="17" s="1"/>
  <c r="AP357" i="17"/>
  <c r="AT357" i="17" s="1"/>
  <c r="AQ356" i="17"/>
  <c r="AU356" i="17" s="1"/>
  <c r="AP356" i="17"/>
  <c r="AT356" i="17" s="1"/>
  <c r="AQ355" i="17"/>
  <c r="AU355" i="17" s="1"/>
  <c r="AP355" i="17"/>
  <c r="AT355" i="17" s="1"/>
  <c r="AQ354" i="17"/>
  <c r="AU354" i="17" s="1"/>
  <c r="AP354" i="17"/>
  <c r="AT354" i="17" s="1"/>
  <c r="AQ353" i="17"/>
  <c r="AU353" i="17" s="1"/>
  <c r="AP353" i="17"/>
  <c r="AT353" i="17" s="1"/>
  <c r="AQ352" i="17"/>
  <c r="AU352" i="17" s="1"/>
  <c r="AP352" i="17"/>
  <c r="AT352" i="17" s="1"/>
  <c r="AQ351" i="17"/>
  <c r="AU351" i="17" s="1"/>
  <c r="AP351" i="17"/>
  <c r="AT351" i="17" s="1"/>
  <c r="AQ350" i="17"/>
  <c r="AU350" i="17" s="1"/>
  <c r="AP350" i="17"/>
  <c r="AT350" i="17" s="1"/>
  <c r="AQ349" i="17"/>
  <c r="AU349" i="17" s="1"/>
  <c r="AP349" i="17"/>
  <c r="AT349" i="17" s="1"/>
  <c r="AQ348" i="17"/>
  <c r="AU348" i="17" s="1"/>
  <c r="AP348" i="17"/>
  <c r="AT348" i="17" s="1"/>
  <c r="AQ347" i="17"/>
  <c r="AU347" i="17" s="1"/>
  <c r="AP347" i="17"/>
  <c r="AT347" i="17" s="1"/>
  <c r="AQ346" i="17"/>
  <c r="AU346" i="17" s="1"/>
  <c r="AP346" i="17"/>
  <c r="AT346" i="17" s="1"/>
  <c r="AQ345" i="17"/>
  <c r="AU345" i="17" s="1"/>
  <c r="AP345" i="17"/>
  <c r="AT345" i="17" s="1"/>
  <c r="AQ344" i="17"/>
  <c r="AU344" i="17" s="1"/>
  <c r="AP344" i="17"/>
  <c r="AT344" i="17" s="1"/>
  <c r="AQ343" i="17"/>
  <c r="AU343" i="17" s="1"/>
  <c r="AP343" i="17"/>
  <c r="AT343" i="17" s="1"/>
  <c r="AQ342" i="17"/>
  <c r="AU342" i="17" s="1"/>
  <c r="AP342" i="17"/>
  <c r="AT342" i="17" s="1"/>
  <c r="AQ341" i="17"/>
  <c r="AU341" i="17" s="1"/>
  <c r="AP341" i="17"/>
  <c r="AT341" i="17" s="1"/>
  <c r="AQ340" i="17"/>
  <c r="AU340" i="17" s="1"/>
  <c r="AP340" i="17"/>
  <c r="AT340" i="17" s="1"/>
  <c r="AQ339" i="17"/>
  <c r="AU339" i="17" s="1"/>
  <c r="AP339" i="17"/>
  <c r="AT339" i="17" s="1"/>
  <c r="AQ338" i="17"/>
  <c r="AU338" i="17" s="1"/>
  <c r="AP338" i="17"/>
  <c r="AT338" i="17" s="1"/>
  <c r="AQ337" i="17"/>
  <c r="AU337" i="17" s="1"/>
  <c r="AP337" i="17"/>
  <c r="AT337" i="17" s="1"/>
  <c r="AQ336" i="17"/>
  <c r="AU336" i="17" s="1"/>
  <c r="AP336" i="17"/>
  <c r="AT336" i="17" s="1"/>
  <c r="AQ335" i="17"/>
  <c r="AU335" i="17" s="1"/>
  <c r="AP335" i="17"/>
  <c r="AT335" i="17" s="1"/>
  <c r="AQ334" i="17"/>
  <c r="AU334" i="17" s="1"/>
  <c r="AP334" i="17"/>
  <c r="AT334" i="17" s="1"/>
  <c r="AQ333" i="17"/>
  <c r="AU333" i="17" s="1"/>
  <c r="AP333" i="17"/>
  <c r="AT333" i="17" s="1"/>
  <c r="AQ332" i="17"/>
  <c r="AU332" i="17" s="1"/>
  <c r="AP332" i="17"/>
  <c r="AT332" i="17" s="1"/>
  <c r="AQ331" i="17"/>
  <c r="AU331" i="17" s="1"/>
  <c r="AP331" i="17"/>
  <c r="AT331" i="17" s="1"/>
  <c r="AQ330" i="17"/>
  <c r="AU330" i="17" s="1"/>
  <c r="AP330" i="17"/>
  <c r="AT330" i="17" s="1"/>
  <c r="AQ329" i="17"/>
  <c r="AU329" i="17" s="1"/>
  <c r="AP329" i="17"/>
  <c r="AT329" i="17" s="1"/>
  <c r="AQ328" i="17"/>
  <c r="AU328" i="17" s="1"/>
  <c r="AP328" i="17"/>
  <c r="AT328" i="17" s="1"/>
  <c r="AQ327" i="17"/>
  <c r="AU327" i="17" s="1"/>
  <c r="AP327" i="17"/>
  <c r="AT327" i="17" s="1"/>
  <c r="AQ326" i="17"/>
  <c r="AU326" i="17" s="1"/>
  <c r="AP326" i="17"/>
  <c r="AT326" i="17" s="1"/>
  <c r="AQ325" i="17"/>
  <c r="AU325" i="17" s="1"/>
  <c r="AP325" i="17"/>
  <c r="AT325" i="17" s="1"/>
  <c r="AQ324" i="17"/>
  <c r="AU324" i="17" s="1"/>
  <c r="AP324" i="17"/>
  <c r="AT324" i="17" s="1"/>
  <c r="AQ323" i="17"/>
  <c r="AU323" i="17" s="1"/>
  <c r="AP323" i="17"/>
  <c r="AT323" i="17" s="1"/>
  <c r="AQ322" i="17"/>
  <c r="AU322" i="17" s="1"/>
  <c r="AP322" i="17"/>
  <c r="AT322" i="17" s="1"/>
  <c r="AQ321" i="17"/>
  <c r="AU321" i="17" s="1"/>
  <c r="AP321" i="17"/>
  <c r="AT321" i="17" s="1"/>
  <c r="AQ320" i="17"/>
  <c r="AU320" i="17" s="1"/>
  <c r="AP320" i="17"/>
  <c r="AT320" i="17" s="1"/>
  <c r="AQ319" i="17"/>
  <c r="AU319" i="17" s="1"/>
  <c r="AP319" i="17"/>
  <c r="AT319" i="17" s="1"/>
  <c r="AQ318" i="17"/>
  <c r="AU318" i="17" s="1"/>
  <c r="AP318" i="17"/>
  <c r="AT318" i="17" s="1"/>
  <c r="AQ317" i="17"/>
  <c r="AU317" i="17" s="1"/>
  <c r="AP317" i="17"/>
  <c r="AT317" i="17" s="1"/>
  <c r="AQ316" i="17"/>
  <c r="AU316" i="17" s="1"/>
  <c r="AP316" i="17"/>
  <c r="AT316" i="17" s="1"/>
  <c r="AQ315" i="17"/>
  <c r="AU315" i="17" s="1"/>
  <c r="AP315" i="17"/>
  <c r="AT315" i="17" s="1"/>
  <c r="AQ314" i="17"/>
  <c r="AU314" i="17" s="1"/>
  <c r="AP314" i="17"/>
  <c r="AT314" i="17" s="1"/>
  <c r="AQ313" i="17"/>
  <c r="AU313" i="17" s="1"/>
  <c r="AP313" i="17"/>
  <c r="AT313" i="17" s="1"/>
  <c r="AQ312" i="17"/>
  <c r="AU312" i="17" s="1"/>
  <c r="AP312" i="17"/>
  <c r="AT312" i="17" s="1"/>
  <c r="AQ311" i="17"/>
  <c r="AU311" i="17" s="1"/>
  <c r="AP311" i="17"/>
  <c r="AT311" i="17" s="1"/>
  <c r="AQ310" i="17"/>
  <c r="AU310" i="17" s="1"/>
  <c r="AP310" i="17"/>
  <c r="AT310" i="17" s="1"/>
  <c r="AQ309" i="17"/>
  <c r="AU309" i="17" s="1"/>
  <c r="AP309" i="17"/>
  <c r="AT309" i="17" s="1"/>
  <c r="AQ308" i="17"/>
  <c r="AU308" i="17" s="1"/>
  <c r="AP308" i="17"/>
  <c r="AT308" i="17" s="1"/>
  <c r="AQ307" i="17"/>
  <c r="AU307" i="17" s="1"/>
  <c r="AP307" i="17"/>
  <c r="AT307" i="17" s="1"/>
  <c r="AQ306" i="17"/>
  <c r="AU306" i="17" s="1"/>
  <c r="AP306" i="17"/>
  <c r="AT306" i="17" s="1"/>
  <c r="AQ305" i="17"/>
  <c r="AU305" i="17" s="1"/>
  <c r="AP305" i="17"/>
  <c r="AT305" i="17" s="1"/>
  <c r="AQ304" i="17"/>
  <c r="AU304" i="17" s="1"/>
  <c r="AP304" i="17"/>
  <c r="AT304" i="17" s="1"/>
  <c r="AQ303" i="17"/>
  <c r="AU303" i="17" s="1"/>
  <c r="AP303" i="17"/>
  <c r="AT303" i="17" s="1"/>
  <c r="AQ302" i="17"/>
  <c r="AU302" i="17" s="1"/>
  <c r="AP302" i="17"/>
  <c r="AT302" i="17" s="1"/>
  <c r="AQ301" i="17"/>
  <c r="AU301" i="17" s="1"/>
  <c r="AP301" i="17"/>
  <c r="AT301" i="17" s="1"/>
  <c r="AQ300" i="17"/>
  <c r="AU300" i="17" s="1"/>
  <c r="AP300" i="17"/>
  <c r="AT300" i="17" s="1"/>
  <c r="AQ299" i="17"/>
  <c r="AU299" i="17" s="1"/>
  <c r="AP299" i="17"/>
  <c r="AT299" i="17" s="1"/>
  <c r="AQ298" i="17"/>
  <c r="AU298" i="17" s="1"/>
  <c r="AP298" i="17"/>
  <c r="AT298" i="17" s="1"/>
  <c r="AQ297" i="17"/>
  <c r="AU297" i="17" s="1"/>
  <c r="AP297" i="17"/>
  <c r="AT297" i="17" s="1"/>
  <c r="AQ296" i="17"/>
  <c r="AU296" i="17" s="1"/>
  <c r="AP296" i="17"/>
  <c r="AT296" i="17" s="1"/>
  <c r="AQ295" i="17"/>
  <c r="AU295" i="17" s="1"/>
  <c r="AP295" i="17"/>
  <c r="AT295" i="17" s="1"/>
  <c r="AQ294" i="17"/>
  <c r="AU294" i="17" s="1"/>
  <c r="AP294" i="17"/>
  <c r="AT294" i="17" s="1"/>
  <c r="AQ293" i="17"/>
  <c r="AU293" i="17" s="1"/>
  <c r="AP293" i="17"/>
  <c r="AT293" i="17" s="1"/>
  <c r="AQ292" i="17"/>
  <c r="AU292" i="17" s="1"/>
  <c r="AP292" i="17"/>
  <c r="AT292" i="17" s="1"/>
  <c r="AQ291" i="17"/>
  <c r="AU291" i="17" s="1"/>
  <c r="AP291" i="17"/>
  <c r="AT291" i="17" s="1"/>
  <c r="AQ290" i="17"/>
  <c r="AU290" i="17" s="1"/>
  <c r="AP290" i="17"/>
  <c r="AT290" i="17" s="1"/>
  <c r="AQ289" i="17"/>
  <c r="AU289" i="17" s="1"/>
  <c r="AP289" i="17"/>
  <c r="AT289" i="17" s="1"/>
  <c r="AQ288" i="17"/>
  <c r="AU288" i="17" s="1"/>
  <c r="AP288" i="17"/>
  <c r="AT288" i="17" s="1"/>
  <c r="AQ287" i="17"/>
  <c r="AU287" i="17" s="1"/>
  <c r="AP287" i="17"/>
  <c r="AT287" i="17" s="1"/>
  <c r="AQ286" i="17"/>
  <c r="AU286" i="17" s="1"/>
  <c r="AP286" i="17"/>
  <c r="AT286" i="17" s="1"/>
  <c r="AQ285" i="17"/>
  <c r="AU285" i="17" s="1"/>
  <c r="AP285" i="17"/>
  <c r="AT285" i="17" s="1"/>
  <c r="AQ284" i="17"/>
  <c r="AU284" i="17" s="1"/>
  <c r="AP284" i="17"/>
  <c r="AT284" i="17" s="1"/>
  <c r="AQ283" i="17"/>
  <c r="AU283" i="17" s="1"/>
  <c r="AP283" i="17"/>
  <c r="AT283" i="17" s="1"/>
  <c r="AQ282" i="17"/>
  <c r="AU282" i="17" s="1"/>
  <c r="AP282" i="17"/>
  <c r="AT282" i="17" s="1"/>
  <c r="AQ281" i="17"/>
  <c r="AU281" i="17" s="1"/>
  <c r="AP281" i="17"/>
  <c r="AT281" i="17" s="1"/>
  <c r="AQ280" i="17"/>
  <c r="AU280" i="17" s="1"/>
  <c r="AP280" i="17"/>
  <c r="AT280" i="17" s="1"/>
  <c r="AQ279" i="17"/>
  <c r="AU279" i="17" s="1"/>
  <c r="AP279" i="17"/>
  <c r="AT279" i="17" s="1"/>
  <c r="AQ278" i="17"/>
  <c r="AU278" i="17" s="1"/>
  <c r="AP278" i="17"/>
  <c r="AT278" i="17" s="1"/>
  <c r="AQ277" i="17"/>
  <c r="AU277" i="17" s="1"/>
  <c r="AP277" i="17"/>
  <c r="AT277" i="17" s="1"/>
  <c r="AQ276" i="17"/>
  <c r="AU276" i="17" s="1"/>
  <c r="AP276" i="17"/>
  <c r="AT276" i="17" s="1"/>
  <c r="AQ275" i="17"/>
  <c r="AU275" i="17" s="1"/>
  <c r="AP275" i="17"/>
  <c r="AT275" i="17" s="1"/>
  <c r="AQ274" i="17"/>
  <c r="AU274" i="17" s="1"/>
  <c r="AP274" i="17"/>
  <c r="AT274" i="17" s="1"/>
  <c r="AQ273" i="17"/>
  <c r="AU273" i="17" s="1"/>
  <c r="AP273" i="17"/>
  <c r="AT273" i="17" s="1"/>
  <c r="AQ272" i="17"/>
  <c r="AU272" i="17" s="1"/>
  <c r="AP272" i="17"/>
  <c r="AT272" i="17" s="1"/>
  <c r="AQ271" i="17"/>
  <c r="AU271" i="17" s="1"/>
  <c r="AP271" i="17"/>
  <c r="AT271" i="17" s="1"/>
  <c r="AQ270" i="17"/>
  <c r="AU270" i="17" s="1"/>
  <c r="AP270" i="17"/>
  <c r="AT270" i="17" s="1"/>
  <c r="AQ269" i="17"/>
  <c r="AU269" i="17" s="1"/>
  <c r="AP269" i="17"/>
  <c r="AT269" i="17" s="1"/>
  <c r="AQ268" i="17"/>
  <c r="AU268" i="17" s="1"/>
  <c r="AP268" i="17"/>
  <c r="AT268" i="17" s="1"/>
  <c r="AQ267" i="17"/>
  <c r="AU267" i="17" s="1"/>
  <c r="AP267" i="17"/>
  <c r="AT267" i="17" s="1"/>
  <c r="AQ266" i="17"/>
  <c r="AU266" i="17" s="1"/>
  <c r="AP266" i="17"/>
  <c r="AT266" i="17" s="1"/>
  <c r="AQ265" i="17"/>
  <c r="AU265" i="17" s="1"/>
  <c r="AP265" i="17"/>
  <c r="AT265" i="17" s="1"/>
  <c r="AQ264" i="17"/>
  <c r="AU264" i="17" s="1"/>
  <c r="AP264" i="17"/>
  <c r="AT264" i="17" s="1"/>
  <c r="AQ263" i="17"/>
  <c r="AU263" i="17" s="1"/>
  <c r="AP263" i="17"/>
  <c r="AT263" i="17" s="1"/>
  <c r="AQ262" i="17"/>
  <c r="AU262" i="17" s="1"/>
  <c r="AP262" i="17"/>
  <c r="AT262" i="17" s="1"/>
  <c r="AQ261" i="17"/>
  <c r="AU261" i="17" s="1"/>
  <c r="AP261" i="17"/>
  <c r="AT261" i="17" s="1"/>
  <c r="AQ260" i="17"/>
  <c r="AU260" i="17" s="1"/>
  <c r="AP260" i="17"/>
  <c r="AT260" i="17" s="1"/>
  <c r="AQ259" i="17"/>
  <c r="AU259" i="17" s="1"/>
  <c r="AP259" i="17"/>
  <c r="AT259" i="17" s="1"/>
  <c r="AQ258" i="17"/>
  <c r="AU258" i="17" s="1"/>
  <c r="AP258" i="17"/>
  <c r="AT258" i="17" s="1"/>
  <c r="AQ257" i="17"/>
  <c r="AU257" i="17" s="1"/>
  <c r="AP257" i="17"/>
  <c r="AT257" i="17" s="1"/>
  <c r="AQ256" i="17"/>
  <c r="AU256" i="17" s="1"/>
  <c r="AP256" i="17"/>
  <c r="AT256" i="17" s="1"/>
  <c r="AQ255" i="17"/>
  <c r="AU255" i="17" s="1"/>
  <c r="AP255" i="17"/>
  <c r="AT255" i="17" s="1"/>
  <c r="AQ254" i="17"/>
  <c r="AU254" i="17" s="1"/>
  <c r="AP254" i="17"/>
  <c r="AT254" i="17" s="1"/>
  <c r="AQ253" i="17"/>
  <c r="AU253" i="17" s="1"/>
  <c r="AP253" i="17"/>
  <c r="AT253" i="17" s="1"/>
  <c r="AQ252" i="17"/>
  <c r="AU252" i="17" s="1"/>
  <c r="AP252" i="17"/>
  <c r="AT252" i="17" s="1"/>
  <c r="AQ251" i="17"/>
  <c r="AU251" i="17" s="1"/>
  <c r="AP251" i="17"/>
  <c r="AT251" i="17" s="1"/>
  <c r="AQ250" i="17"/>
  <c r="AU250" i="17" s="1"/>
  <c r="AP250" i="17"/>
  <c r="AT250" i="17" s="1"/>
  <c r="AQ249" i="17"/>
  <c r="AU249" i="17" s="1"/>
  <c r="AP249" i="17"/>
  <c r="AT249" i="17" s="1"/>
  <c r="AQ248" i="17"/>
  <c r="AU248" i="17" s="1"/>
  <c r="AP248" i="17"/>
  <c r="AT248" i="17" s="1"/>
  <c r="AQ247" i="17"/>
  <c r="AU247" i="17" s="1"/>
  <c r="AP247" i="17"/>
  <c r="AT247" i="17" s="1"/>
  <c r="AQ246" i="17"/>
  <c r="AU246" i="17" s="1"/>
  <c r="AP246" i="17"/>
  <c r="AT246" i="17" s="1"/>
  <c r="AQ245" i="17"/>
  <c r="AU245" i="17" s="1"/>
  <c r="AP245" i="17"/>
  <c r="AT245" i="17" s="1"/>
  <c r="AQ244" i="17"/>
  <c r="AU244" i="17" s="1"/>
  <c r="AP244" i="17"/>
  <c r="AT244" i="17" s="1"/>
  <c r="AQ243" i="17"/>
  <c r="AU243" i="17" s="1"/>
  <c r="AP243" i="17"/>
  <c r="AT243" i="17" s="1"/>
  <c r="AQ242" i="17"/>
  <c r="AU242" i="17" s="1"/>
  <c r="AP242" i="17"/>
  <c r="AT242" i="17" s="1"/>
  <c r="AQ241" i="17"/>
  <c r="AU241" i="17" s="1"/>
  <c r="AP241" i="17"/>
  <c r="AT241" i="17" s="1"/>
  <c r="AQ240" i="17"/>
  <c r="AU240" i="17" s="1"/>
  <c r="AP240" i="17"/>
  <c r="AT240" i="17" s="1"/>
  <c r="AQ239" i="17"/>
  <c r="AU239" i="17" s="1"/>
  <c r="AP239" i="17"/>
  <c r="AT239" i="17" s="1"/>
  <c r="AQ238" i="17"/>
  <c r="AU238" i="17" s="1"/>
  <c r="AP238" i="17"/>
  <c r="AT238" i="17" s="1"/>
  <c r="AQ237" i="17"/>
  <c r="AU237" i="17" s="1"/>
  <c r="AP237" i="17"/>
  <c r="AT237" i="17" s="1"/>
  <c r="AQ236" i="17"/>
  <c r="AU236" i="17" s="1"/>
  <c r="AP236" i="17"/>
  <c r="AT236" i="17" s="1"/>
  <c r="AQ235" i="17"/>
  <c r="AU235" i="17" s="1"/>
  <c r="AP235" i="17"/>
  <c r="AT235" i="17" s="1"/>
  <c r="AQ234" i="17"/>
  <c r="AU234" i="17" s="1"/>
  <c r="AP234" i="17"/>
  <c r="AT234" i="17" s="1"/>
  <c r="AQ233" i="17"/>
  <c r="AU233" i="17" s="1"/>
  <c r="AP233" i="17"/>
  <c r="AT233" i="17" s="1"/>
  <c r="AQ232" i="17"/>
  <c r="AU232" i="17" s="1"/>
  <c r="AP232" i="17"/>
  <c r="AT232" i="17" s="1"/>
  <c r="AQ231" i="17"/>
  <c r="AU231" i="17" s="1"/>
  <c r="AP231" i="17"/>
  <c r="AT231" i="17" s="1"/>
  <c r="AQ230" i="17"/>
  <c r="AU230" i="17" s="1"/>
  <c r="AP230" i="17"/>
  <c r="AT230" i="17" s="1"/>
  <c r="AQ229" i="17"/>
  <c r="AU229" i="17" s="1"/>
  <c r="AP229" i="17"/>
  <c r="AT229" i="17" s="1"/>
  <c r="AQ228" i="17"/>
  <c r="AU228" i="17" s="1"/>
  <c r="AP228" i="17"/>
  <c r="AT228" i="17" s="1"/>
  <c r="AQ227" i="17"/>
  <c r="AU227" i="17" s="1"/>
  <c r="AP227" i="17"/>
  <c r="AT227" i="17" s="1"/>
  <c r="AQ226" i="17"/>
  <c r="AU226" i="17" s="1"/>
  <c r="AP226" i="17"/>
  <c r="AT226" i="17" s="1"/>
  <c r="AQ225" i="17"/>
  <c r="AU225" i="17" s="1"/>
  <c r="AP225" i="17"/>
  <c r="AT225" i="17" s="1"/>
  <c r="AQ224" i="17"/>
  <c r="AU224" i="17" s="1"/>
  <c r="AP224" i="17"/>
  <c r="AT224" i="17" s="1"/>
  <c r="AQ223" i="17"/>
  <c r="AU223" i="17" s="1"/>
  <c r="AP223" i="17"/>
  <c r="AT223" i="17" s="1"/>
  <c r="AQ222" i="17"/>
  <c r="AU222" i="17" s="1"/>
  <c r="AP222" i="17"/>
  <c r="AT222" i="17" s="1"/>
  <c r="AQ221" i="17"/>
  <c r="AU221" i="17" s="1"/>
  <c r="AP221" i="17"/>
  <c r="AT221" i="17" s="1"/>
  <c r="AQ220" i="17"/>
  <c r="AU220" i="17" s="1"/>
  <c r="AP220" i="17"/>
  <c r="AT220" i="17" s="1"/>
  <c r="AQ219" i="17"/>
  <c r="AU219" i="17" s="1"/>
  <c r="AP219" i="17"/>
  <c r="AT219" i="17" s="1"/>
  <c r="AQ218" i="17"/>
  <c r="AU218" i="17" s="1"/>
  <c r="AP218" i="17"/>
  <c r="AT218" i="17" s="1"/>
  <c r="AQ217" i="17"/>
  <c r="AU217" i="17" s="1"/>
  <c r="AP217" i="17"/>
  <c r="AT217" i="17" s="1"/>
  <c r="AQ216" i="17"/>
  <c r="AU216" i="17" s="1"/>
  <c r="AP216" i="17"/>
  <c r="AT216" i="17" s="1"/>
  <c r="AQ215" i="17"/>
  <c r="AU215" i="17" s="1"/>
  <c r="AP215" i="17"/>
  <c r="AT215" i="17" s="1"/>
  <c r="AQ214" i="17"/>
  <c r="AU214" i="17" s="1"/>
  <c r="AP214" i="17"/>
  <c r="AT214" i="17" s="1"/>
  <c r="AQ213" i="17"/>
  <c r="AU213" i="17" s="1"/>
  <c r="AP213" i="17"/>
  <c r="AT213" i="17" s="1"/>
  <c r="AQ212" i="17"/>
  <c r="AU212" i="17" s="1"/>
  <c r="AP212" i="17"/>
  <c r="AT212" i="17" s="1"/>
  <c r="AQ211" i="17"/>
  <c r="AU211" i="17" s="1"/>
  <c r="AP211" i="17"/>
  <c r="AT211" i="17" s="1"/>
  <c r="AQ210" i="17"/>
  <c r="AU210" i="17" s="1"/>
  <c r="AP210" i="17"/>
  <c r="AT210" i="17" s="1"/>
  <c r="AQ209" i="17"/>
  <c r="AU209" i="17" s="1"/>
  <c r="AP209" i="17"/>
  <c r="AT209" i="17" s="1"/>
  <c r="AQ208" i="17"/>
  <c r="AU208" i="17" s="1"/>
  <c r="AP208" i="17"/>
  <c r="AT208" i="17" s="1"/>
  <c r="AQ207" i="17"/>
  <c r="AU207" i="17" s="1"/>
  <c r="AP207" i="17"/>
  <c r="AT207" i="17" s="1"/>
  <c r="AQ206" i="17"/>
  <c r="AU206" i="17" s="1"/>
  <c r="AP206" i="17"/>
  <c r="AT206" i="17" s="1"/>
  <c r="AQ205" i="17"/>
  <c r="AU205" i="17" s="1"/>
  <c r="AP205" i="17"/>
  <c r="AT205" i="17" s="1"/>
  <c r="AQ204" i="17"/>
  <c r="AU204" i="17" s="1"/>
  <c r="AP204" i="17"/>
  <c r="AT204" i="17" s="1"/>
  <c r="AQ203" i="17"/>
  <c r="AU203" i="17" s="1"/>
  <c r="AP203" i="17"/>
  <c r="AT203" i="17" s="1"/>
  <c r="AQ202" i="17"/>
  <c r="AU202" i="17" s="1"/>
  <c r="AP202" i="17"/>
  <c r="AT202" i="17" s="1"/>
  <c r="AQ201" i="17"/>
  <c r="AU201" i="17" s="1"/>
  <c r="AP201" i="17"/>
  <c r="AT201" i="17" s="1"/>
  <c r="AQ200" i="17"/>
  <c r="AU200" i="17" s="1"/>
  <c r="AP200" i="17"/>
  <c r="AT200" i="17" s="1"/>
  <c r="AQ199" i="17"/>
  <c r="AU199" i="17" s="1"/>
  <c r="AP199" i="17"/>
  <c r="AT199" i="17" s="1"/>
  <c r="AQ198" i="17"/>
  <c r="AU198" i="17" s="1"/>
  <c r="AP198" i="17"/>
  <c r="AT198" i="17" s="1"/>
  <c r="AQ197" i="17"/>
  <c r="AU197" i="17" s="1"/>
  <c r="AP197" i="17"/>
  <c r="AT197" i="17" s="1"/>
  <c r="AQ196" i="17"/>
  <c r="AU196" i="17" s="1"/>
  <c r="AP196" i="17"/>
  <c r="AT196" i="17" s="1"/>
  <c r="AQ195" i="17"/>
  <c r="AU195" i="17" s="1"/>
  <c r="AP195" i="17"/>
  <c r="AT195" i="17" s="1"/>
  <c r="AQ194" i="17"/>
  <c r="AU194" i="17" s="1"/>
  <c r="AP194" i="17"/>
  <c r="AT194" i="17" s="1"/>
  <c r="AQ193" i="17"/>
  <c r="AU193" i="17" s="1"/>
  <c r="AP193" i="17"/>
  <c r="AT193" i="17" s="1"/>
  <c r="AQ192" i="17"/>
  <c r="AU192" i="17" s="1"/>
  <c r="AP192" i="17"/>
  <c r="AT192" i="17" s="1"/>
  <c r="AQ191" i="17"/>
  <c r="AU191" i="17" s="1"/>
  <c r="AP191" i="17"/>
  <c r="AT191" i="17" s="1"/>
  <c r="AQ190" i="17"/>
  <c r="AU190" i="17" s="1"/>
  <c r="AP190" i="17"/>
  <c r="AT190" i="17" s="1"/>
  <c r="AQ189" i="17"/>
  <c r="AU189" i="17" s="1"/>
  <c r="AP189" i="17"/>
  <c r="AT189" i="17" s="1"/>
  <c r="AQ188" i="17"/>
  <c r="AU188" i="17" s="1"/>
  <c r="AP188" i="17"/>
  <c r="AT188" i="17" s="1"/>
  <c r="AQ187" i="17"/>
  <c r="AU187" i="17" s="1"/>
  <c r="AP187" i="17"/>
  <c r="AT187" i="17" s="1"/>
  <c r="AQ186" i="17"/>
  <c r="AU186" i="17" s="1"/>
  <c r="AP186" i="17"/>
  <c r="AT186" i="17" s="1"/>
  <c r="AQ185" i="17"/>
  <c r="AU185" i="17" s="1"/>
  <c r="AP185" i="17"/>
  <c r="AT185" i="17" s="1"/>
  <c r="AQ184" i="17"/>
  <c r="AU184" i="17" s="1"/>
  <c r="AP184" i="17"/>
  <c r="AT184" i="17" s="1"/>
  <c r="AQ183" i="17"/>
  <c r="AU183" i="17" s="1"/>
  <c r="AP183" i="17"/>
  <c r="AT183" i="17" s="1"/>
  <c r="AQ182" i="17"/>
  <c r="AU182" i="17" s="1"/>
  <c r="AP182" i="17"/>
  <c r="AT182" i="17" s="1"/>
  <c r="AQ181" i="17"/>
  <c r="AU181" i="17" s="1"/>
  <c r="AP181" i="17"/>
  <c r="AT181" i="17" s="1"/>
  <c r="AQ180" i="17"/>
  <c r="AU180" i="17" s="1"/>
  <c r="AP180" i="17"/>
  <c r="AT180" i="17" s="1"/>
  <c r="AQ179" i="17"/>
  <c r="AU179" i="17" s="1"/>
  <c r="AP179" i="17"/>
  <c r="AT179" i="17" s="1"/>
  <c r="AQ178" i="17"/>
  <c r="AU178" i="17" s="1"/>
  <c r="AP178" i="17"/>
  <c r="AT178" i="17" s="1"/>
  <c r="AQ177" i="17"/>
  <c r="AU177" i="17" s="1"/>
  <c r="AP177" i="17"/>
  <c r="AT177" i="17" s="1"/>
  <c r="AQ176" i="17"/>
  <c r="AU176" i="17" s="1"/>
  <c r="AP176" i="17"/>
  <c r="AT176" i="17" s="1"/>
  <c r="AQ175" i="17"/>
  <c r="AU175" i="17" s="1"/>
  <c r="AP175" i="17"/>
  <c r="AT175" i="17" s="1"/>
  <c r="AQ174" i="17"/>
  <c r="AU174" i="17" s="1"/>
  <c r="AP174" i="17"/>
  <c r="AT174" i="17" s="1"/>
  <c r="AQ173" i="17"/>
  <c r="AU173" i="17" s="1"/>
  <c r="AP173" i="17"/>
  <c r="AT173" i="17" s="1"/>
  <c r="AQ172" i="17"/>
  <c r="AU172" i="17" s="1"/>
  <c r="AP172" i="17"/>
  <c r="AT172" i="17" s="1"/>
  <c r="AQ171" i="17"/>
  <c r="AU171" i="17" s="1"/>
  <c r="AP171" i="17"/>
  <c r="AT171" i="17" s="1"/>
  <c r="AQ170" i="17"/>
  <c r="AU170" i="17" s="1"/>
  <c r="AP170" i="17"/>
  <c r="AT170" i="17" s="1"/>
  <c r="AQ169" i="17"/>
  <c r="AU169" i="17" s="1"/>
  <c r="AP169" i="17"/>
  <c r="AT169" i="17" s="1"/>
  <c r="AQ168" i="17"/>
  <c r="AU168" i="17" s="1"/>
  <c r="AP168" i="17"/>
  <c r="AT168" i="17" s="1"/>
  <c r="AQ167" i="17"/>
  <c r="AU167" i="17" s="1"/>
  <c r="AP167" i="17"/>
  <c r="AT167" i="17" s="1"/>
  <c r="AQ166" i="17"/>
  <c r="AU166" i="17" s="1"/>
  <c r="AP166" i="17"/>
  <c r="AT166" i="17" s="1"/>
  <c r="AQ165" i="17"/>
  <c r="AU165" i="17" s="1"/>
  <c r="AP165" i="17"/>
  <c r="AT165" i="17" s="1"/>
  <c r="AQ164" i="17"/>
  <c r="AU164" i="17" s="1"/>
  <c r="AP164" i="17"/>
  <c r="AT164" i="17" s="1"/>
  <c r="AQ163" i="17"/>
  <c r="AU163" i="17" s="1"/>
  <c r="AP163" i="17"/>
  <c r="AT163" i="17" s="1"/>
  <c r="AQ162" i="17"/>
  <c r="AU162" i="17" s="1"/>
  <c r="AP162" i="17"/>
  <c r="AT162" i="17" s="1"/>
  <c r="AQ161" i="17"/>
  <c r="AU161" i="17" s="1"/>
  <c r="AP161" i="17"/>
  <c r="AT161" i="17" s="1"/>
  <c r="AQ160" i="17"/>
  <c r="AU160" i="17" s="1"/>
  <c r="AP160" i="17"/>
  <c r="AT160" i="17" s="1"/>
  <c r="AQ159" i="17"/>
  <c r="AU159" i="17" s="1"/>
  <c r="AP159" i="17"/>
  <c r="AT159" i="17" s="1"/>
  <c r="AQ158" i="17"/>
  <c r="AU158" i="17" s="1"/>
  <c r="AP158" i="17"/>
  <c r="AT158" i="17" s="1"/>
  <c r="AQ157" i="17"/>
  <c r="AU157" i="17" s="1"/>
  <c r="AP157" i="17"/>
  <c r="AT157" i="17" s="1"/>
  <c r="AQ156" i="17"/>
  <c r="AU156" i="17" s="1"/>
  <c r="AP156" i="17"/>
  <c r="AT156" i="17" s="1"/>
  <c r="AQ155" i="17"/>
  <c r="AU155" i="17" s="1"/>
  <c r="AP155" i="17"/>
  <c r="AT155" i="17" s="1"/>
  <c r="AQ154" i="17"/>
  <c r="AU154" i="17" s="1"/>
  <c r="AP154" i="17"/>
  <c r="AT154" i="17" s="1"/>
  <c r="AQ153" i="17"/>
  <c r="AU153" i="17" s="1"/>
  <c r="AP153" i="17"/>
  <c r="AT153" i="17" s="1"/>
  <c r="AQ152" i="17"/>
  <c r="AU152" i="17" s="1"/>
  <c r="AP152" i="17"/>
  <c r="AT152" i="17" s="1"/>
  <c r="AQ151" i="17"/>
  <c r="AU151" i="17" s="1"/>
  <c r="AP151" i="17"/>
  <c r="AT151" i="17" s="1"/>
  <c r="AQ150" i="17"/>
  <c r="AU150" i="17" s="1"/>
  <c r="AP150" i="17"/>
  <c r="AT150" i="17" s="1"/>
  <c r="AQ149" i="17"/>
  <c r="AU149" i="17" s="1"/>
  <c r="AP149" i="17"/>
  <c r="AT149" i="17" s="1"/>
  <c r="AQ148" i="17"/>
  <c r="AU148" i="17" s="1"/>
  <c r="AP148" i="17"/>
  <c r="AT148" i="17" s="1"/>
  <c r="AQ147" i="17"/>
  <c r="AU147" i="17" s="1"/>
  <c r="AP147" i="17"/>
  <c r="AT147" i="17" s="1"/>
  <c r="AQ146" i="17"/>
  <c r="AU146" i="17" s="1"/>
  <c r="AP146" i="17"/>
  <c r="AT146" i="17" s="1"/>
  <c r="AQ145" i="17"/>
  <c r="AU145" i="17" s="1"/>
  <c r="AP145" i="17"/>
  <c r="AT145" i="17" s="1"/>
  <c r="AQ144" i="17"/>
  <c r="AU144" i="17" s="1"/>
  <c r="AP144" i="17"/>
  <c r="AT144" i="17" s="1"/>
  <c r="AQ143" i="17"/>
  <c r="AU143" i="17" s="1"/>
  <c r="AP143" i="17"/>
  <c r="AT143" i="17" s="1"/>
  <c r="AQ142" i="17"/>
  <c r="AU142" i="17" s="1"/>
  <c r="AP142" i="17"/>
  <c r="AT142" i="17" s="1"/>
  <c r="AQ141" i="17"/>
  <c r="AU141" i="17" s="1"/>
  <c r="AP141" i="17"/>
  <c r="AT141" i="17" s="1"/>
  <c r="AQ140" i="17"/>
  <c r="AU140" i="17" s="1"/>
  <c r="AP140" i="17"/>
  <c r="AT140" i="17" s="1"/>
  <c r="AQ139" i="17"/>
  <c r="AU139" i="17" s="1"/>
  <c r="AP139" i="17"/>
  <c r="AT139" i="17" s="1"/>
  <c r="AQ138" i="17"/>
  <c r="AU138" i="17" s="1"/>
  <c r="AP138" i="17"/>
  <c r="AT138" i="17" s="1"/>
  <c r="AQ137" i="17"/>
  <c r="AU137" i="17" s="1"/>
  <c r="AP137" i="17"/>
  <c r="AT137" i="17" s="1"/>
  <c r="AQ136" i="17"/>
  <c r="AU136" i="17" s="1"/>
  <c r="AP136" i="17"/>
  <c r="AT136" i="17" s="1"/>
  <c r="AQ135" i="17"/>
  <c r="AU135" i="17" s="1"/>
  <c r="AP135" i="17"/>
  <c r="AT135" i="17" s="1"/>
  <c r="AQ134" i="17"/>
  <c r="AU134" i="17" s="1"/>
  <c r="AP134" i="17"/>
  <c r="AT134" i="17" s="1"/>
  <c r="AQ133" i="17"/>
  <c r="AU133" i="17" s="1"/>
  <c r="AP133" i="17"/>
  <c r="AT133" i="17" s="1"/>
  <c r="AQ132" i="17"/>
  <c r="AU132" i="17" s="1"/>
  <c r="AP132" i="17"/>
  <c r="AT132" i="17" s="1"/>
  <c r="AQ131" i="17"/>
  <c r="AU131" i="17" s="1"/>
  <c r="AP131" i="17"/>
  <c r="AT131" i="17" s="1"/>
  <c r="AQ130" i="17"/>
  <c r="AU130" i="17" s="1"/>
  <c r="AP130" i="17"/>
  <c r="AT130" i="17" s="1"/>
  <c r="AQ129" i="17"/>
  <c r="AU129" i="17" s="1"/>
  <c r="AP129" i="17"/>
  <c r="AT129" i="17" s="1"/>
  <c r="AQ128" i="17"/>
  <c r="AU128" i="17" s="1"/>
  <c r="AP128" i="17"/>
  <c r="AT128" i="17" s="1"/>
  <c r="AQ127" i="17"/>
  <c r="AU127" i="17" s="1"/>
  <c r="AP127" i="17"/>
  <c r="AT127" i="17" s="1"/>
  <c r="AQ126" i="17"/>
  <c r="AU126" i="17" s="1"/>
  <c r="AP126" i="17"/>
  <c r="AT126" i="17" s="1"/>
  <c r="AQ125" i="17"/>
  <c r="AU125" i="17" s="1"/>
  <c r="AP125" i="17"/>
  <c r="AT125" i="17" s="1"/>
  <c r="AQ124" i="17"/>
  <c r="AU124" i="17" s="1"/>
  <c r="AP124" i="17"/>
  <c r="AT124" i="17" s="1"/>
  <c r="AQ123" i="17"/>
  <c r="AU123" i="17" s="1"/>
  <c r="AP123" i="17"/>
  <c r="AT123" i="17" s="1"/>
  <c r="AQ122" i="17"/>
  <c r="AU122" i="17" s="1"/>
  <c r="AP122" i="17"/>
  <c r="AT122" i="17" s="1"/>
  <c r="AQ121" i="17"/>
  <c r="AU121" i="17" s="1"/>
  <c r="AP121" i="17"/>
  <c r="AT121" i="17" s="1"/>
  <c r="AQ120" i="17"/>
  <c r="AU120" i="17" s="1"/>
  <c r="AP120" i="17"/>
  <c r="AT120" i="17" s="1"/>
  <c r="AQ119" i="17"/>
  <c r="AU119" i="17" s="1"/>
  <c r="AP119" i="17"/>
  <c r="AT119" i="17" s="1"/>
  <c r="AQ118" i="17"/>
  <c r="AU118" i="17" s="1"/>
  <c r="AP118" i="17"/>
  <c r="AT118" i="17" s="1"/>
  <c r="AQ117" i="17"/>
  <c r="AU117" i="17" s="1"/>
  <c r="AP117" i="17"/>
  <c r="AT117" i="17" s="1"/>
  <c r="AQ116" i="17"/>
  <c r="AU116" i="17" s="1"/>
  <c r="AP116" i="17"/>
  <c r="AT116" i="17" s="1"/>
  <c r="AQ115" i="17"/>
  <c r="AU115" i="17" s="1"/>
  <c r="AP115" i="17"/>
  <c r="AT115" i="17" s="1"/>
  <c r="AQ114" i="17"/>
  <c r="AU114" i="17" s="1"/>
  <c r="AP114" i="17"/>
  <c r="AT114" i="17" s="1"/>
  <c r="AQ113" i="17"/>
  <c r="AU113" i="17" s="1"/>
  <c r="AP113" i="17"/>
  <c r="AT113" i="17" s="1"/>
  <c r="AQ112" i="17"/>
  <c r="AU112" i="17" s="1"/>
  <c r="AP112" i="17"/>
  <c r="AT112" i="17" s="1"/>
  <c r="AQ111" i="17"/>
  <c r="AU111" i="17" s="1"/>
  <c r="AP111" i="17"/>
  <c r="AT111" i="17" s="1"/>
  <c r="AQ110" i="17"/>
  <c r="AU110" i="17" s="1"/>
  <c r="AP110" i="17"/>
  <c r="AT110" i="17" s="1"/>
  <c r="AQ109" i="17"/>
  <c r="AU109" i="17" s="1"/>
  <c r="AP109" i="17"/>
  <c r="AT109" i="17" s="1"/>
  <c r="AQ108" i="17"/>
  <c r="AU108" i="17" s="1"/>
  <c r="AP108" i="17"/>
  <c r="AT108" i="17" s="1"/>
  <c r="AQ107" i="17"/>
  <c r="AU107" i="17" s="1"/>
  <c r="AP107" i="17"/>
  <c r="AT107" i="17" s="1"/>
  <c r="AQ106" i="17"/>
  <c r="AU106" i="17" s="1"/>
  <c r="AP106" i="17"/>
  <c r="AT106" i="17" s="1"/>
  <c r="AQ105" i="17"/>
  <c r="AU105" i="17" s="1"/>
  <c r="AP105" i="17"/>
  <c r="AT105" i="17" s="1"/>
  <c r="AQ104" i="17"/>
  <c r="AU104" i="17" s="1"/>
  <c r="AP104" i="17"/>
  <c r="AT104" i="17" s="1"/>
  <c r="AQ103" i="17"/>
  <c r="AU103" i="17" s="1"/>
  <c r="AP103" i="17"/>
  <c r="AT103" i="17" s="1"/>
  <c r="AQ102" i="17"/>
  <c r="AU102" i="17" s="1"/>
  <c r="AP102" i="17"/>
  <c r="AT102" i="17" s="1"/>
  <c r="AQ101" i="17"/>
  <c r="AU101" i="17" s="1"/>
  <c r="AP101" i="17"/>
  <c r="AT101" i="17" s="1"/>
  <c r="AQ100" i="17"/>
  <c r="AU100" i="17" s="1"/>
  <c r="AP100" i="17"/>
  <c r="AT100" i="17" s="1"/>
  <c r="AQ99" i="17"/>
  <c r="AU99" i="17" s="1"/>
  <c r="AP99" i="17"/>
  <c r="AT99" i="17" s="1"/>
  <c r="AQ98" i="17"/>
  <c r="AU98" i="17" s="1"/>
  <c r="AP98" i="17"/>
  <c r="AT98" i="17" s="1"/>
  <c r="AQ97" i="17"/>
  <c r="AU97" i="17" s="1"/>
  <c r="AP97" i="17"/>
  <c r="AT97" i="17" s="1"/>
  <c r="AQ96" i="17"/>
  <c r="AU96" i="17" s="1"/>
  <c r="AP96" i="17"/>
  <c r="AT96" i="17" s="1"/>
  <c r="AQ95" i="17"/>
  <c r="AU95" i="17" s="1"/>
  <c r="AP95" i="17"/>
  <c r="AT95" i="17" s="1"/>
  <c r="AQ94" i="17"/>
  <c r="AU94" i="17" s="1"/>
  <c r="AP94" i="17"/>
  <c r="AT94" i="17" s="1"/>
  <c r="AQ93" i="17"/>
  <c r="AU93" i="17" s="1"/>
  <c r="AP93" i="17"/>
  <c r="AT93" i="17" s="1"/>
  <c r="AQ92" i="17"/>
  <c r="AU92" i="17" s="1"/>
  <c r="AP92" i="17"/>
  <c r="AT92" i="17" s="1"/>
  <c r="AQ91" i="17"/>
  <c r="AU91" i="17" s="1"/>
  <c r="AP91" i="17"/>
  <c r="AT91" i="17" s="1"/>
  <c r="AQ90" i="17"/>
  <c r="AU90" i="17" s="1"/>
  <c r="AP90" i="17"/>
  <c r="AT90" i="17" s="1"/>
  <c r="AQ89" i="17"/>
  <c r="AU89" i="17" s="1"/>
  <c r="AP89" i="17"/>
  <c r="AT89" i="17" s="1"/>
  <c r="AQ88" i="17"/>
  <c r="AU88" i="17" s="1"/>
  <c r="AP88" i="17"/>
  <c r="AT88" i="17" s="1"/>
  <c r="AQ87" i="17"/>
  <c r="AU87" i="17" s="1"/>
  <c r="AP87" i="17"/>
  <c r="AT87" i="17" s="1"/>
  <c r="AQ86" i="17"/>
  <c r="AU86" i="17" s="1"/>
  <c r="AP86" i="17"/>
  <c r="AT86" i="17" s="1"/>
  <c r="AQ85" i="17"/>
  <c r="AU85" i="17" s="1"/>
  <c r="AP85" i="17"/>
  <c r="AT85" i="17" s="1"/>
  <c r="AQ84" i="17"/>
  <c r="AU84" i="17" s="1"/>
  <c r="AP84" i="17"/>
  <c r="AT84" i="17" s="1"/>
  <c r="AQ83" i="17"/>
  <c r="AU83" i="17" s="1"/>
  <c r="AP83" i="17"/>
  <c r="AT83" i="17" s="1"/>
  <c r="AQ82" i="17"/>
  <c r="AU82" i="17" s="1"/>
  <c r="AP82" i="17"/>
  <c r="AT82" i="17" s="1"/>
  <c r="AQ81" i="17"/>
  <c r="AU81" i="17" s="1"/>
  <c r="AP81" i="17"/>
  <c r="AT81" i="17" s="1"/>
  <c r="AQ80" i="17"/>
  <c r="AU80" i="17" s="1"/>
  <c r="AP80" i="17"/>
  <c r="AT80" i="17" s="1"/>
  <c r="AQ79" i="17"/>
  <c r="AU79" i="17" s="1"/>
  <c r="AP79" i="17"/>
  <c r="AT79" i="17" s="1"/>
  <c r="AQ78" i="17"/>
  <c r="AU78" i="17" s="1"/>
  <c r="AP78" i="17"/>
  <c r="AT78" i="17" s="1"/>
  <c r="AQ77" i="17"/>
  <c r="AU77" i="17" s="1"/>
  <c r="AP77" i="17"/>
  <c r="AT77" i="17" s="1"/>
  <c r="AQ76" i="17"/>
  <c r="AU76" i="17" s="1"/>
  <c r="AP76" i="17"/>
  <c r="AT76" i="17" s="1"/>
  <c r="AQ75" i="17"/>
  <c r="AU75" i="17" s="1"/>
  <c r="AP75" i="17"/>
  <c r="AT75" i="17" s="1"/>
  <c r="AQ74" i="17"/>
  <c r="AU74" i="17" s="1"/>
  <c r="AP74" i="17"/>
  <c r="AT74" i="17" s="1"/>
  <c r="AQ73" i="17"/>
  <c r="AU73" i="17" s="1"/>
  <c r="AP73" i="17"/>
  <c r="AT73" i="17" s="1"/>
  <c r="AQ72" i="17"/>
  <c r="AU72" i="17" s="1"/>
  <c r="AP72" i="17"/>
  <c r="AT72" i="17" s="1"/>
  <c r="AQ71" i="17"/>
  <c r="AU71" i="17" s="1"/>
  <c r="AP71" i="17"/>
  <c r="AT71" i="17" s="1"/>
  <c r="AQ70" i="17"/>
  <c r="AU70" i="17" s="1"/>
  <c r="AP70" i="17"/>
  <c r="AT70" i="17" s="1"/>
  <c r="AQ69" i="17"/>
  <c r="AU69" i="17" s="1"/>
  <c r="AP69" i="17"/>
  <c r="AT69" i="17" s="1"/>
  <c r="AQ68" i="17"/>
  <c r="AU68" i="17" s="1"/>
  <c r="AP68" i="17"/>
  <c r="AT68" i="17" s="1"/>
  <c r="AQ67" i="17"/>
  <c r="AU67" i="17" s="1"/>
  <c r="AP67" i="17"/>
  <c r="AT67" i="17" s="1"/>
  <c r="AQ66" i="17"/>
  <c r="AU66" i="17" s="1"/>
  <c r="AP66" i="17"/>
  <c r="AT66" i="17" s="1"/>
  <c r="AQ65" i="17"/>
  <c r="AU65" i="17" s="1"/>
  <c r="AP65" i="17"/>
  <c r="AT65" i="17" s="1"/>
  <c r="AQ64" i="17"/>
  <c r="AU64" i="17" s="1"/>
  <c r="AP64" i="17"/>
  <c r="AT64" i="17" s="1"/>
  <c r="AQ63" i="17"/>
  <c r="AU63" i="17" s="1"/>
  <c r="AP63" i="17"/>
  <c r="AT63" i="17" s="1"/>
  <c r="AQ62" i="17"/>
  <c r="AU62" i="17" s="1"/>
  <c r="AP62" i="17"/>
  <c r="AT62" i="17" s="1"/>
  <c r="AQ61" i="17"/>
  <c r="AU61" i="17" s="1"/>
  <c r="AP61" i="17"/>
  <c r="AT61" i="17" s="1"/>
  <c r="AQ60" i="17"/>
  <c r="AU60" i="17" s="1"/>
  <c r="AP60" i="17"/>
  <c r="AT60" i="17" s="1"/>
  <c r="AQ59" i="17"/>
  <c r="AU59" i="17" s="1"/>
  <c r="AP59" i="17"/>
  <c r="AT59" i="17" s="1"/>
  <c r="AQ58" i="17"/>
  <c r="AU58" i="17" s="1"/>
  <c r="AP58" i="17"/>
  <c r="AT58" i="17" s="1"/>
  <c r="AQ57" i="17"/>
  <c r="AU57" i="17" s="1"/>
  <c r="AP57" i="17"/>
  <c r="AT57" i="17" s="1"/>
  <c r="AQ56" i="17"/>
  <c r="AU56" i="17" s="1"/>
  <c r="AP56" i="17"/>
  <c r="AT56" i="17" s="1"/>
  <c r="AQ55" i="17"/>
  <c r="AU55" i="17" s="1"/>
  <c r="AP55" i="17"/>
  <c r="AT55" i="17" s="1"/>
  <c r="AQ54" i="17"/>
  <c r="AU54" i="17" s="1"/>
  <c r="AP54" i="17"/>
  <c r="AT54" i="17" s="1"/>
  <c r="AQ53" i="17"/>
  <c r="AU53" i="17" s="1"/>
  <c r="AP53" i="17"/>
  <c r="AT53" i="17" s="1"/>
  <c r="AQ52" i="17"/>
  <c r="AU52" i="17" s="1"/>
  <c r="AP52" i="17"/>
  <c r="AT52" i="17" s="1"/>
  <c r="AQ51" i="17"/>
  <c r="AU51" i="17" s="1"/>
  <c r="AP51" i="17"/>
  <c r="AT51" i="17" s="1"/>
  <c r="AQ50" i="17"/>
  <c r="AU50" i="17" s="1"/>
  <c r="AP50" i="17"/>
  <c r="AT50" i="17" s="1"/>
  <c r="AQ49" i="17"/>
  <c r="AU49" i="17" s="1"/>
  <c r="AP49" i="17"/>
  <c r="AT49" i="17" s="1"/>
  <c r="AQ48" i="17"/>
  <c r="AU48" i="17" s="1"/>
  <c r="AP48" i="17"/>
  <c r="AT48" i="17" s="1"/>
  <c r="AQ47" i="17"/>
  <c r="AU47" i="17" s="1"/>
  <c r="AP47" i="17"/>
  <c r="AT47" i="17" s="1"/>
  <c r="AQ46" i="17"/>
  <c r="AU46" i="17" s="1"/>
  <c r="AP46" i="17"/>
  <c r="AT46" i="17" s="1"/>
  <c r="AQ45" i="17"/>
  <c r="AU45" i="17" s="1"/>
  <c r="AP45" i="17"/>
  <c r="AT45" i="17" s="1"/>
  <c r="AQ44" i="17"/>
  <c r="AU44" i="17" s="1"/>
  <c r="AP44" i="17"/>
  <c r="AT44" i="17" s="1"/>
  <c r="AQ43" i="17"/>
  <c r="AU43" i="17" s="1"/>
  <c r="AP43" i="17"/>
  <c r="AT43" i="17" s="1"/>
  <c r="AQ42" i="17"/>
  <c r="AU42" i="17" s="1"/>
  <c r="AP42" i="17"/>
  <c r="AT42" i="17" s="1"/>
  <c r="AQ41" i="17"/>
  <c r="AU41" i="17" s="1"/>
  <c r="AP41" i="17"/>
  <c r="AT41" i="17" s="1"/>
  <c r="AQ40" i="17"/>
  <c r="AU40" i="17" s="1"/>
  <c r="AP40" i="17"/>
  <c r="AT40" i="17" s="1"/>
  <c r="AQ39" i="17"/>
  <c r="AU39" i="17" s="1"/>
  <c r="AP39" i="17"/>
  <c r="AT39" i="17" s="1"/>
  <c r="AQ38" i="17"/>
  <c r="AU38" i="17" s="1"/>
  <c r="AP38" i="17"/>
  <c r="AT38" i="17" s="1"/>
  <c r="AQ37" i="17"/>
  <c r="AU37" i="17" s="1"/>
  <c r="AP37" i="17"/>
  <c r="AT37" i="17" s="1"/>
  <c r="AQ36" i="17"/>
  <c r="AU36" i="17" s="1"/>
  <c r="AP36" i="17"/>
  <c r="AT36" i="17" s="1"/>
  <c r="AQ35" i="17"/>
  <c r="AU35" i="17" s="1"/>
  <c r="AP35" i="17"/>
  <c r="AT35" i="17" s="1"/>
  <c r="AQ34" i="17"/>
  <c r="AU34" i="17" s="1"/>
  <c r="AP34" i="17"/>
  <c r="AT34" i="17" s="1"/>
  <c r="AQ33" i="17"/>
  <c r="AU33" i="17" s="1"/>
  <c r="AP33" i="17"/>
  <c r="AT33" i="17" s="1"/>
  <c r="AQ32" i="17"/>
  <c r="AU32" i="17" s="1"/>
  <c r="AP32" i="17"/>
  <c r="AT32" i="17" s="1"/>
  <c r="AQ31" i="17"/>
  <c r="AU31" i="17" s="1"/>
  <c r="AP31" i="17"/>
  <c r="AT31" i="17" s="1"/>
  <c r="AQ30" i="17"/>
  <c r="AU30" i="17" s="1"/>
  <c r="AP30" i="17"/>
  <c r="AT30" i="17" s="1"/>
  <c r="AQ29" i="17"/>
  <c r="AU29" i="17" s="1"/>
  <c r="AP29" i="17"/>
  <c r="AT29" i="17" s="1"/>
  <c r="AQ28" i="17"/>
  <c r="AU28" i="17" s="1"/>
  <c r="AP28" i="17"/>
  <c r="AT28" i="17" s="1"/>
  <c r="AQ27" i="17"/>
  <c r="AU27" i="17" s="1"/>
  <c r="AP27" i="17"/>
  <c r="AT27" i="17" s="1"/>
  <c r="AQ26" i="17"/>
  <c r="AU26" i="17" s="1"/>
  <c r="AP26" i="17"/>
  <c r="AT26" i="17" s="1"/>
  <c r="AQ25" i="17"/>
  <c r="AU25" i="17" s="1"/>
  <c r="AP25" i="17"/>
  <c r="AT25" i="17" s="1"/>
  <c r="AQ24" i="17"/>
  <c r="AU24" i="17" s="1"/>
  <c r="AP24" i="17"/>
  <c r="AT24" i="17" s="1"/>
  <c r="AQ23" i="17"/>
  <c r="AU23" i="17" s="1"/>
  <c r="AP23" i="17"/>
  <c r="AT23" i="17" s="1"/>
  <c r="AQ22" i="17"/>
  <c r="AU22" i="17" s="1"/>
  <c r="AP22" i="17"/>
  <c r="AT22" i="17" s="1"/>
  <c r="AQ21" i="17"/>
  <c r="AU21" i="17" s="1"/>
  <c r="AP21" i="17"/>
  <c r="AT21" i="17" s="1"/>
  <c r="AQ20" i="17"/>
  <c r="AU20" i="17" s="1"/>
  <c r="AP20" i="17"/>
  <c r="AT20" i="17" s="1"/>
  <c r="AQ19" i="17"/>
  <c r="AU19" i="17" s="1"/>
  <c r="AP19" i="17"/>
  <c r="AT19" i="17" s="1"/>
  <c r="AQ18" i="17"/>
  <c r="AU18" i="17" s="1"/>
  <c r="AP18" i="17"/>
  <c r="AT18" i="17" s="1"/>
  <c r="AQ17" i="17"/>
  <c r="AU17" i="17" s="1"/>
  <c r="AP17" i="17"/>
  <c r="AT17" i="17" s="1"/>
  <c r="AQ16" i="17"/>
  <c r="AU16" i="17" s="1"/>
  <c r="AP16" i="17"/>
  <c r="AT16" i="17" s="1"/>
  <c r="AQ15" i="17"/>
  <c r="AU15" i="17" s="1"/>
  <c r="AP15" i="17"/>
  <c r="AT15" i="17" s="1"/>
  <c r="AQ14" i="17"/>
  <c r="AU14" i="17" s="1"/>
  <c r="AP14" i="17"/>
  <c r="AT14" i="17" s="1"/>
  <c r="AQ13" i="17"/>
  <c r="AU13" i="17" s="1"/>
  <c r="AP13" i="17"/>
  <c r="AT13" i="17" s="1"/>
  <c r="AQ12" i="17"/>
  <c r="AU12" i="17" s="1"/>
  <c r="AP12" i="17"/>
  <c r="AT12" i="17" s="1"/>
  <c r="AQ11" i="17"/>
  <c r="AU11" i="17" s="1"/>
  <c r="AP11" i="17"/>
  <c r="AT11" i="17" s="1"/>
  <c r="AQ10" i="17"/>
  <c r="AU10" i="17" s="1"/>
  <c r="AP10" i="17"/>
  <c r="AT10" i="17" s="1"/>
  <c r="AQ9" i="17"/>
  <c r="AU9" i="17" s="1"/>
  <c r="AP9" i="17"/>
  <c r="AT9" i="17" s="1"/>
  <c r="AQ8" i="17"/>
  <c r="AU8" i="17" s="1"/>
  <c r="AP8" i="17"/>
  <c r="AT8" i="17" s="1"/>
  <c r="AQ7" i="17"/>
  <c r="AU7" i="17" s="1"/>
  <c r="AP7" i="17"/>
  <c r="AT7" i="17" s="1"/>
  <c r="AQ6" i="17"/>
  <c r="AU6" i="17" s="1"/>
  <c r="AP6" i="17"/>
  <c r="AT6" i="17" s="1"/>
  <c r="AQ5" i="17"/>
  <c r="AU5" i="17" s="1"/>
  <c r="AP5" i="17"/>
  <c r="AT5" i="17" s="1"/>
  <c r="AQ4" i="17"/>
  <c r="AU4" i="17" s="1"/>
  <c r="AP4" i="17"/>
  <c r="AT4" i="17" s="1"/>
  <c r="AQ3" i="17"/>
  <c r="AU3" i="17" s="1"/>
  <c r="AP3" i="17"/>
  <c r="AT3" i="17" s="1"/>
  <c r="AQ2" i="17"/>
  <c r="AU2" i="17" s="1"/>
  <c r="AP2" i="17"/>
  <c r="AT2" i="17" s="1"/>
  <c r="AO506" i="17"/>
  <c r="AS506" i="17" s="1"/>
  <c r="AO505" i="17"/>
  <c r="AS505" i="17" s="1"/>
  <c r="AO504" i="17"/>
  <c r="AS504" i="17" s="1"/>
  <c r="AO503" i="17"/>
  <c r="AS503" i="17" s="1"/>
  <c r="AO502" i="17"/>
  <c r="AS502" i="17" s="1"/>
  <c r="AO501" i="17"/>
  <c r="AS501" i="17" s="1"/>
  <c r="AO500" i="17"/>
  <c r="AS500" i="17" s="1"/>
  <c r="AO499" i="17"/>
  <c r="AS499" i="17" s="1"/>
  <c r="AO498" i="17"/>
  <c r="AS498" i="17" s="1"/>
  <c r="AO497" i="17"/>
  <c r="AS497" i="17" s="1"/>
  <c r="AO496" i="17"/>
  <c r="AS496" i="17" s="1"/>
  <c r="AO495" i="17"/>
  <c r="AS495" i="17" s="1"/>
  <c r="AO494" i="17"/>
  <c r="AS494" i="17" s="1"/>
  <c r="AO493" i="17"/>
  <c r="AS493" i="17" s="1"/>
  <c r="AO492" i="17"/>
  <c r="AS492" i="17" s="1"/>
  <c r="AO491" i="17"/>
  <c r="AS491" i="17" s="1"/>
  <c r="AO490" i="17"/>
  <c r="AS490" i="17" s="1"/>
  <c r="AO489" i="17"/>
  <c r="AS489" i="17" s="1"/>
  <c r="AO488" i="17"/>
  <c r="AS488" i="17" s="1"/>
  <c r="AO487" i="17"/>
  <c r="AS487" i="17" s="1"/>
  <c r="AO486" i="17"/>
  <c r="AS486" i="17" s="1"/>
  <c r="AO485" i="17"/>
  <c r="AS485" i="17" s="1"/>
  <c r="AO484" i="17"/>
  <c r="AS484" i="17" s="1"/>
  <c r="AO483" i="17"/>
  <c r="AS483" i="17" s="1"/>
  <c r="AO482" i="17"/>
  <c r="AS482" i="17" s="1"/>
  <c r="AO481" i="17"/>
  <c r="AS481" i="17" s="1"/>
  <c r="AO480" i="17"/>
  <c r="AS480" i="17" s="1"/>
  <c r="AO479" i="17"/>
  <c r="AS479" i="17" s="1"/>
  <c r="AO478" i="17"/>
  <c r="AS478" i="17" s="1"/>
  <c r="AO477" i="17"/>
  <c r="AS477" i="17" s="1"/>
  <c r="AO476" i="17"/>
  <c r="AS476" i="17" s="1"/>
  <c r="AO475" i="17"/>
  <c r="AS475" i="17" s="1"/>
  <c r="AO474" i="17"/>
  <c r="AS474" i="17" s="1"/>
  <c r="AO473" i="17"/>
  <c r="AS473" i="17" s="1"/>
  <c r="AO472" i="17"/>
  <c r="AS472" i="17" s="1"/>
  <c r="AO471" i="17"/>
  <c r="AS471" i="17" s="1"/>
  <c r="AO470" i="17"/>
  <c r="AS470" i="17" s="1"/>
  <c r="AO469" i="17"/>
  <c r="AS469" i="17" s="1"/>
  <c r="AO468" i="17"/>
  <c r="AS468" i="17" s="1"/>
  <c r="AO467" i="17"/>
  <c r="AS467" i="17" s="1"/>
  <c r="AO466" i="17"/>
  <c r="AS466" i="17" s="1"/>
  <c r="AO465" i="17"/>
  <c r="AS465" i="17" s="1"/>
  <c r="AO464" i="17"/>
  <c r="AS464" i="17" s="1"/>
  <c r="AO463" i="17"/>
  <c r="AS463" i="17" s="1"/>
  <c r="AO462" i="17"/>
  <c r="AS462" i="17" s="1"/>
  <c r="AO461" i="17"/>
  <c r="AS461" i="17" s="1"/>
  <c r="AO460" i="17"/>
  <c r="AS460" i="17" s="1"/>
  <c r="AO459" i="17"/>
  <c r="AS459" i="17" s="1"/>
  <c r="AO458" i="17"/>
  <c r="AS458" i="17" s="1"/>
  <c r="AO457" i="17"/>
  <c r="AS457" i="17" s="1"/>
  <c r="AO456" i="17"/>
  <c r="AS456" i="17" s="1"/>
  <c r="AO455" i="17"/>
  <c r="AS455" i="17" s="1"/>
  <c r="AO454" i="17"/>
  <c r="AS454" i="17" s="1"/>
  <c r="AO453" i="17"/>
  <c r="AS453" i="17" s="1"/>
  <c r="AO452" i="17"/>
  <c r="AS452" i="17" s="1"/>
  <c r="AO451" i="17"/>
  <c r="AS451" i="17" s="1"/>
  <c r="AO450" i="17"/>
  <c r="AS450" i="17" s="1"/>
  <c r="AO449" i="17"/>
  <c r="AS449" i="17" s="1"/>
  <c r="AO448" i="17"/>
  <c r="AS448" i="17" s="1"/>
  <c r="AO447" i="17"/>
  <c r="AS447" i="17" s="1"/>
  <c r="AO446" i="17"/>
  <c r="AS446" i="17" s="1"/>
  <c r="AO445" i="17"/>
  <c r="AS445" i="17" s="1"/>
  <c r="AO444" i="17"/>
  <c r="AS444" i="17" s="1"/>
  <c r="AO443" i="17"/>
  <c r="AS443" i="17" s="1"/>
  <c r="AO442" i="17"/>
  <c r="AS442" i="17" s="1"/>
  <c r="AO441" i="17"/>
  <c r="AS441" i="17" s="1"/>
  <c r="AO440" i="17"/>
  <c r="AS440" i="17" s="1"/>
  <c r="AO439" i="17"/>
  <c r="AS439" i="17" s="1"/>
  <c r="AO438" i="17"/>
  <c r="AS438" i="17" s="1"/>
  <c r="AO437" i="17"/>
  <c r="AS437" i="17" s="1"/>
  <c r="AO436" i="17"/>
  <c r="AS436" i="17" s="1"/>
  <c r="AO435" i="17"/>
  <c r="AS435" i="17" s="1"/>
  <c r="AO434" i="17"/>
  <c r="AS434" i="17" s="1"/>
  <c r="AO433" i="17"/>
  <c r="AS433" i="17" s="1"/>
  <c r="AO432" i="17"/>
  <c r="AS432" i="17" s="1"/>
  <c r="AO431" i="17"/>
  <c r="AS431" i="17" s="1"/>
  <c r="AO430" i="17"/>
  <c r="AS430" i="17" s="1"/>
  <c r="AO429" i="17"/>
  <c r="AS429" i="17" s="1"/>
  <c r="AO428" i="17"/>
  <c r="AS428" i="17" s="1"/>
  <c r="AO427" i="17"/>
  <c r="AS427" i="17" s="1"/>
  <c r="AO426" i="17"/>
  <c r="AS426" i="17" s="1"/>
  <c r="AO425" i="17"/>
  <c r="AS425" i="17" s="1"/>
  <c r="AO424" i="17"/>
  <c r="AS424" i="17" s="1"/>
  <c r="AO423" i="17"/>
  <c r="AS423" i="17" s="1"/>
  <c r="AO422" i="17"/>
  <c r="AS422" i="17" s="1"/>
  <c r="AO421" i="17"/>
  <c r="AS421" i="17" s="1"/>
  <c r="AO420" i="17"/>
  <c r="AS420" i="17" s="1"/>
  <c r="AO419" i="17"/>
  <c r="AS419" i="17" s="1"/>
  <c r="AO418" i="17"/>
  <c r="AS418" i="17" s="1"/>
  <c r="AO417" i="17"/>
  <c r="AS417" i="17" s="1"/>
  <c r="AO416" i="17"/>
  <c r="AS416" i="17" s="1"/>
  <c r="AO415" i="17"/>
  <c r="AS415" i="17" s="1"/>
  <c r="AO414" i="17"/>
  <c r="AS414" i="17" s="1"/>
  <c r="AO413" i="17"/>
  <c r="AS413" i="17" s="1"/>
  <c r="AO412" i="17"/>
  <c r="AS412" i="17" s="1"/>
  <c r="AO411" i="17"/>
  <c r="AS411" i="17" s="1"/>
  <c r="AO410" i="17"/>
  <c r="AS410" i="17" s="1"/>
  <c r="AO409" i="17"/>
  <c r="AS409" i="17" s="1"/>
  <c r="AO408" i="17"/>
  <c r="AS408" i="17" s="1"/>
  <c r="AO407" i="17"/>
  <c r="AS407" i="17" s="1"/>
  <c r="AO406" i="17"/>
  <c r="AS406" i="17" s="1"/>
  <c r="AO405" i="17"/>
  <c r="AS405" i="17" s="1"/>
  <c r="AO404" i="17"/>
  <c r="AS404" i="17" s="1"/>
  <c r="AO403" i="17"/>
  <c r="AS403" i="17" s="1"/>
  <c r="AO402" i="17"/>
  <c r="AS402" i="17" s="1"/>
  <c r="AO401" i="17"/>
  <c r="AS401" i="17" s="1"/>
  <c r="AO400" i="17"/>
  <c r="AS400" i="17" s="1"/>
  <c r="AO399" i="17"/>
  <c r="AS399" i="17" s="1"/>
  <c r="AO398" i="17"/>
  <c r="AS398" i="17" s="1"/>
  <c r="AO397" i="17"/>
  <c r="AS397" i="17" s="1"/>
  <c r="AO396" i="17"/>
  <c r="AS396" i="17" s="1"/>
  <c r="AO395" i="17"/>
  <c r="AS395" i="17" s="1"/>
  <c r="AO394" i="17"/>
  <c r="AS394" i="17" s="1"/>
  <c r="AO393" i="17"/>
  <c r="AS393" i="17" s="1"/>
  <c r="AO392" i="17"/>
  <c r="AS392" i="17" s="1"/>
  <c r="AO391" i="17"/>
  <c r="AS391" i="17" s="1"/>
  <c r="AO390" i="17"/>
  <c r="AS390" i="17" s="1"/>
  <c r="AO389" i="17"/>
  <c r="AS389" i="17" s="1"/>
  <c r="AO388" i="17"/>
  <c r="AS388" i="17" s="1"/>
  <c r="AO387" i="17"/>
  <c r="AS387" i="17" s="1"/>
  <c r="AO386" i="17"/>
  <c r="AS386" i="17" s="1"/>
  <c r="AO385" i="17"/>
  <c r="AS385" i="17" s="1"/>
  <c r="AO384" i="17"/>
  <c r="AS384" i="17" s="1"/>
  <c r="AO383" i="17"/>
  <c r="AS383" i="17" s="1"/>
  <c r="AO382" i="17"/>
  <c r="AS382" i="17" s="1"/>
  <c r="AO381" i="17"/>
  <c r="AS381" i="17" s="1"/>
  <c r="AO380" i="17"/>
  <c r="AS380" i="17" s="1"/>
  <c r="AO379" i="17"/>
  <c r="AS379" i="17" s="1"/>
  <c r="AO378" i="17"/>
  <c r="AS378" i="17" s="1"/>
  <c r="AO377" i="17"/>
  <c r="AS377" i="17" s="1"/>
  <c r="AO376" i="17"/>
  <c r="AS376" i="17" s="1"/>
  <c r="AO375" i="17"/>
  <c r="AS375" i="17" s="1"/>
  <c r="AO374" i="17"/>
  <c r="AS374" i="17" s="1"/>
  <c r="AO373" i="17"/>
  <c r="AS373" i="17" s="1"/>
  <c r="AO372" i="17"/>
  <c r="AS372" i="17" s="1"/>
  <c r="AO371" i="17"/>
  <c r="AS371" i="17" s="1"/>
  <c r="AO370" i="17"/>
  <c r="AS370" i="17" s="1"/>
  <c r="AO369" i="17"/>
  <c r="AS369" i="17" s="1"/>
  <c r="AO368" i="17"/>
  <c r="AS368" i="17" s="1"/>
  <c r="AO367" i="17"/>
  <c r="AS367" i="17" s="1"/>
  <c r="AO366" i="17"/>
  <c r="AS366" i="17" s="1"/>
  <c r="AO365" i="17"/>
  <c r="AS365" i="17" s="1"/>
  <c r="AO364" i="17"/>
  <c r="AS364" i="17" s="1"/>
  <c r="AO363" i="17"/>
  <c r="AS363" i="17" s="1"/>
  <c r="AO362" i="17"/>
  <c r="AS362" i="17" s="1"/>
  <c r="AO361" i="17"/>
  <c r="AS361" i="17" s="1"/>
  <c r="AO360" i="17"/>
  <c r="AS360" i="17" s="1"/>
  <c r="AO359" i="17"/>
  <c r="AS359" i="17" s="1"/>
  <c r="AO358" i="17"/>
  <c r="AS358" i="17" s="1"/>
  <c r="AO357" i="17"/>
  <c r="AS357" i="17" s="1"/>
  <c r="AO356" i="17"/>
  <c r="AS356" i="17" s="1"/>
  <c r="AO355" i="17"/>
  <c r="AS355" i="17" s="1"/>
  <c r="AO354" i="17"/>
  <c r="AS354" i="17" s="1"/>
  <c r="AO353" i="17"/>
  <c r="AS353" i="17" s="1"/>
  <c r="AO352" i="17"/>
  <c r="AS352" i="17" s="1"/>
  <c r="AO351" i="17"/>
  <c r="AS351" i="17" s="1"/>
  <c r="AO350" i="17"/>
  <c r="AS350" i="17" s="1"/>
  <c r="AO349" i="17"/>
  <c r="AS349" i="17" s="1"/>
  <c r="AO348" i="17"/>
  <c r="AS348" i="17" s="1"/>
  <c r="AO347" i="17"/>
  <c r="AS347" i="17" s="1"/>
  <c r="AO346" i="17"/>
  <c r="AS346" i="17" s="1"/>
  <c r="AO345" i="17"/>
  <c r="AS345" i="17" s="1"/>
  <c r="AO344" i="17"/>
  <c r="AS344" i="17" s="1"/>
  <c r="AO343" i="17"/>
  <c r="AS343" i="17" s="1"/>
  <c r="AO342" i="17"/>
  <c r="AS342" i="17" s="1"/>
  <c r="AO341" i="17"/>
  <c r="AS341" i="17" s="1"/>
  <c r="AO340" i="17"/>
  <c r="AS340" i="17" s="1"/>
  <c r="AO339" i="17"/>
  <c r="AS339" i="17" s="1"/>
  <c r="AO338" i="17"/>
  <c r="AS338" i="17" s="1"/>
  <c r="AO337" i="17"/>
  <c r="AS337" i="17" s="1"/>
  <c r="AO336" i="17"/>
  <c r="AS336" i="17" s="1"/>
  <c r="AO335" i="17"/>
  <c r="AS335" i="17" s="1"/>
  <c r="AO334" i="17"/>
  <c r="AS334" i="17" s="1"/>
  <c r="AO333" i="17"/>
  <c r="AS333" i="17" s="1"/>
  <c r="AO332" i="17"/>
  <c r="AS332" i="17" s="1"/>
  <c r="AO331" i="17"/>
  <c r="AS331" i="17" s="1"/>
  <c r="AO330" i="17"/>
  <c r="AS330" i="17" s="1"/>
  <c r="AO329" i="17"/>
  <c r="AS329" i="17" s="1"/>
  <c r="AO328" i="17"/>
  <c r="AS328" i="17" s="1"/>
  <c r="AO327" i="17"/>
  <c r="AS327" i="17" s="1"/>
  <c r="AO326" i="17"/>
  <c r="AS326" i="17" s="1"/>
  <c r="AO325" i="17"/>
  <c r="AS325" i="17" s="1"/>
  <c r="AO324" i="17"/>
  <c r="AS324" i="17" s="1"/>
  <c r="AO323" i="17"/>
  <c r="AS323" i="17" s="1"/>
  <c r="AO322" i="17"/>
  <c r="AS322" i="17" s="1"/>
  <c r="AO321" i="17"/>
  <c r="AS321" i="17" s="1"/>
  <c r="AO320" i="17"/>
  <c r="AS320" i="17" s="1"/>
  <c r="AO319" i="17"/>
  <c r="AS319" i="17" s="1"/>
  <c r="AO318" i="17"/>
  <c r="AS318" i="17" s="1"/>
  <c r="AO317" i="17"/>
  <c r="AS317" i="17" s="1"/>
  <c r="AO316" i="17"/>
  <c r="AS316" i="17" s="1"/>
  <c r="AO315" i="17"/>
  <c r="AS315" i="17" s="1"/>
  <c r="AO314" i="17"/>
  <c r="AS314" i="17" s="1"/>
  <c r="AO313" i="17"/>
  <c r="AS313" i="17" s="1"/>
  <c r="AO312" i="17"/>
  <c r="AS312" i="17" s="1"/>
  <c r="AO311" i="17"/>
  <c r="AS311" i="17" s="1"/>
  <c r="AO310" i="17"/>
  <c r="AS310" i="17" s="1"/>
  <c r="AO309" i="17"/>
  <c r="AS309" i="17" s="1"/>
  <c r="AO308" i="17"/>
  <c r="AS308" i="17" s="1"/>
  <c r="AO307" i="17"/>
  <c r="AS307" i="17" s="1"/>
  <c r="AO306" i="17"/>
  <c r="AS306" i="17" s="1"/>
  <c r="AO305" i="17"/>
  <c r="AS305" i="17" s="1"/>
  <c r="AO304" i="17"/>
  <c r="AS304" i="17" s="1"/>
  <c r="AO303" i="17"/>
  <c r="AS303" i="17" s="1"/>
  <c r="AO302" i="17"/>
  <c r="AS302" i="17" s="1"/>
  <c r="AO301" i="17"/>
  <c r="AS301" i="17" s="1"/>
  <c r="AO300" i="17"/>
  <c r="AS300" i="17" s="1"/>
  <c r="AO299" i="17"/>
  <c r="AS299" i="17" s="1"/>
  <c r="AO298" i="17"/>
  <c r="AS298" i="17" s="1"/>
  <c r="AO297" i="17"/>
  <c r="AS297" i="17" s="1"/>
  <c r="AO296" i="17"/>
  <c r="AS296" i="17" s="1"/>
  <c r="AO295" i="17"/>
  <c r="AS295" i="17" s="1"/>
  <c r="AO294" i="17"/>
  <c r="AS294" i="17" s="1"/>
  <c r="AO293" i="17"/>
  <c r="AS293" i="17" s="1"/>
  <c r="AO292" i="17"/>
  <c r="AS292" i="17" s="1"/>
  <c r="AO291" i="17"/>
  <c r="AS291" i="17" s="1"/>
  <c r="AO290" i="17"/>
  <c r="AS290" i="17" s="1"/>
  <c r="AO289" i="17"/>
  <c r="AS289" i="17" s="1"/>
  <c r="AO288" i="17"/>
  <c r="AS288" i="17" s="1"/>
  <c r="AO287" i="17"/>
  <c r="AS287" i="17" s="1"/>
  <c r="AO286" i="17"/>
  <c r="AS286" i="17" s="1"/>
  <c r="AO285" i="17"/>
  <c r="AS285" i="17" s="1"/>
  <c r="AO284" i="17"/>
  <c r="AS284" i="17" s="1"/>
  <c r="AO283" i="17"/>
  <c r="AS283" i="17" s="1"/>
  <c r="AO282" i="17"/>
  <c r="AS282" i="17" s="1"/>
  <c r="AO281" i="17"/>
  <c r="AS281" i="17" s="1"/>
  <c r="AO280" i="17"/>
  <c r="AS280" i="17" s="1"/>
  <c r="AO279" i="17"/>
  <c r="AS279" i="17" s="1"/>
  <c r="AO278" i="17"/>
  <c r="AS278" i="17" s="1"/>
  <c r="AO277" i="17"/>
  <c r="AS277" i="17" s="1"/>
  <c r="AO276" i="17"/>
  <c r="AS276" i="17" s="1"/>
  <c r="AO275" i="17"/>
  <c r="AS275" i="17" s="1"/>
  <c r="AO274" i="17"/>
  <c r="AS274" i="17" s="1"/>
  <c r="AO273" i="17"/>
  <c r="AS273" i="17" s="1"/>
  <c r="AO272" i="17"/>
  <c r="AS272" i="17" s="1"/>
  <c r="AO271" i="17"/>
  <c r="AS271" i="17" s="1"/>
  <c r="AO270" i="17"/>
  <c r="AS270" i="17" s="1"/>
  <c r="AO269" i="17"/>
  <c r="AS269" i="17" s="1"/>
  <c r="AO268" i="17"/>
  <c r="AS268" i="17" s="1"/>
  <c r="AO267" i="17"/>
  <c r="AS267" i="17" s="1"/>
  <c r="AO266" i="17"/>
  <c r="AS266" i="17" s="1"/>
  <c r="AO265" i="17"/>
  <c r="AS265" i="17" s="1"/>
  <c r="AO264" i="17"/>
  <c r="AS264" i="17" s="1"/>
  <c r="AO263" i="17"/>
  <c r="AS263" i="17" s="1"/>
  <c r="AO262" i="17"/>
  <c r="AS262" i="17" s="1"/>
  <c r="AO261" i="17"/>
  <c r="AS261" i="17" s="1"/>
  <c r="AO260" i="17"/>
  <c r="AS260" i="17" s="1"/>
  <c r="AO259" i="17"/>
  <c r="AS259" i="17" s="1"/>
  <c r="AO258" i="17"/>
  <c r="AS258" i="17" s="1"/>
  <c r="AO257" i="17"/>
  <c r="AS257" i="17" s="1"/>
  <c r="AO256" i="17"/>
  <c r="AS256" i="17" s="1"/>
  <c r="AO255" i="17"/>
  <c r="AS255" i="17" s="1"/>
  <c r="AO254" i="17"/>
  <c r="AS254" i="17" s="1"/>
  <c r="AO253" i="17"/>
  <c r="AS253" i="17" s="1"/>
  <c r="AO252" i="17"/>
  <c r="AS252" i="17" s="1"/>
  <c r="AO251" i="17"/>
  <c r="AS251" i="17" s="1"/>
  <c r="AO250" i="17"/>
  <c r="AS250" i="17" s="1"/>
  <c r="AO249" i="17"/>
  <c r="AS249" i="17" s="1"/>
  <c r="AO248" i="17"/>
  <c r="AS248" i="17" s="1"/>
  <c r="AO247" i="17"/>
  <c r="AS247" i="17" s="1"/>
  <c r="AO246" i="17"/>
  <c r="AS246" i="17" s="1"/>
  <c r="AO245" i="17"/>
  <c r="AS245" i="17" s="1"/>
  <c r="AO244" i="17"/>
  <c r="AS244" i="17" s="1"/>
  <c r="AO243" i="17"/>
  <c r="AS243" i="17" s="1"/>
  <c r="AO242" i="17"/>
  <c r="AS242" i="17" s="1"/>
  <c r="AO241" i="17"/>
  <c r="AS241" i="17" s="1"/>
  <c r="AO240" i="17"/>
  <c r="AS240" i="17" s="1"/>
  <c r="AO239" i="17"/>
  <c r="AS239" i="17" s="1"/>
  <c r="AO238" i="17"/>
  <c r="AS238" i="17" s="1"/>
  <c r="AO237" i="17"/>
  <c r="AS237" i="17" s="1"/>
  <c r="AO236" i="17"/>
  <c r="AS236" i="17" s="1"/>
  <c r="AO235" i="17"/>
  <c r="AS235" i="17" s="1"/>
  <c r="AO234" i="17"/>
  <c r="AS234" i="17" s="1"/>
  <c r="AO233" i="17"/>
  <c r="AS233" i="17" s="1"/>
  <c r="AO232" i="17"/>
  <c r="AS232" i="17" s="1"/>
  <c r="AO231" i="17"/>
  <c r="AS231" i="17" s="1"/>
  <c r="AO230" i="17"/>
  <c r="AS230" i="17" s="1"/>
  <c r="AO229" i="17"/>
  <c r="AS229" i="17" s="1"/>
  <c r="AO228" i="17"/>
  <c r="AS228" i="17" s="1"/>
  <c r="AO227" i="17"/>
  <c r="AS227" i="17" s="1"/>
  <c r="AO226" i="17"/>
  <c r="AS226" i="17" s="1"/>
  <c r="AO225" i="17"/>
  <c r="AS225" i="17" s="1"/>
  <c r="AO224" i="17"/>
  <c r="AS224" i="17" s="1"/>
  <c r="AO223" i="17"/>
  <c r="AS223" i="17" s="1"/>
  <c r="AO222" i="17"/>
  <c r="AS222" i="17" s="1"/>
  <c r="AO221" i="17"/>
  <c r="AS221" i="17" s="1"/>
  <c r="AO220" i="17"/>
  <c r="AS220" i="17" s="1"/>
  <c r="AO219" i="17"/>
  <c r="AS219" i="17" s="1"/>
  <c r="AO218" i="17"/>
  <c r="AS218" i="17" s="1"/>
  <c r="AO217" i="17"/>
  <c r="AS217" i="17" s="1"/>
  <c r="AO216" i="17"/>
  <c r="AS216" i="17" s="1"/>
  <c r="AO215" i="17"/>
  <c r="AS215" i="17" s="1"/>
  <c r="AO214" i="17"/>
  <c r="AS214" i="17" s="1"/>
  <c r="AO213" i="17"/>
  <c r="AS213" i="17" s="1"/>
  <c r="AO212" i="17"/>
  <c r="AS212" i="17" s="1"/>
  <c r="AO211" i="17"/>
  <c r="AS211" i="17" s="1"/>
  <c r="AO210" i="17"/>
  <c r="AS210" i="17" s="1"/>
  <c r="AO209" i="17"/>
  <c r="AS209" i="17" s="1"/>
  <c r="AO208" i="17"/>
  <c r="AS208" i="17" s="1"/>
  <c r="AO207" i="17"/>
  <c r="AS207" i="17" s="1"/>
  <c r="AO206" i="17"/>
  <c r="AS206" i="17" s="1"/>
  <c r="AO205" i="17"/>
  <c r="AS205" i="17" s="1"/>
  <c r="AO204" i="17"/>
  <c r="AS204" i="17" s="1"/>
  <c r="AO203" i="17"/>
  <c r="AS203" i="17" s="1"/>
  <c r="AO202" i="17"/>
  <c r="AS202" i="17" s="1"/>
  <c r="AO201" i="17"/>
  <c r="AS201" i="17" s="1"/>
  <c r="AO200" i="17"/>
  <c r="AS200" i="17" s="1"/>
  <c r="AO199" i="17"/>
  <c r="AS199" i="17" s="1"/>
  <c r="AO198" i="17"/>
  <c r="AS198" i="17" s="1"/>
  <c r="AO197" i="17"/>
  <c r="AS197" i="17" s="1"/>
  <c r="AO196" i="17"/>
  <c r="AS196" i="17" s="1"/>
  <c r="AO195" i="17"/>
  <c r="AS195" i="17" s="1"/>
  <c r="AO194" i="17"/>
  <c r="AS194" i="17" s="1"/>
  <c r="AO193" i="17"/>
  <c r="AS193" i="17" s="1"/>
  <c r="AO192" i="17"/>
  <c r="AS192" i="17" s="1"/>
  <c r="AO191" i="17"/>
  <c r="AS191" i="17" s="1"/>
  <c r="AO190" i="17"/>
  <c r="AS190" i="17" s="1"/>
  <c r="AO189" i="17"/>
  <c r="AS189" i="17" s="1"/>
  <c r="AO188" i="17"/>
  <c r="AS188" i="17" s="1"/>
  <c r="AO187" i="17"/>
  <c r="AS187" i="17" s="1"/>
  <c r="AO186" i="17"/>
  <c r="AS186" i="17" s="1"/>
  <c r="AO185" i="17"/>
  <c r="AS185" i="17" s="1"/>
  <c r="AO184" i="17"/>
  <c r="AS184" i="17" s="1"/>
  <c r="AO183" i="17"/>
  <c r="AS183" i="17" s="1"/>
  <c r="AO182" i="17"/>
  <c r="AS182" i="17" s="1"/>
  <c r="AO181" i="17"/>
  <c r="AS181" i="17" s="1"/>
  <c r="AO180" i="17"/>
  <c r="AS180" i="17" s="1"/>
  <c r="AO179" i="17"/>
  <c r="AS179" i="17" s="1"/>
  <c r="AO178" i="17"/>
  <c r="AS178" i="17" s="1"/>
  <c r="AO177" i="17"/>
  <c r="AS177" i="17" s="1"/>
  <c r="AO176" i="17"/>
  <c r="AS176" i="17" s="1"/>
  <c r="AO175" i="17"/>
  <c r="AS175" i="17" s="1"/>
  <c r="AO174" i="17"/>
  <c r="AS174" i="17" s="1"/>
  <c r="AO173" i="17"/>
  <c r="AS173" i="17" s="1"/>
  <c r="AO172" i="17"/>
  <c r="AS172" i="17" s="1"/>
  <c r="AO171" i="17"/>
  <c r="AS171" i="17" s="1"/>
  <c r="AO170" i="17"/>
  <c r="AS170" i="17" s="1"/>
  <c r="AO169" i="17"/>
  <c r="AS169" i="17" s="1"/>
  <c r="AO168" i="17"/>
  <c r="AS168" i="17" s="1"/>
  <c r="AO167" i="17"/>
  <c r="AS167" i="17" s="1"/>
  <c r="AO166" i="17"/>
  <c r="AS166" i="17" s="1"/>
  <c r="AO165" i="17"/>
  <c r="AS165" i="17" s="1"/>
  <c r="AO164" i="17"/>
  <c r="AS164" i="17" s="1"/>
  <c r="AO163" i="17"/>
  <c r="AS163" i="17" s="1"/>
  <c r="AO162" i="17"/>
  <c r="AS162" i="17" s="1"/>
  <c r="AO161" i="17"/>
  <c r="AS161" i="17" s="1"/>
  <c r="AO160" i="17"/>
  <c r="AS160" i="17" s="1"/>
  <c r="AO159" i="17"/>
  <c r="AS159" i="17" s="1"/>
  <c r="AO158" i="17"/>
  <c r="AS158" i="17" s="1"/>
  <c r="AO157" i="17"/>
  <c r="AS157" i="17" s="1"/>
  <c r="AO156" i="17"/>
  <c r="AS156" i="17" s="1"/>
  <c r="AO155" i="17"/>
  <c r="AS155" i="17" s="1"/>
  <c r="AO154" i="17"/>
  <c r="AS154" i="17" s="1"/>
  <c r="AO153" i="17"/>
  <c r="AS153" i="17" s="1"/>
  <c r="AO152" i="17"/>
  <c r="AS152" i="17" s="1"/>
  <c r="AO151" i="17"/>
  <c r="AS151" i="17" s="1"/>
  <c r="AO150" i="17"/>
  <c r="AS150" i="17" s="1"/>
  <c r="AO149" i="17"/>
  <c r="AS149" i="17" s="1"/>
  <c r="AO148" i="17"/>
  <c r="AS148" i="17" s="1"/>
  <c r="AO147" i="17"/>
  <c r="AS147" i="17" s="1"/>
  <c r="AO146" i="17"/>
  <c r="AS146" i="17" s="1"/>
  <c r="AO145" i="17"/>
  <c r="AS145" i="17" s="1"/>
  <c r="AO144" i="17"/>
  <c r="AS144" i="17" s="1"/>
  <c r="AO143" i="17"/>
  <c r="AS143" i="17" s="1"/>
  <c r="AO142" i="17"/>
  <c r="AS142" i="17" s="1"/>
  <c r="AO141" i="17"/>
  <c r="AS141" i="17" s="1"/>
  <c r="AO140" i="17"/>
  <c r="AS140" i="17" s="1"/>
  <c r="AO139" i="17"/>
  <c r="AS139" i="17" s="1"/>
  <c r="AO138" i="17"/>
  <c r="AS138" i="17" s="1"/>
  <c r="AO137" i="17"/>
  <c r="AS137" i="17" s="1"/>
  <c r="AO136" i="17"/>
  <c r="AS136" i="17" s="1"/>
  <c r="AO135" i="17"/>
  <c r="AS135" i="17" s="1"/>
  <c r="AO134" i="17"/>
  <c r="AS134" i="17" s="1"/>
  <c r="AO133" i="17"/>
  <c r="AS133" i="17" s="1"/>
  <c r="AO132" i="17"/>
  <c r="AS132" i="17" s="1"/>
  <c r="AO131" i="17"/>
  <c r="AS131" i="17" s="1"/>
  <c r="AO130" i="17"/>
  <c r="AS130" i="17" s="1"/>
  <c r="AO129" i="17"/>
  <c r="AS129" i="17" s="1"/>
  <c r="AO128" i="17"/>
  <c r="AS128" i="17" s="1"/>
  <c r="AO127" i="17"/>
  <c r="AS127" i="17" s="1"/>
  <c r="AO126" i="17"/>
  <c r="AS126" i="17" s="1"/>
  <c r="AO125" i="17"/>
  <c r="AS125" i="17" s="1"/>
  <c r="AO124" i="17"/>
  <c r="AS124" i="17" s="1"/>
  <c r="AO123" i="17"/>
  <c r="AS123" i="17" s="1"/>
  <c r="AO122" i="17"/>
  <c r="AS122" i="17" s="1"/>
  <c r="AO121" i="17"/>
  <c r="AS121" i="17" s="1"/>
  <c r="AO120" i="17"/>
  <c r="AS120" i="17" s="1"/>
  <c r="AO119" i="17"/>
  <c r="AS119" i="17" s="1"/>
  <c r="AO118" i="17"/>
  <c r="AS118" i="17" s="1"/>
  <c r="AO117" i="17"/>
  <c r="AS117" i="17" s="1"/>
  <c r="AO116" i="17"/>
  <c r="AS116" i="17" s="1"/>
  <c r="AO115" i="17"/>
  <c r="AS115" i="17" s="1"/>
  <c r="AO114" i="17"/>
  <c r="AS114" i="17" s="1"/>
  <c r="AO113" i="17"/>
  <c r="AS113" i="17" s="1"/>
  <c r="AO112" i="17"/>
  <c r="AS112" i="17" s="1"/>
  <c r="AO111" i="17"/>
  <c r="AS111" i="17" s="1"/>
  <c r="AO110" i="17"/>
  <c r="AS110" i="17" s="1"/>
  <c r="AO109" i="17"/>
  <c r="AS109" i="17" s="1"/>
  <c r="AO108" i="17"/>
  <c r="AS108" i="17" s="1"/>
  <c r="AO107" i="17"/>
  <c r="AS107" i="17" s="1"/>
  <c r="AO106" i="17"/>
  <c r="AS106" i="17" s="1"/>
  <c r="AO105" i="17"/>
  <c r="AS105" i="17" s="1"/>
  <c r="AO104" i="17"/>
  <c r="AS104" i="17" s="1"/>
  <c r="AO103" i="17"/>
  <c r="AS103" i="17" s="1"/>
  <c r="AO102" i="17"/>
  <c r="AS102" i="17" s="1"/>
  <c r="AO101" i="17"/>
  <c r="AS101" i="17" s="1"/>
  <c r="AO100" i="17"/>
  <c r="AS100" i="17" s="1"/>
  <c r="AO99" i="17"/>
  <c r="AS99" i="17" s="1"/>
  <c r="AO98" i="17"/>
  <c r="AS98" i="17" s="1"/>
  <c r="AO97" i="17"/>
  <c r="AS97" i="17" s="1"/>
  <c r="AO96" i="17"/>
  <c r="AS96" i="17" s="1"/>
  <c r="AO95" i="17"/>
  <c r="AS95" i="17" s="1"/>
  <c r="AO94" i="17"/>
  <c r="AS94" i="17" s="1"/>
  <c r="AO93" i="17"/>
  <c r="AS93" i="17" s="1"/>
  <c r="AO92" i="17"/>
  <c r="AS92" i="17" s="1"/>
  <c r="AO91" i="17"/>
  <c r="AS91" i="17" s="1"/>
  <c r="AO90" i="17"/>
  <c r="AS90" i="17" s="1"/>
  <c r="AO89" i="17"/>
  <c r="AS89" i="17" s="1"/>
  <c r="AO88" i="17"/>
  <c r="AS88" i="17" s="1"/>
  <c r="AO87" i="17"/>
  <c r="AS87" i="17" s="1"/>
  <c r="AO86" i="17"/>
  <c r="AS86" i="17" s="1"/>
  <c r="AO85" i="17"/>
  <c r="AS85" i="17" s="1"/>
  <c r="AO84" i="17"/>
  <c r="AS84" i="17" s="1"/>
  <c r="AO83" i="17"/>
  <c r="AS83" i="17" s="1"/>
  <c r="AO82" i="17"/>
  <c r="AS82" i="17" s="1"/>
  <c r="AO81" i="17"/>
  <c r="AS81" i="17" s="1"/>
  <c r="AO80" i="17"/>
  <c r="AS80" i="17" s="1"/>
  <c r="AO79" i="17"/>
  <c r="AS79" i="17" s="1"/>
  <c r="AO78" i="17"/>
  <c r="AS78" i="17" s="1"/>
  <c r="AO77" i="17"/>
  <c r="AS77" i="17" s="1"/>
  <c r="AO76" i="17"/>
  <c r="AS76" i="17" s="1"/>
  <c r="AO75" i="17"/>
  <c r="AS75" i="17" s="1"/>
  <c r="AO74" i="17"/>
  <c r="AS74" i="17" s="1"/>
  <c r="AO73" i="17"/>
  <c r="AS73" i="17" s="1"/>
  <c r="AO72" i="17"/>
  <c r="AS72" i="17" s="1"/>
  <c r="AO71" i="17"/>
  <c r="AS71" i="17" s="1"/>
  <c r="AO70" i="17"/>
  <c r="AS70" i="17" s="1"/>
  <c r="AO69" i="17"/>
  <c r="AS69" i="17" s="1"/>
  <c r="AO68" i="17"/>
  <c r="AS68" i="17" s="1"/>
  <c r="AO67" i="17"/>
  <c r="AS67" i="17" s="1"/>
  <c r="AO66" i="17"/>
  <c r="AS66" i="17" s="1"/>
  <c r="AO65" i="17"/>
  <c r="AS65" i="17" s="1"/>
  <c r="AO64" i="17"/>
  <c r="AS64" i="17" s="1"/>
  <c r="AO63" i="17"/>
  <c r="AS63" i="17" s="1"/>
  <c r="AO62" i="17"/>
  <c r="AS62" i="17" s="1"/>
  <c r="AO61" i="17"/>
  <c r="AS61" i="17" s="1"/>
  <c r="AO60" i="17"/>
  <c r="AS60" i="17" s="1"/>
  <c r="AO59" i="17"/>
  <c r="AS59" i="17" s="1"/>
  <c r="AO58" i="17"/>
  <c r="AS58" i="17" s="1"/>
  <c r="AO57" i="17"/>
  <c r="AS57" i="17" s="1"/>
  <c r="AO56" i="17"/>
  <c r="AS56" i="17" s="1"/>
  <c r="AO55" i="17"/>
  <c r="AS55" i="17" s="1"/>
  <c r="AO54" i="17"/>
  <c r="AS54" i="17" s="1"/>
  <c r="AO53" i="17"/>
  <c r="AS53" i="17" s="1"/>
  <c r="AO52" i="17"/>
  <c r="AS52" i="17" s="1"/>
  <c r="AO51" i="17"/>
  <c r="AS51" i="17" s="1"/>
  <c r="AO50" i="17"/>
  <c r="AS50" i="17" s="1"/>
  <c r="AO49" i="17"/>
  <c r="AS49" i="17" s="1"/>
  <c r="AO48" i="17"/>
  <c r="AS48" i="17" s="1"/>
  <c r="AO47" i="17"/>
  <c r="AS47" i="17" s="1"/>
  <c r="AO46" i="17"/>
  <c r="AS46" i="17" s="1"/>
  <c r="AO45" i="17"/>
  <c r="AS45" i="17" s="1"/>
  <c r="AO44" i="17"/>
  <c r="AS44" i="17" s="1"/>
  <c r="AO43" i="17"/>
  <c r="AS43" i="17" s="1"/>
  <c r="AO42" i="17"/>
  <c r="AS42" i="17" s="1"/>
  <c r="AO41" i="17"/>
  <c r="AS41" i="17" s="1"/>
  <c r="AO40" i="17"/>
  <c r="AS40" i="17" s="1"/>
  <c r="AO39" i="17"/>
  <c r="AS39" i="17" s="1"/>
  <c r="AO38" i="17"/>
  <c r="AS38" i="17" s="1"/>
  <c r="AO37" i="17"/>
  <c r="AS37" i="17" s="1"/>
  <c r="AO36" i="17"/>
  <c r="AS36" i="17" s="1"/>
  <c r="AO35" i="17"/>
  <c r="AS35" i="17" s="1"/>
  <c r="AO34" i="17"/>
  <c r="AS34" i="17" s="1"/>
  <c r="AO33" i="17"/>
  <c r="AS33" i="17" s="1"/>
  <c r="AO32" i="17"/>
  <c r="AS32" i="17" s="1"/>
  <c r="AO31" i="17"/>
  <c r="AS31" i="17" s="1"/>
  <c r="AO30" i="17"/>
  <c r="AS30" i="17" s="1"/>
  <c r="AO29" i="17"/>
  <c r="AS29" i="17" s="1"/>
  <c r="AO28" i="17"/>
  <c r="AS28" i="17" s="1"/>
  <c r="AO27" i="17"/>
  <c r="AS27" i="17" s="1"/>
  <c r="AO26" i="17"/>
  <c r="AS26" i="17" s="1"/>
  <c r="AO25" i="17"/>
  <c r="AS25" i="17" s="1"/>
  <c r="AO24" i="17"/>
  <c r="AS24" i="17" s="1"/>
  <c r="AO23" i="17"/>
  <c r="AS23" i="17" s="1"/>
  <c r="AO22" i="17"/>
  <c r="AS22" i="17" s="1"/>
  <c r="AO21" i="17"/>
  <c r="AS21" i="17" s="1"/>
  <c r="AO20" i="17"/>
  <c r="AS20" i="17" s="1"/>
  <c r="AO19" i="17"/>
  <c r="AS19" i="17" s="1"/>
  <c r="AO18" i="17"/>
  <c r="AS18" i="17" s="1"/>
  <c r="AO17" i="17"/>
  <c r="AS17" i="17" s="1"/>
  <c r="AO16" i="17"/>
  <c r="AS16" i="17" s="1"/>
  <c r="AO15" i="17"/>
  <c r="AS15" i="17" s="1"/>
  <c r="AO14" i="17"/>
  <c r="AS14" i="17" s="1"/>
  <c r="AO13" i="17"/>
  <c r="AS13" i="17" s="1"/>
  <c r="AO12" i="17"/>
  <c r="AS12" i="17" s="1"/>
  <c r="AO11" i="17"/>
  <c r="AS11" i="17" s="1"/>
  <c r="AO10" i="17"/>
  <c r="AS10" i="17" s="1"/>
  <c r="AO9" i="17"/>
  <c r="AS9" i="17" s="1"/>
  <c r="AO8" i="17"/>
  <c r="AS8" i="17" s="1"/>
  <c r="AO7" i="17"/>
  <c r="AS7" i="17" s="1"/>
  <c r="AO6" i="17"/>
  <c r="AS6" i="17" s="1"/>
  <c r="AO5" i="17"/>
  <c r="AS5" i="17" s="1"/>
  <c r="AO4" i="17"/>
  <c r="AS4" i="17" s="1"/>
  <c r="AO3" i="17"/>
  <c r="AS3" i="17" s="1"/>
  <c r="AO2" i="17"/>
  <c r="AS2" i="17" s="1"/>
  <c r="AN506" i="17" l="1"/>
  <c r="AD506" i="17"/>
  <c r="AC506" i="17"/>
  <c r="AI506" i="17" s="1"/>
  <c r="AB506" i="17"/>
  <c r="Z506" i="17"/>
  <c r="Y506" i="17"/>
  <c r="X506" i="17"/>
  <c r="U506" i="17"/>
  <c r="S506" i="17"/>
  <c r="T506" i="17" s="1"/>
  <c r="R506" i="17"/>
  <c r="AN505" i="17"/>
  <c r="AC505" i="17"/>
  <c r="AI505" i="17" s="1"/>
  <c r="AB505" i="17"/>
  <c r="Z505" i="17"/>
  <c r="Y505" i="17"/>
  <c r="X505" i="17"/>
  <c r="U505" i="17"/>
  <c r="S505" i="17"/>
  <c r="T505" i="17" s="1"/>
  <c r="R505" i="17"/>
  <c r="AN504" i="17"/>
  <c r="AC504" i="17"/>
  <c r="AI504" i="17" s="1"/>
  <c r="AB504" i="17"/>
  <c r="AH504" i="17" s="1"/>
  <c r="Z504" i="17"/>
  <c r="Y504" i="17"/>
  <c r="X504" i="17"/>
  <c r="U504" i="17"/>
  <c r="S504" i="17"/>
  <c r="T504" i="17" s="1"/>
  <c r="R504" i="17"/>
  <c r="AN503" i="17"/>
  <c r="AC503" i="17"/>
  <c r="AI503" i="17" s="1"/>
  <c r="AB503" i="17"/>
  <c r="Z503" i="17"/>
  <c r="Y503" i="17"/>
  <c r="X503" i="17"/>
  <c r="U503" i="17"/>
  <c r="S503" i="17"/>
  <c r="T503" i="17" s="1"/>
  <c r="R503" i="17"/>
  <c r="AN502" i="17"/>
  <c r="AD502" i="17"/>
  <c r="AC502" i="17"/>
  <c r="AI502" i="17" s="1"/>
  <c r="AB502" i="17"/>
  <c r="AH502" i="17" s="1"/>
  <c r="Z502" i="17"/>
  <c r="Y502" i="17"/>
  <c r="X502" i="17"/>
  <c r="U502" i="17"/>
  <c r="S502" i="17"/>
  <c r="T502" i="17" s="1"/>
  <c r="R502" i="17"/>
  <c r="AN501" i="17"/>
  <c r="AD501" i="17"/>
  <c r="AC501" i="17"/>
  <c r="AI501" i="17" s="1"/>
  <c r="AB501" i="17"/>
  <c r="AH501" i="17" s="1"/>
  <c r="Z501" i="17"/>
  <c r="Y501" i="17"/>
  <c r="X501" i="17"/>
  <c r="U501" i="17"/>
  <c r="S501" i="17"/>
  <c r="T501" i="17" s="1"/>
  <c r="R501" i="17"/>
  <c r="AN500" i="17"/>
  <c r="AD500" i="17"/>
  <c r="AC500" i="17"/>
  <c r="AI500" i="17" s="1"/>
  <c r="AB500" i="17"/>
  <c r="AH500" i="17" s="1"/>
  <c r="Z500" i="17"/>
  <c r="Y500" i="17"/>
  <c r="X500" i="17"/>
  <c r="U500" i="17"/>
  <c r="S500" i="17"/>
  <c r="T500" i="17" s="1"/>
  <c r="R500" i="17"/>
  <c r="AN499" i="17"/>
  <c r="AC499" i="17"/>
  <c r="AI499" i="17" s="1"/>
  <c r="AB499" i="17"/>
  <c r="Z499" i="17"/>
  <c r="Y499" i="17"/>
  <c r="X499" i="17"/>
  <c r="U499" i="17"/>
  <c r="S499" i="17"/>
  <c r="T499" i="17" s="1"/>
  <c r="R499" i="17"/>
  <c r="AN498" i="17"/>
  <c r="AC498" i="17"/>
  <c r="AI498" i="17" s="1"/>
  <c r="AB498" i="17"/>
  <c r="Y498" i="17"/>
  <c r="X498" i="17"/>
  <c r="U498" i="17"/>
  <c r="S498" i="17"/>
  <c r="T498" i="17" s="1"/>
  <c r="R498" i="17"/>
  <c r="AN497" i="17"/>
  <c r="AC497" i="17"/>
  <c r="AI497" i="17" s="1"/>
  <c r="AB497" i="17"/>
  <c r="Z497" i="17"/>
  <c r="Y497" i="17"/>
  <c r="X497" i="17"/>
  <c r="U497" i="17"/>
  <c r="S497" i="17"/>
  <c r="T497" i="17" s="1"/>
  <c r="R497" i="17"/>
  <c r="AN496" i="17"/>
  <c r="AC496" i="17"/>
  <c r="AI496" i="17" s="1"/>
  <c r="AB496" i="17"/>
  <c r="AH496" i="17" s="1"/>
  <c r="Z496" i="17"/>
  <c r="Y496" i="17"/>
  <c r="X496" i="17"/>
  <c r="U496" i="17"/>
  <c r="S496" i="17"/>
  <c r="T496" i="17" s="1"/>
  <c r="R496" i="17"/>
  <c r="AN495" i="17"/>
  <c r="AC495" i="17"/>
  <c r="AI495" i="17" s="1"/>
  <c r="AB495" i="17"/>
  <c r="AH495" i="17" s="1"/>
  <c r="Y495" i="17"/>
  <c r="X495" i="17"/>
  <c r="U495" i="17"/>
  <c r="S495" i="17"/>
  <c r="T495" i="17" s="1"/>
  <c r="R495" i="17"/>
  <c r="AN494" i="17"/>
  <c r="AC494" i="17"/>
  <c r="AI494" i="17" s="1"/>
  <c r="AB494" i="17"/>
  <c r="AH494" i="17" s="1"/>
  <c r="Z494" i="17"/>
  <c r="Y494" i="17"/>
  <c r="X494" i="17"/>
  <c r="U494" i="17"/>
  <c r="S494" i="17"/>
  <c r="T494" i="17" s="1"/>
  <c r="R494" i="17"/>
  <c r="AN493" i="17"/>
  <c r="AC493" i="17"/>
  <c r="AI493" i="17" s="1"/>
  <c r="AB493" i="17"/>
  <c r="Z493" i="17"/>
  <c r="Y493" i="17"/>
  <c r="X493" i="17"/>
  <c r="U493" i="17"/>
  <c r="S493" i="17"/>
  <c r="T493" i="17" s="1"/>
  <c r="R493" i="17"/>
  <c r="AN492" i="17"/>
  <c r="AC492" i="17"/>
  <c r="AI492" i="17" s="1"/>
  <c r="AB492" i="17"/>
  <c r="AH492" i="17" s="1"/>
  <c r="Z492" i="17"/>
  <c r="Y492" i="17"/>
  <c r="X492" i="17"/>
  <c r="U492" i="17"/>
  <c r="S492" i="17"/>
  <c r="T492" i="17" s="1"/>
  <c r="R492" i="17"/>
  <c r="AN491" i="17"/>
  <c r="AC491" i="17"/>
  <c r="AI491" i="17" s="1"/>
  <c r="AB491" i="17"/>
  <c r="AH491" i="17" s="1"/>
  <c r="Z491" i="17"/>
  <c r="Y491" i="17"/>
  <c r="X491" i="17"/>
  <c r="U491" i="17"/>
  <c r="S491" i="17"/>
  <c r="T491" i="17" s="1"/>
  <c r="R491" i="17"/>
  <c r="AN490" i="17"/>
  <c r="AC490" i="17"/>
  <c r="AI490" i="17" s="1"/>
  <c r="AB490" i="17"/>
  <c r="AH490" i="17" s="1"/>
  <c r="Z490" i="17"/>
  <c r="Y490" i="17"/>
  <c r="X490" i="17"/>
  <c r="U490" i="17"/>
  <c r="S490" i="17"/>
  <c r="T490" i="17" s="1"/>
  <c r="R490" i="17"/>
  <c r="AN489" i="17"/>
  <c r="AC489" i="17"/>
  <c r="AI489" i="17" s="1"/>
  <c r="AB489" i="17"/>
  <c r="Z489" i="17"/>
  <c r="Y489" i="17"/>
  <c r="X489" i="17"/>
  <c r="U489" i="17"/>
  <c r="S489" i="17"/>
  <c r="T489" i="17" s="1"/>
  <c r="R489" i="17"/>
  <c r="AN488" i="17"/>
  <c r="AD488" i="17"/>
  <c r="AC488" i="17"/>
  <c r="AI488" i="17" s="1"/>
  <c r="AB488" i="17"/>
  <c r="Z488" i="17"/>
  <c r="Y488" i="17"/>
  <c r="X488" i="17"/>
  <c r="U488" i="17"/>
  <c r="S488" i="17"/>
  <c r="T488" i="17" s="1"/>
  <c r="R488" i="17"/>
  <c r="AN487" i="17"/>
  <c r="AD487" i="17"/>
  <c r="AC487" i="17"/>
  <c r="AI487" i="17" s="1"/>
  <c r="AB487" i="17"/>
  <c r="AH487" i="17" s="1"/>
  <c r="Z487" i="17"/>
  <c r="Y487" i="17"/>
  <c r="X487" i="17"/>
  <c r="U487" i="17"/>
  <c r="S487" i="17"/>
  <c r="T487" i="17" s="1"/>
  <c r="R487" i="17"/>
  <c r="AN486" i="17"/>
  <c r="AD486" i="17"/>
  <c r="AC486" i="17"/>
  <c r="AI486" i="17" s="1"/>
  <c r="AB486" i="17"/>
  <c r="AH486" i="17" s="1"/>
  <c r="Z486" i="17"/>
  <c r="Y486" i="17"/>
  <c r="X486" i="17"/>
  <c r="U486" i="17"/>
  <c r="S486" i="17"/>
  <c r="T486" i="17" s="1"/>
  <c r="R486" i="17"/>
  <c r="AN485" i="17"/>
  <c r="AD485" i="17"/>
  <c r="AC485" i="17"/>
  <c r="AI485" i="17" s="1"/>
  <c r="AB485" i="17"/>
  <c r="AH485" i="17" s="1"/>
  <c r="Z485" i="17"/>
  <c r="Y485" i="17"/>
  <c r="X485" i="17"/>
  <c r="U485" i="17"/>
  <c r="S485" i="17"/>
  <c r="T485" i="17" s="1"/>
  <c r="R485" i="17"/>
  <c r="AN484" i="17"/>
  <c r="AD484" i="17"/>
  <c r="AC484" i="17"/>
  <c r="AI484" i="17" s="1"/>
  <c r="AB484" i="17"/>
  <c r="AH484" i="17" s="1"/>
  <c r="Z484" i="17"/>
  <c r="Y484" i="17"/>
  <c r="X484" i="17"/>
  <c r="U484" i="17"/>
  <c r="S484" i="17"/>
  <c r="T484" i="17" s="1"/>
  <c r="R484" i="17"/>
  <c r="AN483" i="17"/>
  <c r="AD483" i="17"/>
  <c r="AC483" i="17"/>
  <c r="AI483" i="17" s="1"/>
  <c r="AB483" i="17"/>
  <c r="Z483" i="17"/>
  <c r="Y483" i="17"/>
  <c r="X483" i="17"/>
  <c r="U483" i="17"/>
  <c r="S483" i="17"/>
  <c r="T483" i="17" s="1"/>
  <c r="R483" i="17"/>
  <c r="AN482" i="17"/>
  <c r="AD482" i="17"/>
  <c r="AC482" i="17"/>
  <c r="AI482" i="17" s="1"/>
  <c r="AB482" i="17"/>
  <c r="AH482" i="17" s="1"/>
  <c r="Z482" i="17"/>
  <c r="Y482" i="17"/>
  <c r="X482" i="17"/>
  <c r="U482" i="17"/>
  <c r="S482" i="17"/>
  <c r="T482" i="17" s="1"/>
  <c r="R482" i="17"/>
  <c r="AN481" i="17"/>
  <c r="AD481" i="17"/>
  <c r="AC481" i="17"/>
  <c r="AI481" i="17" s="1"/>
  <c r="AB481" i="17"/>
  <c r="AH481" i="17" s="1"/>
  <c r="Z481" i="17"/>
  <c r="Y481" i="17"/>
  <c r="X481" i="17"/>
  <c r="U481" i="17"/>
  <c r="S481" i="17"/>
  <c r="T481" i="17" s="1"/>
  <c r="R481" i="17"/>
  <c r="AN480" i="17"/>
  <c r="AD480" i="17"/>
  <c r="AR480" i="17" s="1"/>
  <c r="AV480" i="17" s="1"/>
  <c r="AC480" i="17"/>
  <c r="AI480" i="17" s="1"/>
  <c r="AB480" i="17"/>
  <c r="AH480" i="17" s="1"/>
  <c r="Z480" i="17"/>
  <c r="Y480" i="17"/>
  <c r="X480" i="17"/>
  <c r="U480" i="17"/>
  <c r="S480" i="17"/>
  <c r="T480" i="17" s="1"/>
  <c r="R480" i="17"/>
  <c r="AN479" i="17"/>
  <c r="AD479" i="17"/>
  <c r="AC479" i="17"/>
  <c r="AI479" i="17" s="1"/>
  <c r="AB479" i="17"/>
  <c r="Z479" i="17"/>
  <c r="Y479" i="17"/>
  <c r="X479" i="17"/>
  <c r="U479" i="17"/>
  <c r="S479" i="17"/>
  <c r="T479" i="17" s="1"/>
  <c r="R479" i="17"/>
  <c r="AN478" i="17"/>
  <c r="AD478" i="17"/>
  <c r="AR478" i="17" s="1"/>
  <c r="AV478" i="17" s="1"/>
  <c r="AC478" i="17"/>
  <c r="AI478" i="17" s="1"/>
  <c r="AB478" i="17"/>
  <c r="Z478" i="17"/>
  <c r="Y478" i="17"/>
  <c r="X478" i="17"/>
  <c r="U478" i="17"/>
  <c r="S478" i="17"/>
  <c r="T478" i="17" s="1"/>
  <c r="R478" i="17"/>
  <c r="AN477" i="17"/>
  <c r="AD477" i="17"/>
  <c r="AR477" i="17" s="1"/>
  <c r="AV477" i="17" s="1"/>
  <c r="AC477" i="17"/>
  <c r="AI477" i="17" s="1"/>
  <c r="AB477" i="17"/>
  <c r="Z477" i="17"/>
  <c r="Y477" i="17"/>
  <c r="X477" i="17"/>
  <c r="U477" i="17"/>
  <c r="S477" i="17"/>
  <c r="T477" i="17" s="1"/>
  <c r="R477" i="17"/>
  <c r="AN476" i="17"/>
  <c r="AD476" i="17"/>
  <c r="AR476" i="17" s="1"/>
  <c r="AV476" i="17" s="1"/>
  <c r="AC476" i="17"/>
  <c r="AI476" i="17" s="1"/>
  <c r="AB476" i="17"/>
  <c r="AH476" i="17" s="1"/>
  <c r="Z476" i="17"/>
  <c r="Y476" i="17"/>
  <c r="X476" i="17"/>
  <c r="U476" i="17"/>
  <c r="S476" i="17"/>
  <c r="T476" i="17" s="1"/>
  <c r="R476" i="17"/>
  <c r="AN475" i="17"/>
  <c r="AD475" i="17"/>
  <c r="AC475" i="17"/>
  <c r="AI475" i="17" s="1"/>
  <c r="AB475" i="17"/>
  <c r="AH475" i="17" s="1"/>
  <c r="Z475" i="17"/>
  <c r="Y475" i="17"/>
  <c r="X475" i="17"/>
  <c r="U475" i="17"/>
  <c r="S475" i="17"/>
  <c r="T475" i="17" s="1"/>
  <c r="R475" i="17"/>
  <c r="AN474" i="17"/>
  <c r="AD474" i="17"/>
  <c r="AC474" i="17"/>
  <c r="AI474" i="17" s="1"/>
  <c r="AB474" i="17"/>
  <c r="AH474" i="17" s="1"/>
  <c r="Z474" i="17"/>
  <c r="Y474" i="17"/>
  <c r="X474" i="17"/>
  <c r="U474" i="17"/>
  <c r="S474" i="17"/>
  <c r="T474" i="17" s="1"/>
  <c r="R474" i="17"/>
  <c r="AN473" i="17"/>
  <c r="AD473" i="17"/>
  <c r="AC473" i="17"/>
  <c r="AI473" i="17" s="1"/>
  <c r="AB473" i="17"/>
  <c r="AH473" i="17" s="1"/>
  <c r="Z473" i="17"/>
  <c r="Y473" i="17"/>
  <c r="X473" i="17"/>
  <c r="U473" i="17"/>
  <c r="S473" i="17"/>
  <c r="T473" i="17" s="1"/>
  <c r="R473" i="17"/>
  <c r="AN472" i="17"/>
  <c r="AD472" i="17"/>
  <c r="AR472" i="17" s="1"/>
  <c r="AV472" i="17" s="1"/>
  <c r="AC472" i="17"/>
  <c r="AI472" i="17" s="1"/>
  <c r="AB472" i="17"/>
  <c r="AH472" i="17" s="1"/>
  <c r="Z472" i="17"/>
  <c r="Y472" i="17"/>
  <c r="X472" i="17"/>
  <c r="U472" i="17"/>
  <c r="S472" i="17"/>
  <c r="T472" i="17" s="1"/>
  <c r="R472" i="17"/>
  <c r="AN471" i="17"/>
  <c r="AD471" i="17"/>
  <c r="AR471" i="17" s="1"/>
  <c r="AV471" i="17" s="1"/>
  <c r="AC471" i="17"/>
  <c r="AI471" i="17" s="1"/>
  <c r="AB471" i="17"/>
  <c r="Z471" i="17"/>
  <c r="Y471" i="17"/>
  <c r="X471" i="17"/>
  <c r="U471" i="17"/>
  <c r="S471" i="17"/>
  <c r="T471" i="17" s="1"/>
  <c r="R471" i="17"/>
  <c r="AN470" i="17"/>
  <c r="AD470" i="17"/>
  <c r="AR470" i="17" s="1"/>
  <c r="AV470" i="17" s="1"/>
  <c r="AC470" i="17"/>
  <c r="AI470" i="17" s="1"/>
  <c r="AB470" i="17"/>
  <c r="AH470" i="17" s="1"/>
  <c r="Z470" i="17"/>
  <c r="Y470" i="17"/>
  <c r="X470" i="17"/>
  <c r="U470" i="17"/>
  <c r="S470" i="17"/>
  <c r="T470" i="17" s="1"/>
  <c r="R470" i="17"/>
  <c r="AN469" i="17"/>
  <c r="AD469" i="17"/>
  <c r="AR469" i="17" s="1"/>
  <c r="AV469" i="17" s="1"/>
  <c r="AC469" i="17"/>
  <c r="AI469" i="17" s="1"/>
  <c r="AB469" i="17"/>
  <c r="AH469" i="17" s="1"/>
  <c r="Z469" i="17"/>
  <c r="Y469" i="17"/>
  <c r="X469" i="17"/>
  <c r="U469" i="17"/>
  <c r="S469" i="17"/>
  <c r="T469" i="17" s="1"/>
  <c r="R469" i="17"/>
  <c r="AN468" i="17"/>
  <c r="AD468" i="17"/>
  <c r="AC468" i="17"/>
  <c r="AI468" i="17" s="1"/>
  <c r="AB468" i="17"/>
  <c r="Z468" i="17"/>
  <c r="Y468" i="17"/>
  <c r="X468" i="17"/>
  <c r="U468" i="17"/>
  <c r="S468" i="17"/>
  <c r="T468" i="17" s="1"/>
  <c r="R468" i="17"/>
  <c r="AN467" i="17"/>
  <c r="AD467" i="17"/>
  <c r="AC467" i="17"/>
  <c r="AI467" i="17" s="1"/>
  <c r="AB467" i="17"/>
  <c r="AH467" i="17" s="1"/>
  <c r="Z467" i="17"/>
  <c r="Y467" i="17"/>
  <c r="X467" i="17"/>
  <c r="U467" i="17"/>
  <c r="S467" i="17"/>
  <c r="T467" i="17" s="1"/>
  <c r="R467" i="17"/>
  <c r="AN466" i="17"/>
  <c r="AD466" i="17"/>
  <c r="AC466" i="17"/>
  <c r="AI466" i="17" s="1"/>
  <c r="AB466" i="17"/>
  <c r="AH466" i="17" s="1"/>
  <c r="Z466" i="17"/>
  <c r="Y466" i="17"/>
  <c r="X466" i="17"/>
  <c r="U466" i="17"/>
  <c r="S466" i="17"/>
  <c r="T466" i="17" s="1"/>
  <c r="R466" i="17"/>
  <c r="AN465" i="17"/>
  <c r="AD465" i="17"/>
  <c r="AR465" i="17" s="1"/>
  <c r="AV465" i="17" s="1"/>
  <c r="AC465" i="17"/>
  <c r="AB465" i="17"/>
  <c r="AH465" i="17" s="1"/>
  <c r="Z465" i="17"/>
  <c r="Y465" i="17"/>
  <c r="X465" i="17"/>
  <c r="U465" i="17"/>
  <c r="S465" i="17"/>
  <c r="T465" i="17" s="1"/>
  <c r="R465" i="17"/>
  <c r="AN464" i="17"/>
  <c r="AD464" i="17"/>
  <c r="AC464" i="17"/>
  <c r="AI464" i="17" s="1"/>
  <c r="AB464" i="17"/>
  <c r="Z464" i="17"/>
  <c r="Y464" i="17"/>
  <c r="X464" i="17"/>
  <c r="U464" i="17"/>
  <c r="S464" i="17"/>
  <c r="T464" i="17" s="1"/>
  <c r="R464" i="17"/>
  <c r="AN463" i="17"/>
  <c r="AD463" i="17"/>
  <c r="AR463" i="17" s="1"/>
  <c r="AV463" i="17" s="1"/>
  <c r="AC463" i="17"/>
  <c r="AI463" i="17" s="1"/>
  <c r="AB463" i="17"/>
  <c r="AH463" i="17" s="1"/>
  <c r="Z463" i="17"/>
  <c r="Y463" i="17"/>
  <c r="X463" i="17"/>
  <c r="U463" i="17"/>
  <c r="S463" i="17"/>
  <c r="T463" i="17" s="1"/>
  <c r="R463" i="17"/>
  <c r="AN462" i="17"/>
  <c r="AD462" i="17"/>
  <c r="AC462" i="17"/>
  <c r="AI462" i="17" s="1"/>
  <c r="AB462" i="17"/>
  <c r="Z462" i="17"/>
  <c r="Y462" i="17"/>
  <c r="X462" i="17"/>
  <c r="U462" i="17"/>
  <c r="S462" i="17"/>
  <c r="T462" i="17" s="1"/>
  <c r="R462" i="17"/>
  <c r="AN461" i="17"/>
  <c r="AD461" i="17"/>
  <c r="AC461" i="17"/>
  <c r="AI461" i="17" s="1"/>
  <c r="AB461" i="17"/>
  <c r="AH461" i="17" s="1"/>
  <c r="Z461" i="17"/>
  <c r="Y461" i="17"/>
  <c r="X461" i="17"/>
  <c r="U461" i="17"/>
  <c r="S461" i="17"/>
  <c r="T461" i="17" s="1"/>
  <c r="R461" i="17"/>
  <c r="AN460" i="17"/>
  <c r="AD460" i="17"/>
  <c r="AC460" i="17"/>
  <c r="AB460" i="17"/>
  <c r="AH460" i="17" s="1"/>
  <c r="Z460" i="17"/>
  <c r="Y460" i="17"/>
  <c r="X460" i="17"/>
  <c r="U460" i="17"/>
  <c r="S460" i="17"/>
  <c r="T460" i="17" s="1"/>
  <c r="R460" i="17"/>
  <c r="AN459" i="17"/>
  <c r="AD459" i="17"/>
  <c r="AR459" i="17" s="1"/>
  <c r="AV459" i="17" s="1"/>
  <c r="AC459" i="17"/>
  <c r="AI459" i="17" s="1"/>
  <c r="AB459" i="17"/>
  <c r="Z459" i="17"/>
  <c r="Y459" i="17"/>
  <c r="X459" i="17"/>
  <c r="U459" i="17"/>
  <c r="S459" i="17"/>
  <c r="T459" i="17" s="1"/>
  <c r="R459" i="17"/>
  <c r="AN458" i="17"/>
  <c r="AD458" i="17"/>
  <c r="AC458" i="17"/>
  <c r="AI458" i="17" s="1"/>
  <c r="AB458" i="17"/>
  <c r="AH458" i="17" s="1"/>
  <c r="Z458" i="17"/>
  <c r="Y458" i="17"/>
  <c r="X458" i="17"/>
  <c r="U458" i="17"/>
  <c r="S458" i="17"/>
  <c r="T458" i="17" s="1"/>
  <c r="R458" i="17"/>
  <c r="AN457" i="17"/>
  <c r="AD457" i="17"/>
  <c r="AR457" i="17" s="1"/>
  <c r="AV457" i="17" s="1"/>
  <c r="AC457" i="17"/>
  <c r="AI457" i="17" s="1"/>
  <c r="AB457" i="17"/>
  <c r="AH457" i="17" s="1"/>
  <c r="Z457" i="17"/>
  <c r="Y457" i="17"/>
  <c r="X457" i="17"/>
  <c r="U457" i="17"/>
  <c r="S457" i="17"/>
  <c r="T457" i="17" s="1"/>
  <c r="R457" i="17"/>
  <c r="AN456" i="17"/>
  <c r="AD456" i="17"/>
  <c r="AC456" i="17"/>
  <c r="AI456" i="17" s="1"/>
  <c r="AB456" i="17"/>
  <c r="AH456" i="17" s="1"/>
  <c r="Z456" i="17"/>
  <c r="Y456" i="17"/>
  <c r="X456" i="17"/>
  <c r="U456" i="17"/>
  <c r="S456" i="17"/>
  <c r="T456" i="17" s="1"/>
  <c r="R456" i="17"/>
  <c r="AN455" i="17"/>
  <c r="AD455" i="17"/>
  <c r="AR455" i="17" s="1"/>
  <c r="AV455" i="17" s="1"/>
  <c r="AC455" i="17"/>
  <c r="AI455" i="17" s="1"/>
  <c r="AB455" i="17"/>
  <c r="Z455" i="17"/>
  <c r="Y455" i="17"/>
  <c r="X455" i="17"/>
  <c r="U455" i="17"/>
  <c r="S455" i="17"/>
  <c r="T455" i="17" s="1"/>
  <c r="R455" i="17"/>
  <c r="AN454" i="17"/>
  <c r="AD454" i="17"/>
  <c r="AC454" i="17"/>
  <c r="AI454" i="17" s="1"/>
  <c r="AB454" i="17"/>
  <c r="Z454" i="17"/>
  <c r="Y454" i="17"/>
  <c r="X454" i="17"/>
  <c r="U454" i="17"/>
  <c r="S454" i="17"/>
  <c r="T454" i="17" s="1"/>
  <c r="R454" i="17"/>
  <c r="AN453" i="17"/>
  <c r="AD453" i="17"/>
  <c r="AR453" i="17" s="1"/>
  <c r="AV453" i="17" s="1"/>
  <c r="AC453" i="17"/>
  <c r="AI453" i="17" s="1"/>
  <c r="AB453" i="17"/>
  <c r="Z453" i="17"/>
  <c r="Y453" i="17"/>
  <c r="X453" i="17"/>
  <c r="U453" i="17"/>
  <c r="S453" i="17"/>
  <c r="T453" i="17" s="1"/>
  <c r="R453" i="17"/>
  <c r="AN452" i="17"/>
  <c r="AD452" i="17"/>
  <c r="AC452" i="17"/>
  <c r="AI452" i="17" s="1"/>
  <c r="AB452" i="17"/>
  <c r="Z452" i="17"/>
  <c r="Y452" i="17"/>
  <c r="X452" i="17"/>
  <c r="U452" i="17"/>
  <c r="S452" i="17"/>
  <c r="T452" i="17" s="1"/>
  <c r="R452" i="17"/>
  <c r="AN451" i="17"/>
  <c r="AD451" i="17"/>
  <c r="AR451" i="17" s="1"/>
  <c r="AV451" i="17" s="1"/>
  <c r="AC451" i="17"/>
  <c r="AI451" i="17" s="1"/>
  <c r="AB451" i="17"/>
  <c r="Z451" i="17"/>
  <c r="Y451" i="17"/>
  <c r="X451" i="17"/>
  <c r="U451" i="17"/>
  <c r="S451" i="17"/>
  <c r="T451" i="17" s="1"/>
  <c r="R451" i="17"/>
  <c r="AN450" i="17"/>
  <c r="AD450" i="17"/>
  <c r="AC450" i="17"/>
  <c r="AI450" i="17" s="1"/>
  <c r="AB450" i="17"/>
  <c r="AH450" i="17" s="1"/>
  <c r="Z450" i="17"/>
  <c r="Y450" i="17"/>
  <c r="X450" i="17"/>
  <c r="U450" i="17"/>
  <c r="S450" i="17"/>
  <c r="T450" i="17" s="1"/>
  <c r="R450" i="17"/>
  <c r="AN449" i="17"/>
  <c r="AD449" i="17"/>
  <c r="AC449" i="17"/>
  <c r="AI449" i="17" s="1"/>
  <c r="AB449" i="17"/>
  <c r="AH449" i="17" s="1"/>
  <c r="Z449" i="17"/>
  <c r="Y449" i="17"/>
  <c r="X449" i="17"/>
  <c r="U449" i="17"/>
  <c r="S449" i="17"/>
  <c r="T449" i="17" s="1"/>
  <c r="R449" i="17"/>
  <c r="AN448" i="17"/>
  <c r="AD448" i="17"/>
  <c r="AC448" i="17"/>
  <c r="AB448" i="17"/>
  <c r="AH448" i="17" s="1"/>
  <c r="Z448" i="17"/>
  <c r="Y448" i="17"/>
  <c r="X448" i="17"/>
  <c r="U448" i="17"/>
  <c r="S448" i="17"/>
  <c r="T448" i="17" s="1"/>
  <c r="R448" i="17"/>
  <c r="AN447" i="17"/>
  <c r="AC447" i="17"/>
  <c r="AI447" i="17" s="1"/>
  <c r="AB447" i="17"/>
  <c r="AH447" i="17" s="1"/>
  <c r="Z447" i="17"/>
  <c r="Y447" i="17"/>
  <c r="X447" i="17"/>
  <c r="U447" i="17"/>
  <c r="S447" i="17"/>
  <c r="T447" i="17" s="1"/>
  <c r="R447" i="17"/>
  <c r="AN446" i="17"/>
  <c r="AD446" i="17"/>
  <c r="AR446" i="17" s="1"/>
  <c r="AV446" i="17" s="1"/>
  <c r="AC446" i="17"/>
  <c r="AI446" i="17" s="1"/>
  <c r="AB446" i="17"/>
  <c r="Z446" i="17"/>
  <c r="Y446" i="17"/>
  <c r="X446" i="17"/>
  <c r="U446" i="17"/>
  <c r="S446" i="17"/>
  <c r="T446" i="17" s="1"/>
  <c r="R446" i="17"/>
  <c r="AN445" i="17"/>
  <c r="AD445" i="17"/>
  <c r="AC445" i="17"/>
  <c r="AI445" i="17" s="1"/>
  <c r="AB445" i="17"/>
  <c r="AH445" i="17" s="1"/>
  <c r="Z445" i="17"/>
  <c r="Y445" i="17"/>
  <c r="X445" i="17"/>
  <c r="U445" i="17"/>
  <c r="S445" i="17"/>
  <c r="T445" i="17" s="1"/>
  <c r="R445" i="17"/>
  <c r="AN444" i="17"/>
  <c r="AD444" i="17"/>
  <c r="AR444" i="17" s="1"/>
  <c r="AV444" i="17" s="1"/>
  <c r="AC444" i="17"/>
  <c r="AI444" i="17" s="1"/>
  <c r="AB444" i="17"/>
  <c r="Z444" i="17"/>
  <c r="Y444" i="17"/>
  <c r="X444" i="17"/>
  <c r="U444" i="17"/>
  <c r="S444" i="17"/>
  <c r="T444" i="17" s="1"/>
  <c r="R444" i="17"/>
  <c r="AN443" i="17"/>
  <c r="AC443" i="17"/>
  <c r="AI443" i="17" s="1"/>
  <c r="AB443" i="17"/>
  <c r="AH443" i="17" s="1"/>
  <c r="Z443" i="17"/>
  <c r="Y443" i="17"/>
  <c r="X443" i="17"/>
  <c r="U443" i="17"/>
  <c r="S443" i="17"/>
  <c r="T443" i="17" s="1"/>
  <c r="R443" i="17"/>
  <c r="AN442" i="17"/>
  <c r="AC442" i="17"/>
  <c r="AI442" i="17" s="1"/>
  <c r="AB442" i="17"/>
  <c r="AH442" i="17" s="1"/>
  <c r="Z442" i="17"/>
  <c r="Y442" i="17"/>
  <c r="X442" i="17"/>
  <c r="U442" i="17"/>
  <c r="S442" i="17"/>
  <c r="T442" i="17" s="1"/>
  <c r="R442" i="17"/>
  <c r="AN441" i="17"/>
  <c r="AC441" i="17"/>
  <c r="AI441" i="17" s="1"/>
  <c r="AB441" i="17"/>
  <c r="AH441" i="17" s="1"/>
  <c r="Z441" i="17"/>
  <c r="Y441" i="17"/>
  <c r="X441" i="17"/>
  <c r="U441" i="17"/>
  <c r="S441" i="17"/>
  <c r="T441" i="17" s="1"/>
  <c r="R441" i="17"/>
  <c r="AN440" i="17"/>
  <c r="AC440" i="17"/>
  <c r="AI440" i="17" s="1"/>
  <c r="AB440" i="17"/>
  <c r="AH440" i="17" s="1"/>
  <c r="Z440" i="17"/>
  <c r="Y440" i="17"/>
  <c r="X440" i="17"/>
  <c r="U440" i="17"/>
  <c r="S440" i="17"/>
  <c r="T440" i="17" s="1"/>
  <c r="R440" i="17"/>
  <c r="AN439" i="17"/>
  <c r="AC439" i="17"/>
  <c r="AI439" i="17" s="1"/>
  <c r="AB439" i="17"/>
  <c r="AH439" i="17" s="1"/>
  <c r="Y439" i="17"/>
  <c r="X439" i="17"/>
  <c r="U439" i="17"/>
  <c r="S439" i="17"/>
  <c r="T439" i="17" s="1"/>
  <c r="R439" i="17"/>
  <c r="AN438" i="17"/>
  <c r="AC438" i="17"/>
  <c r="AI438" i="17" s="1"/>
  <c r="AB438" i="17"/>
  <c r="AH438" i="17" s="1"/>
  <c r="Z438" i="17"/>
  <c r="Y438" i="17"/>
  <c r="X438" i="17"/>
  <c r="U438" i="17"/>
  <c r="S438" i="17"/>
  <c r="T438" i="17" s="1"/>
  <c r="R438" i="17"/>
  <c r="AN437" i="17"/>
  <c r="AC437" i="17"/>
  <c r="AI437" i="17" s="1"/>
  <c r="AB437" i="17"/>
  <c r="AH437" i="17" s="1"/>
  <c r="Z437" i="17"/>
  <c r="Y437" i="17"/>
  <c r="X437" i="17"/>
  <c r="U437" i="17"/>
  <c r="S437" i="17"/>
  <c r="T437" i="17" s="1"/>
  <c r="R437" i="17"/>
  <c r="AN436" i="17"/>
  <c r="AC436" i="17"/>
  <c r="AI436" i="17" s="1"/>
  <c r="AB436" i="17"/>
  <c r="AH436" i="17" s="1"/>
  <c r="Z436" i="17"/>
  <c r="Y436" i="17"/>
  <c r="X436" i="17"/>
  <c r="U436" i="17"/>
  <c r="S436" i="17"/>
  <c r="T436" i="17" s="1"/>
  <c r="R436" i="17"/>
  <c r="AN435" i="17"/>
  <c r="AC435" i="17"/>
  <c r="AI435" i="17" s="1"/>
  <c r="AB435" i="17"/>
  <c r="AH435" i="17" s="1"/>
  <c r="Z435" i="17"/>
  <c r="Y435" i="17"/>
  <c r="X435" i="17"/>
  <c r="U435" i="17"/>
  <c r="S435" i="17"/>
  <c r="T435" i="17" s="1"/>
  <c r="R435" i="17"/>
  <c r="AN434" i="17"/>
  <c r="AC434" i="17"/>
  <c r="AI434" i="17" s="1"/>
  <c r="AB434" i="17"/>
  <c r="Z434" i="17"/>
  <c r="Y434" i="17"/>
  <c r="X434" i="17"/>
  <c r="U434" i="17"/>
  <c r="S434" i="17"/>
  <c r="T434" i="17" s="1"/>
  <c r="R434" i="17"/>
  <c r="AN433" i="17"/>
  <c r="AC433" i="17"/>
  <c r="AI433" i="17" s="1"/>
  <c r="AB433" i="17"/>
  <c r="Z433" i="17"/>
  <c r="Y433" i="17"/>
  <c r="X433" i="17"/>
  <c r="U433" i="17"/>
  <c r="S433" i="17"/>
  <c r="T433" i="17" s="1"/>
  <c r="R433" i="17"/>
  <c r="AN432" i="17"/>
  <c r="AD432" i="17"/>
  <c r="AC432" i="17"/>
  <c r="AI432" i="17" s="1"/>
  <c r="AB432" i="17"/>
  <c r="AH432" i="17" s="1"/>
  <c r="Z432" i="17"/>
  <c r="Y432" i="17"/>
  <c r="X432" i="17"/>
  <c r="U432" i="17"/>
  <c r="S432" i="17"/>
  <c r="T432" i="17" s="1"/>
  <c r="R432" i="17"/>
  <c r="AN431" i="17"/>
  <c r="AD431" i="17"/>
  <c r="AR431" i="17" s="1"/>
  <c r="AV431" i="17" s="1"/>
  <c r="AC431" i="17"/>
  <c r="AB431" i="17"/>
  <c r="AH431" i="17" s="1"/>
  <c r="Z431" i="17"/>
  <c r="Y431" i="17"/>
  <c r="X431" i="17"/>
  <c r="U431" i="17"/>
  <c r="S431" i="17"/>
  <c r="T431" i="17" s="1"/>
  <c r="R431" i="17"/>
  <c r="AN430" i="17"/>
  <c r="AD430" i="17"/>
  <c r="AR430" i="17" s="1"/>
  <c r="AV430" i="17" s="1"/>
  <c r="AC430" i="17"/>
  <c r="AI430" i="17" s="1"/>
  <c r="AB430" i="17"/>
  <c r="AH430" i="17" s="1"/>
  <c r="Z430" i="17"/>
  <c r="Y430" i="17"/>
  <c r="X430" i="17"/>
  <c r="U430" i="17"/>
  <c r="S430" i="17"/>
  <c r="T430" i="17" s="1"/>
  <c r="R430" i="17"/>
  <c r="AN429" i="17"/>
  <c r="AC429" i="17"/>
  <c r="AI429" i="17" s="1"/>
  <c r="AB429" i="17"/>
  <c r="AH429" i="17" s="1"/>
  <c r="Z429" i="17"/>
  <c r="Y429" i="17"/>
  <c r="X429" i="17"/>
  <c r="U429" i="17"/>
  <c r="S429" i="17"/>
  <c r="T429" i="17" s="1"/>
  <c r="R429" i="17"/>
  <c r="AN428" i="17"/>
  <c r="AC428" i="17"/>
  <c r="AI428" i="17" s="1"/>
  <c r="AB428" i="17"/>
  <c r="AH428" i="17" s="1"/>
  <c r="Z428" i="17"/>
  <c r="Y428" i="17"/>
  <c r="X428" i="17"/>
  <c r="U428" i="17"/>
  <c r="S428" i="17"/>
  <c r="T428" i="17" s="1"/>
  <c r="R428" i="17"/>
  <c r="AN427" i="17"/>
  <c r="AC427" i="17"/>
  <c r="AI427" i="17" s="1"/>
  <c r="AB427" i="17"/>
  <c r="Z427" i="17"/>
  <c r="Y427" i="17"/>
  <c r="X427" i="17"/>
  <c r="U427" i="17"/>
  <c r="S427" i="17"/>
  <c r="T427" i="17" s="1"/>
  <c r="R427" i="17"/>
  <c r="AN426" i="17"/>
  <c r="AC426" i="17"/>
  <c r="AI426" i="17" s="1"/>
  <c r="AB426" i="17"/>
  <c r="AH426" i="17" s="1"/>
  <c r="Z426" i="17"/>
  <c r="Y426" i="17"/>
  <c r="X426" i="17"/>
  <c r="U426" i="17"/>
  <c r="S426" i="17"/>
  <c r="T426" i="17" s="1"/>
  <c r="R426" i="17"/>
  <c r="AN425" i="17"/>
  <c r="AC425" i="17"/>
  <c r="AI425" i="17" s="1"/>
  <c r="AB425" i="17"/>
  <c r="AH425" i="17" s="1"/>
  <c r="Z425" i="17"/>
  <c r="Y425" i="17"/>
  <c r="X425" i="17"/>
  <c r="U425" i="17"/>
  <c r="S425" i="17"/>
  <c r="T425" i="17" s="1"/>
  <c r="R425" i="17"/>
  <c r="AN424" i="17"/>
  <c r="AC424" i="17"/>
  <c r="AI424" i="17" s="1"/>
  <c r="AB424" i="17"/>
  <c r="Y424" i="17"/>
  <c r="X424" i="17"/>
  <c r="U424" i="17"/>
  <c r="S424" i="17"/>
  <c r="T424" i="17" s="1"/>
  <c r="R424" i="17"/>
  <c r="AN423" i="17"/>
  <c r="AC423" i="17"/>
  <c r="AI423" i="17" s="1"/>
  <c r="AB423" i="17"/>
  <c r="AH423" i="17" s="1"/>
  <c r="Z423" i="17"/>
  <c r="Y423" i="17"/>
  <c r="X423" i="17"/>
  <c r="U423" i="17"/>
  <c r="S423" i="17"/>
  <c r="T423" i="17" s="1"/>
  <c r="R423" i="17"/>
  <c r="AN422" i="17"/>
  <c r="AC422" i="17"/>
  <c r="AB422" i="17"/>
  <c r="AH422" i="17" s="1"/>
  <c r="Z422" i="17"/>
  <c r="Y422" i="17"/>
  <c r="X422" i="17"/>
  <c r="U422" i="17"/>
  <c r="S422" i="17"/>
  <c r="T422" i="17" s="1"/>
  <c r="R422" i="17"/>
  <c r="AN421" i="17"/>
  <c r="AC421" i="17"/>
  <c r="AI421" i="17" s="1"/>
  <c r="AB421" i="17"/>
  <c r="AH421" i="17" s="1"/>
  <c r="Z421" i="17"/>
  <c r="Y421" i="17"/>
  <c r="X421" i="17"/>
  <c r="U421" i="17"/>
  <c r="S421" i="17"/>
  <c r="T421" i="17" s="1"/>
  <c r="R421" i="17"/>
  <c r="AN420" i="17"/>
  <c r="AC420" i="17"/>
  <c r="AI420" i="17" s="1"/>
  <c r="AB420" i="17"/>
  <c r="Z420" i="17"/>
  <c r="Y420" i="17"/>
  <c r="X420" i="17"/>
  <c r="U420" i="17"/>
  <c r="S420" i="17"/>
  <c r="T420" i="17" s="1"/>
  <c r="R420" i="17"/>
  <c r="AN419" i="17"/>
  <c r="AC419" i="17"/>
  <c r="AI419" i="17" s="1"/>
  <c r="AB419" i="17"/>
  <c r="AH419" i="17" s="1"/>
  <c r="Z419" i="17"/>
  <c r="Y419" i="17"/>
  <c r="X419" i="17"/>
  <c r="U419" i="17"/>
  <c r="S419" i="17"/>
  <c r="T419" i="17" s="1"/>
  <c r="R419" i="17"/>
  <c r="AN418" i="17"/>
  <c r="AC418" i="17"/>
  <c r="AI418" i="17" s="1"/>
  <c r="AB418" i="17"/>
  <c r="AH418" i="17" s="1"/>
  <c r="Z418" i="17"/>
  <c r="Y418" i="17"/>
  <c r="X418" i="17"/>
  <c r="U418" i="17"/>
  <c r="S418" i="17"/>
  <c r="T418" i="17" s="1"/>
  <c r="R418" i="17"/>
  <c r="AN417" i="17"/>
  <c r="AC417" i="17"/>
  <c r="AI417" i="17" s="1"/>
  <c r="AB417" i="17"/>
  <c r="AH417" i="17" s="1"/>
  <c r="Z417" i="17"/>
  <c r="Y417" i="17"/>
  <c r="X417" i="17"/>
  <c r="U417" i="17"/>
  <c r="S417" i="17"/>
  <c r="T417" i="17" s="1"/>
  <c r="R417" i="17"/>
  <c r="AN416" i="17"/>
  <c r="AD416" i="17"/>
  <c r="AR416" i="17" s="1"/>
  <c r="AV416" i="17" s="1"/>
  <c r="AC416" i="17"/>
  <c r="AI416" i="17" s="1"/>
  <c r="AB416" i="17"/>
  <c r="Z416" i="17"/>
  <c r="Y416" i="17"/>
  <c r="X416" i="17"/>
  <c r="U416" i="17"/>
  <c r="S416" i="17"/>
  <c r="T416" i="17" s="1"/>
  <c r="R416" i="17"/>
  <c r="AN415" i="17"/>
  <c r="AD415" i="17"/>
  <c r="AC415" i="17"/>
  <c r="AI415" i="17" s="1"/>
  <c r="AB415" i="17"/>
  <c r="AH415" i="17" s="1"/>
  <c r="Z415" i="17"/>
  <c r="Y415" i="17"/>
  <c r="X415" i="17"/>
  <c r="U415" i="17"/>
  <c r="S415" i="17"/>
  <c r="T415" i="17" s="1"/>
  <c r="R415" i="17"/>
  <c r="AN414" i="17"/>
  <c r="AD414" i="17"/>
  <c r="AC414" i="17"/>
  <c r="AI414" i="17" s="1"/>
  <c r="AB414" i="17"/>
  <c r="Z414" i="17"/>
  <c r="Y414" i="17"/>
  <c r="X414" i="17"/>
  <c r="U414" i="17"/>
  <c r="S414" i="17"/>
  <c r="T414" i="17" s="1"/>
  <c r="R414" i="17"/>
  <c r="AN413" i="17"/>
  <c r="AD413" i="17"/>
  <c r="AC413" i="17"/>
  <c r="AI413" i="17" s="1"/>
  <c r="AB413" i="17"/>
  <c r="AH413" i="17" s="1"/>
  <c r="Z413" i="17"/>
  <c r="Y413" i="17"/>
  <c r="X413" i="17"/>
  <c r="U413" i="17"/>
  <c r="S413" i="17"/>
  <c r="T413" i="17" s="1"/>
  <c r="R413" i="17"/>
  <c r="AN412" i="17"/>
  <c r="AC412" i="17"/>
  <c r="AI412" i="17" s="1"/>
  <c r="AB412" i="17"/>
  <c r="AH412" i="17" s="1"/>
  <c r="Z412" i="17"/>
  <c r="Y412" i="17"/>
  <c r="X412" i="17"/>
  <c r="U412" i="17"/>
  <c r="S412" i="17"/>
  <c r="T412" i="17" s="1"/>
  <c r="R412" i="17"/>
  <c r="AN411" i="17"/>
  <c r="AC411" i="17"/>
  <c r="AI411" i="17" s="1"/>
  <c r="AB411" i="17"/>
  <c r="AH411" i="17" s="1"/>
  <c r="Y411" i="17"/>
  <c r="X411" i="17"/>
  <c r="U411" i="17"/>
  <c r="S411" i="17"/>
  <c r="T411" i="17" s="1"/>
  <c r="R411" i="17"/>
  <c r="AN410" i="17"/>
  <c r="AC410" i="17"/>
  <c r="AI410" i="17" s="1"/>
  <c r="AB410" i="17"/>
  <c r="AH410" i="17" s="1"/>
  <c r="Z410" i="17"/>
  <c r="Y410" i="17"/>
  <c r="X410" i="17"/>
  <c r="U410" i="17"/>
  <c r="S410" i="17"/>
  <c r="T410" i="17" s="1"/>
  <c r="R410" i="17"/>
  <c r="AN409" i="17"/>
  <c r="AC409" i="17"/>
  <c r="AI409" i="17" s="1"/>
  <c r="AB409" i="17"/>
  <c r="AH409" i="17" s="1"/>
  <c r="Z409" i="17"/>
  <c r="Y409" i="17"/>
  <c r="X409" i="17"/>
  <c r="U409" i="17"/>
  <c r="S409" i="17"/>
  <c r="T409" i="17" s="1"/>
  <c r="R409" i="17"/>
  <c r="AN408" i="17"/>
  <c r="AC408" i="17"/>
  <c r="AI408" i="17" s="1"/>
  <c r="AB408" i="17"/>
  <c r="Z408" i="17"/>
  <c r="Y408" i="17"/>
  <c r="X408" i="17"/>
  <c r="U408" i="17"/>
  <c r="S408" i="17"/>
  <c r="T408" i="17" s="1"/>
  <c r="R408" i="17"/>
  <c r="AN407" i="17"/>
  <c r="AC407" i="17"/>
  <c r="AI407" i="17" s="1"/>
  <c r="AB407" i="17"/>
  <c r="AH407" i="17" s="1"/>
  <c r="Z407" i="17"/>
  <c r="Y407" i="17"/>
  <c r="X407" i="17"/>
  <c r="U407" i="17"/>
  <c r="S407" i="17"/>
  <c r="T407" i="17" s="1"/>
  <c r="R407" i="17"/>
  <c r="AN406" i="17"/>
  <c r="AC406" i="17"/>
  <c r="AI406" i="17" s="1"/>
  <c r="AB406" i="17"/>
  <c r="AH406" i="17" s="1"/>
  <c r="Z406" i="17"/>
  <c r="Y406" i="17"/>
  <c r="X406" i="17"/>
  <c r="U406" i="17"/>
  <c r="S406" i="17"/>
  <c r="T406" i="17" s="1"/>
  <c r="R406" i="17"/>
  <c r="AN405" i="17"/>
  <c r="AD405" i="17"/>
  <c r="AC405" i="17"/>
  <c r="AI405" i="17" s="1"/>
  <c r="AB405" i="17"/>
  <c r="AH405" i="17" s="1"/>
  <c r="Z405" i="17"/>
  <c r="Y405" i="17"/>
  <c r="X405" i="17"/>
  <c r="U405" i="17"/>
  <c r="S405" i="17"/>
  <c r="T405" i="17" s="1"/>
  <c r="R405" i="17"/>
  <c r="AN404" i="17"/>
  <c r="AC404" i="17"/>
  <c r="AI404" i="17" s="1"/>
  <c r="AB404" i="17"/>
  <c r="Z404" i="17"/>
  <c r="Y404" i="17"/>
  <c r="X404" i="17"/>
  <c r="U404" i="17"/>
  <c r="S404" i="17"/>
  <c r="T404" i="17" s="1"/>
  <c r="R404" i="17"/>
  <c r="AN403" i="17"/>
  <c r="AC403" i="17"/>
  <c r="AI403" i="17" s="1"/>
  <c r="AB403" i="17"/>
  <c r="AH403" i="17" s="1"/>
  <c r="Z403" i="17"/>
  <c r="Y403" i="17"/>
  <c r="X403" i="17"/>
  <c r="U403" i="17"/>
  <c r="S403" i="17"/>
  <c r="T403" i="17" s="1"/>
  <c r="R403" i="17"/>
  <c r="AN402" i="17"/>
  <c r="AD402" i="17"/>
  <c r="AR402" i="17" s="1"/>
  <c r="AV402" i="17" s="1"/>
  <c r="AC402" i="17"/>
  <c r="AI402" i="17" s="1"/>
  <c r="AB402" i="17"/>
  <c r="Z402" i="17"/>
  <c r="Y402" i="17"/>
  <c r="X402" i="17"/>
  <c r="U402" i="17"/>
  <c r="S402" i="17"/>
  <c r="T402" i="17" s="1"/>
  <c r="R402" i="17"/>
  <c r="AN401" i="17"/>
  <c r="AD401" i="17"/>
  <c r="AR401" i="17" s="1"/>
  <c r="AV401" i="17" s="1"/>
  <c r="AC401" i="17"/>
  <c r="AI401" i="17" s="1"/>
  <c r="AB401" i="17"/>
  <c r="AH401" i="17" s="1"/>
  <c r="Z401" i="17"/>
  <c r="Y401" i="17"/>
  <c r="X401" i="17"/>
  <c r="U401" i="17"/>
  <c r="S401" i="17"/>
  <c r="T401" i="17" s="1"/>
  <c r="R401" i="17"/>
  <c r="AN400" i="17"/>
  <c r="AC400" i="17"/>
  <c r="AI400" i="17" s="1"/>
  <c r="AB400" i="17"/>
  <c r="AH400" i="17" s="1"/>
  <c r="Z400" i="17"/>
  <c r="Y400" i="17"/>
  <c r="X400" i="17"/>
  <c r="U400" i="17"/>
  <c r="S400" i="17"/>
  <c r="T400" i="17" s="1"/>
  <c r="R400" i="17"/>
  <c r="AN399" i="17"/>
  <c r="AC399" i="17"/>
  <c r="AI399" i="17" s="1"/>
  <c r="AB399" i="17"/>
  <c r="AH399" i="17" s="1"/>
  <c r="Z399" i="17"/>
  <c r="Y399" i="17"/>
  <c r="X399" i="17"/>
  <c r="U399" i="17"/>
  <c r="S399" i="17"/>
  <c r="T399" i="17" s="1"/>
  <c r="R399" i="17"/>
  <c r="AN398" i="17"/>
  <c r="AD398" i="17"/>
  <c r="AR398" i="17" s="1"/>
  <c r="AV398" i="17" s="1"/>
  <c r="AC398" i="17"/>
  <c r="AI398" i="17" s="1"/>
  <c r="AB398" i="17"/>
  <c r="Z398" i="17"/>
  <c r="Y398" i="17"/>
  <c r="X398" i="17"/>
  <c r="U398" i="17"/>
  <c r="S398" i="17"/>
  <c r="T398" i="17" s="1"/>
  <c r="R398" i="17"/>
  <c r="AN397" i="17"/>
  <c r="AD397" i="17"/>
  <c r="AC397" i="17"/>
  <c r="AI397" i="17" s="1"/>
  <c r="AB397" i="17"/>
  <c r="AH397" i="17" s="1"/>
  <c r="Z397" i="17"/>
  <c r="Y397" i="17"/>
  <c r="X397" i="17"/>
  <c r="U397" i="17"/>
  <c r="S397" i="17"/>
  <c r="T397" i="17" s="1"/>
  <c r="R397" i="17"/>
  <c r="AN396" i="17"/>
  <c r="AD396" i="17"/>
  <c r="AC396" i="17"/>
  <c r="AI396" i="17" s="1"/>
  <c r="AB396" i="17"/>
  <c r="AH396" i="17" s="1"/>
  <c r="Z396" i="17"/>
  <c r="Y396" i="17"/>
  <c r="X396" i="17"/>
  <c r="U396" i="17"/>
  <c r="S396" i="17"/>
  <c r="T396" i="17" s="1"/>
  <c r="R396" i="17"/>
  <c r="AN395" i="17"/>
  <c r="AD395" i="17"/>
  <c r="AR395" i="17" s="1"/>
  <c r="AV395" i="17" s="1"/>
  <c r="AC395" i="17"/>
  <c r="AI395" i="17" s="1"/>
  <c r="AB395" i="17"/>
  <c r="AH395" i="17" s="1"/>
  <c r="Z395" i="17"/>
  <c r="Y395" i="17"/>
  <c r="X395" i="17"/>
  <c r="U395" i="17"/>
  <c r="S395" i="17"/>
  <c r="T395" i="17" s="1"/>
  <c r="R395" i="17"/>
  <c r="AN394" i="17"/>
  <c r="AC394" i="17"/>
  <c r="AI394" i="17" s="1"/>
  <c r="AB394" i="17"/>
  <c r="AH394" i="17" s="1"/>
  <c r="Z394" i="17"/>
  <c r="Y394" i="17"/>
  <c r="X394" i="17"/>
  <c r="U394" i="17"/>
  <c r="S394" i="17"/>
  <c r="T394" i="17" s="1"/>
  <c r="R394" i="17"/>
  <c r="AN393" i="17"/>
  <c r="AC393" i="17"/>
  <c r="AB393" i="17"/>
  <c r="AH393" i="17" s="1"/>
  <c r="Z393" i="17"/>
  <c r="Y393" i="17"/>
  <c r="X393" i="17"/>
  <c r="U393" i="17"/>
  <c r="S393" i="17"/>
  <c r="T393" i="17" s="1"/>
  <c r="R393" i="17"/>
  <c r="AN392" i="17"/>
  <c r="AC392" i="17"/>
  <c r="AI392" i="17" s="1"/>
  <c r="AB392" i="17"/>
  <c r="AH392" i="17" s="1"/>
  <c r="Y392" i="17"/>
  <c r="X392" i="17"/>
  <c r="U392" i="17"/>
  <c r="S392" i="17"/>
  <c r="T392" i="17" s="1"/>
  <c r="R392" i="17"/>
  <c r="AN391" i="17"/>
  <c r="AC391" i="17"/>
  <c r="AI391" i="17" s="1"/>
  <c r="AB391" i="17"/>
  <c r="AH391" i="17" s="1"/>
  <c r="Z391" i="17"/>
  <c r="Y391" i="17"/>
  <c r="X391" i="17"/>
  <c r="U391" i="17"/>
  <c r="S391" i="17"/>
  <c r="T391" i="17" s="1"/>
  <c r="R391" i="17"/>
  <c r="AN390" i="17"/>
  <c r="AC390" i="17"/>
  <c r="AI390" i="17" s="1"/>
  <c r="AB390" i="17"/>
  <c r="Z390" i="17"/>
  <c r="Y390" i="17"/>
  <c r="X390" i="17"/>
  <c r="U390" i="17"/>
  <c r="S390" i="17"/>
  <c r="T390" i="17" s="1"/>
  <c r="R390" i="17"/>
  <c r="AN389" i="17"/>
  <c r="AC389" i="17"/>
  <c r="AI389" i="17" s="1"/>
  <c r="AB389" i="17"/>
  <c r="AH389" i="17" s="1"/>
  <c r="Z389" i="17"/>
  <c r="Y389" i="17"/>
  <c r="X389" i="17"/>
  <c r="U389" i="17"/>
  <c r="S389" i="17"/>
  <c r="T389" i="17" s="1"/>
  <c r="R389" i="17"/>
  <c r="AN388" i="17"/>
  <c r="AC388" i="17"/>
  <c r="AB388" i="17"/>
  <c r="AH388" i="17" s="1"/>
  <c r="Z388" i="17"/>
  <c r="Y388" i="17"/>
  <c r="X388" i="17"/>
  <c r="U388" i="17"/>
  <c r="S388" i="17"/>
  <c r="T388" i="17" s="1"/>
  <c r="R388" i="17"/>
  <c r="AN387" i="17"/>
  <c r="AC387" i="17"/>
  <c r="AI387" i="17" s="1"/>
  <c r="AB387" i="17"/>
  <c r="Z387" i="17"/>
  <c r="Y387" i="17"/>
  <c r="X387" i="17"/>
  <c r="U387" i="17"/>
  <c r="S387" i="17"/>
  <c r="T387" i="17" s="1"/>
  <c r="R387" i="17"/>
  <c r="AN386" i="17"/>
  <c r="AC386" i="17"/>
  <c r="AI386" i="17" s="1"/>
  <c r="AB386" i="17"/>
  <c r="AH386" i="17" s="1"/>
  <c r="Z386" i="17"/>
  <c r="Y386" i="17"/>
  <c r="X386" i="17"/>
  <c r="U386" i="17"/>
  <c r="S386" i="17"/>
  <c r="T386" i="17" s="1"/>
  <c r="R386" i="17"/>
  <c r="AN385" i="17"/>
  <c r="AC385" i="17"/>
  <c r="AI385" i="17" s="1"/>
  <c r="AB385" i="17"/>
  <c r="AH385" i="17" s="1"/>
  <c r="Z385" i="17"/>
  <c r="Y385" i="17"/>
  <c r="X385" i="17"/>
  <c r="U385" i="17"/>
  <c r="S385" i="17"/>
  <c r="T385" i="17" s="1"/>
  <c r="R385" i="17"/>
  <c r="AN384" i="17"/>
  <c r="AC384" i="17"/>
  <c r="AB384" i="17"/>
  <c r="AH384" i="17" s="1"/>
  <c r="Z384" i="17"/>
  <c r="Y384" i="17"/>
  <c r="X384" i="17"/>
  <c r="U384" i="17"/>
  <c r="S384" i="17"/>
  <c r="T384" i="17" s="1"/>
  <c r="R384" i="17"/>
  <c r="AN383" i="17"/>
  <c r="AC383" i="17"/>
  <c r="AI383" i="17" s="1"/>
  <c r="AB383" i="17"/>
  <c r="Z383" i="17"/>
  <c r="Y383" i="17"/>
  <c r="X383" i="17"/>
  <c r="U383" i="17"/>
  <c r="S383" i="17"/>
  <c r="T383" i="17" s="1"/>
  <c r="R383" i="17"/>
  <c r="AN382" i="17"/>
  <c r="AD382" i="17"/>
  <c r="AR382" i="17" s="1"/>
  <c r="AV382" i="17" s="1"/>
  <c r="AC382" i="17"/>
  <c r="AI382" i="17" s="1"/>
  <c r="AB382" i="17"/>
  <c r="Z382" i="17"/>
  <c r="Y382" i="17"/>
  <c r="X382" i="17"/>
  <c r="U382" i="17"/>
  <c r="S382" i="17"/>
  <c r="T382" i="17" s="1"/>
  <c r="R382" i="17"/>
  <c r="AN381" i="17"/>
  <c r="AD381" i="17"/>
  <c r="AC381" i="17"/>
  <c r="AI381" i="17" s="1"/>
  <c r="AB381" i="17"/>
  <c r="AH381" i="17" s="1"/>
  <c r="Z381" i="17"/>
  <c r="Y381" i="17"/>
  <c r="X381" i="17"/>
  <c r="U381" i="17"/>
  <c r="S381" i="17"/>
  <c r="T381" i="17" s="1"/>
  <c r="R381" i="17"/>
  <c r="AN380" i="17"/>
  <c r="AC380" i="17"/>
  <c r="AI380" i="17" s="1"/>
  <c r="AB380" i="17"/>
  <c r="AH380" i="17" s="1"/>
  <c r="Z380" i="17"/>
  <c r="Y380" i="17"/>
  <c r="X380" i="17"/>
  <c r="U380" i="17"/>
  <c r="S380" i="17"/>
  <c r="T380" i="17" s="1"/>
  <c r="R380" i="17"/>
  <c r="AN379" i="17"/>
  <c r="AC379" i="17"/>
  <c r="AI379" i="17" s="1"/>
  <c r="AB379" i="17"/>
  <c r="AH379" i="17" s="1"/>
  <c r="Z379" i="17"/>
  <c r="Y379" i="17"/>
  <c r="X379" i="17"/>
  <c r="U379" i="17"/>
  <c r="S379" i="17"/>
  <c r="T379" i="17" s="1"/>
  <c r="R379" i="17"/>
  <c r="AN378" i="17"/>
  <c r="AC378" i="17"/>
  <c r="AB378" i="17"/>
  <c r="AH378" i="17" s="1"/>
  <c r="Z378" i="17"/>
  <c r="Y378" i="17"/>
  <c r="X378" i="17"/>
  <c r="U378" i="17"/>
  <c r="S378" i="17"/>
  <c r="T378" i="17" s="1"/>
  <c r="R378" i="17"/>
  <c r="AN377" i="17"/>
  <c r="AD377" i="17"/>
  <c r="AC377" i="17"/>
  <c r="AI377" i="17" s="1"/>
  <c r="AB377" i="17"/>
  <c r="AH377" i="17" s="1"/>
  <c r="Z377" i="17"/>
  <c r="Y377" i="17"/>
  <c r="X377" i="17"/>
  <c r="U377" i="17"/>
  <c r="S377" i="17"/>
  <c r="T377" i="17" s="1"/>
  <c r="R377" i="17"/>
  <c r="AN376" i="17"/>
  <c r="AD376" i="17"/>
  <c r="AR376" i="17" s="1"/>
  <c r="AV376" i="17" s="1"/>
  <c r="AC376" i="17"/>
  <c r="AB376" i="17"/>
  <c r="AH376" i="17" s="1"/>
  <c r="Z376" i="17"/>
  <c r="Y376" i="17"/>
  <c r="X376" i="17"/>
  <c r="U376" i="17"/>
  <c r="S376" i="17"/>
  <c r="T376" i="17" s="1"/>
  <c r="R376" i="17"/>
  <c r="AN375" i="17"/>
  <c r="AC375" i="17"/>
  <c r="AI375" i="17" s="1"/>
  <c r="AB375" i="17"/>
  <c r="Z375" i="17"/>
  <c r="Y375" i="17"/>
  <c r="X375" i="17"/>
  <c r="U375" i="17"/>
  <c r="S375" i="17"/>
  <c r="T375" i="17" s="1"/>
  <c r="R375" i="17"/>
  <c r="AN374" i="17"/>
  <c r="AC374" i="17"/>
  <c r="AI374" i="17" s="1"/>
  <c r="AB374" i="17"/>
  <c r="AH374" i="17" s="1"/>
  <c r="Y374" i="17"/>
  <c r="X374" i="17"/>
  <c r="U374" i="17"/>
  <c r="S374" i="17"/>
  <c r="T374" i="17" s="1"/>
  <c r="R374" i="17"/>
  <c r="AN373" i="17"/>
  <c r="AC373" i="17"/>
  <c r="AI373" i="17" s="1"/>
  <c r="AB373" i="17"/>
  <c r="AH373" i="17" s="1"/>
  <c r="Z373" i="17"/>
  <c r="Y373" i="17"/>
  <c r="X373" i="17"/>
  <c r="U373" i="17"/>
  <c r="S373" i="17"/>
  <c r="T373" i="17" s="1"/>
  <c r="R373" i="17"/>
  <c r="AN372" i="17"/>
  <c r="AC372" i="17"/>
  <c r="AI372" i="17" s="1"/>
  <c r="AB372" i="17"/>
  <c r="AH372" i="17" s="1"/>
  <c r="Z372" i="17"/>
  <c r="Y372" i="17"/>
  <c r="X372" i="17"/>
  <c r="U372" i="17"/>
  <c r="S372" i="17"/>
  <c r="T372" i="17" s="1"/>
  <c r="R372" i="17"/>
  <c r="AN371" i="17"/>
  <c r="AC371" i="17"/>
  <c r="AI371" i="17" s="1"/>
  <c r="AB371" i="17"/>
  <c r="Z371" i="17"/>
  <c r="Y371" i="17"/>
  <c r="X371" i="17"/>
  <c r="U371" i="17"/>
  <c r="S371" i="17"/>
  <c r="T371" i="17" s="1"/>
  <c r="R371" i="17"/>
  <c r="AN370" i="17"/>
  <c r="AC370" i="17"/>
  <c r="AB370" i="17"/>
  <c r="AH370" i="17" s="1"/>
  <c r="Z370" i="17"/>
  <c r="Y370" i="17"/>
  <c r="X370" i="17"/>
  <c r="U370" i="17"/>
  <c r="S370" i="17"/>
  <c r="T370" i="17" s="1"/>
  <c r="R370" i="17"/>
  <c r="AN369" i="17"/>
  <c r="AC369" i="17"/>
  <c r="AI369" i="17" s="1"/>
  <c r="AB369" i="17"/>
  <c r="AH369" i="17" s="1"/>
  <c r="Z369" i="17"/>
  <c r="Y369" i="17"/>
  <c r="X369" i="17"/>
  <c r="U369" i="17"/>
  <c r="S369" i="17"/>
  <c r="T369" i="17" s="1"/>
  <c r="R369" i="17"/>
  <c r="AN368" i="17"/>
  <c r="AC368" i="17"/>
  <c r="AI368" i="17" s="1"/>
  <c r="AB368" i="17"/>
  <c r="AH368" i="17" s="1"/>
  <c r="Z368" i="17"/>
  <c r="Y368" i="17"/>
  <c r="X368" i="17"/>
  <c r="U368" i="17"/>
  <c r="S368" i="17"/>
  <c r="T368" i="17" s="1"/>
  <c r="R368" i="17"/>
  <c r="AN367" i="17"/>
  <c r="AC367" i="17"/>
  <c r="AI367" i="17" s="1"/>
  <c r="AB367" i="17"/>
  <c r="Z367" i="17"/>
  <c r="Y367" i="17"/>
  <c r="X367" i="17"/>
  <c r="U367" i="17"/>
  <c r="S367" i="17"/>
  <c r="T367" i="17" s="1"/>
  <c r="R367" i="17"/>
  <c r="AN366" i="17"/>
  <c r="AC366" i="17"/>
  <c r="AI366" i="17" s="1"/>
  <c r="AB366" i="17"/>
  <c r="AH366" i="17" s="1"/>
  <c r="Z366" i="17"/>
  <c r="Y366" i="17"/>
  <c r="X366" i="17"/>
  <c r="U366" i="17"/>
  <c r="S366" i="17"/>
  <c r="T366" i="17" s="1"/>
  <c r="R366" i="17"/>
  <c r="AN365" i="17"/>
  <c r="AD365" i="17"/>
  <c r="AC365" i="17"/>
  <c r="AI365" i="17" s="1"/>
  <c r="AB365" i="17"/>
  <c r="Z365" i="17"/>
  <c r="Y365" i="17"/>
  <c r="X365" i="17"/>
  <c r="U365" i="17"/>
  <c r="S365" i="17"/>
  <c r="T365" i="17" s="1"/>
  <c r="R365" i="17"/>
  <c r="AN364" i="17"/>
  <c r="AD364" i="17"/>
  <c r="AC364" i="17"/>
  <c r="AI364" i="17" s="1"/>
  <c r="AB364" i="17"/>
  <c r="AH364" i="17" s="1"/>
  <c r="Z364" i="17"/>
  <c r="Y364" i="17"/>
  <c r="X364" i="17"/>
  <c r="U364" i="17"/>
  <c r="S364" i="17"/>
  <c r="T364" i="17" s="1"/>
  <c r="R364" i="17"/>
  <c r="AN363" i="17"/>
  <c r="AC363" i="17"/>
  <c r="AI363" i="17" s="1"/>
  <c r="AB363" i="17"/>
  <c r="Z363" i="17"/>
  <c r="Y363" i="17"/>
  <c r="X363" i="17"/>
  <c r="U363" i="17"/>
  <c r="S363" i="17"/>
  <c r="T363" i="17" s="1"/>
  <c r="R363" i="17"/>
  <c r="AN362" i="17"/>
  <c r="AD362" i="17"/>
  <c r="AR362" i="17" s="1"/>
  <c r="AV362" i="17" s="1"/>
  <c r="AC362" i="17"/>
  <c r="AI362" i="17" s="1"/>
  <c r="AB362" i="17"/>
  <c r="AH362" i="17" s="1"/>
  <c r="Z362" i="17"/>
  <c r="Y362" i="17"/>
  <c r="X362" i="17"/>
  <c r="U362" i="17"/>
  <c r="S362" i="17"/>
  <c r="T362" i="17" s="1"/>
  <c r="R362" i="17"/>
  <c r="AN361" i="17"/>
  <c r="AC361" i="17"/>
  <c r="AI361" i="17" s="1"/>
  <c r="AB361" i="17"/>
  <c r="AH361" i="17" s="1"/>
  <c r="Y361" i="17"/>
  <c r="X361" i="17"/>
  <c r="U361" i="17"/>
  <c r="S361" i="17"/>
  <c r="T361" i="17" s="1"/>
  <c r="R361" i="17"/>
  <c r="AN360" i="17"/>
  <c r="AC360" i="17"/>
  <c r="AI360" i="17" s="1"/>
  <c r="AB360" i="17"/>
  <c r="Y360" i="17"/>
  <c r="X360" i="17"/>
  <c r="U360" i="17"/>
  <c r="S360" i="17"/>
  <c r="T360" i="17" s="1"/>
  <c r="R360" i="17"/>
  <c r="AN359" i="17"/>
  <c r="AC359" i="17"/>
  <c r="AI359" i="17" s="1"/>
  <c r="AB359" i="17"/>
  <c r="AH359" i="17" s="1"/>
  <c r="Z359" i="17"/>
  <c r="Y359" i="17"/>
  <c r="X359" i="17"/>
  <c r="U359" i="17"/>
  <c r="S359" i="17"/>
  <c r="T359" i="17" s="1"/>
  <c r="R359" i="17"/>
  <c r="AN358" i="17"/>
  <c r="AC358" i="17"/>
  <c r="AI358" i="17" s="1"/>
  <c r="AB358" i="17"/>
  <c r="Z358" i="17"/>
  <c r="Y358" i="17"/>
  <c r="X358" i="17"/>
  <c r="U358" i="17"/>
  <c r="S358" i="17"/>
  <c r="T358" i="17" s="1"/>
  <c r="R358" i="17"/>
  <c r="AN357" i="17"/>
  <c r="AC357" i="17"/>
  <c r="AI357" i="17" s="1"/>
  <c r="AB357" i="17"/>
  <c r="Z357" i="17"/>
  <c r="Y357" i="17"/>
  <c r="X357" i="17"/>
  <c r="U357" i="17"/>
  <c r="S357" i="17"/>
  <c r="T357" i="17" s="1"/>
  <c r="R357" i="17"/>
  <c r="AN356" i="17"/>
  <c r="AC356" i="17"/>
  <c r="AI356" i="17" s="1"/>
  <c r="AB356" i="17"/>
  <c r="AH356" i="17" s="1"/>
  <c r="Z356" i="17"/>
  <c r="Y356" i="17"/>
  <c r="X356" i="17"/>
  <c r="U356" i="17"/>
  <c r="S356" i="17"/>
  <c r="T356" i="17" s="1"/>
  <c r="R356" i="17"/>
  <c r="AN355" i="17"/>
  <c r="AC355" i="17"/>
  <c r="AI355" i="17" s="1"/>
  <c r="AB355" i="17"/>
  <c r="AH355" i="17" s="1"/>
  <c r="Z355" i="17"/>
  <c r="Y355" i="17"/>
  <c r="X355" i="17"/>
  <c r="U355" i="17"/>
  <c r="S355" i="17"/>
  <c r="T355" i="17" s="1"/>
  <c r="R355" i="17"/>
  <c r="AN354" i="17"/>
  <c r="AC354" i="17"/>
  <c r="AI354" i="17" s="1"/>
  <c r="AB354" i="17"/>
  <c r="AH354" i="17" s="1"/>
  <c r="Z354" i="17"/>
  <c r="Y354" i="17"/>
  <c r="X354" i="17"/>
  <c r="U354" i="17"/>
  <c r="S354" i="17"/>
  <c r="T354" i="17" s="1"/>
  <c r="R354" i="17"/>
  <c r="AN353" i="17"/>
  <c r="AD353" i="17"/>
  <c r="AC353" i="17"/>
  <c r="AI353" i="17" s="1"/>
  <c r="AB353" i="17"/>
  <c r="AH353" i="17" s="1"/>
  <c r="Z353" i="17"/>
  <c r="Y353" i="17"/>
  <c r="X353" i="17"/>
  <c r="U353" i="17"/>
  <c r="S353" i="17"/>
  <c r="T353" i="17" s="1"/>
  <c r="R353" i="17"/>
  <c r="AN352" i="17"/>
  <c r="AD352" i="17"/>
  <c r="AC352" i="17"/>
  <c r="AI352" i="17" s="1"/>
  <c r="AB352" i="17"/>
  <c r="AH352" i="17" s="1"/>
  <c r="Z352" i="17"/>
  <c r="Y352" i="17"/>
  <c r="X352" i="17"/>
  <c r="U352" i="17"/>
  <c r="S352" i="17"/>
  <c r="T352" i="17" s="1"/>
  <c r="R352" i="17"/>
  <c r="AN351" i="17"/>
  <c r="AD351" i="17"/>
  <c r="AC351" i="17"/>
  <c r="AI351" i="17" s="1"/>
  <c r="AB351" i="17"/>
  <c r="AH351" i="17" s="1"/>
  <c r="Z351" i="17"/>
  <c r="Y351" i="17"/>
  <c r="X351" i="17"/>
  <c r="U351" i="17"/>
  <c r="S351" i="17"/>
  <c r="T351" i="17" s="1"/>
  <c r="R351" i="17"/>
  <c r="AN350" i="17"/>
  <c r="AD350" i="17"/>
  <c r="AC350" i="17"/>
  <c r="AI350" i="17" s="1"/>
  <c r="AB350" i="17"/>
  <c r="Z350" i="17"/>
  <c r="Y350" i="17"/>
  <c r="X350" i="17"/>
  <c r="U350" i="17"/>
  <c r="S350" i="17"/>
  <c r="T350" i="17" s="1"/>
  <c r="R350" i="17"/>
  <c r="AN349" i="17"/>
  <c r="AD349" i="17"/>
  <c r="AR349" i="17" s="1"/>
  <c r="AV349" i="17" s="1"/>
  <c r="AC349" i="17"/>
  <c r="AI349" i="17" s="1"/>
  <c r="AB349" i="17"/>
  <c r="AH349" i="17" s="1"/>
  <c r="Z349" i="17"/>
  <c r="Y349" i="17"/>
  <c r="X349" i="17"/>
  <c r="U349" i="17"/>
  <c r="S349" i="17"/>
  <c r="T349" i="17" s="1"/>
  <c r="R349" i="17"/>
  <c r="AN348" i="17"/>
  <c r="AD348" i="17"/>
  <c r="AC348" i="17"/>
  <c r="AI348" i="17" s="1"/>
  <c r="AB348" i="17"/>
  <c r="AH348" i="17" s="1"/>
  <c r="Z348" i="17"/>
  <c r="Y348" i="17"/>
  <c r="X348" i="17"/>
  <c r="U348" i="17"/>
  <c r="S348" i="17"/>
  <c r="T348" i="17" s="1"/>
  <c r="R348" i="17"/>
  <c r="AN347" i="17"/>
  <c r="AD347" i="17"/>
  <c r="AC347" i="17"/>
  <c r="AI347" i="17" s="1"/>
  <c r="AB347" i="17"/>
  <c r="Z347" i="17"/>
  <c r="Y347" i="17"/>
  <c r="X347" i="17"/>
  <c r="U347" i="17"/>
  <c r="S347" i="17"/>
  <c r="T347" i="17" s="1"/>
  <c r="R347" i="17"/>
  <c r="AN346" i="17"/>
  <c r="AD346" i="17"/>
  <c r="AR346" i="17" s="1"/>
  <c r="AV346" i="17" s="1"/>
  <c r="AC346" i="17"/>
  <c r="AI346" i="17" s="1"/>
  <c r="AB346" i="17"/>
  <c r="AH346" i="17" s="1"/>
  <c r="Z346" i="17"/>
  <c r="Y346" i="17"/>
  <c r="X346" i="17"/>
  <c r="U346" i="17"/>
  <c r="S346" i="17"/>
  <c r="T346" i="17" s="1"/>
  <c r="R346" i="17"/>
  <c r="AN345" i="17"/>
  <c r="AD345" i="17"/>
  <c r="AC345" i="17"/>
  <c r="AB345" i="17"/>
  <c r="AH345" i="17" s="1"/>
  <c r="Z345" i="17"/>
  <c r="Y345" i="17"/>
  <c r="X345" i="17"/>
  <c r="U345" i="17"/>
  <c r="S345" i="17"/>
  <c r="T345" i="17" s="1"/>
  <c r="R345" i="17"/>
  <c r="AN344" i="17"/>
  <c r="AD344" i="17"/>
  <c r="AC344" i="17"/>
  <c r="AI344" i="17" s="1"/>
  <c r="AB344" i="17"/>
  <c r="AH344" i="17" s="1"/>
  <c r="Z344" i="17"/>
  <c r="Y344" i="17"/>
  <c r="X344" i="17"/>
  <c r="U344" i="17"/>
  <c r="S344" i="17"/>
  <c r="T344" i="17" s="1"/>
  <c r="R344" i="17"/>
  <c r="AN343" i="17"/>
  <c r="AD343" i="17"/>
  <c r="AC343" i="17"/>
  <c r="AI343" i="17" s="1"/>
  <c r="AB343" i="17"/>
  <c r="AH343" i="17" s="1"/>
  <c r="Z343" i="17"/>
  <c r="Y343" i="17"/>
  <c r="X343" i="17"/>
  <c r="U343" i="17"/>
  <c r="S343" i="17"/>
  <c r="T343" i="17" s="1"/>
  <c r="R343" i="17"/>
  <c r="AN342" i="17"/>
  <c r="AD342" i="17"/>
  <c r="AC342" i="17"/>
  <c r="AI342" i="17" s="1"/>
  <c r="AB342" i="17"/>
  <c r="AH342" i="17" s="1"/>
  <c r="Z342" i="17"/>
  <c r="Y342" i="17"/>
  <c r="X342" i="17"/>
  <c r="U342" i="17"/>
  <c r="S342" i="17"/>
  <c r="T342" i="17" s="1"/>
  <c r="R342" i="17"/>
  <c r="AN341" i="17"/>
  <c r="AD341" i="17"/>
  <c r="AC341" i="17"/>
  <c r="AI341" i="17" s="1"/>
  <c r="AB341" i="17"/>
  <c r="AH341" i="17" s="1"/>
  <c r="Z341" i="17"/>
  <c r="Y341" i="17"/>
  <c r="X341" i="17"/>
  <c r="U341" i="17"/>
  <c r="S341" i="17"/>
  <c r="T341" i="17" s="1"/>
  <c r="R341" i="17"/>
  <c r="AN340" i="17"/>
  <c r="AD340" i="17"/>
  <c r="AR340" i="17" s="1"/>
  <c r="AV340" i="17" s="1"/>
  <c r="AC340" i="17"/>
  <c r="AI340" i="17" s="1"/>
  <c r="AB340" i="17"/>
  <c r="AH340" i="17" s="1"/>
  <c r="Z340" i="17"/>
  <c r="Y340" i="17"/>
  <c r="X340" i="17"/>
  <c r="U340" i="17"/>
  <c r="S340" i="17"/>
  <c r="T340" i="17" s="1"/>
  <c r="R340" i="17"/>
  <c r="AN339" i="17"/>
  <c r="AD339" i="17"/>
  <c r="AC339" i="17"/>
  <c r="AI339" i="17" s="1"/>
  <c r="AB339" i="17"/>
  <c r="AH339" i="17" s="1"/>
  <c r="Z339" i="17"/>
  <c r="Y339" i="17"/>
  <c r="X339" i="17"/>
  <c r="U339" i="17"/>
  <c r="S339" i="17"/>
  <c r="T339" i="17" s="1"/>
  <c r="R339" i="17"/>
  <c r="AN338" i="17"/>
  <c r="AD338" i="17"/>
  <c r="AC338" i="17"/>
  <c r="AI338" i="17" s="1"/>
  <c r="AB338" i="17"/>
  <c r="AH338" i="17" s="1"/>
  <c r="Z338" i="17"/>
  <c r="Y338" i="17"/>
  <c r="X338" i="17"/>
  <c r="U338" i="17"/>
  <c r="S338" i="17"/>
  <c r="T338" i="17" s="1"/>
  <c r="R338" i="17"/>
  <c r="AN337" i="17"/>
  <c r="AD337" i="17"/>
  <c r="AR337" i="17" s="1"/>
  <c r="AV337" i="17" s="1"/>
  <c r="AC337" i="17"/>
  <c r="AI337" i="17" s="1"/>
  <c r="AB337" i="17"/>
  <c r="AH337" i="17" s="1"/>
  <c r="Z337" i="17"/>
  <c r="Y337" i="17"/>
  <c r="X337" i="17"/>
  <c r="U337" i="17"/>
  <c r="S337" i="17"/>
  <c r="T337" i="17" s="1"/>
  <c r="R337" i="17"/>
  <c r="AN336" i="17"/>
  <c r="AD336" i="17"/>
  <c r="AC336" i="17"/>
  <c r="AI336" i="17" s="1"/>
  <c r="AB336" i="17"/>
  <c r="AH336" i="17" s="1"/>
  <c r="Z336" i="17"/>
  <c r="Y336" i="17"/>
  <c r="X336" i="17"/>
  <c r="U336" i="17"/>
  <c r="S336" i="17"/>
  <c r="T336" i="17" s="1"/>
  <c r="R336" i="17"/>
  <c r="AN335" i="17"/>
  <c r="AD335" i="17"/>
  <c r="AR335" i="17" s="1"/>
  <c r="AV335" i="17" s="1"/>
  <c r="AC335" i="17"/>
  <c r="AI335" i="17" s="1"/>
  <c r="AB335" i="17"/>
  <c r="AH335" i="17" s="1"/>
  <c r="Z335" i="17"/>
  <c r="Y335" i="17"/>
  <c r="X335" i="17"/>
  <c r="U335" i="17"/>
  <c r="S335" i="17"/>
  <c r="T335" i="17" s="1"/>
  <c r="R335" i="17"/>
  <c r="AN334" i="17"/>
  <c r="AD334" i="17"/>
  <c r="AR334" i="17" s="1"/>
  <c r="AV334" i="17" s="1"/>
  <c r="AC334" i="17"/>
  <c r="AI334" i="17" s="1"/>
  <c r="AB334" i="17"/>
  <c r="Z334" i="17"/>
  <c r="Y334" i="17"/>
  <c r="X334" i="17"/>
  <c r="U334" i="17"/>
  <c r="S334" i="17"/>
  <c r="T334" i="17" s="1"/>
  <c r="R334" i="17"/>
  <c r="AN333" i="17"/>
  <c r="AD333" i="17"/>
  <c r="AR333" i="17" s="1"/>
  <c r="AV333" i="17" s="1"/>
  <c r="AC333" i="17"/>
  <c r="AI333" i="17" s="1"/>
  <c r="AB333" i="17"/>
  <c r="AH333" i="17" s="1"/>
  <c r="Z333" i="17"/>
  <c r="Y333" i="17"/>
  <c r="X333" i="17"/>
  <c r="U333" i="17"/>
  <c r="S333" i="17"/>
  <c r="T333" i="17" s="1"/>
  <c r="R333" i="17"/>
  <c r="AN332" i="17"/>
  <c r="AD332" i="17"/>
  <c r="AC332" i="17"/>
  <c r="AI332" i="17" s="1"/>
  <c r="AB332" i="17"/>
  <c r="Z332" i="17"/>
  <c r="Y332" i="17"/>
  <c r="X332" i="17"/>
  <c r="U332" i="17"/>
  <c r="S332" i="17"/>
  <c r="T332" i="17" s="1"/>
  <c r="R332" i="17"/>
  <c r="AN331" i="17"/>
  <c r="AD331" i="17"/>
  <c r="AR331" i="17" s="1"/>
  <c r="AV331" i="17" s="1"/>
  <c r="AC331" i="17"/>
  <c r="AI331" i="17" s="1"/>
  <c r="AB331" i="17"/>
  <c r="AH331" i="17" s="1"/>
  <c r="Z331" i="17"/>
  <c r="Y331" i="17"/>
  <c r="X331" i="17"/>
  <c r="U331" i="17"/>
  <c r="S331" i="17"/>
  <c r="T331" i="17" s="1"/>
  <c r="R331" i="17"/>
  <c r="AN330" i="17"/>
  <c r="AD330" i="17"/>
  <c r="AC330" i="17"/>
  <c r="AB330" i="17"/>
  <c r="AH330" i="17" s="1"/>
  <c r="Z330" i="17"/>
  <c r="Y330" i="17"/>
  <c r="X330" i="17"/>
  <c r="U330" i="17"/>
  <c r="S330" i="17"/>
  <c r="T330" i="17" s="1"/>
  <c r="R330" i="17"/>
  <c r="AN329" i="17"/>
  <c r="AD329" i="17"/>
  <c r="AC329" i="17"/>
  <c r="AI329" i="17" s="1"/>
  <c r="AB329" i="17"/>
  <c r="Z329" i="17"/>
  <c r="Y329" i="17"/>
  <c r="X329" i="17"/>
  <c r="U329" i="17"/>
  <c r="S329" i="17"/>
  <c r="T329" i="17" s="1"/>
  <c r="R329" i="17"/>
  <c r="AN328" i="17"/>
  <c r="AD328" i="17"/>
  <c r="AC328" i="17"/>
  <c r="AI328" i="17" s="1"/>
  <c r="AB328" i="17"/>
  <c r="AH328" i="17" s="1"/>
  <c r="Z328" i="17"/>
  <c r="Y328" i="17"/>
  <c r="X328" i="17"/>
  <c r="U328" i="17"/>
  <c r="S328" i="17"/>
  <c r="T328" i="17" s="1"/>
  <c r="R328" i="17"/>
  <c r="AN327" i="17"/>
  <c r="AD327" i="17"/>
  <c r="AC327" i="17"/>
  <c r="AI327" i="17" s="1"/>
  <c r="AB327" i="17"/>
  <c r="AH327" i="17" s="1"/>
  <c r="Z327" i="17"/>
  <c r="Y327" i="17"/>
  <c r="X327" i="17"/>
  <c r="U327" i="17"/>
  <c r="S327" i="17"/>
  <c r="T327" i="17" s="1"/>
  <c r="R327" i="17"/>
  <c r="AN326" i="17"/>
  <c r="AD326" i="17"/>
  <c r="AC326" i="17"/>
  <c r="AI326" i="17" s="1"/>
  <c r="AB326" i="17"/>
  <c r="Z326" i="17"/>
  <c r="Y326" i="17"/>
  <c r="X326" i="17"/>
  <c r="U326" i="17"/>
  <c r="S326" i="17"/>
  <c r="T326" i="17" s="1"/>
  <c r="R326" i="17"/>
  <c r="AN325" i="17"/>
  <c r="AD325" i="17"/>
  <c r="AR325" i="17" s="1"/>
  <c r="AV325" i="17" s="1"/>
  <c r="AC325" i="17"/>
  <c r="AB325" i="17"/>
  <c r="AH325" i="17" s="1"/>
  <c r="Z325" i="17"/>
  <c r="Y325" i="17"/>
  <c r="X325" i="17"/>
  <c r="U325" i="17"/>
  <c r="S325" i="17"/>
  <c r="T325" i="17" s="1"/>
  <c r="R325" i="17"/>
  <c r="AN324" i="17"/>
  <c r="AD324" i="17"/>
  <c r="AR324" i="17" s="1"/>
  <c r="AV324" i="17" s="1"/>
  <c r="AC324" i="17"/>
  <c r="AI324" i="17" s="1"/>
  <c r="AB324" i="17"/>
  <c r="AH324" i="17" s="1"/>
  <c r="Z324" i="17"/>
  <c r="Y324" i="17"/>
  <c r="X324" i="17"/>
  <c r="U324" i="17"/>
  <c r="S324" i="17"/>
  <c r="T324" i="17" s="1"/>
  <c r="R324" i="17"/>
  <c r="AN323" i="17"/>
  <c r="AD323" i="17"/>
  <c r="AC323" i="17"/>
  <c r="AI323" i="17" s="1"/>
  <c r="AB323" i="17"/>
  <c r="AH323" i="17" s="1"/>
  <c r="Z323" i="17"/>
  <c r="Y323" i="17"/>
  <c r="X323" i="17"/>
  <c r="U323" i="17"/>
  <c r="S323" i="17"/>
  <c r="T323" i="17" s="1"/>
  <c r="R323" i="17"/>
  <c r="AN322" i="17"/>
  <c r="AD322" i="17"/>
  <c r="AC322" i="17"/>
  <c r="AI322" i="17" s="1"/>
  <c r="AB322" i="17"/>
  <c r="AH322" i="17" s="1"/>
  <c r="Z322" i="17"/>
  <c r="Y322" i="17"/>
  <c r="X322" i="17"/>
  <c r="U322" i="17"/>
  <c r="S322" i="17"/>
  <c r="T322" i="17" s="1"/>
  <c r="R322" i="17"/>
  <c r="AN321" i="17"/>
  <c r="AD321" i="17"/>
  <c r="AR321" i="17" s="1"/>
  <c r="AV321" i="17" s="1"/>
  <c r="AC321" i="17"/>
  <c r="AI321" i="17" s="1"/>
  <c r="AB321" i="17"/>
  <c r="Z321" i="17"/>
  <c r="Y321" i="17"/>
  <c r="X321" i="17"/>
  <c r="U321" i="17"/>
  <c r="S321" i="17"/>
  <c r="T321" i="17" s="1"/>
  <c r="R321" i="17"/>
  <c r="AN320" i="17"/>
  <c r="AD320" i="17"/>
  <c r="AC320" i="17"/>
  <c r="AI320" i="17" s="1"/>
  <c r="AB320" i="17"/>
  <c r="Z320" i="17"/>
  <c r="Y320" i="17"/>
  <c r="X320" i="17"/>
  <c r="U320" i="17"/>
  <c r="S320" i="17"/>
  <c r="T320" i="17" s="1"/>
  <c r="R320" i="17"/>
  <c r="AN319" i="17"/>
  <c r="AD319" i="17"/>
  <c r="AR319" i="17" s="1"/>
  <c r="AV319" i="17" s="1"/>
  <c r="AC319" i="17"/>
  <c r="AI319" i="17" s="1"/>
  <c r="AB319" i="17"/>
  <c r="AH319" i="17" s="1"/>
  <c r="Z319" i="17"/>
  <c r="Y319" i="17"/>
  <c r="X319" i="17"/>
  <c r="U319" i="17"/>
  <c r="S319" i="17"/>
  <c r="T319" i="17" s="1"/>
  <c r="R319" i="17"/>
  <c r="AN318" i="17"/>
  <c r="AD318" i="17"/>
  <c r="AC318" i="17"/>
  <c r="AB318" i="17"/>
  <c r="AH318" i="17" s="1"/>
  <c r="Z318" i="17"/>
  <c r="Y318" i="17"/>
  <c r="X318" i="17"/>
  <c r="U318" i="17"/>
  <c r="S318" i="17"/>
  <c r="T318" i="17" s="1"/>
  <c r="R318" i="17"/>
  <c r="AN317" i="17"/>
  <c r="AD317" i="17"/>
  <c r="AC317" i="17"/>
  <c r="AI317" i="17" s="1"/>
  <c r="AB317" i="17"/>
  <c r="Z317" i="17"/>
  <c r="Y317" i="17"/>
  <c r="X317" i="17"/>
  <c r="U317" i="17"/>
  <c r="S317" i="17"/>
  <c r="T317" i="17" s="1"/>
  <c r="R317" i="17"/>
  <c r="AN316" i="17"/>
  <c r="AD316" i="17"/>
  <c r="AR316" i="17" s="1"/>
  <c r="AV316" i="17" s="1"/>
  <c r="AC316" i="17"/>
  <c r="AI316" i="17" s="1"/>
  <c r="AB316" i="17"/>
  <c r="AH316" i="17" s="1"/>
  <c r="Z316" i="17"/>
  <c r="Y316" i="17"/>
  <c r="X316" i="17"/>
  <c r="U316" i="17"/>
  <c r="S316" i="17"/>
  <c r="T316" i="17" s="1"/>
  <c r="R316" i="17"/>
  <c r="AN315" i="17"/>
  <c r="AD315" i="17"/>
  <c r="AC315" i="17"/>
  <c r="AI315" i="17" s="1"/>
  <c r="AB315" i="17"/>
  <c r="Z315" i="17"/>
  <c r="Y315" i="17"/>
  <c r="X315" i="17"/>
  <c r="U315" i="17"/>
  <c r="S315" i="17"/>
  <c r="T315" i="17" s="1"/>
  <c r="R315" i="17"/>
  <c r="AN314" i="17"/>
  <c r="AC314" i="17"/>
  <c r="AI314" i="17" s="1"/>
  <c r="AB314" i="17"/>
  <c r="Z314" i="17"/>
  <c r="Y314" i="17"/>
  <c r="X314" i="17"/>
  <c r="U314" i="17"/>
  <c r="S314" i="17"/>
  <c r="T314" i="17" s="1"/>
  <c r="R314" i="17"/>
  <c r="AN313" i="17"/>
  <c r="AD313" i="17"/>
  <c r="AR313" i="17" s="1"/>
  <c r="AV313" i="17" s="1"/>
  <c r="AC313" i="17"/>
  <c r="AI313" i="17" s="1"/>
  <c r="AB313" i="17"/>
  <c r="AH313" i="17" s="1"/>
  <c r="Z313" i="17"/>
  <c r="Y313" i="17"/>
  <c r="X313" i="17"/>
  <c r="U313" i="17"/>
  <c r="S313" i="17"/>
  <c r="T313" i="17" s="1"/>
  <c r="R313" i="17"/>
  <c r="AN312" i="17"/>
  <c r="AD312" i="17"/>
  <c r="AC312" i="17"/>
  <c r="AI312" i="17" s="1"/>
  <c r="AB312" i="17"/>
  <c r="AH312" i="17" s="1"/>
  <c r="Z312" i="17"/>
  <c r="Y312" i="17"/>
  <c r="X312" i="17"/>
  <c r="U312" i="17"/>
  <c r="S312" i="17"/>
  <c r="T312" i="17" s="1"/>
  <c r="R312" i="17"/>
  <c r="AN311" i="17"/>
  <c r="AD311" i="17"/>
  <c r="AC311" i="17"/>
  <c r="AI311" i="17" s="1"/>
  <c r="AB311" i="17"/>
  <c r="AH311" i="17" s="1"/>
  <c r="Z311" i="17"/>
  <c r="Y311" i="17"/>
  <c r="X311" i="17"/>
  <c r="U311" i="17"/>
  <c r="S311" i="17"/>
  <c r="T311" i="17" s="1"/>
  <c r="R311" i="17"/>
  <c r="AN310" i="17"/>
  <c r="AC310" i="17"/>
  <c r="AI310" i="17" s="1"/>
  <c r="AB310" i="17"/>
  <c r="AH310" i="17" s="1"/>
  <c r="Z310" i="17"/>
  <c r="Y310" i="17"/>
  <c r="X310" i="17"/>
  <c r="U310" i="17"/>
  <c r="S310" i="17"/>
  <c r="T310" i="17" s="1"/>
  <c r="R310" i="17"/>
  <c r="AN309" i="17"/>
  <c r="AC309" i="17"/>
  <c r="AI309" i="17" s="1"/>
  <c r="AB309" i="17"/>
  <c r="Z309" i="17"/>
  <c r="Y309" i="17"/>
  <c r="X309" i="17"/>
  <c r="U309" i="17"/>
  <c r="S309" i="17"/>
  <c r="T309" i="17" s="1"/>
  <c r="R309" i="17"/>
  <c r="AN308" i="17"/>
  <c r="AC308" i="17"/>
  <c r="AI308" i="17" s="1"/>
  <c r="AB308" i="17"/>
  <c r="AH308" i="17" s="1"/>
  <c r="Z308" i="17"/>
  <c r="Y308" i="17"/>
  <c r="X308" i="17"/>
  <c r="U308" i="17"/>
  <c r="S308" i="17"/>
  <c r="T308" i="17" s="1"/>
  <c r="R308" i="17"/>
  <c r="AN307" i="17"/>
  <c r="AC307" i="17"/>
  <c r="AB307" i="17"/>
  <c r="AH307" i="17" s="1"/>
  <c r="Z307" i="17"/>
  <c r="Y307" i="17"/>
  <c r="X307" i="17"/>
  <c r="U307" i="17"/>
  <c r="S307" i="17"/>
  <c r="T307" i="17" s="1"/>
  <c r="R307" i="17"/>
  <c r="AN306" i="17"/>
  <c r="AC306" i="17"/>
  <c r="AI306" i="17" s="1"/>
  <c r="AB306" i="17"/>
  <c r="AH306" i="17" s="1"/>
  <c r="Z306" i="17"/>
  <c r="Y306" i="17"/>
  <c r="X306" i="17"/>
  <c r="U306" i="17"/>
  <c r="S306" i="17"/>
  <c r="T306" i="17" s="1"/>
  <c r="R306" i="17"/>
  <c r="AN305" i="17"/>
  <c r="AC305" i="17"/>
  <c r="AI305" i="17" s="1"/>
  <c r="AB305" i="17"/>
  <c r="AH305" i="17" s="1"/>
  <c r="Z305" i="17"/>
  <c r="Y305" i="17"/>
  <c r="X305" i="17"/>
  <c r="U305" i="17"/>
  <c r="S305" i="17"/>
  <c r="T305" i="17" s="1"/>
  <c r="R305" i="17"/>
  <c r="AN304" i="17"/>
  <c r="AC304" i="17"/>
  <c r="AI304" i="17" s="1"/>
  <c r="AB304" i="17"/>
  <c r="AH304" i="17" s="1"/>
  <c r="Z304" i="17"/>
  <c r="Y304" i="17"/>
  <c r="X304" i="17"/>
  <c r="U304" i="17"/>
  <c r="S304" i="17"/>
  <c r="T304" i="17" s="1"/>
  <c r="R304" i="17"/>
  <c r="AN303" i="17"/>
  <c r="AC303" i="17"/>
  <c r="AI303" i="17" s="1"/>
  <c r="AB303" i="17"/>
  <c r="Z303" i="17"/>
  <c r="Y303" i="17"/>
  <c r="X303" i="17"/>
  <c r="U303" i="17"/>
  <c r="S303" i="17"/>
  <c r="T303" i="17" s="1"/>
  <c r="R303" i="17"/>
  <c r="AN302" i="17"/>
  <c r="AD302" i="17"/>
  <c r="AC302" i="17"/>
  <c r="AI302" i="17" s="1"/>
  <c r="AB302" i="17"/>
  <c r="AH302" i="17" s="1"/>
  <c r="Z302" i="17"/>
  <c r="Y302" i="17"/>
  <c r="X302" i="17"/>
  <c r="U302" i="17"/>
  <c r="S302" i="17"/>
  <c r="T302" i="17" s="1"/>
  <c r="R302" i="17"/>
  <c r="AN301" i="17"/>
  <c r="AD301" i="17"/>
  <c r="AR301" i="17" s="1"/>
  <c r="AV301" i="17" s="1"/>
  <c r="AC301" i="17"/>
  <c r="AI301" i="17" s="1"/>
  <c r="AB301" i="17"/>
  <c r="AH301" i="17" s="1"/>
  <c r="Z301" i="17"/>
  <c r="Y301" i="17"/>
  <c r="X301" i="17"/>
  <c r="U301" i="17"/>
  <c r="S301" i="17"/>
  <c r="T301" i="17" s="1"/>
  <c r="R301" i="17"/>
  <c r="AN300" i="17"/>
  <c r="AC300" i="17"/>
  <c r="AI300" i="17" s="1"/>
  <c r="AB300" i="17"/>
  <c r="AH300" i="17" s="1"/>
  <c r="Z300" i="17"/>
  <c r="Y300" i="17"/>
  <c r="X300" i="17"/>
  <c r="U300" i="17"/>
  <c r="S300" i="17"/>
  <c r="T300" i="17" s="1"/>
  <c r="R300" i="17"/>
  <c r="AN299" i="17"/>
  <c r="AC299" i="17"/>
  <c r="AI299" i="17" s="1"/>
  <c r="AB299" i="17"/>
  <c r="AH299" i="17" s="1"/>
  <c r="Y299" i="17"/>
  <c r="X299" i="17"/>
  <c r="U299" i="17"/>
  <c r="S299" i="17"/>
  <c r="T299" i="17" s="1"/>
  <c r="R299" i="17"/>
  <c r="AN298" i="17"/>
  <c r="AC298" i="17"/>
  <c r="AI298" i="17" s="1"/>
  <c r="AB298" i="17"/>
  <c r="Y298" i="17"/>
  <c r="X298" i="17"/>
  <c r="U298" i="17"/>
  <c r="S298" i="17"/>
  <c r="T298" i="17" s="1"/>
  <c r="R298" i="17"/>
  <c r="AN297" i="17"/>
  <c r="AC297" i="17"/>
  <c r="AI297" i="17" s="1"/>
  <c r="AB297" i="17"/>
  <c r="AH297" i="17" s="1"/>
  <c r="Z297" i="17"/>
  <c r="Y297" i="17"/>
  <c r="X297" i="17"/>
  <c r="U297" i="17"/>
  <c r="S297" i="17"/>
  <c r="T297" i="17" s="1"/>
  <c r="R297" i="17"/>
  <c r="AN296" i="17"/>
  <c r="AC296" i="17"/>
  <c r="AI296" i="17" s="1"/>
  <c r="AB296" i="17"/>
  <c r="AH296" i="17" s="1"/>
  <c r="Z296" i="17"/>
  <c r="Y296" i="17"/>
  <c r="X296" i="17"/>
  <c r="U296" i="17"/>
  <c r="S296" i="17"/>
  <c r="T296" i="17" s="1"/>
  <c r="R296" i="17"/>
  <c r="AN295" i="17"/>
  <c r="AC295" i="17"/>
  <c r="AI295" i="17" s="1"/>
  <c r="AB295" i="17"/>
  <c r="AH295" i="17" s="1"/>
  <c r="Z295" i="17"/>
  <c r="Y295" i="17"/>
  <c r="X295" i="17"/>
  <c r="U295" i="17"/>
  <c r="S295" i="17"/>
  <c r="T295" i="17" s="1"/>
  <c r="R295" i="17"/>
  <c r="AN294" i="17"/>
  <c r="AC294" i="17"/>
  <c r="AI294" i="17" s="1"/>
  <c r="AB294" i="17"/>
  <c r="Z294" i="17"/>
  <c r="Y294" i="17"/>
  <c r="X294" i="17"/>
  <c r="U294" i="17"/>
  <c r="S294" i="17"/>
  <c r="T294" i="17" s="1"/>
  <c r="R294" i="17"/>
  <c r="AN293" i="17"/>
  <c r="AC293" i="17"/>
  <c r="AI293" i="17" s="1"/>
  <c r="AB293" i="17"/>
  <c r="AH293" i="17" s="1"/>
  <c r="Z293" i="17"/>
  <c r="Y293" i="17"/>
  <c r="X293" i="17"/>
  <c r="U293" i="17"/>
  <c r="S293" i="17"/>
  <c r="T293" i="17" s="1"/>
  <c r="R293" i="17"/>
  <c r="AN292" i="17"/>
  <c r="AC292" i="17"/>
  <c r="AI292" i="17" s="1"/>
  <c r="AB292" i="17"/>
  <c r="Z292" i="17"/>
  <c r="Y292" i="17"/>
  <c r="X292" i="17"/>
  <c r="U292" i="17"/>
  <c r="S292" i="17"/>
  <c r="T292" i="17" s="1"/>
  <c r="R292" i="17"/>
  <c r="AN291" i="17"/>
  <c r="AC291" i="17"/>
  <c r="AI291" i="17" s="1"/>
  <c r="AB291" i="17"/>
  <c r="AH291" i="17" s="1"/>
  <c r="Z291" i="17"/>
  <c r="Y291" i="17"/>
  <c r="X291" i="17"/>
  <c r="U291" i="17"/>
  <c r="S291" i="17"/>
  <c r="T291" i="17" s="1"/>
  <c r="R291" i="17"/>
  <c r="AN290" i="17"/>
  <c r="AC290" i="17"/>
  <c r="AI290" i="17" s="1"/>
  <c r="AB290" i="17"/>
  <c r="Z290" i="17"/>
  <c r="Y290" i="17"/>
  <c r="X290" i="17"/>
  <c r="U290" i="17"/>
  <c r="S290" i="17"/>
  <c r="T290" i="17" s="1"/>
  <c r="R290" i="17"/>
  <c r="AN289" i="17"/>
  <c r="AD289" i="17"/>
  <c r="AR289" i="17" s="1"/>
  <c r="AV289" i="17" s="1"/>
  <c r="AC289" i="17"/>
  <c r="AI289" i="17" s="1"/>
  <c r="AB289" i="17"/>
  <c r="AH289" i="17" s="1"/>
  <c r="Z289" i="17"/>
  <c r="Y289" i="17"/>
  <c r="X289" i="17"/>
  <c r="U289" i="17"/>
  <c r="S289" i="17"/>
  <c r="T289" i="17" s="1"/>
  <c r="R289" i="17"/>
  <c r="AN288" i="17"/>
  <c r="AD288" i="17"/>
  <c r="AR288" i="17" s="1"/>
  <c r="AV288" i="17" s="1"/>
  <c r="AC288" i="17"/>
  <c r="AI288" i="17" s="1"/>
  <c r="AB288" i="17"/>
  <c r="AH288" i="17" s="1"/>
  <c r="Z288" i="17"/>
  <c r="Y288" i="17"/>
  <c r="X288" i="17"/>
  <c r="U288" i="17"/>
  <c r="S288" i="17"/>
  <c r="T288" i="17" s="1"/>
  <c r="R288" i="17"/>
  <c r="AN287" i="17"/>
  <c r="AD287" i="17"/>
  <c r="AC287" i="17"/>
  <c r="AI287" i="17" s="1"/>
  <c r="AB287" i="17"/>
  <c r="Z287" i="17"/>
  <c r="Y287" i="17"/>
  <c r="X287" i="17"/>
  <c r="U287" i="17"/>
  <c r="S287" i="17"/>
  <c r="T287" i="17" s="1"/>
  <c r="R287" i="17"/>
  <c r="AN286" i="17"/>
  <c r="AD286" i="17"/>
  <c r="AC286" i="17"/>
  <c r="AI286" i="17" s="1"/>
  <c r="AB286" i="17"/>
  <c r="AH286" i="17" s="1"/>
  <c r="Z286" i="17"/>
  <c r="Y286" i="17"/>
  <c r="X286" i="17"/>
  <c r="U286" i="17"/>
  <c r="S286" i="17"/>
  <c r="T286" i="17" s="1"/>
  <c r="R286" i="17"/>
  <c r="AN285" i="17"/>
  <c r="AD285" i="17"/>
  <c r="AR285" i="17" s="1"/>
  <c r="AV285" i="17" s="1"/>
  <c r="AC285" i="17"/>
  <c r="AB285" i="17"/>
  <c r="AH285" i="17" s="1"/>
  <c r="Z285" i="17"/>
  <c r="Y285" i="17"/>
  <c r="X285" i="17"/>
  <c r="U285" i="17"/>
  <c r="S285" i="17"/>
  <c r="T285" i="17" s="1"/>
  <c r="R285" i="17"/>
  <c r="AN284" i="17"/>
  <c r="AD284" i="17"/>
  <c r="AC284" i="17"/>
  <c r="AI284" i="17" s="1"/>
  <c r="AB284" i="17"/>
  <c r="AH284" i="17" s="1"/>
  <c r="Z284" i="17"/>
  <c r="Y284" i="17"/>
  <c r="X284" i="17"/>
  <c r="U284" i="17"/>
  <c r="S284" i="17"/>
  <c r="T284" i="17" s="1"/>
  <c r="R284" i="17"/>
  <c r="AN283" i="17"/>
  <c r="AD283" i="17"/>
  <c r="AC283" i="17"/>
  <c r="AI283" i="17" s="1"/>
  <c r="AB283" i="17"/>
  <c r="Z283" i="17"/>
  <c r="Y283" i="17"/>
  <c r="X283" i="17"/>
  <c r="U283" i="17"/>
  <c r="S283" i="17"/>
  <c r="T283" i="17" s="1"/>
  <c r="R283" i="17"/>
  <c r="AN282" i="17"/>
  <c r="AD282" i="17"/>
  <c r="AR282" i="17" s="1"/>
  <c r="AV282" i="17" s="1"/>
  <c r="AC282" i="17"/>
  <c r="AI282" i="17" s="1"/>
  <c r="AB282" i="17"/>
  <c r="AH282" i="17" s="1"/>
  <c r="Z282" i="17"/>
  <c r="Y282" i="17"/>
  <c r="X282" i="17"/>
  <c r="U282" i="17"/>
  <c r="S282" i="17"/>
  <c r="T282" i="17" s="1"/>
  <c r="R282" i="17"/>
  <c r="AN281" i="17"/>
  <c r="AD281" i="17"/>
  <c r="AC281" i="17"/>
  <c r="AI281" i="17" s="1"/>
  <c r="AB281" i="17"/>
  <c r="AH281" i="17" s="1"/>
  <c r="Z281" i="17"/>
  <c r="Y281" i="17"/>
  <c r="X281" i="17"/>
  <c r="U281" i="17"/>
  <c r="S281" i="17"/>
  <c r="T281" i="17" s="1"/>
  <c r="R281" i="17"/>
  <c r="AN280" i="17"/>
  <c r="AD280" i="17"/>
  <c r="AC280" i="17"/>
  <c r="AI280" i="17" s="1"/>
  <c r="AB280" i="17"/>
  <c r="Z280" i="17"/>
  <c r="Y280" i="17"/>
  <c r="X280" i="17"/>
  <c r="U280" i="17"/>
  <c r="S280" i="17"/>
  <c r="T280" i="17" s="1"/>
  <c r="R280" i="17"/>
  <c r="AN279" i="17"/>
  <c r="AD279" i="17"/>
  <c r="AR279" i="17" s="1"/>
  <c r="AV279" i="17" s="1"/>
  <c r="AC279" i="17"/>
  <c r="AI279" i="17" s="1"/>
  <c r="AB279" i="17"/>
  <c r="AH279" i="17" s="1"/>
  <c r="Z279" i="17"/>
  <c r="Y279" i="17"/>
  <c r="X279" i="17"/>
  <c r="U279" i="17"/>
  <c r="S279" i="17"/>
  <c r="T279" i="17" s="1"/>
  <c r="R279" i="17"/>
  <c r="AN278" i="17"/>
  <c r="AD278" i="17"/>
  <c r="AC278" i="17"/>
  <c r="AI278" i="17" s="1"/>
  <c r="AB278" i="17"/>
  <c r="AH278" i="17" s="1"/>
  <c r="Z278" i="17"/>
  <c r="Y278" i="17"/>
  <c r="X278" i="17"/>
  <c r="U278" i="17"/>
  <c r="S278" i="17"/>
  <c r="T278" i="17" s="1"/>
  <c r="R278" i="17"/>
  <c r="AN277" i="17"/>
  <c r="AD277" i="17"/>
  <c r="AC277" i="17"/>
  <c r="AI277" i="17" s="1"/>
  <c r="AB277" i="17"/>
  <c r="AH277" i="17" s="1"/>
  <c r="Z277" i="17"/>
  <c r="Y277" i="17"/>
  <c r="X277" i="17"/>
  <c r="U277" i="17"/>
  <c r="S277" i="17"/>
  <c r="T277" i="17" s="1"/>
  <c r="R277" i="17"/>
  <c r="AN276" i="17"/>
  <c r="AD276" i="17"/>
  <c r="AR276" i="17" s="1"/>
  <c r="AV276" i="17" s="1"/>
  <c r="AC276" i="17"/>
  <c r="AI276" i="17" s="1"/>
  <c r="AB276" i="17"/>
  <c r="AH276" i="17" s="1"/>
  <c r="Z276" i="17"/>
  <c r="Y276" i="17"/>
  <c r="X276" i="17"/>
  <c r="U276" i="17"/>
  <c r="S276" i="17"/>
  <c r="T276" i="17" s="1"/>
  <c r="R276" i="17"/>
  <c r="AN275" i="17"/>
  <c r="AD275" i="17"/>
  <c r="AC275" i="17"/>
  <c r="AI275" i="17" s="1"/>
  <c r="AB275" i="17"/>
  <c r="AH275" i="17" s="1"/>
  <c r="Z275" i="17"/>
  <c r="Y275" i="17"/>
  <c r="X275" i="17"/>
  <c r="U275" i="17"/>
  <c r="S275" i="17"/>
  <c r="T275" i="17" s="1"/>
  <c r="R275" i="17"/>
  <c r="AN274" i="17"/>
  <c r="AD274" i="17"/>
  <c r="AR274" i="17" s="1"/>
  <c r="AV274" i="17" s="1"/>
  <c r="AC274" i="17"/>
  <c r="AI274" i="17" s="1"/>
  <c r="AB274" i="17"/>
  <c r="AH274" i="17" s="1"/>
  <c r="Z274" i="17"/>
  <c r="Y274" i="17"/>
  <c r="X274" i="17"/>
  <c r="U274" i="17"/>
  <c r="S274" i="17"/>
  <c r="T274" i="17" s="1"/>
  <c r="R274" i="17"/>
  <c r="AN273" i="17"/>
  <c r="AD273" i="17"/>
  <c r="AR273" i="17" s="1"/>
  <c r="AV273" i="17" s="1"/>
  <c r="AC273" i="17"/>
  <c r="AI273" i="17" s="1"/>
  <c r="AB273" i="17"/>
  <c r="AH273" i="17" s="1"/>
  <c r="Z273" i="17"/>
  <c r="Y273" i="17"/>
  <c r="X273" i="17"/>
  <c r="U273" i="17"/>
  <c r="S273" i="17"/>
  <c r="T273" i="17" s="1"/>
  <c r="R273" i="17"/>
  <c r="AN272" i="17"/>
  <c r="AC272" i="17"/>
  <c r="AI272" i="17" s="1"/>
  <c r="AB272" i="17"/>
  <c r="Z272" i="17"/>
  <c r="Y272" i="17"/>
  <c r="X272" i="17"/>
  <c r="U272" i="17"/>
  <c r="S272" i="17"/>
  <c r="T272" i="17" s="1"/>
  <c r="R272" i="17"/>
  <c r="AN271" i="17"/>
  <c r="AC271" i="17"/>
  <c r="AI271" i="17" s="1"/>
  <c r="AB271" i="17"/>
  <c r="AH271" i="17" s="1"/>
  <c r="Z271" i="17"/>
  <c r="Y271" i="17"/>
  <c r="X271" i="17"/>
  <c r="U271" i="17"/>
  <c r="S271" i="17"/>
  <c r="T271" i="17" s="1"/>
  <c r="R271" i="17"/>
  <c r="AN270" i="17"/>
  <c r="AD270" i="17"/>
  <c r="AR270" i="17" s="1"/>
  <c r="AV270" i="17" s="1"/>
  <c r="AC270" i="17"/>
  <c r="AI270" i="17" s="1"/>
  <c r="AB270" i="17"/>
  <c r="AH270" i="17" s="1"/>
  <c r="Z270" i="17"/>
  <c r="Y270" i="17"/>
  <c r="X270" i="17"/>
  <c r="U270" i="17"/>
  <c r="S270" i="17"/>
  <c r="T270" i="17" s="1"/>
  <c r="R270" i="17"/>
  <c r="AN269" i="17"/>
  <c r="AC269" i="17"/>
  <c r="AI269" i="17" s="1"/>
  <c r="AB269" i="17"/>
  <c r="AH269" i="17" s="1"/>
  <c r="Z269" i="17"/>
  <c r="Y269" i="17"/>
  <c r="X269" i="17"/>
  <c r="U269" i="17"/>
  <c r="S269" i="17"/>
  <c r="T269" i="17" s="1"/>
  <c r="R269" i="17"/>
  <c r="AN268" i="17"/>
  <c r="AC268" i="17"/>
  <c r="AI268" i="17" s="1"/>
  <c r="AB268" i="17"/>
  <c r="Z268" i="17"/>
  <c r="Y268" i="17"/>
  <c r="X268" i="17"/>
  <c r="U268" i="17"/>
  <c r="S268" i="17"/>
  <c r="T268" i="17" s="1"/>
  <c r="R268" i="17"/>
  <c r="AN267" i="17"/>
  <c r="AC267" i="17"/>
  <c r="AI267" i="17" s="1"/>
  <c r="AB267" i="17"/>
  <c r="AH267" i="17" s="1"/>
  <c r="Z267" i="17"/>
  <c r="Y267" i="17"/>
  <c r="X267" i="17"/>
  <c r="U267" i="17"/>
  <c r="S267" i="17"/>
  <c r="T267" i="17" s="1"/>
  <c r="R267" i="17"/>
  <c r="AN266" i="17"/>
  <c r="AD266" i="17"/>
  <c r="AC266" i="17"/>
  <c r="AI266" i="17" s="1"/>
  <c r="AB266" i="17"/>
  <c r="AH266" i="17" s="1"/>
  <c r="Z266" i="17"/>
  <c r="Y266" i="17"/>
  <c r="X266" i="17"/>
  <c r="U266" i="17"/>
  <c r="S266" i="17"/>
  <c r="T266" i="17" s="1"/>
  <c r="R266" i="17"/>
  <c r="AN265" i="17"/>
  <c r="AC265" i="17"/>
  <c r="AB265" i="17"/>
  <c r="AH265" i="17" s="1"/>
  <c r="Z265" i="17"/>
  <c r="Y265" i="17"/>
  <c r="X265" i="17"/>
  <c r="U265" i="17"/>
  <c r="S265" i="17"/>
  <c r="T265" i="17" s="1"/>
  <c r="R265" i="17"/>
  <c r="AN264" i="17"/>
  <c r="AC264" i="17"/>
  <c r="AI264" i="17" s="1"/>
  <c r="AB264" i="17"/>
  <c r="AH264" i="17" s="1"/>
  <c r="Y264" i="17"/>
  <c r="X264" i="17"/>
  <c r="U264" i="17"/>
  <c r="S264" i="17"/>
  <c r="T264" i="17" s="1"/>
  <c r="R264" i="17"/>
  <c r="AN263" i="17"/>
  <c r="AC263" i="17"/>
  <c r="AI263" i="17" s="1"/>
  <c r="AB263" i="17"/>
  <c r="Z263" i="17"/>
  <c r="Y263" i="17"/>
  <c r="X263" i="17"/>
  <c r="U263" i="17"/>
  <c r="S263" i="17"/>
  <c r="T263" i="17" s="1"/>
  <c r="R263" i="17"/>
  <c r="AN262" i="17"/>
  <c r="AC262" i="17"/>
  <c r="AI262" i="17" s="1"/>
  <c r="AB262" i="17"/>
  <c r="AH262" i="17" s="1"/>
  <c r="Z262" i="17"/>
  <c r="Y262" i="17"/>
  <c r="X262" i="17"/>
  <c r="U262" i="17"/>
  <c r="S262" i="17"/>
  <c r="T262" i="17" s="1"/>
  <c r="R262" i="17"/>
  <c r="AN261" i="17"/>
  <c r="AC261" i="17"/>
  <c r="AB261" i="17"/>
  <c r="AH261" i="17" s="1"/>
  <c r="Z261" i="17"/>
  <c r="Y261" i="17"/>
  <c r="X261" i="17"/>
  <c r="U261" i="17"/>
  <c r="S261" i="17"/>
  <c r="T261" i="17" s="1"/>
  <c r="R261" i="17"/>
  <c r="AN260" i="17"/>
  <c r="AC260" i="17"/>
  <c r="AI260" i="17" s="1"/>
  <c r="AB260" i="17"/>
  <c r="AH260" i="17" s="1"/>
  <c r="Z260" i="17"/>
  <c r="Y260" i="17"/>
  <c r="X260" i="17"/>
  <c r="U260" i="17"/>
  <c r="S260" i="17"/>
  <c r="T260" i="17" s="1"/>
  <c r="R260" i="17"/>
  <c r="AN259" i="17"/>
  <c r="AC259" i="17"/>
  <c r="AI259" i="17" s="1"/>
  <c r="AB259" i="17"/>
  <c r="AH259" i="17" s="1"/>
  <c r="Z259" i="17"/>
  <c r="Y259" i="17"/>
  <c r="X259" i="17"/>
  <c r="U259" i="17"/>
  <c r="S259" i="17"/>
  <c r="T259" i="17" s="1"/>
  <c r="R259" i="17"/>
  <c r="AN258" i="17"/>
  <c r="AC258" i="17"/>
  <c r="AI258" i="17" s="1"/>
  <c r="AB258" i="17"/>
  <c r="AH258" i="17" s="1"/>
  <c r="Z258" i="17"/>
  <c r="Y258" i="17"/>
  <c r="X258" i="17"/>
  <c r="U258" i="17"/>
  <c r="S258" i="17"/>
  <c r="T258" i="17" s="1"/>
  <c r="R258" i="17"/>
  <c r="AN257" i="17"/>
  <c r="AC257" i="17"/>
  <c r="AI257" i="17" s="1"/>
  <c r="AB257" i="17"/>
  <c r="AH257" i="17" s="1"/>
  <c r="Z257" i="17"/>
  <c r="Y257" i="17"/>
  <c r="X257" i="17"/>
  <c r="U257" i="17"/>
  <c r="S257" i="17"/>
  <c r="T257" i="17" s="1"/>
  <c r="R257" i="17"/>
  <c r="AN256" i="17"/>
  <c r="AC256" i="17"/>
  <c r="AB256" i="17"/>
  <c r="AH256" i="17" s="1"/>
  <c r="Z256" i="17"/>
  <c r="Y256" i="17"/>
  <c r="X256" i="17"/>
  <c r="U256" i="17"/>
  <c r="S256" i="17"/>
  <c r="T256" i="17" s="1"/>
  <c r="R256" i="17"/>
  <c r="AN255" i="17"/>
  <c r="AC255" i="17"/>
  <c r="AI255" i="17" s="1"/>
  <c r="AB255" i="17"/>
  <c r="Z255" i="17"/>
  <c r="Y255" i="17"/>
  <c r="X255" i="17"/>
  <c r="U255" i="17"/>
  <c r="S255" i="17"/>
  <c r="T255" i="17" s="1"/>
  <c r="R255" i="17"/>
  <c r="AN254" i="17"/>
  <c r="AD254" i="17"/>
  <c r="AC254" i="17"/>
  <c r="AI254" i="17" s="1"/>
  <c r="AB254" i="17"/>
  <c r="AH254" i="17" s="1"/>
  <c r="Z254" i="17"/>
  <c r="Y254" i="17"/>
  <c r="X254" i="17"/>
  <c r="U254" i="17"/>
  <c r="S254" i="17"/>
  <c r="T254" i="17" s="1"/>
  <c r="R254" i="17"/>
  <c r="AN253" i="17"/>
  <c r="AD253" i="17"/>
  <c r="AC253" i="17"/>
  <c r="AI253" i="17" s="1"/>
  <c r="AB253" i="17"/>
  <c r="AH253" i="17" s="1"/>
  <c r="Z253" i="17"/>
  <c r="Y253" i="17"/>
  <c r="X253" i="17"/>
  <c r="U253" i="17"/>
  <c r="S253" i="17"/>
  <c r="T253" i="17" s="1"/>
  <c r="R253" i="17"/>
  <c r="AN252" i="17"/>
  <c r="AD252" i="17"/>
  <c r="AC252" i="17"/>
  <c r="AI252" i="17" s="1"/>
  <c r="AB252" i="17"/>
  <c r="AH252" i="17" s="1"/>
  <c r="Z252" i="17"/>
  <c r="Y252" i="17"/>
  <c r="X252" i="17"/>
  <c r="U252" i="17"/>
  <c r="S252" i="17"/>
  <c r="T252" i="17" s="1"/>
  <c r="R252" i="17"/>
  <c r="AN251" i="17"/>
  <c r="AD251" i="17"/>
  <c r="AC251" i="17"/>
  <c r="AB251" i="17"/>
  <c r="AH251" i="17" s="1"/>
  <c r="Z251" i="17"/>
  <c r="Y251" i="17"/>
  <c r="X251" i="17"/>
  <c r="U251" i="17"/>
  <c r="S251" i="17"/>
  <c r="T251" i="17" s="1"/>
  <c r="R251" i="17"/>
  <c r="AN250" i="17"/>
  <c r="AD250" i="17"/>
  <c r="AC250" i="17"/>
  <c r="AI250" i="17" s="1"/>
  <c r="AB250" i="17"/>
  <c r="AH250" i="17" s="1"/>
  <c r="Z250" i="17"/>
  <c r="Y250" i="17"/>
  <c r="X250" i="17"/>
  <c r="U250" i="17"/>
  <c r="S250" i="17"/>
  <c r="T250" i="17" s="1"/>
  <c r="R250" i="17"/>
  <c r="AN249" i="17"/>
  <c r="AC249" i="17"/>
  <c r="AI249" i="17" s="1"/>
  <c r="AB249" i="17"/>
  <c r="AH249" i="17" s="1"/>
  <c r="Z249" i="17"/>
  <c r="Y249" i="17"/>
  <c r="X249" i="17"/>
  <c r="U249" i="17"/>
  <c r="S249" i="17"/>
  <c r="T249" i="17" s="1"/>
  <c r="R249" i="17"/>
  <c r="AN248" i="17"/>
  <c r="AC248" i="17"/>
  <c r="AI248" i="17" s="1"/>
  <c r="AB248" i="17"/>
  <c r="Z248" i="17"/>
  <c r="Y248" i="17"/>
  <c r="X248" i="17"/>
  <c r="U248" i="17"/>
  <c r="S248" i="17"/>
  <c r="T248" i="17" s="1"/>
  <c r="R248" i="17"/>
  <c r="AN247" i="17"/>
  <c r="AC247" i="17"/>
  <c r="AB247" i="17"/>
  <c r="AH247" i="17" s="1"/>
  <c r="Z247" i="17"/>
  <c r="Y247" i="17"/>
  <c r="X247" i="17"/>
  <c r="U247" i="17"/>
  <c r="S247" i="17"/>
  <c r="T247" i="17" s="1"/>
  <c r="R247" i="17"/>
  <c r="AN246" i="17"/>
  <c r="AC246" i="17"/>
  <c r="AI246" i="17" s="1"/>
  <c r="AB246" i="17"/>
  <c r="AH246" i="17" s="1"/>
  <c r="Z246" i="17"/>
  <c r="Y246" i="17"/>
  <c r="X246" i="17"/>
  <c r="U246" i="17"/>
  <c r="S246" i="17"/>
  <c r="T246" i="17" s="1"/>
  <c r="R246" i="17"/>
  <c r="AN245" i="17"/>
  <c r="AC245" i="17"/>
  <c r="AI245" i="17" s="1"/>
  <c r="AB245" i="17"/>
  <c r="AH245" i="17" s="1"/>
  <c r="Z245" i="17"/>
  <c r="Y245" i="17"/>
  <c r="X245" i="17"/>
  <c r="U245" i="17"/>
  <c r="S245" i="17"/>
  <c r="T245" i="17" s="1"/>
  <c r="R245" i="17"/>
  <c r="AN244" i="17"/>
  <c r="AD244" i="17"/>
  <c r="AC244" i="17"/>
  <c r="AB244" i="17"/>
  <c r="AH244" i="17" s="1"/>
  <c r="Z244" i="17"/>
  <c r="Y244" i="17"/>
  <c r="X244" i="17"/>
  <c r="U244" i="17"/>
  <c r="S244" i="17"/>
  <c r="T244" i="17" s="1"/>
  <c r="R244" i="17"/>
  <c r="AN243" i="17"/>
  <c r="AD243" i="17"/>
  <c r="AR243" i="17" s="1"/>
  <c r="AV243" i="17" s="1"/>
  <c r="AC243" i="17"/>
  <c r="AI243" i="17" s="1"/>
  <c r="AB243" i="17"/>
  <c r="Z243" i="17"/>
  <c r="Y243" i="17"/>
  <c r="X243" i="17"/>
  <c r="U243" i="17"/>
  <c r="S243" i="17"/>
  <c r="T243" i="17" s="1"/>
  <c r="R243" i="17"/>
  <c r="AN242" i="17"/>
  <c r="AD242" i="17"/>
  <c r="AR242" i="17" s="1"/>
  <c r="AV242" i="17" s="1"/>
  <c r="AC242" i="17"/>
  <c r="AB242" i="17"/>
  <c r="AH242" i="17" s="1"/>
  <c r="Z242" i="17"/>
  <c r="Y242" i="17"/>
  <c r="X242" i="17"/>
  <c r="U242" i="17"/>
  <c r="S242" i="17"/>
  <c r="T242" i="17" s="1"/>
  <c r="R242" i="17"/>
  <c r="AN241" i="17"/>
  <c r="AC241" i="17"/>
  <c r="AI241" i="17" s="1"/>
  <c r="AB241" i="17"/>
  <c r="AH241" i="17" s="1"/>
  <c r="Z241" i="17"/>
  <c r="Y241" i="17"/>
  <c r="X241" i="17"/>
  <c r="U241" i="17"/>
  <c r="S241" i="17"/>
  <c r="T241" i="17" s="1"/>
  <c r="R241" i="17"/>
  <c r="AN240" i="17"/>
  <c r="AC240" i="17"/>
  <c r="AI240" i="17" s="1"/>
  <c r="AB240" i="17"/>
  <c r="AH240" i="17" s="1"/>
  <c r="Z240" i="17"/>
  <c r="Y240" i="17"/>
  <c r="X240" i="17"/>
  <c r="U240" i="17"/>
  <c r="S240" i="17"/>
  <c r="T240" i="17" s="1"/>
  <c r="R240" i="17"/>
  <c r="AN239" i="17"/>
  <c r="AC239" i="17"/>
  <c r="AB239" i="17"/>
  <c r="AH239" i="17" s="1"/>
  <c r="Y239" i="17"/>
  <c r="X239" i="17"/>
  <c r="U239" i="17"/>
  <c r="S239" i="17"/>
  <c r="T239" i="17" s="1"/>
  <c r="R239" i="17"/>
  <c r="AN238" i="17"/>
  <c r="AC238" i="17"/>
  <c r="AI238" i="17" s="1"/>
  <c r="AB238" i="17"/>
  <c r="AH238" i="17" s="1"/>
  <c r="Y238" i="17"/>
  <c r="X238" i="17"/>
  <c r="U238" i="17"/>
  <c r="S238" i="17"/>
  <c r="T238" i="17" s="1"/>
  <c r="R238" i="17"/>
  <c r="AN237" i="17"/>
  <c r="AC237" i="17"/>
  <c r="AI237" i="17" s="1"/>
  <c r="AB237" i="17"/>
  <c r="AH237" i="17" s="1"/>
  <c r="Z237" i="17"/>
  <c r="Y237" i="17"/>
  <c r="X237" i="17"/>
  <c r="U237" i="17"/>
  <c r="S237" i="17"/>
  <c r="T237" i="17" s="1"/>
  <c r="R237" i="17"/>
  <c r="AN236" i="17"/>
  <c r="AC236" i="17"/>
  <c r="AI236" i="17" s="1"/>
  <c r="AB236" i="17"/>
  <c r="Z236" i="17"/>
  <c r="Y236" i="17"/>
  <c r="X236" i="17"/>
  <c r="U236" i="17"/>
  <c r="S236" i="17"/>
  <c r="T236" i="17" s="1"/>
  <c r="R236" i="17"/>
  <c r="AN235" i="17"/>
  <c r="AC235" i="17"/>
  <c r="AI235" i="17" s="1"/>
  <c r="AB235" i="17"/>
  <c r="AH235" i="17" s="1"/>
  <c r="Z235" i="17"/>
  <c r="Y235" i="17"/>
  <c r="X235" i="17"/>
  <c r="U235" i="17"/>
  <c r="S235" i="17"/>
  <c r="T235" i="17" s="1"/>
  <c r="R235" i="17"/>
  <c r="AN234" i="17"/>
  <c r="AC234" i="17"/>
  <c r="AB234" i="17"/>
  <c r="AH234" i="17" s="1"/>
  <c r="Z234" i="17"/>
  <c r="Y234" i="17"/>
  <c r="X234" i="17"/>
  <c r="U234" i="17"/>
  <c r="S234" i="17"/>
  <c r="T234" i="17" s="1"/>
  <c r="R234" i="17"/>
  <c r="AN233" i="17"/>
  <c r="AC233" i="17"/>
  <c r="AI233" i="17" s="1"/>
  <c r="AB233" i="17"/>
  <c r="Z233" i="17"/>
  <c r="Y233" i="17"/>
  <c r="X233" i="17"/>
  <c r="U233" i="17"/>
  <c r="S233" i="17"/>
  <c r="T233" i="17" s="1"/>
  <c r="R233" i="17"/>
  <c r="AN232" i="17"/>
  <c r="AC232" i="17"/>
  <c r="AI232" i="17" s="1"/>
  <c r="AB232" i="17"/>
  <c r="Z232" i="17"/>
  <c r="Y232" i="17"/>
  <c r="X232" i="17"/>
  <c r="U232" i="17"/>
  <c r="S232" i="17"/>
  <c r="T232" i="17" s="1"/>
  <c r="R232" i="17"/>
  <c r="AN231" i="17"/>
  <c r="AD231" i="17"/>
  <c r="AR231" i="17" s="1"/>
  <c r="AV231" i="17" s="1"/>
  <c r="AC231" i="17"/>
  <c r="AB231" i="17"/>
  <c r="AH231" i="17" s="1"/>
  <c r="Z231" i="17"/>
  <c r="Y231" i="17"/>
  <c r="X231" i="17"/>
  <c r="U231" i="17"/>
  <c r="S231" i="17"/>
  <c r="T231" i="17" s="1"/>
  <c r="R231" i="17"/>
  <c r="AN230" i="17"/>
  <c r="AD230" i="17"/>
  <c r="AC230" i="17"/>
  <c r="AB230" i="17"/>
  <c r="AH230" i="17" s="1"/>
  <c r="Z230" i="17"/>
  <c r="Y230" i="17"/>
  <c r="X230" i="17"/>
  <c r="U230" i="17"/>
  <c r="S230" i="17"/>
  <c r="T230" i="17" s="1"/>
  <c r="R230" i="17"/>
  <c r="AN229" i="17"/>
  <c r="AC229" i="17"/>
  <c r="AI229" i="17" s="1"/>
  <c r="AB229" i="17"/>
  <c r="AH229" i="17" s="1"/>
  <c r="Z229" i="17"/>
  <c r="Y229" i="17"/>
  <c r="X229" i="17"/>
  <c r="U229" i="17"/>
  <c r="S229" i="17"/>
  <c r="T229" i="17" s="1"/>
  <c r="R229" i="17"/>
  <c r="AN228" i="17"/>
  <c r="AC228" i="17"/>
  <c r="AI228" i="17" s="1"/>
  <c r="AB228" i="17"/>
  <c r="AH228" i="17" s="1"/>
  <c r="Z228" i="17"/>
  <c r="Y228" i="17"/>
  <c r="X228" i="17"/>
  <c r="U228" i="17"/>
  <c r="S228" i="17"/>
  <c r="T228" i="17" s="1"/>
  <c r="R228" i="17"/>
  <c r="AN227" i="17"/>
  <c r="AC227" i="17"/>
  <c r="AI227" i="17" s="1"/>
  <c r="AB227" i="17"/>
  <c r="AH227" i="17" s="1"/>
  <c r="Z227" i="17"/>
  <c r="Y227" i="17"/>
  <c r="X227" i="17"/>
  <c r="U227" i="17"/>
  <c r="S227" i="17"/>
  <c r="T227" i="17" s="1"/>
  <c r="R227" i="17"/>
  <c r="AN226" i="17"/>
  <c r="AC226" i="17"/>
  <c r="AI226" i="17" s="1"/>
  <c r="AB226" i="17"/>
  <c r="AH226" i="17" s="1"/>
  <c r="Z226" i="17"/>
  <c r="Y226" i="17"/>
  <c r="X226" i="17"/>
  <c r="U226" i="17"/>
  <c r="S226" i="17"/>
  <c r="T226" i="17" s="1"/>
  <c r="R226" i="17"/>
  <c r="AN225" i="17"/>
  <c r="AC225" i="17"/>
  <c r="AI225" i="17" s="1"/>
  <c r="AB225" i="17"/>
  <c r="AH225" i="17" s="1"/>
  <c r="Z225" i="17"/>
  <c r="Y225" i="17"/>
  <c r="X225" i="17"/>
  <c r="U225" i="17"/>
  <c r="S225" i="17"/>
  <c r="T225" i="17" s="1"/>
  <c r="R225" i="17"/>
  <c r="AN224" i="17"/>
  <c r="AD224" i="17"/>
  <c r="AC224" i="17"/>
  <c r="AI224" i="17" s="1"/>
  <c r="AB224" i="17"/>
  <c r="Z224" i="17"/>
  <c r="Y224" i="17"/>
  <c r="X224" i="17"/>
  <c r="U224" i="17"/>
  <c r="S224" i="17"/>
  <c r="T224" i="17" s="1"/>
  <c r="R224" i="17"/>
  <c r="AN223" i="17"/>
  <c r="AD223" i="17"/>
  <c r="AC223" i="17"/>
  <c r="AI223" i="17" s="1"/>
  <c r="AB223" i="17"/>
  <c r="AH223" i="17" s="1"/>
  <c r="Z223" i="17"/>
  <c r="Y223" i="17"/>
  <c r="X223" i="17"/>
  <c r="U223" i="17"/>
  <c r="S223" i="17"/>
  <c r="T223" i="17" s="1"/>
  <c r="R223" i="17"/>
  <c r="AN222" i="17"/>
  <c r="AC222" i="17"/>
  <c r="AI222" i="17" s="1"/>
  <c r="AB222" i="17"/>
  <c r="AH222" i="17" s="1"/>
  <c r="Z222" i="17"/>
  <c r="Y222" i="17"/>
  <c r="X222" i="17"/>
  <c r="U222" i="17"/>
  <c r="S222" i="17"/>
  <c r="T222" i="17" s="1"/>
  <c r="R222" i="17"/>
  <c r="AN221" i="17"/>
  <c r="AC221" i="17"/>
  <c r="AI221" i="17" s="1"/>
  <c r="AB221" i="17"/>
  <c r="Z221" i="17"/>
  <c r="Y221" i="17"/>
  <c r="X221" i="17"/>
  <c r="U221" i="17"/>
  <c r="S221" i="17"/>
  <c r="T221" i="17" s="1"/>
  <c r="R221" i="17"/>
  <c r="AN220" i="17"/>
  <c r="AC220" i="17"/>
  <c r="AI220" i="17" s="1"/>
  <c r="AB220" i="17"/>
  <c r="AH220" i="17" s="1"/>
  <c r="Z220" i="17"/>
  <c r="Y220" i="17"/>
  <c r="X220" i="17"/>
  <c r="U220" i="17"/>
  <c r="S220" i="17"/>
  <c r="T220" i="17" s="1"/>
  <c r="R220" i="17"/>
  <c r="AN219" i="17"/>
  <c r="AC219" i="17"/>
  <c r="AI219" i="17" s="1"/>
  <c r="AB219" i="17"/>
  <c r="AH219" i="17" s="1"/>
  <c r="Y219" i="17"/>
  <c r="X219" i="17"/>
  <c r="U219" i="17"/>
  <c r="S219" i="17"/>
  <c r="T219" i="17" s="1"/>
  <c r="R219" i="17"/>
  <c r="AN218" i="17"/>
  <c r="AC218" i="17"/>
  <c r="AI218" i="17" s="1"/>
  <c r="AB218" i="17"/>
  <c r="AH218" i="17" s="1"/>
  <c r="Y218" i="17"/>
  <c r="X218" i="17"/>
  <c r="U218" i="17"/>
  <c r="S218" i="17"/>
  <c r="T218" i="17" s="1"/>
  <c r="R218" i="17"/>
  <c r="AN217" i="17"/>
  <c r="AC217" i="17"/>
  <c r="AI217" i="17" s="1"/>
  <c r="AB217" i="17"/>
  <c r="AH217" i="17" s="1"/>
  <c r="Y217" i="17"/>
  <c r="X217" i="17"/>
  <c r="U217" i="17"/>
  <c r="S217" i="17"/>
  <c r="T217" i="17" s="1"/>
  <c r="R217" i="17"/>
  <c r="AN216" i="17"/>
  <c r="AC216" i="17"/>
  <c r="AI216" i="17" s="1"/>
  <c r="AB216" i="17"/>
  <c r="Z216" i="17"/>
  <c r="Y216" i="17"/>
  <c r="X216" i="17"/>
  <c r="U216" i="17"/>
  <c r="S216" i="17"/>
  <c r="T216" i="17" s="1"/>
  <c r="R216" i="17"/>
  <c r="AN215" i="17"/>
  <c r="AC215" i="17"/>
  <c r="AI215" i="17" s="1"/>
  <c r="AB215" i="17"/>
  <c r="AH215" i="17" s="1"/>
  <c r="Z215" i="17"/>
  <c r="Y215" i="17"/>
  <c r="X215" i="17"/>
  <c r="U215" i="17"/>
  <c r="S215" i="17"/>
  <c r="T215" i="17" s="1"/>
  <c r="R215" i="17"/>
  <c r="AN214" i="17"/>
  <c r="AC214" i="17"/>
  <c r="AI214" i="17" s="1"/>
  <c r="AB214" i="17"/>
  <c r="AH214" i="17" s="1"/>
  <c r="Z214" i="17"/>
  <c r="Y214" i="17"/>
  <c r="X214" i="17"/>
  <c r="U214" i="17"/>
  <c r="S214" i="17"/>
  <c r="T214" i="17" s="1"/>
  <c r="R214" i="17"/>
  <c r="AN213" i="17"/>
  <c r="AC213" i="17"/>
  <c r="AI213" i="17" s="1"/>
  <c r="AB213" i="17"/>
  <c r="Z213" i="17"/>
  <c r="Y213" i="17"/>
  <c r="X213" i="17"/>
  <c r="U213" i="17"/>
  <c r="S213" i="17"/>
  <c r="T213" i="17" s="1"/>
  <c r="R213" i="17"/>
  <c r="AN212" i="17"/>
  <c r="AD212" i="17"/>
  <c r="AR212" i="17" s="1"/>
  <c r="AV212" i="17" s="1"/>
  <c r="AC212" i="17"/>
  <c r="AI212" i="17" s="1"/>
  <c r="AB212" i="17"/>
  <c r="Z212" i="17"/>
  <c r="Y212" i="17"/>
  <c r="X212" i="17"/>
  <c r="U212" i="17"/>
  <c r="S212" i="17"/>
  <c r="T212" i="17" s="1"/>
  <c r="R212" i="17"/>
  <c r="AN211" i="17"/>
  <c r="AD211" i="17"/>
  <c r="AC211" i="17"/>
  <c r="AI211" i="17" s="1"/>
  <c r="AB211" i="17"/>
  <c r="AH211" i="17" s="1"/>
  <c r="Z211" i="17"/>
  <c r="Y211" i="17"/>
  <c r="X211" i="17"/>
  <c r="U211" i="17"/>
  <c r="S211" i="17"/>
  <c r="T211" i="17" s="1"/>
  <c r="R211" i="17"/>
  <c r="AN210" i="17"/>
  <c r="AD210" i="17"/>
  <c r="AR210" i="17" s="1"/>
  <c r="AV210" i="17" s="1"/>
  <c r="AC210" i="17"/>
  <c r="AI210" i="17" s="1"/>
  <c r="AB210" i="17"/>
  <c r="AH210" i="17" s="1"/>
  <c r="Z210" i="17"/>
  <c r="Y210" i="17"/>
  <c r="X210" i="17"/>
  <c r="U210" i="17"/>
  <c r="S210" i="17"/>
  <c r="T210" i="17" s="1"/>
  <c r="R210" i="17"/>
  <c r="AN209" i="17"/>
  <c r="AD209" i="17"/>
  <c r="AC209" i="17"/>
  <c r="AI209" i="17" s="1"/>
  <c r="AB209" i="17"/>
  <c r="AH209" i="17" s="1"/>
  <c r="Z209" i="17"/>
  <c r="Y209" i="17"/>
  <c r="X209" i="17"/>
  <c r="U209" i="17"/>
  <c r="S209" i="17"/>
  <c r="T209" i="17" s="1"/>
  <c r="R209" i="17"/>
  <c r="AN208" i="17"/>
  <c r="AD208" i="17"/>
  <c r="AC208" i="17"/>
  <c r="AI208" i="17" s="1"/>
  <c r="AB208" i="17"/>
  <c r="AH208" i="17" s="1"/>
  <c r="Z208" i="17"/>
  <c r="Y208" i="17"/>
  <c r="X208" i="17"/>
  <c r="U208" i="17"/>
  <c r="S208" i="17"/>
  <c r="T208" i="17" s="1"/>
  <c r="R208" i="17"/>
  <c r="AN207" i="17"/>
  <c r="AD207" i="17"/>
  <c r="AC207" i="17"/>
  <c r="AI207" i="17" s="1"/>
  <c r="AB207" i="17"/>
  <c r="Z207" i="17"/>
  <c r="Y207" i="17"/>
  <c r="X207" i="17"/>
  <c r="U207" i="17"/>
  <c r="S207" i="17"/>
  <c r="T207" i="17" s="1"/>
  <c r="R207" i="17"/>
  <c r="AN206" i="17"/>
  <c r="AD206" i="17"/>
  <c r="AC206" i="17"/>
  <c r="AI206" i="17" s="1"/>
  <c r="AB206" i="17"/>
  <c r="AH206" i="17" s="1"/>
  <c r="Z206" i="17"/>
  <c r="Y206" i="17"/>
  <c r="X206" i="17"/>
  <c r="U206" i="17"/>
  <c r="S206" i="17"/>
  <c r="T206" i="17" s="1"/>
  <c r="R206" i="17"/>
  <c r="AN205" i="17"/>
  <c r="AD205" i="17"/>
  <c r="AR205" i="17" s="1"/>
  <c r="AV205" i="17" s="1"/>
  <c r="AC205" i="17"/>
  <c r="AI205" i="17" s="1"/>
  <c r="AB205" i="17"/>
  <c r="AH205" i="17" s="1"/>
  <c r="Z205" i="17"/>
  <c r="Y205" i="17"/>
  <c r="X205" i="17"/>
  <c r="U205" i="17"/>
  <c r="S205" i="17"/>
  <c r="T205" i="17" s="1"/>
  <c r="R205" i="17"/>
  <c r="AN204" i="17"/>
  <c r="AD204" i="17"/>
  <c r="AC204" i="17"/>
  <c r="AB204" i="17"/>
  <c r="AH204" i="17" s="1"/>
  <c r="Z204" i="17"/>
  <c r="Y204" i="17"/>
  <c r="X204" i="17"/>
  <c r="U204" i="17"/>
  <c r="S204" i="17"/>
  <c r="T204" i="17" s="1"/>
  <c r="R204" i="17"/>
  <c r="AN203" i="17"/>
  <c r="AD203" i="17"/>
  <c r="AC203" i="17"/>
  <c r="AI203" i="17" s="1"/>
  <c r="AB203" i="17"/>
  <c r="Z203" i="17"/>
  <c r="Y203" i="17"/>
  <c r="X203" i="17"/>
  <c r="U203" i="17"/>
  <c r="S203" i="17"/>
  <c r="T203" i="17" s="1"/>
  <c r="R203" i="17"/>
  <c r="AN202" i="17"/>
  <c r="AD202" i="17"/>
  <c r="AC202" i="17"/>
  <c r="AI202" i="17" s="1"/>
  <c r="AB202" i="17"/>
  <c r="AH202" i="17" s="1"/>
  <c r="Z202" i="17"/>
  <c r="Y202" i="17"/>
  <c r="X202" i="17"/>
  <c r="U202" i="17"/>
  <c r="S202" i="17"/>
  <c r="T202" i="17" s="1"/>
  <c r="R202" i="17"/>
  <c r="AN201" i="17"/>
  <c r="AD201" i="17"/>
  <c r="AR201" i="17" s="1"/>
  <c r="AV201" i="17" s="1"/>
  <c r="AC201" i="17"/>
  <c r="AI201" i="17" s="1"/>
  <c r="AB201" i="17"/>
  <c r="Z201" i="17"/>
  <c r="Y201" i="17"/>
  <c r="X201" i="17"/>
  <c r="U201" i="17"/>
  <c r="S201" i="17"/>
  <c r="T201" i="17" s="1"/>
  <c r="R201" i="17"/>
  <c r="AN200" i="17"/>
  <c r="AD200" i="17"/>
  <c r="AC200" i="17"/>
  <c r="AI200" i="17" s="1"/>
  <c r="AB200" i="17"/>
  <c r="AH200" i="17" s="1"/>
  <c r="Z200" i="17"/>
  <c r="Y200" i="17"/>
  <c r="X200" i="17"/>
  <c r="U200" i="17"/>
  <c r="S200" i="17"/>
  <c r="T200" i="17" s="1"/>
  <c r="R200" i="17"/>
  <c r="AN199" i="17"/>
  <c r="AD199" i="17"/>
  <c r="AR199" i="17" s="1"/>
  <c r="AV199" i="17" s="1"/>
  <c r="AC199" i="17"/>
  <c r="AI199" i="17" s="1"/>
  <c r="AB199" i="17"/>
  <c r="AH199" i="17" s="1"/>
  <c r="Z199" i="17"/>
  <c r="Y199" i="17"/>
  <c r="X199" i="17"/>
  <c r="U199" i="17"/>
  <c r="S199" i="17"/>
  <c r="T199" i="17" s="1"/>
  <c r="R199" i="17"/>
  <c r="AN198" i="17"/>
  <c r="AD198" i="17"/>
  <c r="AC198" i="17"/>
  <c r="AI198" i="17" s="1"/>
  <c r="AB198" i="17"/>
  <c r="AH198" i="17" s="1"/>
  <c r="Z198" i="17"/>
  <c r="Y198" i="17"/>
  <c r="X198" i="17"/>
  <c r="U198" i="17"/>
  <c r="S198" i="17"/>
  <c r="T198" i="17" s="1"/>
  <c r="R198" i="17"/>
  <c r="AN197" i="17"/>
  <c r="AD197" i="17"/>
  <c r="AR197" i="17" s="1"/>
  <c r="AV197" i="17" s="1"/>
  <c r="AC197" i="17"/>
  <c r="AI197" i="17" s="1"/>
  <c r="AB197" i="17"/>
  <c r="Z197" i="17"/>
  <c r="Y197" i="17"/>
  <c r="X197" i="17"/>
  <c r="U197" i="17"/>
  <c r="S197" i="17"/>
  <c r="T197" i="17" s="1"/>
  <c r="R197" i="17"/>
  <c r="AN196" i="17"/>
  <c r="AD196" i="17"/>
  <c r="AC196" i="17"/>
  <c r="AI196" i="17" s="1"/>
  <c r="AB196" i="17"/>
  <c r="AH196" i="17" s="1"/>
  <c r="Z196" i="17"/>
  <c r="Y196" i="17"/>
  <c r="X196" i="17"/>
  <c r="U196" i="17"/>
  <c r="S196" i="17"/>
  <c r="T196" i="17" s="1"/>
  <c r="R196" i="17"/>
  <c r="AN195" i="17"/>
  <c r="AD195" i="17"/>
  <c r="AR195" i="17" s="1"/>
  <c r="AV195" i="17" s="1"/>
  <c r="AC195" i="17"/>
  <c r="AI195" i="17" s="1"/>
  <c r="AB195" i="17"/>
  <c r="Z195" i="17"/>
  <c r="Y195" i="17"/>
  <c r="X195" i="17"/>
  <c r="U195" i="17"/>
  <c r="S195" i="17"/>
  <c r="T195" i="17" s="1"/>
  <c r="R195" i="17"/>
  <c r="AN194" i="17"/>
  <c r="AD194" i="17"/>
  <c r="AR194" i="17" s="1"/>
  <c r="AV194" i="17" s="1"/>
  <c r="AC194" i="17"/>
  <c r="AB194" i="17"/>
  <c r="AH194" i="17" s="1"/>
  <c r="Z194" i="17"/>
  <c r="Y194" i="17"/>
  <c r="X194" i="17"/>
  <c r="U194" i="17"/>
  <c r="S194" i="17"/>
  <c r="T194" i="17" s="1"/>
  <c r="R194" i="17"/>
  <c r="AN193" i="17"/>
  <c r="AD193" i="17"/>
  <c r="AC193" i="17"/>
  <c r="AI193" i="17" s="1"/>
  <c r="AB193" i="17"/>
  <c r="Z193" i="17"/>
  <c r="Y193" i="17"/>
  <c r="X193" i="17"/>
  <c r="U193" i="17"/>
  <c r="S193" i="17"/>
  <c r="T193" i="17" s="1"/>
  <c r="R193" i="17"/>
  <c r="AN192" i="17"/>
  <c r="AD192" i="17"/>
  <c r="AR192" i="17" s="1"/>
  <c r="AV192" i="17" s="1"/>
  <c r="AC192" i="17"/>
  <c r="AB192" i="17"/>
  <c r="AH192" i="17" s="1"/>
  <c r="Z192" i="17"/>
  <c r="Y192" i="17"/>
  <c r="X192" i="17"/>
  <c r="U192" i="17"/>
  <c r="S192" i="17"/>
  <c r="T192" i="17" s="1"/>
  <c r="R192" i="17"/>
  <c r="AN191" i="17"/>
  <c r="AD191" i="17"/>
  <c r="AC191" i="17"/>
  <c r="AI191" i="17" s="1"/>
  <c r="AB191" i="17"/>
  <c r="AH191" i="17" s="1"/>
  <c r="Z191" i="17"/>
  <c r="Y191" i="17"/>
  <c r="X191" i="17"/>
  <c r="U191" i="17"/>
  <c r="S191" i="17"/>
  <c r="T191" i="17" s="1"/>
  <c r="R191" i="17"/>
  <c r="AN190" i="17"/>
  <c r="AD190" i="17"/>
  <c r="AR190" i="17" s="1"/>
  <c r="AV190" i="17" s="1"/>
  <c r="AC190" i="17"/>
  <c r="AI190" i="17" s="1"/>
  <c r="AB190" i="17"/>
  <c r="AH190" i="17" s="1"/>
  <c r="Z190" i="17"/>
  <c r="Y190" i="17"/>
  <c r="X190" i="17"/>
  <c r="U190" i="17"/>
  <c r="S190" i="17"/>
  <c r="T190" i="17" s="1"/>
  <c r="R190" i="17"/>
  <c r="AN189" i="17"/>
  <c r="AC189" i="17"/>
  <c r="AI189" i="17" s="1"/>
  <c r="AB189" i="17"/>
  <c r="AH189" i="17" s="1"/>
  <c r="Z189" i="17"/>
  <c r="Y189" i="17"/>
  <c r="X189" i="17"/>
  <c r="U189" i="17"/>
  <c r="S189" i="17"/>
  <c r="T189" i="17" s="1"/>
  <c r="R189" i="17"/>
  <c r="AN188" i="17"/>
  <c r="AC188" i="17"/>
  <c r="AI188" i="17" s="1"/>
  <c r="AB188" i="17"/>
  <c r="AH188" i="17" s="1"/>
  <c r="Z188" i="17"/>
  <c r="Y188" i="17"/>
  <c r="X188" i="17"/>
  <c r="U188" i="17"/>
  <c r="S188" i="17"/>
  <c r="T188" i="17" s="1"/>
  <c r="R188" i="17"/>
  <c r="AN187" i="17"/>
  <c r="AC187" i="17"/>
  <c r="AI187" i="17" s="1"/>
  <c r="AB187" i="17"/>
  <c r="Z187" i="17"/>
  <c r="Y187" i="17"/>
  <c r="X187" i="17"/>
  <c r="U187" i="17"/>
  <c r="S187" i="17"/>
  <c r="T187" i="17" s="1"/>
  <c r="R187" i="17"/>
  <c r="AN186" i="17"/>
  <c r="AC186" i="17"/>
  <c r="AI186" i="17" s="1"/>
  <c r="AB186" i="17"/>
  <c r="AH186" i="17" s="1"/>
  <c r="Z186" i="17"/>
  <c r="Y186" i="17"/>
  <c r="X186" i="17"/>
  <c r="U186" i="17"/>
  <c r="S186" i="17"/>
  <c r="T186" i="17" s="1"/>
  <c r="R186" i="17"/>
  <c r="AN185" i="17"/>
  <c r="AC185" i="17"/>
  <c r="AI185" i="17" s="1"/>
  <c r="AB185" i="17"/>
  <c r="AH185" i="17" s="1"/>
  <c r="Z185" i="17"/>
  <c r="Y185" i="17"/>
  <c r="X185" i="17"/>
  <c r="U185" i="17"/>
  <c r="S185" i="17"/>
  <c r="T185" i="17" s="1"/>
  <c r="R185" i="17"/>
  <c r="AN184" i="17"/>
  <c r="AC184" i="17"/>
  <c r="AI184" i="17" s="1"/>
  <c r="AB184" i="17"/>
  <c r="AH184" i="17" s="1"/>
  <c r="Z184" i="17"/>
  <c r="Y184" i="17"/>
  <c r="X184" i="17"/>
  <c r="U184" i="17"/>
  <c r="S184" i="17"/>
  <c r="T184" i="17" s="1"/>
  <c r="R184" i="17"/>
  <c r="AN183" i="17"/>
  <c r="AD183" i="17"/>
  <c r="AR183" i="17" s="1"/>
  <c r="AV183" i="17" s="1"/>
  <c r="AC183" i="17"/>
  <c r="AI183" i="17" s="1"/>
  <c r="AB183" i="17"/>
  <c r="Z183" i="17"/>
  <c r="Y183" i="17"/>
  <c r="X183" i="17"/>
  <c r="U183" i="17"/>
  <c r="S183" i="17"/>
  <c r="T183" i="17" s="1"/>
  <c r="R183" i="17"/>
  <c r="AN182" i="17"/>
  <c r="AD182" i="17"/>
  <c r="AC182" i="17"/>
  <c r="AI182" i="17" s="1"/>
  <c r="AB182" i="17"/>
  <c r="AH182" i="17" s="1"/>
  <c r="Z182" i="17"/>
  <c r="Y182" i="17"/>
  <c r="X182" i="17"/>
  <c r="U182" i="17"/>
  <c r="S182" i="17"/>
  <c r="T182" i="17" s="1"/>
  <c r="R182" i="17"/>
  <c r="AN181" i="17"/>
  <c r="AC181" i="17"/>
  <c r="AI181" i="17" s="1"/>
  <c r="AB181" i="17"/>
  <c r="AH181" i="17" s="1"/>
  <c r="Y181" i="17"/>
  <c r="X181" i="17"/>
  <c r="U181" i="17"/>
  <c r="S181" i="17"/>
  <c r="T181" i="17" s="1"/>
  <c r="R181" i="17"/>
  <c r="AN180" i="17"/>
  <c r="AC180" i="17"/>
  <c r="AI180" i="17" s="1"/>
  <c r="AB180" i="17"/>
  <c r="AH180" i="17" s="1"/>
  <c r="Y180" i="17"/>
  <c r="X180" i="17"/>
  <c r="U180" i="17"/>
  <c r="S180" i="17"/>
  <c r="T180" i="17" s="1"/>
  <c r="R180" i="17"/>
  <c r="AN179" i="17"/>
  <c r="AC179" i="17"/>
  <c r="AI179" i="17" s="1"/>
  <c r="AB179" i="17"/>
  <c r="AH179" i="17" s="1"/>
  <c r="Z179" i="17"/>
  <c r="Y179" i="17"/>
  <c r="X179" i="17"/>
  <c r="U179" i="17"/>
  <c r="S179" i="17"/>
  <c r="T179" i="17" s="1"/>
  <c r="R179" i="17"/>
  <c r="AN178" i="17"/>
  <c r="AC178" i="17"/>
  <c r="AI178" i="17" s="1"/>
  <c r="AB178" i="17"/>
  <c r="AH178" i="17" s="1"/>
  <c r="Z178" i="17"/>
  <c r="Y178" i="17"/>
  <c r="X178" i="17"/>
  <c r="U178" i="17"/>
  <c r="S178" i="17"/>
  <c r="T178" i="17" s="1"/>
  <c r="R178" i="17"/>
  <c r="AN177" i="17"/>
  <c r="AC177" i="17"/>
  <c r="AI177" i="17" s="1"/>
  <c r="AB177" i="17"/>
  <c r="Z177" i="17"/>
  <c r="Y177" i="17"/>
  <c r="X177" i="17"/>
  <c r="U177" i="17"/>
  <c r="S177" i="17"/>
  <c r="T177" i="17" s="1"/>
  <c r="R177" i="17"/>
  <c r="AN176" i="17"/>
  <c r="AC176" i="17"/>
  <c r="AI176" i="17" s="1"/>
  <c r="AB176" i="17"/>
  <c r="AH176" i="17" s="1"/>
  <c r="Z176" i="17"/>
  <c r="Y176" i="17"/>
  <c r="X176" i="17"/>
  <c r="U176" i="17"/>
  <c r="S176" i="17"/>
  <c r="T176" i="17" s="1"/>
  <c r="R176" i="17"/>
  <c r="AN175" i="17"/>
  <c r="AC175" i="17"/>
  <c r="AI175" i="17" s="1"/>
  <c r="AB175" i="17"/>
  <c r="AH175" i="17" s="1"/>
  <c r="Z175" i="17"/>
  <c r="Y175" i="17"/>
  <c r="X175" i="17"/>
  <c r="U175" i="17"/>
  <c r="S175" i="17"/>
  <c r="T175" i="17" s="1"/>
  <c r="R175" i="17"/>
  <c r="AN174" i="17"/>
  <c r="AC174" i="17"/>
  <c r="AI174" i="17" s="1"/>
  <c r="AB174" i="17"/>
  <c r="AH174" i="17" s="1"/>
  <c r="Z174" i="17"/>
  <c r="Y174" i="17"/>
  <c r="X174" i="17"/>
  <c r="U174" i="17"/>
  <c r="S174" i="17"/>
  <c r="T174" i="17" s="1"/>
  <c r="R174" i="17"/>
  <c r="AN173" i="17"/>
  <c r="AD173" i="17"/>
  <c r="AC173" i="17"/>
  <c r="AI173" i="17" s="1"/>
  <c r="AB173" i="17"/>
  <c r="AH173" i="17" s="1"/>
  <c r="Z173" i="17"/>
  <c r="Y173" i="17"/>
  <c r="X173" i="17"/>
  <c r="U173" i="17"/>
  <c r="S173" i="17"/>
  <c r="T173" i="17" s="1"/>
  <c r="R173" i="17"/>
  <c r="AN172" i="17"/>
  <c r="AD172" i="17"/>
  <c r="AC172" i="17"/>
  <c r="AI172" i="17" s="1"/>
  <c r="AB172" i="17"/>
  <c r="Z172" i="17"/>
  <c r="Y172" i="17"/>
  <c r="X172" i="17"/>
  <c r="U172" i="17"/>
  <c r="S172" i="17"/>
  <c r="T172" i="17" s="1"/>
  <c r="R172" i="17"/>
  <c r="AN171" i="17"/>
  <c r="AC171" i="17"/>
  <c r="AI171" i="17" s="1"/>
  <c r="AB171" i="17"/>
  <c r="AH171" i="17" s="1"/>
  <c r="Z171" i="17"/>
  <c r="Y171" i="17"/>
  <c r="X171" i="17"/>
  <c r="U171" i="17"/>
  <c r="S171" i="17"/>
  <c r="T171" i="17" s="1"/>
  <c r="R171" i="17"/>
  <c r="AN170" i="17"/>
  <c r="AC170" i="17"/>
  <c r="AI170" i="17" s="1"/>
  <c r="AB170" i="17"/>
  <c r="AH170" i="17" s="1"/>
  <c r="Z170" i="17"/>
  <c r="Y170" i="17"/>
  <c r="X170" i="17"/>
  <c r="U170" i="17"/>
  <c r="S170" i="17"/>
  <c r="T170" i="17" s="1"/>
  <c r="R170" i="17"/>
  <c r="AN169" i="17"/>
  <c r="AC169" i="17"/>
  <c r="AI169" i="17" s="1"/>
  <c r="AB169" i="17"/>
  <c r="AH169" i="17" s="1"/>
  <c r="Z169" i="17"/>
  <c r="Y169" i="17"/>
  <c r="X169" i="17"/>
  <c r="U169" i="17"/>
  <c r="S169" i="17"/>
  <c r="T169" i="17" s="1"/>
  <c r="R169" i="17"/>
  <c r="AN168" i="17"/>
  <c r="AC168" i="17"/>
  <c r="AI168" i="17" s="1"/>
  <c r="AB168" i="17"/>
  <c r="Z168" i="17"/>
  <c r="Y168" i="17"/>
  <c r="X168" i="17"/>
  <c r="U168" i="17"/>
  <c r="S168" i="17"/>
  <c r="T168" i="17" s="1"/>
  <c r="R168" i="17"/>
  <c r="AN167" i="17"/>
  <c r="AC167" i="17"/>
  <c r="AI167" i="17" s="1"/>
  <c r="AB167" i="17"/>
  <c r="Z167" i="17"/>
  <c r="Y167" i="17"/>
  <c r="X167" i="17"/>
  <c r="U167" i="17"/>
  <c r="S167" i="17"/>
  <c r="T167" i="17" s="1"/>
  <c r="R167" i="17"/>
  <c r="AN166" i="17"/>
  <c r="AC166" i="17"/>
  <c r="AB166" i="17"/>
  <c r="AH166" i="17" s="1"/>
  <c r="Z166" i="17"/>
  <c r="Y166" i="17"/>
  <c r="X166" i="17"/>
  <c r="U166" i="17"/>
  <c r="S166" i="17"/>
  <c r="T166" i="17" s="1"/>
  <c r="R166" i="17"/>
  <c r="AN165" i="17"/>
  <c r="AD165" i="17"/>
  <c r="AC165" i="17"/>
  <c r="AI165" i="17" s="1"/>
  <c r="AB165" i="17"/>
  <c r="AH165" i="17" s="1"/>
  <c r="Z165" i="17"/>
  <c r="Y165" i="17"/>
  <c r="X165" i="17"/>
  <c r="U165" i="17"/>
  <c r="S165" i="17"/>
  <c r="T165" i="17" s="1"/>
  <c r="R165" i="17"/>
  <c r="AN164" i="17"/>
  <c r="AD164" i="17"/>
  <c r="AR164" i="17" s="1"/>
  <c r="AV164" i="17" s="1"/>
  <c r="AC164" i="17"/>
  <c r="AI164" i="17" s="1"/>
  <c r="AB164" i="17"/>
  <c r="AH164" i="17" s="1"/>
  <c r="Z164" i="17"/>
  <c r="Y164" i="17"/>
  <c r="X164" i="17"/>
  <c r="U164" i="17"/>
  <c r="S164" i="17"/>
  <c r="T164" i="17" s="1"/>
  <c r="R164" i="17"/>
  <c r="AN163" i="17"/>
  <c r="AD163" i="17"/>
  <c r="AC163" i="17"/>
  <c r="AI163" i="17" s="1"/>
  <c r="AB163" i="17"/>
  <c r="AH163" i="17" s="1"/>
  <c r="Z163" i="17"/>
  <c r="Y163" i="17"/>
  <c r="X163" i="17"/>
  <c r="U163" i="17"/>
  <c r="S163" i="17"/>
  <c r="T163" i="17" s="1"/>
  <c r="R163" i="17"/>
  <c r="AN162" i="17"/>
  <c r="AC162" i="17"/>
  <c r="AI162" i="17" s="1"/>
  <c r="AB162" i="17"/>
  <c r="AH162" i="17" s="1"/>
  <c r="Y162" i="17"/>
  <c r="X162" i="17"/>
  <c r="U162" i="17"/>
  <c r="S162" i="17"/>
  <c r="T162" i="17" s="1"/>
  <c r="R162" i="17"/>
  <c r="AN161" i="17"/>
  <c r="AC161" i="17"/>
  <c r="AI161" i="17" s="1"/>
  <c r="AB161" i="17"/>
  <c r="AH161" i="17" s="1"/>
  <c r="Y161" i="17"/>
  <c r="X161" i="17"/>
  <c r="U161" i="17"/>
  <c r="S161" i="17"/>
  <c r="T161" i="17" s="1"/>
  <c r="R161" i="17"/>
  <c r="AN160" i="17"/>
  <c r="AC160" i="17"/>
  <c r="AI160" i="17" s="1"/>
  <c r="AB160" i="17"/>
  <c r="AH160" i="17" s="1"/>
  <c r="Z160" i="17"/>
  <c r="Y160" i="17"/>
  <c r="X160" i="17"/>
  <c r="U160" i="17"/>
  <c r="S160" i="17"/>
  <c r="T160" i="17" s="1"/>
  <c r="R160" i="17"/>
  <c r="AN159" i="17"/>
  <c r="AC159" i="17"/>
  <c r="AI159" i="17" s="1"/>
  <c r="AB159" i="17"/>
  <c r="AH159" i="17" s="1"/>
  <c r="Z159" i="17"/>
  <c r="Y159" i="17"/>
  <c r="X159" i="17"/>
  <c r="U159" i="17"/>
  <c r="S159" i="17"/>
  <c r="T159" i="17" s="1"/>
  <c r="R159" i="17"/>
  <c r="AN158" i="17"/>
  <c r="AC158" i="17"/>
  <c r="AI158" i="17" s="1"/>
  <c r="AB158" i="17"/>
  <c r="Z158" i="17"/>
  <c r="Y158" i="17"/>
  <c r="X158" i="17"/>
  <c r="U158" i="17"/>
  <c r="S158" i="17"/>
  <c r="T158" i="17" s="1"/>
  <c r="R158" i="17"/>
  <c r="AN157" i="17"/>
  <c r="AC157" i="17"/>
  <c r="AI157" i="17" s="1"/>
  <c r="AB157" i="17"/>
  <c r="Z157" i="17"/>
  <c r="Y157" i="17"/>
  <c r="X157" i="17"/>
  <c r="U157" i="17"/>
  <c r="S157" i="17"/>
  <c r="T157" i="17" s="1"/>
  <c r="R157" i="17"/>
  <c r="AN156" i="17"/>
  <c r="AC156" i="17"/>
  <c r="AI156" i="17" s="1"/>
  <c r="AB156" i="17"/>
  <c r="AH156" i="17" s="1"/>
  <c r="Z156" i="17"/>
  <c r="Y156" i="17"/>
  <c r="X156" i="17"/>
  <c r="U156" i="17"/>
  <c r="S156" i="17"/>
  <c r="T156" i="17" s="1"/>
  <c r="R156" i="17"/>
  <c r="AN155" i="17"/>
  <c r="AC155" i="17"/>
  <c r="AI155" i="17" s="1"/>
  <c r="AB155" i="17"/>
  <c r="AH155" i="17" s="1"/>
  <c r="Z155" i="17"/>
  <c r="Y155" i="17"/>
  <c r="X155" i="17"/>
  <c r="U155" i="17"/>
  <c r="S155" i="17"/>
  <c r="T155" i="17" s="1"/>
  <c r="R155" i="17"/>
  <c r="AN154" i="17"/>
  <c r="AC154" i="17"/>
  <c r="AB154" i="17"/>
  <c r="AH154" i="17" s="1"/>
  <c r="Z154" i="17"/>
  <c r="Y154" i="17"/>
  <c r="X154" i="17"/>
  <c r="U154" i="17"/>
  <c r="S154" i="17"/>
  <c r="T154" i="17" s="1"/>
  <c r="R154" i="17"/>
  <c r="AN153" i="17"/>
  <c r="AC153" i="17"/>
  <c r="AI153" i="17" s="1"/>
  <c r="AB153" i="17"/>
  <c r="Z153" i="17"/>
  <c r="Y153" i="17"/>
  <c r="X153" i="17"/>
  <c r="U153" i="17"/>
  <c r="S153" i="17"/>
  <c r="T153" i="17" s="1"/>
  <c r="R153" i="17"/>
  <c r="AN152" i="17"/>
  <c r="AC152" i="17"/>
  <c r="AI152" i="17" s="1"/>
  <c r="AB152" i="17"/>
  <c r="AH152" i="17" s="1"/>
  <c r="Z152" i="17"/>
  <c r="Y152" i="17"/>
  <c r="X152" i="17"/>
  <c r="U152" i="17"/>
  <c r="S152" i="17"/>
  <c r="T152" i="17" s="1"/>
  <c r="R152" i="17"/>
  <c r="AN151" i="17"/>
  <c r="AC151" i="17"/>
  <c r="AI151" i="17" s="1"/>
  <c r="AB151" i="17"/>
  <c r="AH151" i="17" s="1"/>
  <c r="Z151" i="17"/>
  <c r="Y151" i="17"/>
  <c r="X151" i="17"/>
  <c r="U151" i="17"/>
  <c r="S151" i="17"/>
  <c r="T151" i="17" s="1"/>
  <c r="R151" i="17"/>
  <c r="AN150" i="17"/>
  <c r="AC150" i="17"/>
  <c r="AI150" i="17" s="1"/>
  <c r="AB150" i="17"/>
  <c r="AH150" i="17" s="1"/>
  <c r="Z150" i="17"/>
  <c r="Y150" i="17"/>
  <c r="X150" i="17"/>
  <c r="U150" i="17"/>
  <c r="S150" i="17"/>
  <c r="T150" i="17" s="1"/>
  <c r="R150" i="17"/>
  <c r="AN149" i="17"/>
  <c r="AC149" i="17"/>
  <c r="AI149" i="17" s="1"/>
  <c r="AB149" i="17"/>
  <c r="AH149" i="17" s="1"/>
  <c r="Z149" i="17"/>
  <c r="Y149" i="17"/>
  <c r="X149" i="17"/>
  <c r="U149" i="17"/>
  <c r="S149" i="17"/>
  <c r="T149" i="17" s="1"/>
  <c r="R149" i="17"/>
  <c r="AN148" i="17"/>
  <c r="AC148" i="17"/>
  <c r="AI148" i="17" s="1"/>
  <c r="AB148" i="17"/>
  <c r="AH148" i="17" s="1"/>
  <c r="Z148" i="17"/>
  <c r="Y148" i="17"/>
  <c r="X148" i="17"/>
  <c r="U148" i="17"/>
  <c r="S148" i="17"/>
  <c r="T148" i="17" s="1"/>
  <c r="R148" i="17"/>
  <c r="AN147" i="17"/>
  <c r="AD147" i="17"/>
  <c r="AC147" i="17"/>
  <c r="AI147" i="17" s="1"/>
  <c r="AB147" i="17"/>
  <c r="AH147" i="17" s="1"/>
  <c r="Z147" i="17"/>
  <c r="Y147" i="17"/>
  <c r="X147" i="17"/>
  <c r="U147" i="17"/>
  <c r="S147" i="17"/>
  <c r="T147" i="17" s="1"/>
  <c r="R147" i="17"/>
  <c r="AN146" i="17"/>
  <c r="AD146" i="17"/>
  <c r="AC146" i="17"/>
  <c r="AI146" i="17" s="1"/>
  <c r="AB146" i="17"/>
  <c r="Z146" i="17"/>
  <c r="Y146" i="17"/>
  <c r="X146" i="17"/>
  <c r="U146" i="17"/>
  <c r="S146" i="17"/>
  <c r="T146" i="17" s="1"/>
  <c r="R146" i="17"/>
  <c r="AN145" i="17"/>
  <c r="AC145" i="17"/>
  <c r="AI145" i="17" s="1"/>
  <c r="AB145" i="17"/>
  <c r="Z145" i="17"/>
  <c r="Y145" i="17"/>
  <c r="X145" i="17"/>
  <c r="U145" i="17"/>
  <c r="S145" i="17"/>
  <c r="T145" i="17" s="1"/>
  <c r="R145" i="17"/>
  <c r="AN144" i="17"/>
  <c r="AC144" i="17"/>
  <c r="AI144" i="17" s="1"/>
  <c r="AB144" i="17"/>
  <c r="AH144" i="17" s="1"/>
  <c r="Z144" i="17"/>
  <c r="Y144" i="17"/>
  <c r="X144" i="17"/>
  <c r="U144" i="17"/>
  <c r="S144" i="17"/>
  <c r="T144" i="17" s="1"/>
  <c r="R144" i="17"/>
  <c r="AN143" i="17"/>
  <c r="AC143" i="17"/>
  <c r="AI143" i="17" s="1"/>
  <c r="AB143" i="17"/>
  <c r="AH143" i="17" s="1"/>
  <c r="Z143" i="17"/>
  <c r="Y143" i="17"/>
  <c r="X143" i="17"/>
  <c r="U143" i="17"/>
  <c r="S143" i="17"/>
  <c r="T143" i="17" s="1"/>
  <c r="R143" i="17"/>
  <c r="AN142" i="17"/>
  <c r="AD142" i="17"/>
  <c r="AR142" i="17" s="1"/>
  <c r="AV142" i="17" s="1"/>
  <c r="AC142" i="17"/>
  <c r="AI142" i="17" s="1"/>
  <c r="AB142" i="17"/>
  <c r="Z142" i="17"/>
  <c r="Y142" i="17"/>
  <c r="X142" i="17"/>
  <c r="U142" i="17"/>
  <c r="S142" i="17"/>
  <c r="T142" i="17" s="1"/>
  <c r="R142" i="17"/>
  <c r="AN141" i="17"/>
  <c r="AD141" i="17"/>
  <c r="AC141" i="17"/>
  <c r="AI141" i="17" s="1"/>
  <c r="AB141" i="17"/>
  <c r="AH141" i="17" s="1"/>
  <c r="Z141" i="17"/>
  <c r="Y141" i="17"/>
  <c r="X141" i="17"/>
  <c r="U141" i="17"/>
  <c r="S141" i="17"/>
  <c r="T141" i="17" s="1"/>
  <c r="R141" i="17"/>
  <c r="AN140" i="17"/>
  <c r="AC140" i="17"/>
  <c r="AI140" i="17" s="1"/>
  <c r="AB140" i="17"/>
  <c r="AH140" i="17" s="1"/>
  <c r="Z140" i="17"/>
  <c r="Y140" i="17"/>
  <c r="X140" i="17"/>
  <c r="U140" i="17"/>
  <c r="S140" i="17"/>
  <c r="T140" i="17" s="1"/>
  <c r="R140" i="17"/>
  <c r="AN139" i="17"/>
  <c r="AC139" i="17"/>
  <c r="AI139" i="17" s="1"/>
  <c r="AB139" i="17"/>
  <c r="AH139" i="17" s="1"/>
  <c r="Z139" i="17"/>
  <c r="Y139" i="17"/>
  <c r="X139" i="17"/>
  <c r="U139" i="17"/>
  <c r="S139" i="17"/>
  <c r="T139" i="17" s="1"/>
  <c r="R139" i="17"/>
  <c r="AN138" i="17"/>
  <c r="AC138" i="17"/>
  <c r="AI138" i="17" s="1"/>
  <c r="AB138" i="17"/>
  <c r="AH138" i="17" s="1"/>
  <c r="Z138" i="17"/>
  <c r="Y138" i="17"/>
  <c r="X138" i="17"/>
  <c r="U138" i="17"/>
  <c r="S138" i="17"/>
  <c r="T138" i="17" s="1"/>
  <c r="R138" i="17"/>
  <c r="AN137" i="17"/>
  <c r="AC137" i="17"/>
  <c r="AI137" i="17" s="1"/>
  <c r="AB137" i="17"/>
  <c r="Y137" i="17"/>
  <c r="X137" i="17"/>
  <c r="U137" i="17"/>
  <c r="S137" i="17"/>
  <c r="T137" i="17" s="1"/>
  <c r="R137" i="17"/>
  <c r="AN136" i="17"/>
  <c r="AC136" i="17"/>
  <c r="AI136" i="17" s="1"/>
  <c r="AB136" i="17"/>
  <c r="AH136" i="17" s="1"/>
  <c r="Z136" i="17"/>
  <c r="Y136" i="17"/>
  <c r="X136" i="17"/>
  <c r="U136" i="17"/>
  <c r="S136" i="17"/>
  <c r="T136" i="17" s="1"/>
  <c r="R136" i="17"/>
  <c r="AN135" i="17"/>
  <c r="AC135" i="17"/>
  <c r="AI135" i="17" s="1"/>
  <c r="AB135" i="17"/>
  <c r="Z135" i="17"/>
  <c r="Y135" i="17"/>
  <c r="X135" i="17"/>
  <c r="U135" i="17"/>
  <c r="S135" i="17"/>
  <c r="T135" i="17" s="1"/>
  <c r="R135" i="17"/>
  <c r="AN134" i="17"/>
  <c r="AC134" i="17"/>
  <c r="AI134" i="17" s="1"/>
  <c r="AB134" i="17"/>
  <c r="Z134" i="17"/>
  <c r="Y134" i="17"/>
  <c r="X134" i="17"/>
  <c r="U134" i="17"/>
  <c r="S134" i="17"/>
  <c r="T134" i="17" s="1"/>
  <c r="R134" i="17"/>
  <c r="AN133" i="17"/>
  <c r="AC133" i="17"/>
  <c r="AI133" i="17" s="1"/>
  <c r="AB133" i="17"/>
  <c r="AH133" i="17" s="1"/>
  <c r="Z133" i="17"/>
  <c r="Y133" i="17"/>
  <c r="X133" i="17"/>
  <c r="U133" i="17"/>
  <c r="S133" i="17"/>
  <c r="T133" i="17" s="1"/>
  <c r="R133" i="17"/>
  <c r="AN132" i="17"/>
  <c r="AC132" i="17"/>
  <c r="AI132" i="17" s="1"/>
  <c r="AB132" i="17"/>
  <c r="AH132" i="17" s="1"/>
  <c r="Z132" i="17"/>
  <c r="Y132" i="17"/>
  <c r="X132" i="17"/>
  <c r="U132" i="17"/>
  <c r="S132" i="17"/>
  <c r="T132" i="17" s="1"/>
  <c r="R132" i="17"/>
  <c r="AN131" i="17"/>
  <c r="AC131" i="17"/>
  <c r="AI131" i="17" s="1"/>
  <c r="AB131" i="17"/>
  <c r="AH131" i="17" s="1"/>
  <c r="Z131" i="17"/>
  <c r="Y131" i="17"/>
  <c r="X131" i="17"/>
  <c r="U131" i="17"/>
  <c r="S131" i="17"/>
  <c r="T131" i="17" s="1"/>
  <c r="R131" i="17"/>
  <c r="AN130" i="17"/>
  <c r="AC130" i="17"/>
  <c r="AI130" i="17" s="1"/>
  <c r="AB130" i="17"/>
  <c r="AH130" i="17" s="1"/>
  <c r="Z130" i="17"/>
  <c r="Y130" i="17"/>
  <c r="X130" i="17"/>
  <c r="U130" i="17"/>
  <c r="S130" i="17"/>
  <c r="T130" i="17" s="1"/>
  <c r="R130" i="17"/>
  <c r="AN129" i="17"/>
  <c r="AC129" i="17"/>
  <c r="AI129" i="17" s="1"/>
  <c r="AB129" i="17"/>
  <c r="AH129" i="17" s="1"/>
  <c r="Z129" i="17"/>
  <c r="Y129" i="17"/>
  <c r="X129" i="17"/>
  <c r="U129" i="17"/>
  <c r="S129" i="17"/>
  <c r="T129" i="17" s="1"/>
  <c r="R129" i="17"/>
  <c r="AN128" i="17"/>
  <c r="AC128" i="17"/>
  <c r="AI128" i="17" s="1"/>
  <c r="AB128" i="17"/>
  <c r="AH128" i="17" s="1"/>
  <c r="Z128" i="17"/>
  <c r="Y128" i="17"/>
  <c r="X128" i="17"/>
  <c r="U128" i="17"/>
  <c r="S128" i="17"/>
  <c r="T128" i="17" s="1"/>
  <c r="R128" i="17"/>
  <c r="AN127" i="17"/>
  <c r="AC127" i="17"/>
  <c r="AI127" i="17" s="1"/>
  <c r="AB127" i="17"/>
  <c r="AH127" i="17" s="1"/>
  <c r="Z127" i="17"/>
  <c r="Y127" i="17"/>
  <c r="X127" i="17"/>
  <c r="U127" i="17"/>
  <c r="S127" i="17"/>
  <c r="T127" i="17" s="1"/>
  <c r="R127" i="17"/>
  <c r="AN126" i="17"/>
  <c r="AC126" i="17"/>
  <c r="AI126" i="17" s="1"/>
  <c r="AB126" i="17"/>
  <c r="Z126" i="17"/>
  <c r="Y126" i="17"/>
  <c r="X126" i="17"/>
  <c r="U126" i="17"/>
  <c r="S126" i="17"/>
  <c r="T126" i="17" s="1"/>
  <c r="R126" i="17"/>
  <c r="AN125" i="17"/>
  <c r="AC125" i="17"/>
  <c r="AI125" i="17" s="1"/>
  <c r="AB125" i="17"/>
  <c r="AH125" i="17" s="1"/>
  <c r="Z125" i="17"/>
  <c r="Y125" i="17"/>
  <c r="X125" i="17"/>
  <c r="U125" i="17"/>
  <c r="S125" i="17"/>
  <c r="T125" i="17" s="1"/>
  <c r="R125" i="17"/>
  <c r="AN124" i="17"/>
  <c r="AC124" i="17"/>
  <c r="AI124" i="17" s="1"/>
  <c r="AB124" i="17"/>
  <c r="AH124" i="17" s="1"/>
  <c r="Z124" i="17"/>
  <c r="Y124" i="17"/>
  <c r="X124" i="17"/>
  <c r="U124" i="17"/>
  <c r="S124" i="17"/>
  <c r="T124" i="17" s="1"/>
  <c r="R124" i="17"/>
  <c r="AN123" i="17"/>
  <c r="AD123" i="17"/>
  <c r="AC123" i="17"/>
  <c r="AI123" i="17" s="1"/>
  <c r="AB123" i="17"/>
  <c r="Z123" i="17"/>
  <c r="Y123" i="17"/>
  <c r="X123" i="17"/>
  <c r="U123" i="17"/>
  <c r="S123" i="17"/>
  <c r="T123" i="17" s="1"/>
  <c r="R123" i="17"/>
  <c r="AN122" i="17"/>
  <c r="AD122" i="17"/>
  <c r="AC122" i="17"/>
  <c r="AI122" i="17" s="1"/>
  <c r="AB122" i="17"/>
  <c r="Z122" i="17"/>
  <c r="Y122" i="17"/>
  <c r="X122" i="17"/>
  <c r="U122" i="17"/>
  <c r="S122" i="17"/>
  <c r="T122" i="17" s="1"/>
  <c r="R122" i="17"/>
  <c r="AN121" i="17"/>
  <c r="AD121" i="17"/>
  <c r="AR121" i="17" s="1"/>
  <c r="AV121" i="17" s="1"/>
  <c r="AC121" i="17"/>
  <c r="AI121" i="17" s="1"/>
  <c r="AB121" i="17"/>
  <c r="AH121" i="17" s="1"/>
  <c r="Z121" i="17"/>
  <c r="Y121" i="17"/>
  <c r="X121" i="17"/>
  <c r="U121" i="17"/>
  <c r="S121" i="17"/>
  <c r="T121" i="17" s="1"/>
  <c r="R121" i="17"/>
  <c r="AN120" i="17"/>
  <c r="AD120" i="17"/>
  <c r="AC120" i="17"/>
  <c r="AI120" i="17" s="1"/>
  <c r="AB120" i="17"/>
  <c r="AH120" i="17" s="1"/>
  <c r="Z120" i="17"/>
  <c r="Y120" i="17"/>
  <c r="X120" i="17"/>
  <c r="U120" i="17"/>
  <c r="S120" i="17"/>
  <c r="T120" i="17" s="1"/>
  <c r="R120" i="17"/>
  <c r="AN119" i="17"/>
  <c r="AD119" i="17"/>
  <c r="AR119" i="17" s="1"/>
  <c r="AV119" i="17" s="1"/>
  <c r="AC119" i="17"/>
  <c r="AI119" i="17" s="1"/>
  <c r="AB119" i="17"/>
  <c r="AH119" i="17" s="1"/>
  <c r="Z119" i="17"/>
  <c r="Y119" i="17"/>
  <c r="X119" i="17"/>
  <c r="U119" i="17"/>
  <c r="S119" i="17"/>
  <c r="T119" i="17" s="1"/>
  <c r="R119" i="17"/>
  <c r="AN118" i="17"/>
  <c r="AD118" i="17"/>
  <c r="AC118" i="17"/>
  <c r="AI118" i="17" s="1"/>
  <c r="AB118" i="17"/>
  <c r="AH118" i="17" s="1"/>
  <c r="Z118" i="17"/>
  <c r="Y118" i="17"/>
  <c r="X118" i="17"/>
  <c r="U118" i="17"/>
  <c r="S118" i="17"/>
  <c r="T118" i="17" s="1"/>
  <c r="R118" i="17"/>
  <c r="AN117" i="17"/>
  <c r="AD117" i="17"/>
  <c r="AC117" i="17"/>
  <c r="AI117" i="17" s="1"/>
  <c r="AB117" i="17"/>
  <c r="Z117" i="17"/>
  <c r="Y117" i="17"/>
  <c r="X117" i="17"/>
  <c r="U117" i="17"/>
  <c r="S117" i="17"/>
  <c r="T117" i="17" s="1"/>
  <c r="R117" i="17"/>
  <c r="AN116" i="17"/>
  <c r="AD116" i="17"/>
  <c r="AC116" i="17"/>
  <c r="AI116" i="17" s="1"/>
  <c r="AB116" i="17"/>
  <c r="AH116" i="17" s="1"/>
  <c r="Z116" i="17"/>
  <c r="Y116" i="17"/>
  <c r="X116" i="17"/>
  <c r="U116" i="17"/>
  <c r="S116" i="17"/>
  <c r="T116" i="17" s="1"/>
  <c r="R116" i="17"/>
  <c r="AN115" i="17"/>
  <c r="AD115" i="17"/>
  <c r="AC115" i="17"/>
  <c r="AI115" i="17" s="1"/>
  <c r="AB115" i="17"/>
  <c r="Z115" i="17"/>
  <c r="Y115" i="17"/>
  <c r="X115" i="17"/>
  <c r="U115" i="17"/>
  <c r="S115" i="17"/>
  <c r="T115" i="17" s="1"/>
  <c r="R115" i="17"/>
  <c r="AN114" i="17"/>
  <c r="AD114" i="17"/>
  <c r="AC114" i="17"/>
  <c r="AI114" i="17" s="1"/>
  <c r="AB114" i="17"/>
  <c r="Z114" i="17"/>
  <c r="Y114" i="17"/>
  <c r="X114" i="17"/>
  <c r="U114" i="17"/>
  <c r="S114" i="17"/>
  <c r="T114" i="17" s="1"/>
  <c r="R114" i="17"/>
  <c r="AN113" i="17"/>
  <c r="AD113" i="17"/>
  <c r="AC113" i="17"/>
  <c r="AI113" i="17" s="1"/>
  <c r="AB113" i="17"/>
  <c r="AH113" i="17" s="1"/>
  <c r="Z113" i="17"/>
  <c r="Y113" i="17"/>
  <c r="X113" i="17"/>
  <c r="U113" i="17"/>
  <c r="S113" i="17"/>
  <c r="T113" i="17" s="1"/>
  <c r="R113" i="17"/>
  <c r="AN112" i="17"/>
  <c r="AD112" i="17"/>
  <c r="AR112" i="17" s="1"/>
  <c r="AV112" i="17" s="1"/>
  <c r="AC112" i="17"/>
  <c r="AI112" i="17" s="1"/>
  <c r="AB112" i="17"/>
  <c r="AH112" i="17" s="1"/>
  <c r="Z112" i="17"/>
  <c r="Y112" i="17"/>
  <c r="X112" i="17"/>
  <c r="U112" i="17"/>
  <c r="S112" i="17"/>
  <c r="T112" i="17" s="1"/>
  <c r="R112" i="17"/>
  <c r="AN111" i="17"/>
  <c r="AD111" i="17"/>
  <c r="AC111" i="17"/>
  <c r="AI111" i="17" s="1"/>
  <c r="AB111" i="17"/>
  <c r="Z111" i="17"/>
  <c r="Y111" i="17"/>
  <c r="X111" i="17"/>
  <c r="U111" i="17"/>
  <c r="S111" i="17"/>
  <c r="T111" i="17" s="1"/>
  <c r="R111" i="17"/>
  <c r="AN110" i="17"/>
  <c r="AD110" i="17"/>
  <c r="AC110" i="17"/>
  <c r="AI110" i="17" s="1"/>
  <c r="AB110" i="17"/>
  <c r="Z110" i="17"/>
  <c r="Y110" i="17"/>
  <c r="X110" i="17"/>
  <c r="U110" i="17"/>
  <c r="S110" i="17"/>
  <c r="T110" i="17" s="1"/>
  <c r="R110" i="17"/>
  <c r="AN109" i="17"/>
  <c r="AD109" i="17"/>
  <c r="AC109" i="17"/>
  <c r="AB109" i="17"/>
  <c r="AH109" i="17" s="1"/>
  <c r="Z109" i="17"/>
  <c r="Y109" i="17"/>
  <c r="X109" i="17"/>
  <c r="U109" i="17"/>
  <c r="S109" i="17"/>
  <c r="T109" i="17" s="1"/>
  <c r="R109" i="17"/>
  <c r="AN108" i="17"/>
  <c r="AD108" i="17"/>
  <c r="AR108" i="17" s="1"/>
  <c r="AV108" i="17" s="1"/>
  <c r="AC108" i="17"/>
  <c r="AI108" i="17" s="1"/>
  <c r="AB108" i="17"/>
  <c r="AH108" i="17" s="1"/>
  <c r="Z108" i="17"/>
  <c r="Y108" i="17"/>
  <c r="X108" i="17"/>
  <c r="U108" i="17"/>
  <c r="S108" i="17"/>
  <c r="T108" i="17" s="1"/>
  <c r="R108" i="17"/>
  <c r="AN107" i="17"/>
  <c r="AD107" i="17"/>
  <c r="AC107" i="17"/>
  <c r="AI107" i="17" s="1"/>
  <c r="AB107" i="17"/>
  <c r="AH107" i="17" s="1"/>
  <c r="Z107" i="17"/>
  <c r="Y107" i="17"/>
  <c r="X107" i="17"/>
  <c r="U107" i="17"/>
  <c r="S107" i="17"/>
  <c r="T107" i="17" s="1"/>
  <c r="R107" i="17"/>
  <c r="AN106" i="17"/>
  <c r="AD106" i="17"/>
  <c r="AC106" i="17"/>
  <c r="AI106" i="17" s="1"/>
  <c r="AB106" i="17"/>
  <c r="AH106" i="17" s="1"/>
  <c r="Z106" i="17"/>
  <c r="Y106" i="17"/>
  <c r="X106" i="17"/>
  <c r="U106" i="17"/>
  <c r="S106" i="17"/>
  <c r="T106" i="17" s="1"/>
  <c r="R106" i="17"/>
  <c r="AN105" i="17"/>
  <c r="AD105" i="17"/>
  <c r="AC105" i="17"/>
  <c r="AI105" i="17" s="1"/>
  <c r="AB105" i="17"/>
  <c r="Z105" i="17"/>
  <c r="Y105" i="17"/>
  <c r="X105" i="17"/>
  <c r="U105" i="17"/>
  <c r="S105" i="17"/>
  <c r="T105" i="17" s="1"/>
  <c r="R105" i="17"/>
  <c r="AN104" i="17"/>
  <c r="AD104" i="17"/>
  <c r="AC104" i="17"/>
  <c r="AI104" i="17" s="1"/>
  <c r="AB104" i="17"/>
  <c r="AH104" i="17" s="1"/>
  <c r="Z104" i="17"/>
  <c r="Y104" i="17"/>
  <c r="X104" i="17"/>
  <c r="U104" i="17"/>
  <c r="S104" i="17"/>
  <c r="T104" i="17" s="1"/>
  <c r="R104" i="17"/>
  <c r="AN103" i="17"/>
  <c r="AC103" i="17"/>
  <c r="AI103" i="17" s="1"/>
  <c r="AB103" i="17"/>
  <c r="AH103" i="17" s="1"/>
  <c r="Z103" i="17"/>
  <c r="Y103" i="17"/>
  <c r="X103" i="17"/>
  <c r="U103" i="17"/>
  <c r="S103" i="17"/>
  <c r="T103" i="17" s="1"/>
  <c r="R103" i="17"/>
  <c r="AN102" i="17"/>
  <c r="AC102" i="17"/>
  <c r="AI102" i="17" s="1"/>
  <c r="AB102" i="17"/>
  <c r="AH102" i="17" s="1"/>
  <c r="Z102" i="17"/>
  <c r="Y102" i="17"/>
  <c r="X102" i="17"/>
  <c r="U102" i="17"/>
  <c r="S102" i="17"/>
  <c r="T102" i="17" s="1"/>
  <c r="R102" i="17"/>
  <c r="AN101" i="17"/>
  <c r="AC101" i="17"/>
  <c r="AI101" i="17" s="1"/>
  <c r="AB101" i="17"/>
  <c r="AH101" i="17" s="1"/>
  <c r="Z101" i="17"/>
  <c r="Y101" i="17"/>
  <c r="X101" i="17"/>
  <c r="U101" i="17"/>
  <c r="S101" i="17"/>
  <c r="T101" i="17" s="1"/>
  <c r="R101" i="17"/>
  <c r="AN100" i="17"/>
  <c r="AC100" i="17"/>
  <c r="AI100" i="17" s="1"/>
  <c r="AB100" i="17"/>
  <c r="AH100" i="17" s="1"/>
  <c r="Z100" i="17"/>
  <c r="Y100" i="17"/>
  <c r="X100" i="17"/>
  <c r="U100" i="17"/>
  <c r="S100" i="17"/>
  <c r="T100" i="17" s="1"/>
  <c r="R100" i="17"/>
  <c r="AN99" i="17"/>
  <c r="AC99" i="17"/>
  <c r="AI99" i="17" s="1"/>
  <c r="AB99" i="17"/>
  <c r="Z99" i="17"/>
  <c r="Y99" i="17"/>
  <c r="X99" i="17"/>
  <c r="U99" i="17"/>
  <c r="S99" i="17"/>
  <c r="T99" i="17" s="1"/>
  <c r="R99" i="17"/>
  <c r="AN98" i="17"/>
  <c r="AC98" i="17"/>
  <c r="AI98" i="17" s="1"/>
  <c r="AB98" i="17"/>
  <c r="AH98" i="17" s="1"/>
  <c r="Z98" i="17"/>
  <c r="Y98" i="17"/>
  <c r="X98" i="17"/>
  <c r="U98" i="17"/>
  <c r="S98" i="17"/>
  <c r="T98" i="17" s="1"/>
  <c r="R98" i="17"/>
  <c r="AN97" i="17"/>
  <c r="AD97" i="17"/>
  <c r="AR97" i="17" s="1"/>
  <c r="AV97" i="17" s="1"/>
  <c r="AC97" i="17"/>
  <c r="AI97" i="17" s="1"/>
  <c r="AB97" i="17"/>
  <c r="Z97" i="17"/>
  <c r="Y97" i="17"/>
  <c r="X97" i="17"/>
  <c r="U97" i="17"/>
  <c r="S97" i="17"/>
  <c r="T97" i="17" s="1"/>
  <c r="R97" i="17"/>
  <c r="AN96" i="17"/>
  <c r="AD96" i="17"/>
  <c r="AC96" i="17"/>
  <c r="AI96" i="17" s="1"/>
  <c r="AB96" i="17"/>
  <c r="AH96" i="17" s="1"/>
  <c r="Z96" i="17"/>
  <c r="Y96" i="17"/>
  <c r="X96" i="17"/>
  <c r="U96" i="17"/>
  <c r="S96" i="17"/>
  <c r="T96" i="17" s="1"/>
  <c r="R96" i="17"/>
  <c r="AN95" i="17"/>
  <c r="AC95" i="17"/>
  <c r="AI95" i="17" s="1"/>
  <c r="AB95" i="17"/>
  <c r="AH95" i="17" s="1"/>
  <c r="Y95" i="17"/>
  <c r="X95" i="17"/>
  <c r="U95" i="17"/>
  <c r="S95" i="17"/>
  <c r="T95" i="17" s="1"/>
  <c r="R95" i="17"/>
  <c r="AN94" i="17"/>
  <c r="AC94" i="17"/>
  <c r="AI94" i="17" s="1"/>
  <c r="AB94" i="17"/>
  <c r="AH94" i="17" s="1"/>
  <c r="Y94" i="17"/>
  <c r="X94" i="17"/>
  <c r="U94" i="17"/>
  <c r="S94" i="17"/>
  <c r="T94" i="17" s="1"/>
  <c r="R94" i="17"/>
  <c r="AN93" i="17"/>
  <c r="AC93" i="17"/>
  <c r="AI93" i="17" s="1"/>
  <c r="AB93" i="17"/>
  <c r="Z93" i="17"/>
  <c r="Y93" i="17"/>
  <c r="X93" i="17"/>
  <c r="U93" i="17"/>
  <c r="S93" i="17"/>
  <c r="T93" i="17" s="1"/>
  <c r="R93" i="17"/>
  <c r="AN92" i="17"/>
  <c r="AC92" i="17"/>
  <c r="AI92" i="17" s="1"/>
  <c r="AB92" i="17"/>
  <c r="AH92" i="17" s="1"/>
  <c r="Z92" i="17"/>
  <c r="Y92" i="17"/>
  <c r="X92" i="17"/>
  <c r="U92" i="17"/>
  <c r="S92" i="17"/>
  <c r="T92" i="17" s="1"/>
  <c r="R92" i="17"/>
  <c r="AN91" i="17"/>
  <c r="AC91" i="17"/>
  <c r="AI91" i="17" s="1"/>
  <c r="AB91" i="17"/>
  <c r="AH91" i="17" s="1"/>
  <c r="Z91" i="17"/>
  <c r="Y91" i="17"/>
  <c r="X91" i="17"/>
  <c r="U91" i="17"/>
  <c r="S91" i="17"/>
  <c r="T91" i="17" s="1"/>
  <c r="R91" i="17"/>
  <c r="AN90" i="17"/>
  <c r="AC90" i="17"/>
  <c r="AI90" i="17" s="1"/>
  <c r="AB90" i="17"/>
  <c r="AH90" i="17" s="1"/>
  <c r="Z90" i="17"/>
  <c r="Y90" i="17"/>
  <c r="X90" i="17"/>
  <c r="U90" i="17"/>
  <c r="S90" i="17"/>
  <c r="T90" i="17" s="1"/>
  <c r="R90" i="17"/>
  <c r="AN89" i="17"/>
  <c r="AC89" i="17"/>
  <c r="AB89" i="17"/>
  <c r="AH89" i="17" s="1"/>
  <c r="Z89" i="17"/>
  <c r="Y89" i="17"/>
  <c r="X89" i="17"/>
  <c r="U89" i="17"/>
  <c r="S89" i="17"/>
  <c r="T89" i="17" s="1"/>
  <c r="R89" i="17"/>
  <c r="AN88" i="17"/>
  <c r="AC88" i="17"/>
  <c r="AI88" i="17" s="1"/>
  <c r="AB88" i="17"/>
  <c r="AH88" i="17" s="1"/>
  <c r="Z88" i="17"/>
  <c r="Y88" i="17"/>
  <c r="X88" i="17"/>
  <c r="U88" i="17"/>
  <c r="S88" i="17"/>
  <c r="T88" i="17" s="1"/>
  <c r="R88" i="17"/>
  <c r="AN87" i="17"/>
  <c r="AC87" i="17"/>
  <c r="AB87" i="17"/>
  <c r="AH87" i="17" s="1"/>
  <c r="Z87" i="17"/>
  <c r="Y87" i="17"/>
  <c r="X87" i="17"/>
  <c r="U87" i="17"/>
  <c r="S87" i="17"/>
  <c r="T87" i="17" s="1"/>
  <c r="R87" i="17"/>
  <c r="AN86" i="17"/>
  <c r="AC86" i="17"/>
  <c r="AI86" i="17" s="1"/>
  <c r="AB86" i="17"/>
  <c r="Z86" i="17"/>
  <c r="Y86" i="17"/>
  <c r="X86" i="17"/>
  <c r="U86" i="17"/>
  <c r="S86" i="17"/>
  <c r="T86" i="17" s="1"/>
  <c r="R86" i="17"/>
  <c r="AN85" i="17"/>
  <c r="AC85" i="17"/>
  <c r="AI85" i="17" s="1"/>
  <c r="AB85" i="17"/>
  <c r="AH85" i="17" s="1"/>
  <c r="Z85" i="17"/>
  <c r="Y85" i="17"/>
  <c r="X85" i="17"/>
  <c r="U85" i="17"/>
  <c r="S85" i="17"/>
  <c r="T85" i="17" s="1"/>
  <c r="R85" i="17"/>
  <c r="AN84" i="17"/>
  <c r="AC84" i="17"/>
  <c r="AI84" i="17" s="1"/>
  <c r="AB84" i="17"/>
  <c r="AH84" i="17" s="1"/>
  <c r="Z84" i="17"/>
  <c r="Y84" i="17"/>
  <c r="X84" i="17"/>
  <c r="U84" i="17"/>
  <c r="S84" i="17"/>
  <c r="T84" i="17" s="1"/>
  <c r="R84" i="17"/>
  <c r="AN83" i="17"/>
  <c r="AC83" i="17"/>
  <c r="AI83" i="17" s="1"/>
  <c r="AB83" i="17"/>
  <c r="AH83" i="17" s="1"/>
  <c r="Z83" i="17"/>
  <c r="Y83" i="17"/>
  <c r="X83" i="17"/>
  <c r="U83" i="17"/>
  <c r="S83" i="17"/>
  <c r="T83" i="17" s="1"/>
  <c r="R83" i="17"/>
  <c r="AN82" i="17"/>
  <c r="AD82" i="17"/>
  <c r="AR82" i="17" s="1"/>
  <c r="AV82" i="17" s="1"/>
  <c r="AC82" i="17"/>
  <c r="AI82" i="17" s="1"/>
  <c r="AB82" i="17"/>
  <c r="AH82" i="17" s="1"/>
  <c r="Z82" i="17"/>
  <c r="Y82" i="17"/>
  <c r="X82" i="17"/>
  <c r="U82" i="17"/>
  <c r="S82" i="17"/>
  <c r="T82" i="17" s="1"/>
  <c r="R82" i="17"/>
  <c r="AN81" i="17"/>
  <c r="AC81" i="17"/>
  <c r="AI81" i="17" s="1"/>
  <c r="AB81" i="17"/>
  <c r="AH81" i="17" s="1"/>
  <c r="Y81" i="17"/>
  <c r="X81" i="17"/>
  <c r="U81" i="17"/>
  <c r="S81" i="17"/>
  <c r="T81" i="17" s="1"/>
  <c r="R81" i="17"/>
  <c r="AN80" i="17"/>
  <c r="AC80" i="17"/>
  <c r="AI80" i="17" s="1"/>
  <c r="AB80" i="17"/>
  <c r="AH80" i="17" s="1"/>
  <c r="Z80" i="17"/>
  <c r="Y80" i="17"/>
  <c r="X80" i="17"/>
  <c r="U80" i="17"/>
  <c r="S80" i="17"/>
  <c r="T80" i="17" s="1"/>
  <c r="R80" i="17"/>
  <c r="AN79" i="17"/>
  <c r="AC79" i="17"/>
  <c r="AI79" i="17" s="1"/>
  <c r="AB79" i="17"/>
  <c r="AH79" i="17" s="1"/>
  <c r="Z79" i="17"/>
  <c r="Y79" i="17"/>
  <c r="X79" i="17"/>
  <c r="U79" i="17"/>
  <c r="S79" i="17"/>
  <c r="T79" i="17" s="1"/>
  <c r="R79" i="17"/>
  <c r="AN78" i="17"/>
  <c r="AC78" i="17"/>
  <c r="AI78" i="17" s="1"/>
  <c r="AB78" i="17"/>
  <c r="AH78" i="17" s="1"/>
  <c r="Z78" i="17"/>
  <c r="Y78" i="17"/>
  <c r="X78" i="17"/>
  <c r="U78" i="17"/>
  <c r="S78" i="17"/>
  <c r="T78" i="17" s="1"/>
  <c r="R78" i="17"/>
  <c r="AN77" i="17"/>
  <c r="AC77" i="17"/>
  <c r="AI77" i="17" s="1"/>
  <c r="AB77" i="17"/>
  <c r="AH77" i="17" s="1"/>
  <c r="Z77" i="17"/>
  <c r="Y77" i="17"/>
  <c r="X77" i="17"/>
  <c r="U77" i="17"/>
  <c r="S77" i="17"/>
  <c r="T77" i="17" s="1"/>
  <c r="R77" i="17"/>
  <c r="AN76" i="17"/>
  <c r="AC76" i="17"/>
  <c r="AI76" i="17" s="1"/>
  <c r="AB76" i="17"/>
  <c r="AH76" i="17" s="1"/>
  <c r="Z76" i="17"/>
  <c r="Y76" i="17"/>
  <c r="X76" i="17"/>
  <c r="U76" i="17"/>
  <c r="S76" i="17"/>
  <c r="T76" i="17" s="1"/>
  <c r="R76" i="17"/>
  <c r="AN75" i="17"/>
  <c r="AC75" i="17"/>
  <c r="AI75" i="17" s="1"/>
  <c r="AB75" i="17"/>
  <c r="AH75" i="17" s="1"/>
  <c r="Z75" i="17"/>
  <c r="Y75" i="17"/>
  <c r="X75" i="17"/>
  <c r="U75" i="17"/>
  <c r="S75" i="17"/>
  <c r="T75" i="17" s="1"/>
  <c r="R75" i="17"/>
  <c r="AN74" i="17"/>
  <c r="AD74" i="17"/>
  <c r="AC74" i="17"/>
  <c r="AI74" i="17" s="1"/>
  <c r="AB74" i="17"/>
  <c r="Z74" i="17"/>
  <c r="Y74" i="17"/>
  <c r="X74" i="17"/>
  <c r="U74" i="17"/>
  <c r="S74" i="17"/>
  <c r="T74" i="17" s="1"/>
  <c r="R74" i="17"/>
  <c r="AN73" i="17"/>
  <c r="AD73" i="17"/>
  <c r="AC73" i="17"/>
  <c r="AI73" i="17" s="1"/>
  <c r="AB73" i="17"/>
  <c r="AH73" i="17" s="1"/>
  <c r="Z73" i="17"/>
  <c r="Y73" i="17"/>
  <c r="X73" i="17"/>
  <c r="U73" i="17"/>
  <c r="S73" i="17"/>
  <c r="T73" i="17" s="1"/>
  <c r="R73" i="17"/>
  <c r="AN72" i="17"/>
  <c r="AC72" i="17"/>
  <c r="AI72" i="17" s="1"/>
  <c r="AB72" i="17"/>
  <c r="AH72" i="17" s="1"/>
  <c r="Z72" i="17"/>
  <c r="Y72" i="17"/>
  <c r="X72" i="17"/>
  <c r="U72" i="17"/>
  <c r="S72" i="17"/>
  <c r="T72" i="17" s="1"/>
  <c r="R72" i="17"/>
  <c r="AN71" i="17"/>
  <c r="AC71" i="17"/>
  <c r="AB71" i="17"/>
  <c r="AH71" i="17" s="1"/>
  <c r="Z71" i="17"/>
  <c r="Y71" i="17"/>
  <c r="X71" i="17"/>
  <c r="U71" i="17"/>
  <c r="S71" i="17"/>
  <c r="T71" i="17" s="1"/>
  <c r="R71" i="17"/>
  <c r="AN70" i="17"/>
  <c r="AC70" i="17"/>
  <c r="AI70" i="17" s="1"/>
  <c r="AB70" i="17"/>
  <c r="Z70" i="17"/>
  <c r="Y70" i="17"/>
  <c r="X70" i="17"/>
  <c r="U70" i="17"/>
  <c r="S70" i="17"/>
  <c r="T70" i="17" s="1"/>
  <c r="R70" i="17"/>
  <c r="AN69" i="17"/>
  <c r="AC69" i="17"/>
  <c r="AI69" i="17" s="1"/>
  <c r="AB69" i="17"/>
  <c r="AH69" i="17" s="1"/>
  <c r="Z69" i="17"/>
  <c r="Y69" i="17"/>
  <c r="X69" i="17"/>
  <c r="U69" i="17"/>
  <c r="S69" i="17"/>
  <c r="T69" i="17" s="1"/>
  <c r="R69" i="17"/>
  <c r="AN68" i="17"/>
  <c r="AC68" i="17"/>
  <c r="AI68" i="17" s="1"/>
  <c r="AB68" i="17"/>
  <c r="AH68" i="17" s="1"/>
  <c r="Z68" i="17"/>
  <c r="Y68" i="17"/>
  <c r="X68" i="17"/>
  <c r="U68" i="17"/>
  <c r="S68" i="17"/>
  <c r="T68" i="17" s="1"/>
  <c r="R68" i="17"/>
  <c r="AN67" i="17"/>
  <c r="AC67" i="17"/>
  <c r="AI67" i="17" s="1"/>
  <c r="AB67" i="17"/>
  <c r="AH67" i="17" s="1"/>
  <c r="Z67" i="17"/>
  <c r="Y67" i="17"/>
  <c r="X67" i="17"/>
  <c r="U67" i="17"/>
  <c r="S67" i="17"/>
  <c r="T67" i="17" s="1"/>
  <c r="R67" i="17"/>
  <c r="AN66" i="17"/>
  <c r="AC66" i="17"/>
  <c r="AB66" i="17"/>
  <c r="AH66" i="17" s="1"/>
  <c r="Z66" i="17"/>
  <c r="Y66" i="17"/>
  <c r="X66" i="17"/>
  <c r="U66" i="17"/>
  <c r="S66" i="17"/>
  <c r="T66" i="17" s="1"/>
  <c r="R66" i="17"/>
  <c r="AN65" i="17"/>
  <c r="AC65" i="17"/>
  <c r="AI65" i="17" s="1"/>
  <c r="AB65" i="17"/>
  <c r="AH65" i="17" s="1"/>
  <c r="Z65" i="17"/>
  <c r="Y65" i="17"/>
  <c r="X65" i="17"/>
  <c r="U65" i="17"/>
  <c r="S65" i="17"/>
  <c r="T65" i="17" s="1"/>
  <c r="R65" i="17"/>
  <c r="AN64" i="17"/>
  <c r="AC64" i="17"/>
  <c r="AI64" i="17" s="1"/>
  <c r="AB64" i="17"/>
  <c r="AH64" i="17" s="1"/>
  <c r="Z64" i="17"/>
  <c r="Y64" i="17"/>
  <c r="X64" i="17"/>
  <c r="U64" i="17"/>
  <c r="S64" i="17"/>
  <c r="T64" i="17" s="1"/>
  <c r="R64" i="17"/>
  <c r="AN63" i="17"/>
  <c r="AC63" i="17"/>
  <c r="AI63" i="17" s="1"/>
  <c r="AB63" i="17"/>
  <c r="AH63" i="17" s="1"/>
  <c r="Z63" i="17"/>
  <c r="Y63" i="17"/>
  <c r="X63" i="17"/>
  <c r="U63" i="17"/>
  <c r="S63" i="17"/>
  <c r="T63" i="17" s="1"/>
  <c r="R63" i="17"/>
  <c r="AN62" i="17"/>
  <c r="AC62" i="17"/>
  <c r="AI62" i="17" s="1"/>
  <c r="AB62" i="17"/>
  <c r="AH62" i="17" s="1"/>
  <c r="Z62" i="17"/>
  <c r="Y62" i="17"/>
  <c r="X62" i="17"/>
  <c r="U62" i="17"/>
  <c r="S62" i="17"/>
  <c r="T62" i="17" s="1"/>
  <c r="R62" i="17"/>
  <c r="AN61" i="17"/>
  <c r="AC61" i="17"/>
  <c r="AI61" i="17" s="1"/>
  <c r="AB61" i="17"/>
  <c r="Z61" i="17"/>
  <c r="Y61" i="17"/>
  <c r="X61" i="17"/>
  <c r="U61" i="17"/>
  <c r="S61" i="17"/>
  <c r="T61" i="17" s="1"/>
  <c r="R61" i="17"/>
  <c r="AN60" i="17"/>
  <c r="AC60" i="17"/>
  <c r="AI60" i="17" s="1"/>
  <c r="AB60" i="17"/>
  <c r="AH60" i="17" s="1"/>
  <c r="Z60" i="17"/>
  <c r="Y60" i="17"/>
  <c r="X60" i="17"/>
  <c r="U60" i="17"/>
  <c r="S60" i="17"/>
  <c r="T60" i="17" s="1"/>
  <c r="R60" i="17"/>
  <c r="AN59" i="17"/>
  <c r="AC59" i="17"/>
  <c r="AI59" i="17" s="1"/>
  <c r="AB59" i="17"/>
  <c r="Z59" i="17"/>
  <c r="Y59" i="17"/>
  <c r="X59" i="17"/>
  <c r="U59" i="17"/>
  <c r="S59" i="17"/>
  <c r="T59" i="17" s="1"/>
  <c r="R59" i="17"/>
  <c r="AN58" i="17"/>
  <c r="AC58" i="17"/>
  <c r="AI58" i="17" s="1"/>
  <c r="AB58" i="17"/>
  <c r="AH58" i="17" s="1"/>
  <c r="Z58" i="17"/>
  <c r="Y58" i="17"/>
  <c r="X58" i="17"/>
  <c r="U58" i="17"/>
  <c r="S58" i="17"/>
  <c r="T58" i="17" s="1"/>
  <c r="R58" i="17"/>
  <c r="AN57" i="17"/>
  <c r="AC57" i="17"/>
  <c r="AI57" i="17" s="1"/>
  <c r="AB57" i="17"/>
  <c r="AH57" i="17" s="1"/>
  <c r="Z57" i="17"/>
  <c r="Y57" i="17"/>
  <c r="X57" i="17"/>
  <c r="U57" i="17"/>
  <c r="S57" i="17"/>
  <c r="T57" i="17" s="1"/>
  <c r="R57" i="17"/>
  <c r="AN56" i="17"/>
  <c r="AD56" i="17"/>
  <c r="AC56" i="17"/>
  <c r="AI56" i="17" s="1"/>
  <c r="AB56" i="17"/>
  <c r="AH56" i="17" s="1"/>
  <c r="Z56" i="17"/>
  <c r="Y56" i="17"/>
  <c r="X56" i="17"/>
  <c r="U56" i="17"/>
  <c r="S56" i="17"/>
  <c r="T56" i="17" s="1"/>
  <c r="R56" i="17"/>
  <c r="AN55" i="17"/>
  <c r="AC55" i="17"/>
  <c r="AI55" i="17" s="1"/>
  <c r="AB55" i="17"/>
  <c r="Z55" i="17"/>
  <c r="Y55" i="17"/>
  <c r="X55" i="17"/>
  <c r="U55" i="17"/>
  <c r="S55" i="17"/>
  <c r="T55" i="17" s="1"/>
  <c r="R55" i="17"/>
  <c r="AN54" i="17"/>
  <c r="AC54" i="17"/>
  <c r="AB54" i="17"/>
  <c r="AH54" i="17" s="1"/>
  <c r="Y54" i="17"/>
  <c r="X54" i="17"/>
  <c r="U54" i="17"/>
  <c r="S54" i="17"/>
  <c r="T54" i="17" s="1"/>
  <c r="R54" i="17"/>
  <c r="AN53" i="17"/>
  <c r="AC53" i="17"/>
  <c r="AI53" i="17" s="1"/>
  <c r="AB53" i="17"/>
  <c r="Z53" i="17"/>
  <c r="Y53" i="17"/>
  <c r="X53" i="17"/>
  <c r="U53" i="17"/>
  <c r="S53" i="17"/>
  <c r="T53" i="17" s="1"/>
  <c r="R53" i="17"/>
  <c r="AN52" i="17"/>
  <c r="AC52" i="17"/>
  <c r="AI52" i="17" s="1"/>
  <c r="AB52" i="17"/>
  <c r="AH52" i="17" s="1"/>
  <c r="Z52" i="17"/>
  <c r="Y52" i="17"/>
  <c r="X52" i="17"/>
  <c r="U52" i="17"/>
  <c r="S52" i="17"/>
  <c r="T52" i="17" s="1"/>
  <c r="R52" i="17"/>
  <c r="AN51" i="17"/>
  <c r="AC51" i="17"/>
  <c r="AI51" i="17" s="1"/>
  <c r="AB51" i="17"/>
  <c r="AH51" i="17" s="1"/>
  <c r="Z51" i="17"/>
  <c r="Y51" i="17"/>
  <c r="X51" i="17"/>
  <c r="U51" i="17"/>
  <c r="S51" i="17"/>
  <c r="T51" i="17" s="1"/>
  <c r="R51" i="17"/>
  <c r="AN50" i="17"/>
  <c r="AC50" i="17"/>
  <c r="AI50" i="17" s="1"/>
  <c r="AB50" i="17"/>
  <c r="AH50" i="17" s="1"/>
  <c r="Z50" i="17"/>
  <c r="Y50" i="17"/>
  <c r="X50" i="17"/>
  <c r="U50" i="17"/>
  <c r="S50" i="17"/>
  <c r="T50" i="17" s="1"/>
  <c r="R50" i="17"/>
  <c r="AN49" i="17"/>
  <c r="AC49" i="17"/>
  <c r="AI49" i="17" s="1"/>
  <c r="AB49" i="17"/>
  <c r="AH49" i="17" s="1"/>
  <c r="Z49" i="17"/>
  <c r="Y49" i="17"/>
  <c r="X49" i="17"/>
  <c r="U49" i="17"/>
  <c r="S49" i="17"/>
  <c r="T49" i="17" s="1"/>
  <c r="R49" i="17"/>
  <c r="AN48" i="17"/>
  <c r="AD48" i="17"/>
  <c r="AR48" i="17" s="1"/>
  <c r="AV48" i="17" s="1"/>
  <c r="AC48" i="17"/>
  <c r="AI48" i="17" s="1"/>
  <c r="AB48" i="17"/>
  <c r="AH48" i="17" s="1"/>
  <c r="Z48" i="17"/>
  <c r="Y48" i="17"/>
  <c r="X48" i="17"/>
  <c r="U48" i="17"/>
  <c r="S48" i="17"/>
  <c r="T48" i="17" s="1"/>
  <c r="R48" i="17"/>
  <c r="AN47" i="17"/>
  <c r="AC47" i="17"/>
  <c r="AI47" i="17" s="1"/>
  <c r="AB47" i="17"/>
  <c r="AH47" i="17" s="1"/>
  <c r="Z47" i="17"/>
  <c r="Y47" i="17"/>
  <c r="X47" i="17"/>
  <c r="U47" i="17"/>
  <c r="S47" i="17"/>
  <c r="T47" i="17" s="1"/>
  <c r="R47" i="17"/>
  <c r="AN46" i="17"/>
  <c r="AC46" i="17"/>
  <c r="AI46" i="17" s="1"/>
  <c r="AB46" i="17"/>
  <c r="AH46" i="17" s="1"/>
  <c r="Y46" i="17"/>
  <c r="X46" i="17"/>
  <c r="U46" i="17"/>
  <c r="S46" i="17"/>
  <c r="T46" i="17" s="1"/>
  <c r="R46" i="17"/>
  <c r="AN45" i="17"/>
  <c r="AC45" i="17"/>
  <c r="AI45" i="17" s="1"/>
  <c r="AB45" i="17"/>
  <c r="AH45" i="17" s="1"/>
  <c r="Z45" i="17"/>
  <c r="Y45" i="17"/>
  <c r="X45" i="17"/>
  <c r="U45" i="17"/>
  <c r="S45" i="17"/>
  <c r="T45" i="17" s="1"/>
  <c r="R45" i="17"/>
  <c r="AN44" i="17"/>
  <c r="AC44" i="17"/>
  <c r="AI44" i="17" s="1"/>
  <c r="AB44" i="17"/>
  <c r="AH44" i="17" s="1"/>
  <c r="Z44" i="17"/>
  <c r="Y44" i="17"/>
  <c r="X44" i="17"/>
  <c r="U44" i="17"/>
  <c r="S44" i="17"/>
  <c r="T44" i="17" s="1"/>
  <c r="R44" i="17"/>
  <c r="AN43" i="17"/>
  <c r="AC43" i="17"/>
  <c r="AI43" i="17" s="1"/>
  <c r="AB43" i="17"/>
  <c r="AH43" i="17" s="1"/>
  <c r="Z43" i="17"/>
  <c r="Y43" i="17"/>
  <c r="X43" i="17"/>
  <c r="U43" i="17"/>
  <c r="S43" i="17"/>
  <c r="T43" i="17" s="1"/>
  <c r="R43" i="17"/>
  <c r="AN42" i="17"/>
  <c r="AC42" i="17"/>
  <c r="AI42" i="17" s="1"/>
  <c r="AB42" i="17"/>
  <c r="AH42" i="17" s="1"/>
  <c r="Z42" i="17"/>
  <c r="Y42" i="17"/>
  <c r="X42" i="17"/>
  <c r="U42" i="17"/>
  <c r="S42" i="17"/>
  <c r="T42" i="17" s="1"/>
  <c r="R42" i="17"/>
  <c r="AN41" i="17"/>
  <c r="AC41" i="17"/>
  <c r="AI41" i="17" s="1"/>
  <c r="AB41" i="17"/>
  <c r="Z41" i="17"/>
  <c r="Y41" i="17"/>
  <c r="X41" i="17"/>
  <c r="U41" i="17"/>
  <c r="S41" i="17"/>
  <c r="T41" i="17" s="1"/>
  <c r="R41" i="17"/>
  <c r="AN40" i="17"/>
  <c r="AC40" i="17"/>
  <c r="AI40" i="17" s="1"/>
  <c r="AB40" i="17"/>
  <c r="AH40" i="17" s="1"/>
  <c r="Z40" i="17"/>
  <c r="Y40" i="17"/>
  <c r="X40" i="17"/>
  <c r="U40" i="17"/>
  <c r="S40" i="17"/>
  <c r="T40" i="17" s="1"/>
  <c r="R40" i="17"/>
  <c r="AN39" i="17"/>
  <c r="AC39" i="17"/>
  <c r="AI39" i="17" s="1"/>
  <c r="AB39" i="17"/>
  <c r="AH39" i="17" s="1"/>
  <c r="Z39" i="17"/>
  <c r="Y39" i="17"/>
  <c r="X39" i="17"/>
  <c r="U39" i="17"/>
  <c r="S39" i="17"/>
  <c r="T39" i="17" s="1"/>
  <c r="R39" i="17"/>
  <c r="AN38" i="17"/>
  <c r="AC38" i="17"/>
  <c r="AI38" i="17" s="1"/>
  <c r="AB38" i="17"/>
  <c r="AH38" i="17" s="1"/>
  <c r="Z38" i="17"/>
  <c r="Y38" i="17"/>
  <c r="X38" i="17"/>
  <c r="U38" i="17"/>
  <c r="S38" i="17"/>
  <c r="T38" i="17" s="1"/>
  <c r="R38" i="17"/>
  <c r="AN37" i="17"/>
  <c r="AC37" i="17"/>
  <c r="AI37" i="17" s="1"/>
  <c r="AB37" i="17"/>
  <c r="AH37" i="17" s="1"/>
  <c r="Z37" i="17"/>
  <c r="Y37" i="17"/>
  <c r="X37" i="17"/>
  <c r="U37" i="17"/>
  <c r="S37" i="17"/>
  <c r="T37" i="17" s="1"/>
  <c r="R37" i="17"/>
  <c r="AN36" i="17"/>
  <c r="AD36" i="17"/>
  <c r="AC36" i="17"/>
  <c r="AI36" i="17" s="1"/>
  <c r="AB36" i="17"/>
  <c r="AH36" i="17" s="1"/>
  <c r="Z36" i="17"/>
  <c r="Y36" i="17"/>
  <c r="X36" i="17"/>
  <c r="U36" i="17"/>
  <c r="S36" i="17"/>
  <c r="T36" i="17" s="1"/>
  <c r="R36" i="17"/>
  <c r="AN35" i="17"/>
  <c r="AD35" i="17"/>
  <c r="AC35" i="17"/>
  <c r="AI35" i="17" s="1"/>
  <c r="AB35" i="17"/>
  <c r="AH35" i="17" s="1"/>
  <c r="Z35" i="17"/>
  <c r="Y35" i="17"/>
  <c r="X35" i="17"/>
  <c r="U35" i="17"/>
  <c r="S35" i="17"/>
  <c r="T35" i="17" s="1"/>
  <c r="R35" i="17"/>
  <c r="AN34" i="17"/>
  <c r="AD34" i="17"/>
  <c r="AC34" i="17"/>
  <c r="AI34" i="17" s="1"/>
  <c r="AB34" i="17"/>
  <c r="AH34" i="17" s="1"/>
  <c r="Z34" i="17"/>
  <c r="Y34" i="17"/>
  <c r="X34" i="17"/>
  <c r="U34" i="17"/>
  <c r="S34" i="17"/>
  <c r="T34" i="17" s="1"/>
  <c r="R34" i="17"/>
  <c r="AN33" i="17"/>
  <c r="AD33" i="17"/>
  <c r="AC33" i="17"/>
  <c r="AI33" i="17" s="1"/>
  <c r="AB33" i="17"/>
  <c r="AH33" i="17" s="1"/>
  <c r="Z33" i="17"/>
  <c r="Y33" i="17"/>
  <c r="X33" i="17"/>
  <c r="U33" i="17"/>
  <c r="S33" i="17"/>
  <c r="T33" i="17" s="1"/>
  <c r="R33" i="17"/>
  <c r="AN32" i="17"/>
  <c r="AD32" i="17"/>
  <c r="AR32" i="17" s="1"/>
  <c r="AV32" i="17" s="1"/>
  <c r="AC32" i="17"/>
  <c r="AI32" i="17" s="1"/>
  <c r="AB32" i="17"/>
  <c r="AH32" i="17" s="1"/>
  <c r="Z32" i="17"/>
  <c r="Y32" i="17"/>
  <c r="X32" i="17"/>
  <c r="U32" i="17"/>
  <c r="S32" i="17"/>
  <c r="T32" i="17" s="1"/>
  <c r="R32" i="17"/>
  <c r="AN31" i="17"/>
  <c r="AC31" i="17"/>
  <c r="AI31" i="17" s="1"/>
  <c r="AB31" i="17"/>
  <c r="Z31" i="17"/>
  <c r="Y31" i="17"/>
  <c r="X31" i="17"/>
  <c r="U31" i="17"/>
  <c r="S31" i="17"/>
  <c r="T31" i="17" s="1"/>
  <c r="R31" i="17"/>
  <c r="AN30" i="17"/>
  <c r="AD30" i="17"/>
  <c r="AC30" i="17"/>
  <c r="AB30" i="17"/>
  <c r="AH30" i="17" s="1"/>
  <c r="Z30" i="17"/>
  <c r="Y30" i="17"/>
  <c r="X30" i="17"/>
  <c r="U30" i="17"/>
  <c r="S30" i="17"/>
  <c r="T30" i="17" s="1"/>
  <c r="R30" i="17"/>
  <c r="AN29" i="17"/>
  <c r="AD29" i="17"/>
  <c r="AC29" i="17"/>
  <c r="AI29" i="17" s="1"/>
  <c r="AB29" i="17"/>
  <c r="Z29" i="17"/>
  <c r="Y29" i="17"/>
  <c r="X29" i="17"/>
  <c r="U29" i="17"/>
  <c r="S29" i="17"/>
  <c r="T29" i="17" s="1"/>
  <c r="R29" i="17"/>
  <c r="AN28" i="17"/>
  <c r="AC28" i="17"/>
  <c r="AI28" i="17" s="1"/>
  <c r="AB28" i="17"/>
  <c r="AH28" i="17" s="1"/>
  <c r="Z28" i="17"/>
  <c r="Y28" i="17"/>
  <c r="X28" i="17"/>
  <c r="U28" i="17"/>
  <c r="S28" i="17"/>
  <c r="T28" i="17" s="1"/>
  <c r="R28" i="17"/>
  <c r="AN27" i="17"/>
  <c r="AC27" i="17"/>
  <c r="AI27" i="17" s="1"/>
  <c r="AB27" i="17"/>
  <c r="AH27" i="17" s="1"/>
  <c r="Y27" i="17"/>
  <c r="X27" i="17"/>
  <c r="U27" i="17"/>
  <c r="S27" i="17"/>
  <c r="T27" i="17" s="1"/>
  <c r="R27" i="17"/>
  <c r="AN26" i="17"/>
  <c r="AC26" i="17"/>
  <c r="AI26" i="17" s="1"/>
  <c r="AB26" i="17"/>
  <c r="AH26" i="17" s="1"/>
  <c r="Z26" i="17"/>
  <c r="Y26" i="17"/>
  <c r="X26" i="17"/>
  <c r="U26" i="17"/>
  <c r="S26" i="17"/>
  <c r="T26" i="17" s="1"/>
  <c r="R26" i="17"/>
  <c r="AN25" i="17"/>
  <c r="AC25" i="17"/>
  <c r="AI25" i="17" s="1"/>
  <c r="AB25" i="17"/>
  <c r="AH25" i="17" s="1"/>
  <c r="Z25" i="17"/>
  <c r="Y25" i="17"/>
  <c r="X25" i="17"/>
  <c r="U25" i="17"/>
  <c r="S25" i="17"/>
  <c r="T25" i="17" s="1"/>
  <c r="R25" i="17"/>
  <c r="AN24" i="17"/>
  <c r="AC24" i="17"/>
  <c r="AI24" i="17" s="1"/>
  <c r="AB24" i="17"/>
  <c r="AH24" i="17" s="1"/>
  <c r="Z24" i="17"/>
  <c r="Y24" i="17"/>
  <c r="X24" i="17"/>
  <c r="U24" i="17"/>
  <c r="S24" i="17"/>
  <c r="T24" i="17" s="1"/>
  <c r="R24" i="17"/>
  <c r="AN23" i="17"/>
  <c r="AC23" i="17"/>
  <c r="AI23" i="17" s="1"/>
  <c r="AB23" i="17"/>
  <c r="AH23" i="17" s="1"/>
  <c r="Z23" i="17"/>
  <c r="Y23" i="17"/>
  <c r="X23" i="17"/>
  <c r="U23" i="17"/>
  <c r="S23" i="17"/>
  <c r="T23" i="17" s="1"/>
  <c r="R23" i="17"/>
  <c r="AN22" i="17"/>
  <c r="AC22" i="17"/>
  <c r="AI22" i="17" s="1"/>
  <c r="AB22" i="17"/>
  <c r="AH22" i="17" s="1"/>
  <c r="Z22" i="17"/>
  <c r="Y22" i="17"/>
  <c r="X22" i="17"/>
  <c r="U22" i="17"/>
  <c r="S22" i="17"/>
  <c r="T22" i="17" s="1"/>
  <c r="R22" i="17"/>
  <c r="AN21" i="17"/>
  <c r="AC21" i="17"/>
  <c r="AI21" i="17" s="1"/>
  <c r="AB21" i="17"/>
  <c r="AH21" i="17" s="1"/>
  <c r="Z21" i="17"/>
  <c r="Y21" i="17"/>
  <c r="X21" i="17"/>
  <c r="U21" i="17"/>
  <c r="S21" i="17"/>
  <c r="T21" i="17" s="1"/>
  <c r="R21" i="17"/>
  <c r="AN20" i="17"/>
  <c r="AC20" i="17"/>
  <c r="AI20" i="17" s="1"/>
  <c r="AB20" i="17"/>
  <c r="Z20" i="17"/>
  <c r="Y20" i="17"/>
  <c r="X20" i="17"/>
  <c r="U20" i="17"/>
  <c r="S20" i="17"/>
  <c r="T20" i="17" s="1"/>
  <c r="R20" i="17"/>
  <c r="AN19" i="17"/>
  <c r="AC19" i="17"/>
  <c r="AB19" i="17"/>
  <c r="AH19" i="17" s="1"/>
  <c r="Z19" i="17"/>
  <c r="Y19" i="17"/>
  <c r="X19" i="17"/>
  <c r="U19" i="17"/>
  <c r="S19" i="17"/>
  <c r="T19" i="17" s="1"/>
  <c r="R19" i="17"/>
  <c r="AN18" i="17"/>
  <c r="AC18" i="17"/>
  <c r="AI18" i="17" s="1"/>
  <c r="AB18" i="17"/>
  <c r="Z18" i="17"/>
  <c r="Y18" i="17"/>
  <c r="X18" i="17"/>
  <c r="U18" i="17"/>
  <c r="S18" i="17"/>
  <c r="T18" i="17" s="1"/>
  <c r="R18" i="17"/>
  <c r="AN17" i="17"/>
  <c r="AD17" i="17"/>
  <c r="AC17" i="17"/>
  <c r="AI17" i="17" s="1"/>
  <c r="AB17" i="17"/>
  <c r="AH17" i="17" s="1"/>
  <c r="Z17" i="17"/>
  <c r="Y17" i="17"/>
  <c r="X17" i="17"/>
  <c r="U17" i="17"/>
  <c r="S17" i="17"/>
  <c r="T17" i="17" s="1"/>
  <c r="R17" i="17"/>
  <c r="AN16" i="17"/>
  <c r="AD16" i="17"/>
  <c r="AC16" i="17"/>
  <c r="AI16" i="17" s="1"/>
  <c r="AB16" i="17"/>
  <c r="AH16" i="17" s="1"/>
  <c r="Z16" i="17"/>
  <c r="Y16" i="17"/>
  <c r="X16" i="17"/>
  <c r="U16" i="17"/>
  <c r="S16" i="17"/>
  <c r="T16" i="17" s="1"/>
  <c r="R16" i="17"/>
  <c r="AN15" i="17"/>
  <c r="AD15" i="17"/>
  <c r="AC15" i="17"/>
  <c r="AI15" i="17" s="1"/>
  <c r="AB15" i="17"/>
  <c r="AH15" i="17" s="1"/>
  <c r="Z15" i="17"/>
  <c r="Y15" i="17"/>
  <c r="X15" i="17"/>
  <c r="U15" i="17"/>
  <c r="S15" i="17"/>
  <c r="T15" i="17" s="1"/>
  <c r="R15" i="17"/>
  <c r="AN14" i="17"/>
  <c r="AC14" i="17"/>
  <c r="AI14" i="17" s="1"/>
  <c r="AB14" i="17"/>
  <c r="AH14" i="17" s="1"/>
  <c r="Z14" i="17"/>
  <c r="Y14" i="17"/>
  <c r="X14" i="17"/>
  <c r="U14" i="17"/>
  <c r="S14" i="17"/>
  <c r="T14" i="17" s="1"/>
  <c r="R14" i="17"/>
  <c r="AN13" i="17"/>
  <c r="AC13" i="17"/>
  <c r="AI13" i="17" s="1"/>
  <c r="AB13" i="17"/>
  <c r="AH13" i="17" s="1"/>
  <c r="Y13" i="17"/>
  <c r="X13" i="17"/>
  <c r="U13" i="17"/>
  <c r="S13" i="17"/>
  <c r="T13" i="17" s="1"/>
  <c r="R13" i="17"/>
  <c r="AN12" i="17"/>
  <c r="AC12" i="17"/>
  <c r="AI12" i="17" s="1"/>
  <c r="AB12" i="17"/>
  <c r="AH12" i="17" s="1"/>
  <c r="Y12" i="17"/>
  <c r="X12" i="17"/>
  <c r="U12" i="17"/>
  <c r="S12" i="17"/>
  <c r="T12" i="17" s="1"/>
  <c r="R12" i="17"/>
  <c r="AN11" i="17"/>
  <c r="AC11" i="17"/>
  <c r="AI11" i="17" s="1"/>
  <c r="AB11" i="17"/>
  <c r="AH11" i="17" s="1"/>
  <c r="Z11" i="17"/>
  <c r="Y11" i="17"/>
  <c r="X11" i="17"/>
  <c r="U11" i="17"/>
  <c r="S11" i="17"/>
  <c r="T11" i="17" s="1"/>
  <c r="R11" i="17"/>
  <c r="AN10" i="17"/>
  <c r="AC10" i="17"/>
  <c r="AI10" i="17" s="1"/>
  <c r="AB10" i="17"/>
  <c r="Z10" i="17"/>
  <c r="Y10" i="17"/>
  <c r="X10" i="17"/>
  <c r="U10" i="17"/>
  <c r="S10" i="17"/>
  <c r="T10" i="17" s="1"/>
  <c r="R10" i="17"/>
  <c r="AN9" i="17"/>
  <c r="AC9" i="17"/>
  <c r="AB9" i="17"/>
  <c r="AH9" i="17" s="1"/>
  <c r="Z9" i="17"/>
  <c r="Y9" i="17"/>
  <c r="X9" i="17"/>
  <c r="U9" i="17"/>
  <c r="S9" i="17"/>
  <c r="T9" i="17" s="1"/>
  <c r="R9" i="17"/>
  <c r="AN8" i="17"/>
  <c r="AC8" i="17"/>
  <c r="AI8" i="17" s="1"/>
  <c r="AB8" i="17"/>
  <c r="Z8" i="17"/>
  <c r="Y8" i="17"/>
  <c r="X8" i="17"/>
  <c r="U8" i="17"/>
  <c r="S8" i="17"/>
  <c r="T8" i="17" s="1"/>
  <c r="R8" i="17"/>
  <c r="AN7" i="17"/>
  <c r="AC7" i="17"/>
  <c r="AI7" i="17" s="1"/>
  <c r="AB7" i="17"/>
  <c r="AH7" i="17" s="1"/>
  <c r="Z7" i="17"/>
  <c r="Y7" i="17"/>
  <c r="X7" i="17"/>
  <c r="U7" i="17"/>
  <c r="S7" i="17"/>
  <c r="T7" i="17" s="1"/>
  <c r="R7" i="17"/>
  <c r="AN6" i="17"/>
  <c r="AC6" i="17"/>
  <c r="AI6" i="17" s="1"/>
  <c r="AB6" i="17"/>
  <c r="AH6" i="17" s="1"/>
  <c r="Z6" i="17"/>
  <c r="Y6" i="17"/>
  <c r="X6" i="17"/>
  <c r="U6" i="17"/>
  <c r="S6" i="17"/>
  <c r="T6" i="17" s="1"/>
  <c r="R6" i="17"/>
  <c r="AN5" i="17"/>
  <c r="AC5" i="17"/>
  <c r="AI5" i="17" s="1"/>
  <c r="AB5" i="17"/>
  <c r="AH5" i="17" s="1"/>
  <c r="Z5" i="17"/>
  <c r="Y5" i="17"/>
  <c r="X5" i="17"/>
  <c r="U5" i="17"/>
  <c r="S5" i="17"/>
  <c r="T5" i="17" s="1"/>
  <c r="R5" i="17"/>
  <c r="AN4" i="17"/>
  <c r="AC4" i="17"/>
  <c r="AI4" i="17" s="1"/>
  <c r="AB4" i="17"/>
  <c r="AH4" i="17" s="1"/>
  <c r="Z4" i="17"/>
  <c r="Y4" i="17"/>
  <c r="X4" i="17"/>
  <c r="U4" i="17"/>
  <c r="S4" i="17"/>
  <c r="T4" i="17" s="1"/>
  <c r="R4" i="17"/>
  <c r="AN3" i="17"/>
  <c r="AC3" i="17"/>
  <c r="AI3" i="17" s="1"/>
  <c r="AB3" i="17"/>
  <c r="AH3" i="17" s="1"/>
  <c r="Z3" i="17"/>
  <c r="Y3" i="17"/>
  <c r="X3" i="17"/>
  <c r="U3" i="17"/>
  <c r="S3" i="17"/>
  <c r="T3" i="17" s="1"/>
  <c r="R3" i="17"/>
  <c r="AN2" i="17"/>
  <c r="AC2" i="17"/>
  <c r="AI2" i="17" s="1"/>
  <c r="AB2" i="17"/>
  <c r="AH2" i="17" s="1"/>
  <c r="Z2" i="17"/>
  <c r="Y2" i="17"/>
  <c r="X2" i="17"/>
  <c r="U2" i="17"/>
  <c r="S2" i="17"/>
  <c r="T2" i="17" s="1"/>
  <c r="R2" i="17"/>
  <c r="AJ340" i="17" l="1"/>
  <c r="AJ17" i="17"/>
  <c r="AR17" i="17"/>
  <c r="AV17" i="17" s="1"/>
  <c r="AE445" i="17"/>
  <c r="AK445" i="17" s="1"/>
  <c r="AL445" i="17" s="1"/>
  <c r="AR445" i="17"/>
  <c r="AV445" i="17" s="1"/>
  <c r="AE475" i="17"/>
  <c r="AK475" i="17" s="1"/>
  <c r="AL475" i="17" s="1"/>
  <c r="AR475" i="17"/>
  <c r="AV475" i="17" s="1"/>
  <c r="AJ481" i="17"/>
  <c r="AR481" i="17"/>
  <c r="AV481" i="17" s="1"/>
  <c r="AJ487" i="17"/>
  <c r="AR487" i="17"/>
  <c r="AV487" i="17" s="1"/>
  <c r="AE302" i="17"/>
  <c r="AR302" i="17"/>
  <c r="AV302" i="17" s="1"/>
  <c r="AE320" i="17"/>
  <c r="AK320" i="17" s="1"/>
  <c r="AR320" i="17"/>
  <c r="AV320" i="17" s="1"/>
  <c r="AJ326" i="17"/>
  <c r="AR326" i="17"/>
  <c r="AV326" i="17" s="1"/>
  <c r="AE332" i="17"/>
  <c r="AK332" i="17" s="1"/>
  <c r="AR332" i="17"/>
  <c r="AV332" i="17" s="1"/>
  <c r="AJ338" i="17"/>
  <c r="AR338" i="17"/>
  <c r="AV338" i="17" s="1"/>
  <c r="AJ415" i="17"/>
  <c r="AR415" i="17"/>
  <c r="AV415" i="17" s="1"/>
  <c r="AE397" i="17"/>
  <c r="AR397" i="17"/>
  <c r="AV397" i="17" s="1"/>
  <c r="AJ432" i="17"/>
  <c r="AR432" i="17"/>
  <c r="AV432" i="17" s="1"/>
  <c r="AJ450" i="17"/>
  <c r="AR450" i="17"/>
  <c r="AV450" i="17" s="1"/>
  <c r="AJ456" i="17"/>
  <c r="AR456" i="17"/>
  <c r="AV456" i="17" s="1"/>
  <c r="AE462" i="17"/>
  <c r="AK462" i="17" s="1"/>
  <c r="AR462" i="17"/>
  <c r="AV462" i="17" s="1"/>
  <c r="AJ468" i="17"/>
  <c r="AR468" i="17"/>
  <c r="AV468" i="17" s="1"/>
  <c r="AE474" i="17"/>
  <c r="AR474" i="17"/>
  <c r="AV474" i="17" s="1"/>
  <c r="AE486" i="17"/>
  <c r="AK486" i="17" s="1"/>
  <c r="AG486" i="17" s="1"/>
  <c r="AR486" i="17"/>
  <c r="AV486" i="17" s="1"/>
  <c r="AE414" i="17"/>
  <c r="AK414" i="17" s="1"/>
  <c r="AR414" i="17"/>
  <c r="AV414" i="17" s="1"/>
  <c r="AJ461" i="17"/>
  <c r="AR461" i="17"/>
  <c r="AV461" i="17" s="1"/>
  <c r="AE467" i="17"/>
  <c r="AK467" i="17" s="1"/>
  <c r="AL467" i="17" s="1"/>
  <c r="AR467" i="17"/>
  <c r="AV467" i="17" s="1"/>
  <c r="AJ473" i="17"/>
  <c r="AR473" i="17"/>
  <c r="AV473" i="17" s="1"/>
  <c r="AE485" i="17"/>
  <c r="AK485" i="17" s="1"/>
  <c r="AL485" i="17" s="1"/>
  <c r="AR485" i="17"/>
  <c r="AV485" i="17" s="1"/>
  <c r="AJ312" i="17"/>
  <c r="AR312" i="17"/>
  <c r="AV312" i="17" s="1"/>
  <c r="AJ318" i="17"/>
  <c r="AR318" i="17"/>
  <c r="AV318" i="17" s="1"/>
  <c r="AJ330" i="17"/>
  <c r="AR330" i="17"/>
  <c r="AV330" i="17" s="1"/>
  <c r="AJ336" i="17"/>
  <c r="AR336" i="17"/>
  <c r="AV336" i="17" s="1"/>
  <c r="AE413" i="17"/>
  <c r="AK413" i="17" s="1"/>
  <c r="AL413" i="17" s="1"/>
  <c r="AR413" i="17"/>
  <c r="AV413" i="17" s="1"/>
  <c r="AJ502" i="17"/>
  <c r="AR502" i="17"/>
  <c r="AV502" i="17" s="1"/>
  <c r="AJ111" i="17"/>
  <c r="AR111" i="17"/>
  <c r="AV111" i="17" s="1"/>
  <c r="AE117" i="17"/>
  <c r="AK117" i="17" s="1"/>
  <c r="AR117" i="17"/>
  <c r="AV117" i="17" s="1"/>
  <c r="AJ281" i="17"/>
  <c r="AR281" i="17"/>
  <c r="AV281" i="17" s="1"/>
  <c r="AJ34" i="17"/>
  <c r="AR34" i="17"/>
  <c r="AV34" i="17" s="1"/>
  <c r="AJ352" i="17"/>
  <c r="AR352" i="17"/>
  <c r="AV352" i="17" s="1"/>
  <c r="AE16" i="17"/>
  <c r="AK16" i="17" s="1"/>
  <c r="AL16" i="17" s="1"/>
  <c r="AR16" i="17"/>
  <c r="AV16" i="17" s="1"/>
  <c r="AJ104" i="17"/>
  <c r="AR104" i="17"/>
  <c r="AV104" i="17" s="1"/>
  <c r="AJ110" i="17"/>
  <c r="AR110" i="17"/>
  <c r="AV110" i="17" s="1"/>
  <c r="AE250" i="17"/>
  <c r="AK250" i="17" s="1"/>
  <c r="AL250" i="17" s="1"/>
  <c r="AR250" i="17"/>
  <c r="AV250" i="17" s="1"/>
  <c r="AJ280" i="17"/>
  <c r="AR280" i="17"/>
  <c r="AV280" i="17" s="1"/>
  <c r="AJ286" i="17"/>
  <c r="AR286" i="17"/>
  <c r="AV286" i="17" s="1"/>
  <c r="AJ327" i="17"/>
  <c r="AR327" i="17"/>
  <c r="AV327" i="17" s="1"/>
  <c r="AJ339" i="17"/>
  <c r="AR339" i="17"/>
  <c r="AV339" i="17" s="1"/>
  <c r="AJ198" i="17"/>
  <c r="AR198" i="17"/>
  <c r="AV198" i="17" s="1"/>
  <c r="AJ15" i="17"/>
  <c r="AR15" i="17"/>
  <c r="AV15" i="17" s="1"/>
  <c r="AE74" i="17"/>
  <c r="AK74" i="17" s="1"/>
  <c r="AR74" i="17"/>
  <c r="AV74" i="17" s="1"/>
  <c r="AE96" i="17"/>
  <c r="AK96" i="17" s="1"/>
  <c r="AL96" i="17" s="1"/>
  <c r="AR96" i="17"/>
  <c r="AV96" i="17" s="1"/>
  <c r="AE196" i="17"/>
  <c r="AR196" i="17"/>
  <c r="AV196" i="17" s="1"/>
  <c r="AJ202" i="17"/>
  <c r="AR202" i="17"/>
  <c r="AV202" i="17" s="1"/>
  <c r="AE479" i="17"/>
  <c r="AK479" i="17" s="1"/>
  <c r="AR479" i="17"/>
  <c r="AV479" i="17" s="1"/>
  <c r="AE107" i="17"/>
  <c r="AK107" i="17" s="1"/>
  <c r="AL107" i="17" s="1"/>
  <c r="AR107" i="17"/>
  <c r="AV107" i="17" s="1"/>
  <c r="AJ113" i="17"/>
  <c r="AR113" i="17"/>
  <c r="AV113" i="17" s="1"/>
  <c r="AE172" i="17"/>
  <c r="AK172" i="17" s="1"/>
  <c r="AR172" i="17"/>
  <c r="AV172" i="17" s="1"/>
  <c r="AJ230" i="17"/>
  <c r="AR230" i="17"/>
  <c r="AV230" i="17" s="1"/>
  <c r="AJ283" i="17"/>
  <c r="AR283" i="17"/>
  <c r="AV283" i="17" s="1"/>
  <c r="AJ30" i="17"/>
  <c r="AR30" i="17"/>
  <c r="AV30" i="17" s="1"/>
  <c r="AJ36" i="17"/>
  <c r="AR36" i="17"/>
  <c r="AV36" i="17" s="1"/>
  <c r="AE207" i="17"/>
  <c r="AK207" i="17" s="1"/>
  <c r="AR207" i="17"/>
  <c r="AV207" i="17" s="1"/>
  <c r="AE342" i="17"/>
  <c r="AK342" i="17" s="1"/>
  <c r="AG342" i="17" s="1"/>
  <c r="AM342" i="17" s="1"/>
  <c r="AR342" i="17"/>
  <c r="AV342" i="17" s="1"/>
  <c r="AJ348" i="17"/>
  <c r="AR348" i="17"/>
  <c r="AV348" i="17" s="1"/>
  <c r="AJ365" i="17"/>
  <c r="AR365" i="17"/>
  <c r="AV365" i="17" s="1"/>
  <c r="AE377" i="17"/>
  <c r="AK377" i="17" s="1"/>
  <c r="AG377" i="17" s="1"/>
  <c r="AR377" i="17"/>
  <c r="AV377" i="17" s="1"/>
  <c r="AE448" i="17"/>
  <c r="AK448" i="17" s="1"/>
  <c r="AR448" i="17"/>
  <c r="AV448" i="17" s="1"/>
  <c r="AJ454" i="17"/>
  <c r="AR454" i="17"/>
  <c r="AV454" i="17" s="1"/>
  <c r="AJ460" i="17"/>
  <c r="AR460" i="17"/>
  <c r="AV460" i="17" s="1"/>
  <c r="AE466" i="17"/>
  <c r="AR466" i="17"/>
  <c r="AV466" i="17" s="1"/>
  <c r="AJ484" i="17"/>
  <c r="AR484" i="17"/>
  <c r="AV484" i="17" s="1"/>
  <c r="AJ311" i="17"/>
  <c r="AR311" i="17"/>
  <c r="AV311" i="17" s="1"/>
  <c r="AJ317" i="17"/>
  <c r="AR317" i="17"/>
  <c r="AV317" i="17" s="1"/>
  <c r="AJ323" i="17"/>
  <c r="AR323" i="17"/>
  <c r="AV323" i="17" s="1"/>
  <c r="AJ329" i="17"/>
  <c r="AR329" i="17"/>
  <c r="AV329" i="17" s="1"/>
  <c r="AJ501" i="17"/>
  <c r="AR501" i="17"/>
  <c r="AV501" i="17" s="1"/>
  <c r="AE105" i="17"/>
  <c r="AK105" i="17" s="1"/>
  <c r="AR105" i="17"/>
  <c r="AV105" i="17" s="1"/>
  <c r="AJ123" i="17"/>
  <c r="AR123" i="17"/>
  <c r="AV123" i="17" s="1"/>
  <c r="AE251" i="17"/>
  <c r="AK251" i="17" s="1"/>
  <c r="AR251" i="17"/>
  <c r="AV251" i="17" s="1"/>
  <c r="AJ275" i="17"/>
  <c r="AR275" i="17"/>
  <c r="AV275" i="17" s="1"/>
  <c r="AJ146" i="17"/>
  <c r="AR146" i="17"/>
  <c r="AV146" i="17" s="1"/>
  <c r="AE193" i="17"/>
  <c r="AK193" i="17" s="1"/>
  <c r="AR193" i="17"/>
  <c r="AV193" i="17" s="1"/>
  <c r="AJ211" i="17"/>
  <c r="AR211" i="17"/>
  <c r="AV211" i="17" s="1"/>
  <c r="AJ116" i="17"/>
  <c r="AR116" i="17"/>
  <c r="AV116" i="17" s="1"/>
  <c r="AJ122" i="17"/>
  <c r="AR122" i="17"/>
  <c r="AV122" i="17" s="1"/>
  <c r="AJ163" i="17"/>
  <c r="AR163" i="17"/>
  <c r="AV163" i="17" s="1"/>
  <c r="AJ244" i="17"/>
  <c r="AR244" i="17"/>
  <c r="AV244" i="17" s="1"/>
  <c r="AJ315" i="17"/>
  <c r="AR315" i="17"/>
  <c r="AV315" i="17" s="1"/>
  <c r="AE381" i="17"/>
  <c r="AK381" i="17" s="1"/>
  <c r="AL381" i="17" s="1"/>
  <c r="AR381" i="17"/>
  <c r="AV381" i="17" s="1"/>
  <c r="AJ33" i="17"/>
  <c r="AR33" i="17"/>
  <c r="AV33" i="17" s="1"/>
  <c r="AJ204" i="17"/>
  <c r="AR204" i="17"/>
  <c r="AV204" i="17" s="1"/>
  <c r="AE345" i="17"/>
  <c r="AK345" i="17" s="1"/>
  <c r="AR345" i="17"/>
  <c r="AV345" i="17" s="1"/>
  <c r="AJ351" i="17"/>
  <c r="AR351" i="17"/>
  <c r="AV351" i="17" s="1"/>
  <c r="AJ109" i="17"/>
  <c r="AR109" i="17"/>
  <c r="AV109" i="17" s="1"/>
  <c r="AE115" i="17"/>
  <c r="AK115" i="17" s="1"/>
  <c r="AR115" i="17"/>
  <c r="AV115" i="17" s="1"/>
  <c r="AJ191" i="17"/>
  <c r="AR191" i="17"/>
  <c r="AV191" i="17" s="1"/>
  <c r="AJ56" i="17"/>
  <c r="AR56" i="17"/>
  <c r="AV56" i="17" s="1"/>
  <c r="AJ203" i="17"/>
  <c r="AR203" i="17"/>
  <c r="AV203" i="17" s="1"/>
  <c r="AJ209" i="17"/>
  <c r="AR209" i="17"/>
  <c r="AV209" i="17" s="1"/>
  <c r="AJ266" i="17"/>
  <c r="AR266" i="17"/>
  <c r="AV266" i="17" s="1"/>
  <c r="AJ344" i="17"/>
  <c r="AR344" i="17"/>
  <c r="AV344" i="17" s="1"/>
  <c r="AJ350" i="17"/>
  <c r="AR350" i="17"/>
  <c r="AV350" i="17" s="1"/>
  <c r="AE114" i="17"/>
  <c r="AK114" i="17" s="1"/>
  <c r="AR114" i="17"/>
  <c r="AV114" i="17" s="1"/>
  <c r="AJ120" i="17"/>
  <c r="AR120" i="17"/>
  <c r="AV120" i="17" s="1"/>
  <c r="AE173" i="17"/>
  <c r="AK173" i="17" s="1"/>
  <c r="AL173" i="17" s="1"/>
  <c r="AR173" i="17"/>
  <c r="AV173" i="17" s="1"/>
  <c r="AJ254" i="17"/>
  <c r="AR254" i="17"/>
  <c r="AV254" i="17" s="1"/>
  <c r="AE278" i="17"/>
  <c r="AK278" i="17" s="1"/>
  <c r="AL278" i="17" s="1"/>
  <c r="AR278" i="17"/>
  <c r="AV278" i="17" s="1"/>
  <c r="AJ284" i="17"/>
  <c r="AR284" i="17"/>
  <c r="AV284" i="17" s="1"/>
  <c r="AE73" i="17"/>
  <c r="AA73" i="17" s="1"/>
  <c r="AF73" i="17" s="1"/>
  <c r="AR73" i="17"/>
  <c r="AV73" i="17" s="1"/>
  <c r="AJ208" i="17"/>
  <c r="AR208" i="17"/>
  <c r="AV208" i="17" s="1"/>
  <c r="AE343" i="17"/>
  <c r="AK343" i="17" s="1"/>
  <c r="AL343" i="17" s="1"/>
  <c r="AR343" i="17"/>
  <c r="AV343" i="17" s="1"/>
  <c r="AJ396" i="17"/>
  <c r="AR396" i="17"/>
  <c r="AV396" i="17" s="1"/>
  <c r="AJ449" i="17"/>
  <c r="AR449" i="17"/>
  <c r="AV449" i="17" s="1"/>
  <c r="AJ224" i="17"/>
  <c r="AR224" i="17"/>
  <c r="AV224" i="17" s="1"/>
  <c r="AJ253" i="17"/>
  <c r="AR253" i="17"/>
  <c r="AV253" i="17" s="1"/>
  <c r="AJ277" i="17"/>
  <c r="AR277" i="17"/>
  <c r="AV277" i="17" s="1"/>
  <c r="AE106" i="17"/>
  <c r="AR106" i="17"/>
  <c r="AV106" i="17" s="1"/>
  <c r="AE118" i="17"/>
  <c r="AK118" i="17" s="1"/>
  <c r="AL118" i="17" s="1"/>
  <c r="AR118" i="17"/>
  <c r="AV118" i="17" s="1"/>
  <c r="AJ165" i="17"/>
  <c r="AR165" i="17"/>
  <c r="AV165" i="17" s="1"/>
  <c r="AJ182" i="17"/>
  <c r="AR182" i="17"/>
  <c r="AV182" i="17" s="1"/>
  <c r="AJ223" i="17"/>
  <c r="AR223" i="17"/>
  <c r="AV223" i="17" s="1"/>
  <c r="AJ252" i="17"/>
  <c r="AR252" i="17"/>
  <c r="AV252" i="17" s="1"/>
  <c r="AJ29" i="17"/>
  <c r="AR29" i="17"/>
  <c r="AV29" i="17" s="1"/>
  <c r="AJ35" i="17"/>
  <c r="AR35" i="17"/>
  <c r="AV35" i="17" s="1"/>
  <c r="AE141" i="17"/>
  <c r="AK141" i="17" s="1"/>
  <c r="AL141" i="17" s="1"/>
  <c r="AR141" i="17"/>
  <c r="AV141" i="17" s="1"/>
  <c r="AE147" i="17"/>
  <c r="AK147" i="17" s="1"/>
  <c r="AG147" i="17" s="1"/>
  <c r="AM147" i="17" s="1"/>
  <c r="AR147" i="17"/>
  <c r="AV147" i="17" s="1"/>
  <c r="AJ200" i="17"/>
  <c r="AR200" i="17"/>
  <c r="AV200" i="17" s="1"/>
  <c r="AE206" i="17"/>
  <c r="AK206" i="17" s="1"/>
  <c r="AG206" i="17" s="1"/>
  <c r="AR206" i="17"/>
  <c r="AV206" i="17" s="1"/>
  <c r="AJ341" i="17"/>
  <c r="AR341" i="17"/>
  <c r="AV341" i="17" s="1"/>
  <c r="AJ347" i="17"/>
  <c r="AR347" i="17"/>
  <c r="AV347" i="17" s="1"/>
  <c r="AJ353" i="17"/>
  <c r="AR353" i="17"/>
  <c r="AV353" i="17" s="1"/>
  <c r="AE364" i="17"/>
  <c r="AK364" i="17" s="1"/>
  <c r="AL364" i="17" s="1"/>
  <c r="AR364" i="17"/>
  <c r="AV364" i="17" s="1"/>
  <c r="AJ483" i="17"/>
  <c r="AR483" i="17"/>
  <c r="AV483" i="17" s="1"/>
  <c r="AJ287" i="17"/>
  <c r="AR287" i="17"/>
  <c r="AV287" i="17" s="1"/>
  <c r="AJ322" i="17"/>
  <c r="AR322" i="17"/>
  <c r="AV322" i="17" s="1"/>
  <c r="AJ328" i="17"/>
  <c r="AR328" i="17"/>
  <c r="AV328" i="17" s="1"/>
  <c r="AJ500" i="17"/>
  <c r="AR500" i="17"/>
  <c r="AV500" i="17" s="1"/>
  <c r="AJ506" i="17"/>
  <c r="AR506" i="17"/>
  <c r="AV506" i="17" s="1"/>
  <c r="AJ405" i="17"/>
  <c r="AR405" i="17"/>
  <c r="AV405" i="17" s="1"/>
  <c r="AE452" i="17"/>
  <c r="AK452" i="17" s="1"/>
  <c r="AR452" i="17"/>
  <c r="AV452" i="17" s="1"/>
  <c r="AJ458" i="17"/>
  <c r="AR458" i="17"/>
  <c r="AV458" i="17" s="1"/>
  <c r="AE464" i="17"/>
  <c r="AK464" i="17" s="1"/>
  <c r="AR464" i="17"/>
  <c r="AV464" i="17" s="1"/>
  <c r="AJ482" i="17"/>
  <c r="AR482" i="17"/>
  <c r="AV482" i="17" s="1"/>
  <c r="AE488" i="17"/>
  <c r="AK488" i="17" s="1"/>
  <c r="AR488" i="17"/>
  <c r="AV488" i="17" s="1"/>
  <c r="AJ320" i="17"/>
  <c r="AJ381" i="17"/>
  <c r="AE454" i="17"/>
  <c r="AK454" i="17" s="1"/>
  <c r="AJ474" i="17"/>
  <c r="AJ486" i="17"/>
  <c r="AE283" i="17"/>
  <c r="AK283" i="17" s="1"/>
  <c r="AE344" i="17"/>
  <c r="AJ196" i="17"/>
  <c r="AJ114" i="17"/>
  <c r="AE322" i="17"/>
  <c r="AJ206" i="17"/>
  <c r="AE329" i="17"/>
  <c r="AK329" i="17" s="1"/>
  <c r="AJ332" i="17"/>
  <c r="AJ413" i="17"/>
  <c r="AJ448" i="17"/>
  <c r="AJ364" i="17"/>
  <c r="AJ485" i="17"/>
  <c r="AE203" i="17"/>
  <c r="AK203" i="17" s="1"/>
  <c r="AJ73" i="17"/>
  <c r="AE163" i="17"/>
  <c r="AK163" i="17" s="1"/>
  <c r="AG163" i="17" s="1"/>
  <c r="AE317" i="17"/>
  <c r="AK317" i="17" s="1"/>
  <c r="AE318" i="17"/>
  <c r="AK318" i="17" s="1"/>
  <c r="AE284" i="17"/>
  <c r="AK284" i="17" s="1"/>
  <c r="AL284" i="17" s="1"/>
  <c r="AE315" i="17"/>
  <c r="AK315" i="17" s="1"/>
  <c r="AJ466" i="17"/>
  <c r="AJ250" i="17"/>
  <c r="AE301" i="17"/>
  <c r="AK301" i="17" s="1"/>
  <c r="AL301" i="17" s="1"/>
  <c r="AJ301" i="17"/>
  <c r="AJ282" i="17"/>
  <c r="AE282" i="17"/>
  <c r="AK282" i="17" s="1"/>
  <c r="AG282" i="17" s="1"/>
  <c r="AJ334" i="17"/>
  <c r="AE334" i="17"/>
  <c r="AK334" i="17" s="1"/>
  <c r="AE451" i="17"/>
  <c r="AK451" i="17" s="1"/>
  <c r="AJ451" i="17"/>
  <c r="AH497" i="17"/>
  <c r="AE123" i="17"/>
  <c r="AK123" i="17" s="1"/>
  <c r="AJ141" i="17"/>
  <c r="AJ207" i="17"/>
  <c r="AE341" i="17"/>
  <c r="AK341" i="17" s="1"/>
  <c r="AL341" i="17" s="1"/>
  <c r="AJ343" i="17"/>
  <c r="AE191" i="17"/>
  <c r="AK191" i="17" s="1"/>
  <c r="AG191" i="17" s="1"/>
  <c r="AM191" i="17" s="1"/>
  <c r="AJ193" i="17"/>
  <c r="AE122" i="17"/>
  <c r="AK122" i="17" s="1"/>
  <c r="AJ173" i="17"/>
  <c r="AH464" i="17"/>
  <c r="AE35" i="17"/>
  <c r="AK35" i="17" s="1"/>
  <c r="AG35" i="17" s="1"/>
  <c r="AE192" i="17"/>
  <c r="AK192" i="17" s="1"/>
  <c r="AJ192" i="17"/>
  <c r="AE288" i="17"/>
  <c r="AK288" i="17" s="1"/>
  <c r="AG288" i="17" s="1"/>
  <c r="AJ288" i="17"/>
  <c r="AE223" i="17"/>
  <c r="AA223" i="17" s="1"/>
  <c r="AF223" i="17" s="1"/>
  <c r="AE287" i="17"/>
  <c r="AK287" i="17" s="1"/>
  <c r="AE327" i="17"/>
  <c r="AK327" i="17" s="1"/>
  <c r="AL327" i="17" s="1"/>
  <c r="AJ416" i="17"/>
  <c r="AE416" i="17"/>
  <c r="AK416" i="17" s="1"/>
  <c r="AJ316" i="17"/>
  <c r="AE316" i="17"/>
  <c r="AK316" i="17" s="1"/>
  <c r="AL316" i="17" s="1"/>
  <c r="AE402" i="17"/>
  <c r="AK402" i="17" s="1"/>
  <c r="AJ402" i="17"/>
  <c r="AJ455" i="17"/>
  <c r="AE455" i="17"/>
  <c r="AK455" i="17" s="1"/>
  <c r="AE34" i="17"/>
  <c r="AE362" i="17"/>
  <c r="AK362" i="17" s="1"/>
  <c r="AG362" i="17" s="1"/>
  <c r="AJ362" i="17"/>
  <c r="AE500" i="17"/>
  <c r="AK500" i="17" s="1"/>
  <c r="AL500" i="17" s="1"/>
  <c r="AE32" i="17"/>
  <c r="AK32" i="17" s="1"/>
  <c r="AL32" i="17" s="1"/>
  <c r="AJ32" i="17"/>
  <c r="AE111" i="17"/>
  <c r="AK111" i="17" s="1"/>
  <c r="AJ115" i="17"/>
  <c r="AJ118" i="17"/>
  <c r="AE312" i="17"/>
  <c r="AK312" i="17" s="1"/>
  <c r="AG312" i="17" s="1"/>
  <c r="V312" i="17" s="1"/>
  <c r="W312" i="17" s="1"/>
  <c r="AE346" i="17"/>
  <c r="AK346" i="17" s="1"/>
  <c r="AG346" i="17" s="1"/>
  <c r="AJ346" i="17"/>
  <c r="AH488" i="17"/>
  <c r="AH74" i="17"/>
  <c r="AE194" i="17"/>
  <c r="AK194" i="17" s="1"/>
  <c r="AJ194" i="17"/>
  <c r="AH468" i="17"/>
  <c r="AE468" i="17"/>
  <c r="AK468" i="17" s="1"/>
  <c r="AJ475" i="17"/>
  <c r="AJ345" i="17"/>
  <c r="AE353" i="17"/>
  <c r="AK353" i="17" s="1"/>
  <c r="AL353" i="17" s="1"/>
  <c r="AJ462" i="17"/>
  <c r="AJ397" i="17"/>
  <c r="AE458" i="17"/>
  <c r="AK458" i="17" s="1"/>
  <c r="AG458" i="17" s="1"/>
  <c r="AM458" i="17" s="1"/>
  <c r="AJ479" i="17"/>
  <c r="AE506" i="17"/>
  <c r="AK506" i="17" s="1"/>
  <c r="AJ16" i="17"/>
  <c r="AE33" i="17"/>
  <c r="AK33" i="17" s="1"/>
  <c r="AG33" i="17" s="1"/>
  <c r="AJ106" i="17"/>
  <c r="AE330" i="17"/>
  <c r="AK330" i="17" s="1"/>
  <c r="AI378" i="17"/>
  <c r="AE472" i="17"/>
  <c r="AK472" i="17" s="1"/>
  <c r="AG472" i="17" s="1"/>
  <c r="AJ472" i="17"/>
  <c r="AE119" i="17"/>
  <c r="AK119" i="17" s="1"/>
  <c r="AL119" i="17" s="1"/>
  <c r="AJ119" i="17"/>
  <c r="AE164" i="17"/>
  <c r="AK164" i="17" s="1"/>
  <c r="AL164" i="17" s="1"/>
  <c r="AJ164" i="17"/>
  <c r="AH172" i="17"/>
  <c r="AJ242" i="17"/>
  <c r="AE242" i="17"/>
  <c r="AK242" i="17" s="1"/>
  <c r="AE279" i="17"/>
  <c r="AK279" i="17" s="1"/>
  <c r="AG279" i="17" s="1"/>
  <c r="AJ279" i="17"/>
  <c r="AJ446" i="17"/>
  <c r="AE446" i="17"/>
  <c r="AK446" i="17" s="1"/>
  <c r="AJ471" i="17"/>
  <c r="AE471" i="17"/>
  <c r="AK471" i="17" s="1"/>
  <c r="AH53" i="17"/>
  <c r="AH142" i="17"/>
  <c r="AE270" i="17"/>
  <c r="AK270" i="17" s="1"/>
  <c r="AL270" i="17" s="1"/>
  <c r="AJ270" i="17"/>
  <c r="AE289" i="17"/>
  <c r="AK289" i="17" s="1"/>
  <c r="AG289" i="17" s="1"/>
  <c r="AJ289" i="17"/>
  <c r="AH462" i="17"/>
  <c r="AH126" i="17"/>
  <c r="AH115" i="17"/>
  <c r="AH105" i="17"/>
  <c r="AE113" i="17"/>
  <c r="AK113" i="17" s="1"/>
  <c r="AH117" i="17"/>
  <c r="AI154" i="17"/>
  <c r="AE142" i="17"/>
  <c r="AK142" i="17" s="1"/>
  <c r="AJ142" i="17"/>
  <c r="AH153" i="17"/>
  <c r="AH216" i="17"/>
  <c r="AI460" i="17"/>
  <c r="AE30" i="17"/>
  <c r="AK30" i="17" s="1"/>
  <c r="AI192" i="17"/>
  <c r="AH195" i="17"/>
  <c r="AE254" i="17"/>
  <c r="AA254" i="17" s="1"/>
  <c r="AF254" i="17" s="1"/>
  <c r="AE204" i="17"/>
  <c r="AK204" i="17" s="1"/>
  <c r="AJ401" i="17"/>
  <c r="AE401" i="17"/>
  <c r="AK401" i="17" s="1"/>
  <c r="AL401" i="17" s="1"/>
  <c r="AH86" i="17"/>
  <c r="AI247" i="17"/>
  <c r="AH390" i="17"/>
  <c r="AH451" i="17"/>
  <c r="AH41" i="17"/>
  <c r="AH187" i="17"/>
  <c r="AH31" i="17"/>
  <c r="AH61" i="17"/>
  <c r="AJ105" i="17"/>
  <c r="AJ117" i="17"/>
  <c r="AE146" i="17"/>
  <c r="AK146" i="17" s="1"/>
  <c r="AE195" i="17"/>
  <c r="AK195" i="17" s="1"/>
  <c r="AJ195" i="17"/>
  <c r="AH224" i="17"/>
  <c r="AE313" i="17"/>
  <c r="AK313" i="17" s="1"/>
  <c r="AG313" i="17" s="1"/>
  <c r="AJ313" i="17"/>
  <c r="AH334" i="17"/>
  <c r="AI370" i="17"/>
  <c r="AH452" i="17"/>
  <c r="AE470" i="17"/>
  <c r="AK470" i="17" s="1"/>
  <c r="AG470" i="17" s="1"/>
  <c r="AJ470" i="17"/>
  <c r="AE205" i="17"/>
  <c r="AK205" i="17" s="1"/>
  <c r="AG205" i="17" s="1"/>
  <c r="AJ205" i="17"/>
  <c r="AE281" i="17"/>
  <c r="AH365" i="17"/>
  <c r="AJ459" i="17"/>
  <c r="AE459" i="17"/>
  <c r="AK459" i="17" s="1"/>
  <c r="AE473" i="17"/>
  <c r="AK473" i="17" s="1"/>
  <c r="AL473" i="17" s="1"/>
  <c r="AJ107" i="17"/>
  <c r="AE182" i="17"/>
  <c r="AH207" i="17"/>
  <c r="AJ251" i="17"/>
  <c r="AE280" i="17"/>
  <c r="AK280" i="17" s="1"/>
  <c r="AJ325" i="17"/>
  <c r="AE325" i="17"/>
  <c r="AK325" i="17" s="1"/>
  <c r="AE336" i="17"/>
  <c r="AK336" i="17" s="1"/>
  <c r="AL336" i="17" s="1"/>
  <c r="AE450" i="17"/>
  <c r="AK450" i="17" s="1"/>
  <c r="AE463" i="17"/>
  <c r="AA463" i="17" s="1"/>
  <c r="AF463" i="17" s="1"/>
  <c r="AJ463" i="17"/>
  <c r="AH489" i="17"/>
  <c r="AJ172" i="17"/>
  <c r="AH236" i="17"/>
  <c r="AH287" i="17"/>
  <c r="AI325" i="17"/>
  <c r="AE326" i="17"/>
  <c r="AK326" i="17" s="1"/>
  <c r="AH358" i="17"/>
  <c r="AH506" i="17"/>
  <c r="AE208" i="17"/>
  <c r="AE224" i="17"/>
  <c r="AK224" i="17" s="1"/>
  <c r="AE275" i="17"/>
  <c r="AK275" i="17" s="1"/>
  <c r="AL275" i="17" s="1"/>
  <c r="AJ302" i="17"/>
  <c r="AH326" i="17"/>
  <c r="AI384" i="17"/>
  <c r="AH402" i="17"/>
  <c r="AH137" i="17"/>
  <c r="AH93" i="17"/>
  <c r="AH298" i="17"/>
  <c r="AI318" i="17"/>
  <c r="AJ342" i="17"/>
  <c r="AE348" i="17"/>
  <c r="AK348" i="17" s="1"/>
  <c r="AL348" i="17" s="1"/>
  <c r="AE487" i="17"/>
  <c r="AK487" i="17" s="1"/>
  <c r="AL487" i="17" s="1"/>
  <c r="AI261" i="17"/>
  <c r="AE273" i="17"/>
  <c r="AK273" i="17" s="1"/>
  <c r="AL273" i="17" s="1"/>
  <c r="AJ273" i="17"/>
  <c r="AJ278" i="17"/>
  <c r="AI330" i="17"/>
  <c r="AE365" i="17"/>
  <c r="AK365" i="17" s="1"/>
  <c r="AE405" i="17"/>
  <c r="AK405" i="17" s="1"/>
  <c r="AL405" i="17" s="1"/>
  <c r="AJ452" i="17"/>
  <c r="AH363" i="17"/>
  <c r="AJ414" i="17"/>
  <c r="AE460" i="17"/>
  <c r="AK460" i="17" s="1"/>
  <c r="AJ464" i="17"/>
  <c r="AE482" i="17"/>
  <c r="AK482" i="17" s="1"/>
  <c r="AL482" i="17" s="1"/>
  <c r="AJ488" i="17"/>
  <c r="AE502" i="17"/>
  <c r="AE29" i="17"/>
  <c r="AK29" i="17" s="1"/>
  <c r="AI71" i="17"/>
  <c r="AH99" i="17"/>
  <c r="AE109" i="17"/>
  <c r="AK109" i="17" s="1"/>
  <c r="AJ324" i="17"/>
  <c r="AE324" i="17"/>
  <c r="AK324" i="17" s="1"/>
  <c r="AL324" i="17" s="1"/>
  <c r="AH10" i="17"/>
  <c r="AE17" i="17"/>
  <c r="AH20" i="17"/>
  <c r="AE36" i="17"/>
  <c r="AJ97" i="17"/>
  <c r="AE97" i="17"/>
  <c r="AK97" i="17" s="1"/>
  <c r="AI166" i="17"/>
  <c r="AI66" i="17"/>
  <c r="AJ82" i="17"/>
  <c r="AE82" i="17"/>
  <c r="AK82" i="17" s="1"/>
  <c r="AL82" i="17" s="1"/>
  <c r="AI231" i="17"/>
  <c r="AH18" i="17"/>
  <c r="AI19" i="17"/>
  <c r="AH29" i="17"/>
  <c r="AI30" i="17"/>
  <c r="AE56" i="17"/>
  <c r="AH183" i="17"/>
  <c r="AJ231" i="17"/>
  <c r="AE231" i="17"/>
  <c r="AK231" i="17" s="1"/>
  <c r="AH70" i="17"/>
  <c r="AI54" i="17"/>
  <c r="AH8" i="17"/>
  <c r="AI9" i="17"/>
  <c r="AE15" i="17"/>
  <c r="AH193" i="17"/>
  <c r="AH110" i="17"/>
  <c r="AH59" i="17"/>
  <c r="AI87" i="17"/>
  <c r="AI265" i="17"/>
  <c r="AH55" i="17"/>
  <c r="AI89" i="17"/>
  <c r="AJ201" i="17"/>
  <c r="AE201" i="17"/>
  <c r="AK201" i="17" s="1"/>
  <c r="AE211" i="17"/>
  <c r="AK211" i="17" s="1"/>
  <c r="AL211" i="17" s="1"/>
  <c r="AH97" i="17"/>
  <c r="AI109" i="17"/>
  <c r="AE48" i="17"/>
  <c r="AK48" i="17" s="1"/>
  <c r="AG48" i="17" s="1"/>
  <c r="AJ48" i="17"/>
  <c r="AH114" i="17"/>
  <c r="AH203" i="17"/>
  <c r="AJ212" i="17"/>
  <c r="AE212" i="17"/>
  <c r="AK212" i="17" s="1"/>
  <c r="AI285" i="17"/>
  <c r="AJ74" i="17"/>
  <c r="AE110" i="17"/>
  <c r="AK110" i="17" s="1"/>
  <c r="AH145" i="17"/>
  <c r="AE183" i="17"/>
  <c r="AK183" i="17" s="1"/>
  <c r="AJ183" i="17"/>
  <c r="AJ285" i="17"/>
  <c r="AE285" i="17"/>
  <c r="AK285" i="17" s="1"/>
  <c r="AH122" i="17"/>
  <c r="AI194" i="17"/>
  <c r="AH197" i="17"/>
  <c r="AI204" i="17"/>
  <c r="AH272" i="17"/>
  <c r="AJ376" i="17"/>
  <c r="AE376" i="17"/>
  <c r="AK376" i="17" s="1"/>
  <c r="AJ147" i="17"/>
  <c r="AH157" i="17"/>
  <c r="AJ190" i="17"/>
  <c r="AE190" i="17"/>
  <c r="AJ121" i="17"/>
  <c r="AE121" i="17"/>
  <c r="AK121" i="17" s="1"/>
  <c r="AL121" i="17" s="1"/>
  <c r="AH134" i="17"/>
  <c r="AE197" i="17"/>
  <c r="AK197" i="17" s="1"/>
  <c r="AJ197" i="17"/>
  <c r="AI251" i="17"/>
  <c r="AH371" i="17"/>
  <c r="AJ112" i="17"/>
  <c r="AH232" i="17"/>
  <c r="AJ243" i="17"/>
  <c r="AE243" i="17"/>
  <c r="AK243" i="17" s="1"/>
  <c r="AE244" i="17"/>
  <c r="AK244" i="17" s="1"/>
  <c r="AH309" i="17"/>
  <c r="AE104" i="17"/>
  <c r="AK104" i="17" s="1"/>
  <c r="AL104" i="17" s="1"/>
  <c r="AJ108" i="17"/>
  <c r="AE108" i="17"/>
  <c r="AK108" i="17" s="1"/>
  <c r="AG108" i="17" s="1"/>
  <c r="AE112" i="17"/>
  <c r="AK112" i="17" s="1"/>
  <c r="AG112" i="17" s="1"/>
  <c r="AE116" i="17"/>
  <c r="AK116" i="17" s="1"/>
  <c r="AL116" i="17" s="1"/>
  <c r="AH167" i="17"/>
  <c r="AJ96" i="17"/>
  <c r="AJ199" i="17"/>
  <c r="AE199" i="17"/>
  <c r="AK199" i="17" s="1"/>
  <c r="AG199" i="17" s="1"/>
  <c r="AI230" i="17"/>
  <c r="AH177" i="17"/>
  <c r="AH111" i="17"/>
  <c r="AE120" i="17"/>
  <c r="AH123" i="17"/>
  <c r="AH135" i="17"/>
  <c r="AH146" i="17"/>
  <c r="AH158" i="17"/>
  <c r="AE165" i="17"/>
  <c r="AK165" i="17" s="1"/>
  <c r="AL165" i="17" s="1"/>
  <c r="AH168" i="17"/>
  <c r="AH268" i="17"/>
  <c r="AI239" i="17"/>
  <c r="AH292" i="17"/>
  <c r="AH294" i="17"/>
  <c r="AI242" i="17"/>
  <c r="AI256" i="17"/>
  <c r="AH263" i="17"/>
  <c r="AE333" i="17"/>
  <c r="AK333" i="17" s="1"/>
  <c r="AG333" i="17" s="1"/>
  <c r="AJ333" i="17"/>
  <c r="AE198" i="17"/>
  <c r="AK198" i="17" s="1"/>
  <c r="AE202" i="17"/>
  <c r="AK202" i="17" s="1"/>
  <c r="AL202" i="17" s="1"/>
  <c r="AH424" i="17"/>
  <c r="AJ210" i="17"/>
  <c r="AE210" i="17"/>
  <c r="AK210" i="17" s="1"/>
  <c r="AG210" i="17" s="1"/>
  <c r="AH303" i="17"/>
  <c r="AE200" i="17"/>
  <c r="AK200" i="17" s="1"/>
  <c r="AL200" i="17" s="1"/>
  <c r="AH243" i="17"/>
  <c r="AH248" i="17"/>
  <c r="AE276" i="17"/>
  <c r="AK276" i="17" s="1"/>
  <c r="AL276" i="17" s="1"/>
  <c r="AJ276" i="17"/>
  <c r="AI376" i="17"/>
  <c r="AH201" i="17"/>
  <c r="AH213" i="17"/>
  <c r="AH314" i="17"/>
  <c r="AH350" i="17"/>
  <c r="AH387" i="17"/>
  <c r="AE209" i="17"/>
  <c r="AH212" i="17"/>
  <c r="AH221" i="17"/>
  <c r="AE230" i="17"/>
  <c r="AK230" i="17" s="1"/>
  <c r="AH233" i="17"/>
  <c r="AI234" i="17"/>
  <c r="AI244" i="17"/>
  <c r="AE253" i="17"/>
  <c r="AE286" i="17"/>
  <c r="AK286" i="17" s="1"/>
  <c r="AG286" i="17" s="1"/>
  <c r="AE339" i="17"/>
  <c r="AK339" i="17" s="1"/>
  <c r="AG339" i="17" s="1"/>
  <c r="AI422" i="17"/>
  <c r="AJ274" i="17"/>
  <c r="AE274" i="17"/>
  <c r="AE319" i="17"/>
  <c r="AK319" i="17" s="1"/>
  <c r="AG319" i="17" s="1"/>
  <c r="AJ319" i="17"/>
  <c r="AH321" i="17"/>
  <c r="AH383" i="17"/>
  <c r="AJ465" i="17"/>
  <c r="AE465" i="17"/>
  <c r="AK465" i="17" s="1"/>
  <c r="AE277" i="17"/>
  <c r="AH280" i="17"/>
  <c r="AH283" i="17"/>
  <c r="AH290" i="17"/>
  <c r="AI307" i="17"/>
  <c r="AE331" i="17"/>
  <c r="AK331" i="17" s="1"/>
  <c r="AJ331" i="17"/>
  <c r="AJ349" i="17"/>
  <c r="AE349" i="17"/>
  <c r="AH382" i="17"/>
  <c r="AH317" i="17"/>
  <c r="AH329" i="17"/>
  <c r="AH255" i="17"/>
  <c r="AI393" i="17"/>
  <c r="AH414" i="17"/>
  <c r="AJ444" i="17"/>
  <c r="AE444" i="17"/>
  <c r="AK444" i="17" s="1"/>
  <c r="AE252" i="17"/>
  <c r="AK252" i="17" s="1"/>
  <c r="AG252" i="17" s="1"/>
  <c r="AE266" i="17"/>
  <c r="AK266" i="17" s="1"/>
  <c r="AG266" i="17" s="1"/>
  <c r="AJ377" i="17"/>
  <c r="AE382" i="17"/>
  <c r="AK382" i="17" s="1"/>
  <c r="AJ382" i="17"/>
  <c r="AH453" i="17"/>
  <c r="AH499" i="17"/>
  <c r="AH315" i="17"/>
  <c r="AH320" i="17"/>
  <c r="AJ335" i="17"/>
  <c r="AE335" i="17"/>
  <c r="AK335" i="17" s="1"/>
  <c r="AG335" i="17" s="1"/>
  <c r="AH455" i="17"/>
  <c r="AH332" i="17"/>
  <c r="AE351" i="17"/>
  <c r="AK351" i="17" s="1"/>
  <c r="AG351" i="17" s="1"/>
  <c r="AJ395" i="17"/>
  <c r="AE395" i="17"/>
  <c r="AJ469" i="17"/>
  <c r="AE469" i="17"/>
  <c r="AK469" i="17" s="1"/>
  <c r="AG469" i="17" s="1"/>
  <c r="AJ398" i="17"/>
  <c r="AE398" i="17"/>
  <c r="AK398" i="17" s="1"/>
  <c r="AH360" i="17"/>
  <c r="AJ321" i="17"/>
  <c r="AE321" i="17"/>
  <c r="AK321" i="17" s="1"/>
  <c r="AJ337" i="17"/>
  <c r="AE337" i="17"/>
  <c r="AK337" i="17" s="1"/>
  <c r="AL337" i="17" s="1"/>
  <c r="AI345" i="17"/>
  <c r="AH347" i="17"/>
  <c r="AE311" i="17"/>
  <c r="AK311" i="17" s="1"/>
  <c r="AL311" i="17" s="1"/>
  <c r="AE328" i="17"/>
  <c r="AK328" i="17" s="1"/>
  <c r="AG328" i="17" s="1"/>
  <c r="AE431" i="17"/>
  <c r="AK431" i="17" s="1"/>
  <c r="AJ431" i="17"/>
  <c r="AH444" i="17"/>
  <c r="AI388" i="17"/>
  <c r="AH404" i="17"/>
  <c r="AH420" i="17"/>
  <c r="AI431" i="17"/>
  <c r="AJ445" i="17"/>
  <c r="AH478" i="17"/>
  <c r="AE323" i="17"/>
  <c r="AE340" i="17"/>
  <c r="AK340" i="17" s="1"/>
  <c r="AG340" i="17" s="1"/>
  <c r="AE352" i="17"/>
  <c r="AK352" i="17" s="1"/>
  <c r="AG352" i="17" s="1"/>
  <c r="AH433" i="17"/>
  <c r="AE338" i="17"/>
  <c r="AK338" i="17" s="1"/>
  <c r="AL338" i="17" s="1"/>
  <c r="AE347" i="17"/>
  <c r="AK347" i="17" s="1"/>
  <c r="AE350" i="17"/>
  <c r="AK350" i="17" s="1"/>
  <c r="AH357" i="17"/>
  <c r="AE432" i="17"/>
  <c r="AK432" i="17" s="1"/>
  <c r="AL432" i="17" s="1"/>
  <c r="AH477" i="17"/>
  <c r="AH483" i="17"/>
  <c r="AH503" i="17"/>
  <c r="AH367" i="17"/>
  <c r="AH375" i="17"/>
  <c r="AH398" i="17"/>
  <c r="AH416" i="17"/>
  <c r="AE484" i="17"/>
  <c r="AK484" i="17" s="1"/>
  <c r="AG484" i="17" s="1"/>
  <c r="AE477" i="17"/>
  <c r="AK477" i="17" s="1"/>
  <c r="AJ477" i="17"/>
  <c r="AJ453" i="17"/>
  <c r="AE453" i="17"/>
  <c r="AK453" i="17" s="1"/>
  <c r="AH459" i="17"/>
  <c r="AE396" i="17"/>
  <c r="AK396" i="17" s="1"/>
  <c r="AG396" i="17" s="1"/>
  <c r="AH408" i="17"/>
  <c r="AE415" i="17"/>
  <c r="AK415" i="17" s="1"/>
  <c r="AL415" i="17" s="1"/>
  <c r="AI465" i="17"/>
  <c r="AH505" i="17"/>
  <c r="AE430" i="17"/>
  <c r="AJ430" i="17"/>
  <c r="AH434" i="17"/>
  <c r="AH493" i="17"/>
  <c r="AH498" i="17"/>
  <c r="AH446" i="17"/>
  <c r="AH471" i="17"/>
  <c r="AH454" i="17"/>
  <c r="AJ457" i="17"/>
  <c r="AE457" i="17"/>
  <c r="AK457" i="17" s="1"/>
  <c r="AG457" i="17" s="1"/>
  <c r="AJ467" i="17"/>
  <c r="AE501" i="17"/>
  <c r="AH427" i="17"/>
  <c r="AJ480" i="17"/>
  <c r="AE480" i="17"/>
  <c r="AE449" i="17"/>
  <c r="AI448" i="17"/>
  <c r="AJ478" i="17"/>
  <c r="AE478" i="17"/>
  <c r="AK478" i="17" s="1"/>
  <c r="AH479" i="17"/>
  <c r="AE461" i="17"/>
  <c r="AK461" i="17" s="1"/>
  <c r="AG461" i="17" s="1"/>
  <c r="AE481" i="17"/>
  <c r="AK481" i="17" s="1"/>
  <c r="AL481" i="17" s="1"/>
  <c r="AE483" i="17"/>
  <c r="AK483" i="17" s="1"/>
  <c r="AE456" i="17"/>
  <c r="AE476" i="17"/>
  <c r="AJ476" i="17"/>
  <c r="AL488" i="17" l="1"/>
  <c r="AG343" i="17"/>
  <c r="AM343" i="17" s="1"/>
  <c r="AG173" i="17"/>
  <c r="V173" i="17" s="1"/>
  <c r="W173" i="17" s="1"/>
  <c r="AA343" i="17"/>
  <c r="AF343" i="17" s="1"/>
  <c r="AG96" i="17"/>
  <c r="V96" i="17" s="1"/>
  <c r="W96" i="17" s="1"/>
  <c r="AG413" i="17"/>
  <c r="AM413" i="17" s="1"/>
  <c r="AA377" i="17"/>
  <c r="AF377" i="17" s="1"/>
  <c r="AA455" i="17"/>
  <c r="AF455" i="17" s="1"/>
  <c r="AA448" i="17"/>
  <c r="AF448" i="17" s="1"/>
  <c r="AA317" i="17"/>
  <c r="AF317" i="17" s="1"/>
  <c r="AG278" i="17"/>
  <c r="AM278" i="17" s="1"/>
  <c r="AA107" i="17"/>
  <c r="AF107" i="17" s="1"/>
  <c r="AA278" i="17"/>
  <c r="AF278" i="17" s="1"/>
  <c r="AA458" i="17"/>
  <c r="AF458" i="17" s="1"/>
  <c r="AG251" i="17"/>
  <c r="AM251" i="17" s="1"/>
  <c r="AA173" i="17"/>
  <c r="AF173" i="17" s="1"/>
  <c r="AL342" i="17"/>
  <c r="AL377" i="17"/>
  <c r="AG172" i="17"/>
  <c r="AM172" i="17" s="1"/>
  <c r="AA342" i="17"/>
  <c r="AF342" i="17" s="1"/>
  <c r="AL115" i="17"/>
  <c r="AG467" i="17"/>
  <c r="AM467" i="17" s="1"/>
  <c r="AA482" i="17"/>
  <c r="AF482" i="17" s="1"/>
  <c r="AG32" i="17"/>
  <c r="V32" i="17" s="1"/>
  <c r="W32" i="17" s="1"/>
  <c r="AL506" i="17"/>
  <c r="AA283" i="17"/>
  <c r="AF283" i="17" s="1"/>
  <c r="AG250" i="17"/>
  <c r="V250" i="17" s="1"/>
  <c r="W250" i="17" s="1"/>
  <c r="AG107" i="17"/>
  <c r="AA470" i="17"/>
  <c r="AF470" i="17" s="1"/>
  <c r="AA486" i="17"/>
  <c r="AF486" i="17" s="1"/>
  <c r="AA364" i="17"/>
  <c r="AF364" i="17" s="1"/>
  <c r="AA250" i="17"/>
  <c r="AF250" i="17" s="1"/>
  <c r="AG475" i="17"/>
  <c r="V475" i="17" s="1"/>
  <c r="W475" i="17" s="1"/>
  <c r="AA479" i="17"/>
  <c r="AF479" i="17" s="1"/>
  <c r="AL470" i="17"/>
  <c r="AG488" i="17"/>
  <c r="V488" i="17" s="1"/>
  <c r="W488" i="17" s="1"/>
  <c r="AG445" i="17"/>
  <c r="AM445" i="17" s="1"/>
  <c r="AA414" i="17"/>
  <c r="AF414" i="17" s="1"/>
  <c r="AA122" i="17"/>
  <c r="AF122" i="17" s="1"/>
  <c r="AG192" i="17"/>
  <c r="AM192" i="17" s="1"/>
  <c r="AA320" i="17"/>
  <c r="AF320" i="17" s="1"/>
  <c r="AA445" i="17"/>
  <c r="AF445" i="17" s="1"/>
  <c r="AA475" i="17"/>
  <c r="AF475" i="17" s="1"/>
  <c r="AM312" i="17"/>
  <c r="AA147" i="17"/>
  <c r="AF147" i="17" s="1"/>
  <c r="AG207" i="17"/>
  <c r="V207" i="17" s="1"/>
  <c r="W207" i="17" s="1"/>
  <c r="AL334" i="17"/>
  <c r="AG381" i="17"/>
  <c r="V381" i="17" s="1"/>
  <c r="W381" i="17" s="1"/>
  <c r="AL163" i="17"/>
  <c r="AA332" i="17"/>
  <c r="AF332" i="17" s="1"/>
  <c r="AA251" i="17"/>
  <c r="AF251" i="17" s="1"/>
  <c r="AG141" i="17"/>
  <c r="V141" i="17" s="1"/>
  <c r="W141" i="17" s="1"/>
  <c r="AL109" i="17"/>
  <c r="AL35" i="17"/>
  <c r="AA206" i="17"/>
  <c r="AF206" i="17" s="1"/>
  <c r="AL33" i="17"/>
  <c r="AA35" i="17"/>
  <c r="AF35" i="17" s="1"/>
  <c r="AG451" i="17"/>
  <c r="AM451" i="17" s="1"/>
  <c r="AA273" i="17"/>
  <c r="AF273" i="17" s="1"/>
  <c r="AL458" i="17"/>
  <c r="V458" i="17"/>
  <c r="W458" i="17" s="1"/>
  <c r="AL472" i="17"/>
  <c r="AG365" i="17"/>
  <c r="V365" i="17" s="1"/>
  <c r="W365" i="17" s="1"/>
  <c r="AL206" i="17"/>
  <c r="AA454" i="17"/>
  <c r="AF454" i="17" s="1"/>
  <c r="AL462" i="17"/>
  <c r="AL172" i="17"/>
  <c r="AA462" i="17"/>
  <c r="AF462" i="17" s="1"/>
  <c r="AA471" i="17"/>
  <c r="AF471" i="17" s="1"/>
  <c r="AA312" i="17"/>
  <c r="AF312" i="17" s="1"/>
  <c r="AA467" i="17"/>
  <c r="AF467" i="17" s="1"/>
  <c r="AA74" i="17"/>
  <c r="AF74" i="17" s="1"/>
  <c r="AA451" i="17"/>
  <c r="AF451" i="17" s="1"/>
  <c r="AA446" i="17"/>
  <c r="AF446" i="17" s="1"/>
  <c r="AA315" i="17"/>
  <c r="AF315" i="17" s="1"/>
  <c r="AL147" i="17"/>
  <c r="AL312" i="17"/>
  <c r="AA123" i="17"/>
  <c r="AF123" i="17" s="1"/>
  <c r="AG464" i="17"/>
  <c r="AM464" i="17" s="1"/>
  <c r="AG348" i="17"/>
  <c r="AM348" i="17" s="1"/>
  <c r="AA207" i="17"/>
  <c r="AF207" i="17" s="1"/>
  <c r="AA362" i="17"/>
  <c r="AF362" i="17" s="1"/>
  <c r="AA452" i="17"/>
  <c r="AF452" i="17" s="1"/>
  <c r="AL345" i="17"/>
  <c r="AA288" i="17"/>
  <c r="AF288" i="17" s="1"/>
  <c r="AL117" i="17"/>
  <c r="AA353" i="17"/>
  <c r="AF353" i="17" s="1"/>
  <c r="AA280" i="17"/>
  <c r="AF280" i="17" s="1"/>
  <c r="AG316" i="17"/>
  <c r="V316" i="17" s="1"/>
  <c r="W316" i="17" s="1"/>
  <c r="AA287" i="17"/>
  <c r="AF287" i="17" s="1"/>
  <c r="AL192" i="17"/>
  <c r="AG115" i="17"/>
  <c r="V115" i="17" s="1"/>
  <c r="W115" i="17" s="1"/>
  <c r="AA459" i="17"/>
  <c r="AF459" i="17" s="1"/>
  <c r="AL346" i="17"/>
  <c r="AK73" i="17"/>
  <c r="AL73" i="17" s="1"/>
  <c r="AA413" i="17"/>
  <c r="AF413" i="17" s="1"/>
  <c r="AL195" i="17"/>
  <c r="AL74" i="17"/>
  <c r="AA405" i="17"/>
  <c r="AF405" i="17" s="1"/>
  <c r="AA105" i="17"/>
  <c r="AF105" i="17" s="1"/>
  <c r="AG401" i="17"/>
  <c r="AM401" i="17" s="1"/>
  <c r="AA16" i="17"/>
  <c r="AF16" i="17" s="1"/>
  <c r="AA327" i="17"/>
  <c r="AF327" i="17" s="1"/>
  <c r="AA348" i="17"/>
  <c r="AF348" i="17" s="1"/>
  <c r="AG353" i="17"/>
  <c r="AM353" i="17" s="1"/>
  <c r="AA193" i="17"/>
  <c r="AF193" i="17" s="1"/>
  <c r="AG364" i="17"/>
  <c r="AM364" i="17" s="1"/>
  <c r="AA96" i="17"/>
  <c r="AF96" i="17" s="1"/>
  <c r="AL105" i="17"/>
  <c r="AG118" i="17"/>
  <c r="V118" i="17" s="1"/>
  <c r="W118" i="17" s="1"/>
  <c r="AG485" i="17"/>
  <c r="V485" i="17" s="1"/>
  <c r="W485" i="17" s="1"/>
  <c r="AL365" i="17"/>
  <c r="AG327" i="17"/>
  <c r="AM327" i="17" s="1"/>
  <c r="AL464" i="17"/>
  <c r="AL486" i="17"/>
  <c r="AA485" i="17"/>
  <c r="AF485" i="17" s="1"/>
  <c r="AG500" i="17"/>
  <c r="V500" i="17" s="1"/>
  <c r="W500" i="17" s="1"/>
  <c r="AA118" i="17"/>
  <c r="AF118" i="17" s="1"/>
  <c r="AA117" i="17"/>
  <c r="AF117" i="17" s="1"/>
  <c r="AA172" i="17"/>
  <c r="AF172" i="17" s="1"/>
  <c r="AA488" i="17"/>
  <c r="AF488" i="17" s="1"/>
  <c r="AA329" i="17"/>
  <c r="AF329" i="17" s="1"/>
  <c r="V191" i="17"/>
  <c r="W191" i="17" s="1"/>
  <c r="AL207" i="17"/>
  <c r="AA115" i="17"/>
  <c r="AF115" i="17" s="1"/>
  <c r="AG330" i="17"/>
  <c r="AM330" i="17" s="1"/>
  <c r="AA346" i="17"/>
  <c r="AF346" i="17" s="1"/>
  <c r="AA316" i="17"/>
  <c r="AF316" i="17" s="1"/>
  <c r="AL251" i="17"/>
  <c r="AA111" i="17"/>
  <c r="AF111" i="17" s="1"/>
  <c r="AA381" i="17"/>
  <c r="AF381" i="17" s="1"/>
  <c r="AG460" i="17"/>
  <c r="V460" i="17" s="1"/>
  <c r="W460" i="17" s="1"/>
  <c r="AA194" i="17"/>
  <c r="AF194" i="17" s="1"/>
  <c r="AA141" i="17"/>
  <c r="AF141" i="17" s="1"/>
  <c r="AL451" i="17"/>
  <c r="AA464" i="17"/>
  <c r="AF464" i="17" s="1"/>
  <c r="AA114" i="17"/>
  <c r="AF114" i="17" s="1"/>
  <c r="AA401" i="17"/>
  <c r="AF401" i="17" s="1"/>
  <c r="AG204" i="17"/>
  <c r="V204" i="17" s="1"/>
  <c r="W204" i="17" s="1"/>
  <c r="AA163" i="17"/>
  <c r="AF163" i="17" s="1"/>
  <c r="AK466" i="17"/>
  <c r="AA466" i="17"/>
  <c r="AF466" i="17" s="1"/>
  <c r="AK196" i="17"/>
  <c r="AA196" i="17"/>
  <c r="AF196" i="17" s="1"/>
  <c r="AK474" i="17"/>
  <c r="AA474" i="17"/>
  <c r="AF474" i="17" s="1"/>
  <c r="AK397" i="17"/>
  <c r="AA397" i="17"/>
  <c r="AF397" i="17" s="1"/>
  <c r="AK302" i="17"/>
  <c r="AA302" i="17"/>
  <c r="AF302" i="17" s="1"/>
  <c r="AG142" i="17"/>
  <c r="V142" i="17" s="1"/>
  <c r="W142" i="17" s="1"/>
  <c r="AL142" i="17"/>
  <c r="AK106" i="17"/>
  <c r="AA106" i="17"/>
  <c r="AF106" i="17" s="1"/>
  <c r="AK344" i="17"/>
  <c r="AA344" i="17"/>
  <c r="AF344" i="17" s="1"/>
  <c r="AG301" i="17"/>
  <c r="AA416" i="17"/>
  <c r="AF416" i="17" s="1"/>
  <c r="AA301" i="17"/>
  <c r="AF301" i="17" s="1"/>
  <c r="AL113" i="17"/>
  <c r="AG113" i="17"/>
  <c r="V113" i="17" s="1"/>
  <c r="W113" i="17" s="1"/>
  <c r="AK322" i="17"/>
  <c r="AA322" i="17"/>
  <c r="AF322" i="17" s="1"/>
  <c r="AG117" i="17"/>
  <c r="V117" i="17" s="1"/>
  <c r="W117" i="17" s="1"/>
  <c r="AL450" i="17"/>
  <c r="AG450" i="17"/>
  <c r="AM450" i="17" s="1"/>
  <c r="AK34" i="17"/>
  <c r="AG34" i="17" s="1"/>
  <c r="V34" i="17" s="1"/>
  <c r="W34" i="17" s="1"/>
  <c r="AA34" i="17"/>
  <c r="AF34" i="17" s="1"/>
  <c r="AK281" i="17"/>
  <c r="AA281" i="17"/>
  <c r="AF281" i="17" s="1"/>
  <c r="AL242" i="17"/>
  <c r="AG224" i="17"/>
  <c r="AM224" i="17" s="1"/>
  <c r="AG244" i="17"/>
  <c r="V244" i="17" s="1"/>
  <c r="W244" i="17" s="1"/>
  <c r="AA204" i="17"/>
  <c r="AF204" i="17" s="1"/>
  <c r="AA500" i="17"/>
  <c r="AF500" i="17" s="1"/>
  <c r="AA345" i="17"/>
  <c r="AF345" i="17" s="1"/>
  <c r="V147" i="17"/>
  <c r="W147" i="17" s="1"/>
  <c r="AA472" i="17"/>
  <c r="AF472" i="17" s="1"/>
  <c r="AA192" i="17"/>
  <c r="AF192" i="17" s="1"/>
  <c r="AA313" i="17"/>
  <c r="AF313" i="17" s="1"/>
  <c r="AG405" i="17"/>
  <c r="AM405" i="17" s="1"/>
  <c r="AG270" i="17"/>
  <c r="AM270" i="17" s="1"/>
  <c r="AL191" i="17"/>
  <c r="AG104" i="17"/>
  <c r="AM104" i="17" s="1"/>
  <c r="AG318" i="17"/>
  <c r="AG506" i="17"/>
  <c r="V506" i="17" s="1"/>
  <c r="W506" i="17" s="1"/>
  <c r="AG341" i="17"/>
  <c r="V341" i="17" s="1"/>
  <c r="W341" i="17" s="1"/>
  <c r="AA275" i="17"/>
  <c r="AF275" i="17" s="1"/>
  <c r="AG284" i="17"/>
  <c r="AM284" i="17" s="1"/>
  <c r="AK463" i="17"/>
  <c r="AL463" i="17" s="1"/>
  <c r="AG465" i="17"/>
  <c r="V465" i="17" s="1"/>
  <c r="W465" i="17" s="1"/>
  <c r="AA270" i="17"/>
  <c r="AF270" i="17" s="1"/>
  <c r="AG74" i="17"/>
  <c r="AG105" i="17"/>
  <c r="AG473" i="17"/>
  <c r="V473" i="17" s="1"/>
  <c r="W473" i="17" s="1"/>
  <c r="AA191" i="17"/>
  <c r="AF191" i="17" s="1"/>
  <c r="AA284" i="17"/>
  <c r="AF284" i="17" s="1"/>
  <c r="AG164" i="17"/>
  <c r="AM164" i="17" s="1"/>
  <c r="AG487" i="17"/>
  <c r="V487" i="17" s="1"/>
  <c r="W487" i="17" s="1"/>
  <c r="AA341" i="17"/>
  <c r="AF341" i="17" s="1"/>
  <c r="AL289" i="17"/>
  <c r="AA164" i="17"/>
  <c r="AF164" i="17" s="1"/>
  <c r="AG195" i="17"/>
  <c r="AM195" i="17" s="1"/>
  <c r="AG119" i="17"/>
  <c r="AM119" i="17" s="1"/>
  <c r="AG275" i="17"/>
  <c r="V275" i="17" s="1"/>
  <c r="W275" i="17" s="1"/>
  <c r="AA203" i="17"/>
  <c r="AF203" i="17" s="1"/>
  <c r="V282" i="17"/>
  <c r="W282" i="17" s="1"/>
  <c r="AM282" i="17"/>
  <c r="AG334" i="17"/>
  <c r="V334" i="17" s="1"/>
  <c r="W334" i="17" s="1"/>
  <c r="AA331" i="17"/>
  <c r="AF331" i="17" s="1"/>
  <c r="AL318" i="17"/>
  <c r="AL330" i="17"/>
  <c r="AG109" i="17"/>
  <c r="V109" i="17" s="1"/>
  <c r="W109" i="17" s="1"/>
  <c r="AA119" i="17"/>
  <c r="AF119" i="17" s="1"/>
  <c r="AA506" i="17"/>
  <c r="AF506" i="17" s="1"/>
  <c r="AG345" i="17"/>
  <c r="V345" i="17" s="1"/>
  <c r="W345" i="17" s="1"/>
  <c r="AL282" i="17"/>
  <c r="AA282" i="17"/>
  <c r="AF282" i="17" s="1"/>
  <c r="AA334" i="17"/>
  <c r="AF334" i="17" s="1"/>
  <c r="AA104" i="17"/>
  <c r="AF104" i="17" s="1"/>
  <c r="AG402" i="17"/>
  <c r="AM402" i="17" s="1"/>
  <c r="AA318" i="17"/>
  <c r="AF318" i="17" s="1"/>
  <c r="AG273" i="17"/>
  <c r="V273" i="17" s="1"/>
  <c r="W273" i="17" s="1"/>
  <c r="AL326" i="17"/>
  <c r="AL224" i="17"/>
  <c r="AA146" i="17"/>
  <c r="AF146" i="17" s="1"/>
  <c r="AA457" i="17"/>
  <c r="AF457" i="17" s="1"/>
  <c r="AA396" i="17"/>
  <c r="AF396" i="17" s="1"/>
  <c r="AA33" i="17"/>
  <c r="AF33" i="17" s="1"/>
  <c r="AL288" i="17"/>
  <c r="AG325" i="17"/>
  <c r="AL279" i="17"/>
  <c r="AG376" i="17"/>
  <c r="AM376" i="17" s="1"/>
  <c r="AA487" i="17"/>
  <c r="AF487" i="17" s="1"/>
  <c r="AA330" i="17"/>
  <c r="AF330" i="17" s="1"/>
  <c r="AA279" i="17"/>
  <c r="AF279" i="17" s="1"/>
  <c r="AA415" i="17"/>
  <c r="AF415" i="17" s="1"/>
  <c r="AL402" i="17"/>
  <c r="V342" i="17"/>
  <c r="W342" i="17" s="1"/>
  <c r="AA242" i="17"/>
  <c r="AF242" i="17" s="1"/>
  <c r="AA473" i="17"/>
  <c r="AF473" i="17" s="1"/>
  <c r="AG242" i="17"/>
  <c r="AM242" i="17" s="1"/>
  <c r="AA205" i="17"/>
  <c r="AF205" i="17" s="1"/>
  <c r="AL231" i="17"/>
  <c r="AL30" i="17"/>
  <c r="AA195" i="17"/>
  <c r="AF195" i="17" s="1"/>
  <c r="AK223" i="17"/>
  <c r="AA468" i="17"/>
  <c r="AF468" i="17" s="1"/>
  <c r="AG432" i="17"/>
  <c r="V432" i="17" s="1"/>
  <c r="W432" i="17" s="1"/>
  <c r="AL457" i="17"/>
  <c r="AG415" i="17"/>
  <c r="V415" i="17" s="1"/>
  <c r="W415" i="17" s="1"/>
  <c r="AA112" i="17"/>
  <c r="AF112" i="17" s="1"/>
  <c r="AA109" i="17"/>
  <c r="AF109" i="17" s="1"/>
  <c r="AL204" i="17"/>
  <c r="AA402" i="17"/>
  <c r="AF402" i="17" s="1"/>
  <c r="AA325" i="17"/>
  <c r="AF325" i="17" s="1"/>
  <c r="AA432" i="17"/>
  <c r="AF432" i="17" s="1"/>
  <c r="AG324" i="17"/>
  <c r="AL205" i="17"/>
  <c r="AG285" i="17"/>
  <c r="AM285" i="17" s="1"/>
  <c r="AL352" i="17"/>
  <c r="AA431" i="17"/>
  <c r="AF431" i="17" s="1"/>
  <c r="AL325" i="17"/>
  <c r="AA198" i="17"/>
  <c r="AF198" i="17" s="1"/>
  <c r="AA113" i="17"/>
  <c r="AF113" i="17" s="1"/>
  <c r="AG336" i="17"/>
  <c r="AM336" i="17" s="1"/>
  <c r="AK254" i="17"/>
  <c r="AG254" i="17" s="1"/>
  <c r="AM254" i="17" s="1"/>
  <c r="AA32" i="17"/>
  <c r="AF32" i="17" s="1"/>
  <c r="AG326" i="17"/>
  <c r="AL468" i="17"/>
  <c r="AG468" i="17"/>
  <c r="AL313" i="17"/>
  <c r="AM470" i="17"/>
  <c r="V470" i="17"/>
  <c r="W470" i="17" s="1"/>
  <c r="AA483" i="17"/>
  <c r="AF483" i="17" s="1"/>
  <c r="AA244" i="17"/>
  <c r="AF244" i="17" s="1"/>
  <c r="AA29" i="17"/>
  <c r="AF29" i="17" s="1"/>
  <c r="AA182" i="17"/>
  <c r="AF182" i="17" s="1"/>
  <c r="AK182" i="17"/>
  <c r="AA326" i="17"/>
  <c r="AF326" i="17" s="1"/>
  <c r="AG287" i="17"/>
  <c r="AL287" i="17"/>
  <c r="AM289" i="17"/>
  <c r="V289" i="17"/>
  <c r="W289" i="17" s="1"/>
  <c r="AL431" i="17"/>
  <c r="AL230" i="17"/>
  <c r="AA97" i="17"/>
  <c r="AF97" i="17" s="1"/>
  <c r="AG452" i="17"/>
  <c r="AL452" i="17"/>
  <c r="AA82" i="17"/>
  <c r="AF82" i="17" s="1"/>
  <c r="AA502" i="17"/>
  <c r="AF502" i="17" s="1"/>
  <c r="AK502" i="17"/>
  <c r="AA224" i="17"/>
  <c r="AF224" i="17" s="1"/>
  <c r="AL244" i="17"/>
  <c r="AG200" i="17"/>
  <c r="AM200" i="17" s="1"/>
  <c r="AA289" i="17"/>
  <c r="AF289" i="17" s="1"/>
  <c r="AA321" i="17"/>
  <c r="AF321" i="17" s="1"/>
  <c r="AL210" i="17"/>
  <c r="AA347" i="17"/>
  <c r="AF347" i="17" s="1"/>
  <c r="AA266" i="17"/>
  <c r="AF266" i="17" s="1"/>
  <c r="AL286" i="17"/>
  <c r="AA376" i="17"/>
  <c r="AF376" i="17" s="1"/>
  <c r="AG121" i="17"/>
  <c r="V121" i="17" s="1"/>
  <c r="W121" i="17" s="1"/>
  <c r="AA30" i="17"/>
  <c r="AF30" i="17" s="1"/>
  <c r="AA484" i="17"/>
  <c r="AF484" i="17" s="1"/>
  <c r="AG482" i="17"/>
  <c r="AM482" i="17" s="1"/>
  <c r="AA276" i="17"/>
  <c r="AF276" i="17" s="1"/>
  <c r="AA208" i="17"/>
  <c r="AF208" i="17" s="1"/>
  <c r="AK208" i="17"/>
  <c r="AA142" i="17"/>
  <c r="AF142" i="17" s="1"/>
  <c r="V279" i="17"/>
  <c r="W279" i="17" s="1"/>
  <c r="AM279" i="17"/>
  <c r="AL484" i="17"/>
  <c r="AL362" i="17"/>
  <c r="AA202" i="17"/>
  <c r="AF202" i="17" s="1"/>
  <c r="AG311" i="17"/>
  <c r="AM311" i="17" s="1"/>
  <c r="AA243" i="17"/>
  <c r="AF243" i="17" s="1"/>
  <c r="AA199" i="17"/>
  <c r="AF199" i="17" s="1"/>
  <c r="AA285" i="17"/>
  <c r="AF285" i="17" s="1"/>
  <c r="AA450" i="17"/>
  <c r="AF450" i="17" s="1"/>
  <c r="AA365" i="17"/>
  <c r="AF365" i="17" s="1"/>
  <c r="AA336" i="17"/>
  <c r="AF336" i="17" s="1"/>
  <c r="AA465" i="17"/>
  <c r="AF465" i="17" s="1"/>
  <c r="AG82" i="17"/>
  <c r="AM82" i="17" s="1"/>
  <c r="AL112" i="17"/>
  <c r="AL460" i="17"/>
  <c r="AG116" i="17"/>
  <c r="AM116" i="17" s="1"/>
  <c r="AA116" i="17"/>
  <c r="AF116" i="17" s="1"/>
  <c r="AG462" i="17"/>
  <c r="AA460" i="17"/>
  <c r="AF460" i="17" s="1"/>
  <c r="AM461" i="17"/>
  <c r="V461" i="17"/>
  <c r="W461" i="17" s="1"/>
  <c r="AM457" i="17"/>
  <c r="V457" i="17"/>
  <c r="W457" i="17" s="1"/>
  <c r="AM335" i="17"/>
  <c r="V335" i="17"/>
  <c r="W335" i="17" s="1"/>
  <c r="AM351" i="17"/>
  <c r="V351" i="17"/>
  <c r="W351" i="17" s="1"/>
  <c r="V210" i="17"/>
  <c r="W210" i="17" s="1"/>
  <c r="AM210" i="17"/>
  <c r="V108" i="17"/>
  <c r="W108" i="17" s="1"/>
  <c r="AM108" i="17"/>
  <c r="AM396" i="17"/>
  <c r="V396" i="17"/>
  <c r="W396" i="17" s="1"/>
  <c r="V252" i="17"/>
  <c r="W252" i="17" s="1"/>
  <c r="AM252" i="17"/>
  <c r="V333" i="17"/>
  <c r="W333" i="17" s="1"/>
  <c r="AM333" i="17"/>
  <c r="AM199" i="17"/>
  <c r="V199" i="17"/>
  <c r="W199" i="17" s="1"/>
  <c r="AM352" i="17"/>
  <c r="V352" i="17"/>
  <c r="W352" i="17" s="1"/>
  <c r="AM340" i="17"/>
  <c r="V340" i="17"/>
  <c r="W340" i="17" s="1"/>
  <c r="AL398" i="17"/>
  <c r="AG398" i="17"/>
  <c r="AM339" i="17"/>
  <c r="V339" i="17"/>
  <c r="W339" i="17" s="1"/>
  <c r="AL111" i="17"/>
  <c r="AG111" i="17"/>
  <c r="AL351" i="17"/>
  <c r="AL339" i="17"/>
  <c r="AM319" i="17"/>
  <c r="V319" i="17"/>
  <c r="W319" i="17" s="1"/>
  <c r="AM472" i="17"/>
  <c r="V472" i="17"/>
  <c r="W472" i="17" s="1"/>
  <c r="AA110" i="17"/>
  <c r="AF110" i="17" s="1"/>
  <c r="AK56" i="17"/>
  <c r="AA56" i="17"/>
  <c r="AF56" i="17" s="1"/>
  <c r="V33" i="17"/>
  <c r="W33" i="17" s="1"/>
  <c r="AM33" i="17"/>
  <c r="AG30" i="17"/>
  <c r="AL483" i="17"/>
  <c r="AG483" i="17"/>
  <c r="AK501" i="17"/>
  <c r="AA501" i="17"/>
  <c r="AF501" i="17" s="1"/>
  <c r="AK349" i="17"/>
  <c r="AA349" i="17"/>
  <c r="AF349" i="17" s="1"/>
  <c r="V313" i="17"/>
  <c r="W313" i="17" s="1"/>
  <c r="AM313" i="17"/>
  <c r="AA211" i="17"/>
  <c r="AF211" i="17" s="1"/>
  <c r="AL280" i="17"/>
  <c r="AG280" i="17"/>
  <c r="AA481" i="17"/>
  <c r="AF481" i="17" s="1"/>
  <c r="AK430" i="17"/>
  <c r="AA430" i="17"/>
  <c r="AF430" i="17" s="1"/>
  <c r="AL465" i="17"/>
  <c r="AA339" i="17"/>
  <c r="AF339" i="17" s="1"/>
  <c r="AG477" i="17"/>
  <c r="AL477" i="17"/>
  <c r="AK323" i="17"/>
  <c r="AA323" i="17"/>
  <c r="AF323" i="17" s="1"/>
  <c r="AA352" i="17"/>
  <c r="AF352" i="17" s="1"/>
  <c r="AG332" i="17"/>
  <c r="AL332" i="17"/>
  <c r="AL455" i="17"/>
  <c r="AG455" i="17"/>
  <c r="AG453" i="17"/>
  <c r="AL453" i="17"/>
  <c r="AK274" i="17"/>
  <c r="AA274" i="17"/>
  <c r="AF274" i="17" s="1"/>
  <c r="AL243" i="17"/>
  <c r="AG243" i="17"/>
  <c r="AL146" i="17"/>
  <c r="AG146" i="17"/>
  <c r="AK190" i="17"/>
  <c r="AA190" i="17"/>
  <c r="AF190" i="17" s="1"/>
  <c r="AG97" i="17"/>
  <c r="AL97" i="17"/>
  <c r="AG183" i="17"/>
  <c r="AL183" i="17"/>
  <c r="AL283" i="17"/>
  <c r="AG283" i="17"/>
  <c r="AK480" i="17"/>
  <c r="AA480" i="17"/>
  <c r="AF480" i="17" s="1"/>
  <c r="AM484" i="17"/>
  <c r="V484" i="17"/>
  <c r="W484" i="17" s="1"/>
  <c r="AA477" i="17"/>
  <c r="AF477" i="17" s="1"/>
  <c r="AA340" i="17"/>
  <c r="AF340" i="17" s="1"/>
  <c r="AA444" i="17"/>
  <c r="AF444" i="17" s="1"/>
  <c r="AL333" i="17"/>
  <c r="AL396" i="17"/>
  <c r="AA453" i="17"/>
  <c r="AF453" i="17" s="1"/>
  <c r="AL414" i="17"/>
  <c r="AG414" i="17"/>
  <c r="AG331" i="17"/>
  <c r="AL331" i="17"/>
  <c r="AK277" i="17"/>
  <c r="AA277" i="17"/>
  <c r="AF277" i="17" s="1"/>
  <c r="AM362" i="17"/>
  <c r="V362" i="17"/>
  <c r="W362" i="17" s="1"/>
  <c r="AL350" i="17"/>
  <c r="AG350" i="17"/>
  <c r="AA335" i="17"/>
  <c r="AF335" i="17" s="1"/>
  <c r="AM288" i="17"/>
  <c r="V288" i="17"/>
  <c r="W288" i="17" s="1"/>
  <c r="AL199" i="17"/>
  <c r="AG197" i="17"/>
  <c r="AL197" i="17"/>
  <c r="AG211" i="17"/>
  <c r="AM48" i="17"/>
  <c r="V48" i="17"/>
  <c r="W48" i="17" s="1"/>
  <c r="AL48" i="17"/>
  <c r="AA183" i="17"/>
  <c r="AF183" i="17" s="1"/>
  <c r="AL29" i="17"/>
  <c r="AG29" i="17"/>
  <c r="AA324" i="17"/>
  <c r="AF324" i="17" s="1"/>
  <c r="AG16" i="17"/>
  <c r="AG347" i="17"/>
  <c r="AL347" i="17"/>
  <c r="V377" i="17"/>
  <c r="W377" i="17" s="1"/>
  <c r="AM377" i="17"/>
  <c r="AL459" i="17"/>
  <c r="AG459" i="17"/>
  <c r="AG416" i="17"/>
  <c r="AL416" i="17"/>
  <c r="AG444" i="17"/>
  <c r="AL444" i="17"/>
  <c r="AA338" i="17"/>
  <c r="AF338" i="17" s="1"/>
  <c r="AK395" i="17"/>
  <c r="AA395" i="17"/>
  <c r="AF395" i="17" s="1"/>
  <c r="AA311" i="17"/>
  <c r="AF311" i="17" s="1"/>
  <c r="AA350" i="17"/>
  <c r="AF350" i="17" s="1"/>
  <c r="AG230" i="17"/>
  <c r="AM205" i="17"/>
  <c r="V205" i="17"/>
  <c r="W205" i="17" s="1"/>
  <c r="AA333" i="17"/>
  <c r="AF333" i="17" s="1"/>
  <c r="AA108" i="17"/>
  <c r="AF108" i="17" s="1"/>
  <c r="AA197" i="17"/>
  <c r="AF197" i="17" s="1"/>
  <c r="V206" i="17"/>
  <c r="W206" i="17" s="1"/>
  <c r="AM206" i="17"/>
  <c r="AG382" i="17"/>
  <c r="AL382" i="17"/>
  <c r="AG321" i="17"/>
  <c r="AL321" i="17"/>
  <c r="V486" i="17"/>
  <c r="W486" i="17" s="1"/>
  <c r="AM486" i="17"/>
  <c r="AL340" i="17"/>
  <c r="AG481" i="17"/>
  <c r="V346" i="17"/>
  <c r="W346" i="17" s="1"/>
  <c r="AM346" i="17"/>
  <c r="AL461" i="17"/>
  <c r="AG315" i="17"/>
  <c r="AL315" i="17"/>
  <c r="V328" i="17"/>
  <c r="W328" i="17" s="1"/>
  <c r="AM328" i="17"/>
  <c r="AA337" i="17"/>
  <c r="AF337" i="17" s="1"/>
  <c r="AG337" i="17"/>
  <c r="AG198" i="17"/>
  <c r="AL198" i="17"/>
  <c r="AA210" i="17"/>
  <c r="AF210" i="17" s="1"/>
  <c r="AL266" i="17"/>
  <c r="AM112" i="17"/>
  <c r="V112" i="17"/>
  <c r="W112" i="17" s="1"/>
  <c r="AL194" i="17"/>
  <c r="AG194" i="17"/>
  <c r="AL203" i="17"/>
  <c r="AG203" i="17"/>
  <c r="V163" i="17"/>
  <c r="W163" i="17" s="1"/>
  <c r="AM163" i="17"/>
  <c r="AA48" i="17"/>
  <c r="AF48" i="17" s="1"/>
  <c r="AA212" i="17"/>
  <c r="AF212" i="17" s="1"/>
  <c r="AK15" i="17"/>
  <c r="AA15" i="17"/>
  <c r="AF15" i="17" s="1"/>
  <c r="AL108" i="17"/>
  <c r="AG454" i="17"/>
  <c r="AL454" i="17"/>
  <c r="AA351" i="17"/>
  <c r="AF351" i="17" s="1"/>
  <c r="AL110" i="17"/>
  <c r="AG110" i="17"/>
  <c r="AK476" i="17"/>
  <c r="AA476" i="17"/>
  <c r="AF476" i="17" s="1"/>
  <c r="AG479" i="17"/>
  <c r="AL479" i="17"/>
  <c r="AL471" i="17"/>
  <c r="AG471" i="17"/>
  <c r="AA461" i="17"/>
  <c r="AF461" i="17" s="1"/>
  <c r="AA328" i="17"/>
  <c r="AF328" i="17" s="1"/>
  <c r="AL285" i="17"/>
  <c r="AL329" i="17"/>
  <c r="AG329" i="17"/>
  <c r="AA252" i="17"/>
  <c r="AF252" i="17" s="1"/>
  <c r="AG338" i="17"/>
  <c r="AM286" i="17"/>
  <c r="V286" i="17"/>
  <c r="W286" i="17" s="1"/>
  <c r="AA201" i="17"/>
  <c r="AF201" i="17" s="1"/>
  <c r="AA469" i="17"/>
  <c r="AF469" i="17" s="1"/>
  <c r="AK456" i="17"/>
  <c r="AA456" i="17"/>
  <c r="AF456" i="17" s="1"/>
  <c r="AL448" i="17"/>
  <c r="AG448" i="17"/>
  <c r="AL446" i="17"/>
  <c r="AG446" i="17"/>
  <c r="AG478" i="17"/>
  <c r="AL478" i="17"/>
  <c r="AA286" i="17"/>
  <c r="AF286" i="17" s="1"/>
  <c r="AL212" i="17"/>
  <c r="AG212" i="17"/>
  <c r="AA319" i="17"/>
  <c r="AF319" i="17" s="1"/>
  <c r="AG276" i="17"/>
  <c r="AL335" i="17"/>
  <c r="AA200" i="17"/>
  <c r="AF200" i="17" s="1"/>
  <c r="AG231" i="17"/>
  <c r="AL252" i="17"/>
  <c r="AG165" i="17"/>
  <c r="AL122" i="17"/>
  <c r="AG122" i="17"/>
  <c r="AG202" i="17"/>
  <c r="AG193" i="17"/>
  <c r="AL193" i="17"/>
  <c r="AA231" i="17"/>
  <c r="AF231" i="17" s="1"/>
  <c r="AK17" i="17"/>
  <c r="AA17" i="17"/>
  <c r="AF17" i="17" s="1"/>
  <c r="AK36" i="17"/>
  <c r="AA36" i="17"/>
  <c r="AF36" i="17" s="1"/>
  <c r="AL469" i="17"/>
  <c r="AK253" i="17"/>
  <c r="AA253" i="17"/>
  <c r="AF253" i="17" s="1"/>
  <c r="AA478" i="17"/>
  <c r="AF478" i="17" s="1"/>
  <c r="AK449" i="17"/>
  <c r="AA449" i="17"/>
  <c r="AF449" i="17" s="1"/>
  <c r="AL376" i="17"/>
  <c r="AL328" i="17"/>
  <c r="AL319" i="17"/>
  <c r="AK209" i="17"/>
  <c r="AA209" i="17"/>
  <c r="AF209" i="17" s="1"/>
  <c r="AL123" i="17"/>
  <c r="AG123" i="17"/>
  <c r="AA165" i="17"/>
  <c r="AF165" i="17" s="1"/>
  <c r="AM35" i="17"/>
  <c r="V35" i="17"/>
  <c r="W35" i="17" s="1"/>
  <c r="AM469" i="17"/>
  <c r="V469" i="17"/>
  <c r="W469" i="17" s="1"/>
  <c r="AA398" i="17"/>
  <c r="AF398" i="17" s="1"/>
  <c r="AG320" i="17"/>
  <c r="AL320" i="17"/>
  <c r="AG431" i="17"/>
  <c r="AM266" i="17"/>
  <c r="V266" i="17"/>
  <c r="W266" i="17" s="1"/>
  <c r="AL317" i="17"/>
  <c r="AG317" i="17"/>
  <c r="AA382" i="17"/>
  <c r="AF382" i="17" s="1"/>
  <c r="AL201" i="17"/>
  <c r="AG201" i="17"/>
  <c r="AK120" i="17"/>
  <c r="AA120" i="17"/>
  <c r="AF120" i="17" s="1"/>
  <c r="AA230" i="17"/>
  <c r="AF230" i="17" s="1"/>
  <c r="AA121" i="17"/>
  <c r="AF121" i="17" s="1"/>
  <c r="AL114" i="17"/>
  <c r="AG114" i="17"/>
  <c r="AM173" i="17" l="1"/>
  <c r="AM96" i="17"/>
  <c r="V343" i="17"/>
  <c r="W343" i="17" s="1"/>
  <c r="V413" i="17"/>
  <c r="W413" i="17" s="1"/>
  <c r="V467" i="17"/>
  <c r="W467" i="17" s="1"/>
  <c r="V278" i="17"/>
  <c r="W278" i="17" s="1"/>
  <c r="AM32" i="17"/>
  <c r="V251" i="17"/>
  <c r="W251" i="17" s="1"/>
  <c r="AM141" i="17"/>
  <c r="V464" i="17"/>
  <c r="W464" i="17" s="1"/>
  <c r="AM250" i="17"/>
  <c r="V172" i="17"/>
  <c r="W172" i="17" s="1"/>
  <c r="V348" i="17"/>
  <c r="W348" i="17" s="1"/>
  <c r="AM34" i="17"/>
  <c r="AG73" i="17"/>
  <c r="AM73" i="17" s="1"/>
  <c r="V270" i="17"/>
  <c r="W270" i="17" s="1"/>
  <c r="AM345" i="17"/>
  <c r="V192" i="17"/>
  <c r="W192" i="17" s="1"/>
  <c r="V405" i="17"/>
  <c r="W405" i="17" s="1"/>
  <c r="AM475" i="17"/>
  <c r="V242" i="17"/>
  <c r="W242" i="17" s="1"/>
  <c r="V451" i="17"/>
  <c r="W451" i="17" s="1"/>
  <c r="AM488" i="17"/>
  <c r="AM381" i="17"/>
  <c r="V401" i="17"/>
  <c r="W401" i="17" s="1"/>
  <c r="AM207" i="17"/>
  <c r="V445" i="17"/>
  <c r="W445" i="17" s="1"/>
  <c r="AM485" i="17"/>
  <c r="V107" i="17"/>
  <c r="W107" i="17" s="1"/>
  <c r="AM107" i="17"/>
  <c r="AM142" i="17"/>
  <c r="AM109" i="17"/>
  <c r="AM117" i="17"/>
  <c r="AM204" i="17"/>
  <c r="V330" i="17"/>
  <c r="W330" i="17" s="1"/>
  <c r="AL34" i="17"/>
  <c r="AM365" i="17"/>
  <c r="V195" i="17"/>
  <c r="W195" i="17" s="1"/>
  <c r="AM341" i="17"/>
  <c r="AM316" i="17"/>
  <c r="AM113" i="17"/>
  <c r="AM500" i="17"/>
  <c r="AM244" i="17"/>
  <c r="V327" i="17"/>
  <c r="W327" i="17" s="1"/>
  <c r="V402" i="17"/>
  <c r="W402" i="17" s="1"/>
  <c r="V284" i="17"/>
  <c r="W284" i="17" s="1"/>
  <c r="AM115" i="17"/>
  <c r="V364" i="17"/>
  <c r="W364" i="17" s="1"/>
  <c r="AM487" i="17"/>
  <c r="AM118" i="17"/>
  <c r="V119" i="17"/>
  <c r="W119" i="17" s="1"/>
  <c r="V353" i="17"/>
  <c r="W353" i="17" s="1"/>
  <c r="AM473" i="17"/>
  <c r="AM460" i="17"/>
  <c r="V224" i="17"/>
  <c r="W224" i="17" s="1"/>
  <c r="V450" i="17"/>
  <c r="W450" i="17" s="1"/>
  <c r="V336" i="17"/>
  <c r="W336" i="17" s="1"/>
  <c r="AM465" i="17"/>
  <c r="AM334" i="17"/>
  <c r="AM105" i="17"/>
  <c r="V105" i="17"/>
  <c r="W105" i="17" s="1"/>
  <c r="AG281" i="17"/>
  <c r="AL281" i="17"/>
  <c r="V301" i="17"/>
  <c r="W301" i="17" s="1"/>
  <c r="AM301" i="17"/>
  <c r="AG474" i="17"/>
  <c r="AL474" i="17"/>
  <c r="V326" i="17"/>
  <c r="W326" i="17" s="1"/>
  <c r="AM326" i="17"/>
  <c r="AM324" i="17"/>
  <c r="V324" i="17"/>
  <c r="W324" i="17" s="1"/>
  <c r="AG322" i="17"/>
  <c r="AL322" i="17"/>
  <c r="AG302" i="17"/>
  <c r="AL302" i="17"/>
  <c r="AG397" i="17"/>
  <c r="AL397" i="17"/>
  <c r="AG344" i="17"/>
  <c r="AL344" i="17"/>
  <c r="AL196" i="17"/>
  <c r="AG196" i="17"/>
  <c r="AG106" i="17"/>
  <c r="AL106" i="17"/>
  <c r="AM275" i="17"/>
  <c r="AL466" i="17"/>
  <c r="AG466" i="17"/>
  <c r="V164" i="17"/>
  <c r="W164" i="17" s="1"/>
  <c r="AG463" i="17"/>
  <c r="AM463" i="17" s="1"/>
  <c r="AM121" i="17"/>
  <c r="AL254" i="17"/>
  <c r="AM318" i="17"/>
  <c r="V318" i="17"/>
  <c r="W318" i="17" s="1"/>
  <c r="V254" i="17"/>
  <c r="W254" i="17" s="1"/>
  <c r="V104" i="17"/>
  <c r="W104" i="17" s="1"/>
  <c r="AM506" i="17"/>
  <c r="AM74" i="17"/>
  <c r="V74" i="17"/>
  <c r="W74" i="17" s="1"/>
  <c r="AM415" i="17"/>
  <c r="V116" i="17"/>
  <c r="W116" i="17" s="1"/>
  <c r="V376" i="17"/>
  <c r="W376" i="17" s="1"/>
  <c r="AM273" i="17"/>
  <c r="V200" i="17"/>
  <c r="W200" i="17" s="1"/>
  <c r="AM432" i="17"/>
  <c r="AG223" i="17"/>
  <c r="AL223" i="17"/>
  <c r="V285" i="17"/>
  <c r="W285" i="17" s="1"/>
  <c r="AM325" i="17"/>
  <c r="V325" i="17"/>
  <c r="W325" i="17" s="1"/>
  <c r="V82" i="17"/>
  <c r="W82" i="17" s="1"/>
  <c r="V311" i="17"/>
  <c r="W311" i="17" s="1"/>
  <c r="V482" i="17"/>
  <c r="W482" i="17" s="1"/>
  <c r="AM468" i="17"/>
  <c r="V468" i="17"/>
  <c r="W468" i="17" s="1"/>
  <c r="AG208" i="17"/>
  <c r="AL208" i="17"/>
  <c r="V287" i="17"/>
  <c r="W287" i="17" s="1"/>
  <c r="AM287" i="17"/>
  <c r="V452" i="17"/>
  <c r="W452" i="17" s="1"/>
  <c r="AM452" i="17"/>
  <c r="AL502" i="17"/>
  <c r="AG502" i="17"/>
  <c r="AM462" i="17"/>
  <c r="V462" i="17"/>
  <c r="W462" i="17" s="1"/>
  <c r="AG182" i="17"/>
  <c r="AL182" i="17"/>
  <c r="AL190" i="17"/>
  <c r="AG190" i="17"/>
  <c r="AM350" i="17"/>
  <c r="V350" i="17"/>
  <c r="W350" i="17" s="1"/>
  <c r="AM30" i="17"/>
  <c r="V30" i="17"/>
  <c r="W30" i="17" s="1"/>
  <c r="AM471" i="17"/>
  <c r="V471" i="17"/>
  <c r="W471" i="17" s="1"/>
  <c r="AM197" i="17"/>
  <c r="V197" i="17"/>
  <c r="W197" i="17" s="1"/>
  <c r="AM243" i="17"/>
  <c r="V243" i="17"/>
  <c r="W243" i="17" s="1"/>
  <c r="AM110" i="17"/>
  <c r="V110" i="17"/>
  <c r="W110" i="17" s="1"/>
  <c r="AM203" i="17"/>
  <c r="V203" i="17"/>
  <c r="W203" i="17" s="1"/>
  <c r="V337" i="17"/>
  <c r="W337" i="17" s="1"/>
  <c r="AM337" i="17"/>
  <c r="V453" i="17"/>
  <c r="W453" i="17" s="1"/>
  <c r="AM453" i="17"/>
  <c r="AL323" i="17"/>
  <c r="AG323" i="17"/>
  <c r="AL430" i="17"/>
  <c r="AG430" i="17"/>
  <c r="AM483" i="17"/>
  <c r="V483" i="17"/>
  <c r="W483" i="17" s="1"/>
  <c r="AL36" i="17"/>
  <c r="AG36" i="17"/>
  <c r="AM448" i="17"/>
  <c r="V448" i="17"/>
  <c r="W448" i="17" s="1"/>
  <c r="AM338" i="17"/>
  <c r="V338" i="17"/>
  <c r="W338" i="17" s="1"/>
  <c r="AM315" i="17"/>
  <c r="V315" i="17"/>
  <c r="W315" i="17" s="1"/>
  <c r="V198" i="17"/>
  <c r="W198" i="17" s="1"/>
  <c r="AM198" i="17"/>
  <c r="AL56" i="17"/>
  <c r="AG56" i="17"/>
  <c r="AM276" i="17"/>
  <c r="V276" i="17"/>
  <c r="W276" i="17" s="1"/>
  <c r="V347" i="17"/>
  <c r="W347" i="17" s="1"/>
  <c r="AM347" i="17"/>
  <c r="V16" i="17"/>
  <c r="W16" i="17" s="1"/>
  <c r="AM16" i="17"/>
  <c r="V97" i="17"/>
  <c r="W97" i="17" s="1"/>
  <c r="AM97" i="17"/>
  <c r="V455" i="17"/>
  <c r="W455" i="17" s="1"/>
  <c r="AM455" i="17"/>
  <c r="AL349" i="17"/>
  <c r="AG349" i="17"/>
  <c r="AM320" i="17"/>
  <c r="V320" i="17"/>
  <c r="W320" i="17" s="1"/>
  <c r="AM123" i="17"/>
  <c r="V123" i="17"/>
  <c r="W123" i="17" s="1"/>
  <c r="V321" i="17"/>
  <c r="W321" i="17" s="1"/>
  <c r="AM321" i="17"/>
  <c r="V230" i="17"/>
  <c r="W230" i="17" s="1"/>
  <c r="AM230" i="17"/>
  <c r="AL395" i="17"/>
  <c r="AG395" i="17"/>
  <c r="V416" i="17"/>
  <c r="W416" i="17" s="1"/>
  <c r="AM416" i="17"/>
  <c r="AM477" i="17"/>
  <c r="V477" i="17"/>
  <c r="W477" i="17" s="1"/>
  <c r="AG476" i="17"/>
  <c r="AL476" i="17"/>
  <c r="AM201" i="17"/>
  <c r="V201" i="17"/>
  <c r="W201" i="17" s="1"/>
  <c r="AL120" i="17"/>
  <c r="AG120" i="17"/>
  <c r="AM193" i="17"/>
  <c r="V193" i="17"/>
  <c r="W193" i="17" s="1"/>
  <c r="V478" i="17"/>
  <c r="W478" i="17" s="1"/>
  <c r="AM478" i="17"/>
  <c r="AG15" i="17"/>
  <c r="AL15" i="17"/>
  <c r="AM459" i="17"/>
  <c r="V459" i="17"/>
  <c r="W459" i="17" s="1"/>
  <c r="AM211" i="17"/>
  <c r="V211" i="17"/>
  <c r="W211" i="17" s="1"/>
  <c r="AG277" i="17"/>
  <c r="AL277" i="17"/>
  <c r="AG501" i="17"/>
  <c r="AL501" i="17"/>
  <c r="AM398" i="17"/>
  <c r="V398" i="17"/>
  <c r="W398" i="17" s="1"/>
  <c r="AM283" i="17"/>
  <c r="V283" i="17"/>
  <c r="W283" i="17" s="1"/>
  <c r="V382" i="17"/>
  <c r="W382" i="17" s="1"/>
  <c r="AM382" i="17"/>
  <c r="AM444" i="17"/>
  <c r="V444" i="17"/>
  <c r="W444" i="17" s="1"/>
  <c r="AM122" i="17"/>
  <c r="V122" i="17"/>
  <c r="W122" i="17" s="1"/>
  <c r="AM317" i="17"/>
  <c r="V317" i="17"/>
  <c r="W317" i="17" s="1"/>
  <c r="AG209" i="17"/>
  <c r="AL209" i="17"/>
  <c r="AM212" i="17"/>
  <c r="V212" i="17"/>
  <c r="W212" i="17" s="1"/>
  <c r="AM194" i="17"/>
  <c r="V194" i="17"/>
  <c r="W194" i="17" s="1"/>
  <c r="AM29" i="17"/>
  <c r="V29" i="17"/>
  <c r="W29" i="17" s="1"/>
  <c r="AL480" i="17"/>
  <c r="AG480" i="17"/>
  <c r="AM146" i="17"/>
  <c r="V146" i="17"/>
  <c r="W146" i="17" s="1"/>
  <c r="V332" i="17"/>
  <c r="W332" i="17" s="1"/>
  <c r="AM332" i="17"/>
  <c r="V446" i="17"/>
  <c r="W446" i="17" s="1"/>
  <c r="AM446" i="17"/>
  <c r="V231" i="17"/>
  <c r="W231" i="17" s="1"/>
  <c r="AM231" i="17"/>
  <c r="AM481" i="17"/>
  <c r="V481" i="17"/>
  <c r="W481" i="17" s="1"/>
  <c r="AM114" i="17"/>
  <c r="V114" i="17"/>
  <c r="W114" i="17" s="1"/>
  <c r="AL17" i="17"/>
  <c r="AG17" i="17"/>
  <c r="AM329" i="17"/>
  <c r="V329" i="17"/>
  <c r="W329" i="17" s="1"/>
  <c r="V479" i="17"/>
  <c r="W479" i="17" s="1"/>
  <c r="AM479" i="17"/>
  <c r="V454" i="17"/>
  <c r="W454" i="17" s="1"/>
  <c r="AM454" i="17"/>
  <c r="AM331" i="17"/>
  <c r="V331" i="17"/>
  <c r="W331" i="17" s="1"/>
  <c r="V280" i="17"/>
  <c r="W280" i="17" s="1"/>
  <c r="AM280" i="17"/>
  <c r="AM111" i="17"/>
  <c r="V111" i="17"/>
  <c r="W111" i="17" s="1"/>
  <c r="AL253" i="17"/>
  <c r="AG253" i="17"/>
  <c r="AM183" i="17"/>
  <c r="V183" i="17"/>
  <c r="W183" i="17" s="1"/>
  <c r="V431" i="17"/>
  <c r="W431" i="17" s="1"/>
  <c r="AM431" i="17"/>
  <c r="V202" i="17"/>
  <c r="W202" i="17" s="1"/>
  <c r="AM202" i="17"/>
  <c r="AG449" i="17"/>
  <c r="AL449" i="17"/>
  <c r="V165" i="17"/>
  <c r="W165" i="17" s="1"/>
  <c r="AM165" i="17"/>
  <c r="AG456" i="17"/>
  <c r="AL456" i="17"/>
  <c r="V414" i="17"/>
  <c r="W414" i="17" s="1"/>
  <c r="AM414" i="17"/>
  <c r="AG274" i="17"/>
  <c r="AL274" i="17"/>
  <c r="V73" i="17" l="1"/>
  <c r="W73" i="17" s="1"/>
  <c r="V463" i="17"/>
  <c r="W463" i="17" s="1"/>
  <c r="V196" i="17"/>
  <c r="W196" i="17" s="1"/>
  <c r="AM196" i="17"/>
  <c r="AM344" i="17"/>
  <c r="V344" i="17"/>
  <c r="W344" i="17" s="1"/>
  <c r="V474" i="17"/>
  <c r="W474" i="17" s="1"/>
  <c r="AM474" i="17"/>
  <c r="AM397" i="17"/>
  <c r="V397" i="17"/>
  <c r="W397" i="17" s="1"/>
  <c r="V106" i="17"/>
  <c r="W106" i="17" s="1"/>
  <c r="AM106" i="17"/>
  <c r="AM466" i="17"/>
  <c r="V466" i="17"/>
  <c r="W466" i="17" s="1"/>
  <c r="V302" i="17"/>
  <c r="W302" i="17" s="1"/>
  <c r="AM302" i="17"/>
  <c r="V281" i="17"/>
  <c r="W281" i="17" s="1"/>
  <c r="AM281" i="17"/>
  <c r="V322" i="17"/>
  <c r="W322" i="17" s="1"/>
  <c r="AM322" i="17"/>
  <c r="AM223" i="17"/>
  <c r="V223" i="17"/>
  <c r="W223" i="17" s="1"/>
  <c r="V182" i="17"/>
  <c r="W182" i="17" s="1"/>
  <c r="AM182" i="17"/>
  <c r="V208" i="17"/>
  <c r="W208" i="17" s="1"/>
  <c r="AM208" i="17"/>
  <c r="V502" i="17"/>
  <c r="W502" i="17" s="1"/>
  <c r="AM502" i="17"/>
  <c r="V274" i="17"/>
  <c r="W274" i="17" s="1"/>
  <c r="AM274" i="17"/>
  <c r="V449" i="17"/>
  <c r="W449" i="17" s="1"/>
  <c r="AM449" i="17"/>
  <c r="V15" i="17"/>
  <c r="W15" i="17" s="1"/>
  <c r="AM15" i="17"/>
  <c r="V476" i="17"/>
  <c r="W476" i="17" s="1"/>
  <c r="AM476" i="17"/>
  <c r="V349" i="17"/>
  <c r="W349" i="17" s="1"/>
  <c r="AM349" i="17"/>
  <c r="V501" i="17"/>
  <c r="W501" i="17" s="1"/>
  <c r="AM501" i="17"/>
  <c r="V430" i="17"/>
  <c r="W430" i="17" s="1"/>
  <c r="AM430" i="17"/>
  <c r="AM190" i="17"/>
  <c r="V190" i="17"/>
  <c r="W190" i="17" s="1"/>
  <c r="V120" i="17"/>
  <c r="W120" i="17" s="1"/>
  <c r="AM120" i="17"/>
  <c r="V323" i="17"/>
  <c r="W323" i="17" s="1"/>
  <c r="AM323" i="17"/>
  <c r="V480" i="17"/>
  <c r="W480" i="17" s="1"/>
  <c r="AM480" i="17"/>
  <c r="V209" i="17"/>
  <c r="W209" i="17" s="1"/>
  <c r="AM209" i="17"/>
  <c r="AM277" i="17"/>
  <c r="V277" i="17"/>
  <c r="W277" i="17" s="1"/>
  <c r="AM17" i="17"/>
  <c r="V17" i="17"/>
  <c r="W17" i="17" s="1"/>
  <c r="AM36" i="17"/>
  <c r="V36" i="17"/>
  <c r="W36" i="17" s="1"/>
  <c r="V253" i="17"/>
  <c r="W253" i="17" s="1"/>
  <c r="AM253" i="17"/>
  <c r="AM395" i="17"/>
  <c r="V395" i="17"/>
  <c r="W395" i="17" s="1"/>
  <c r="V56" i="17"/>
  <c r="W56" i="17" s="1"/>
  <c r="AM56" i="17"/>
  <c r="V456" i="17"/>
  <c r="W456" i="17" s="1"/>
  <c r="AM456" i="17"/>
  <c r="HZ20" i="16" l="1"/>
  <c r="HY20" i="16"/>
  <c r="HX20" i="16"/>
  <c r="HW20" i="16"/>
  <c r="HV20" i="16"/>
  <c r="HU20" i="16"/>
  <c r="HT20" i="16"/>
  <c r="HS20" i="16"/>
  <c r="HR20" i="16"/>
  <c r="HQ20" i="16"/>
  <c r="HP20" i="16"/>
  <c r="HO20" i="16"/>
  <c r="HZ19" i="16"/>
  <c r="HY19" i="16"/>
  <c r="HX19" i="16"/>
  <c r="HW19" i="16"/>
  <c r="HV19" i="16"/>
  <c r="HU19" i="16"/>
  <c r="HT19" i="16"/>
  <c r="HS19" i="16"/>
  <c r="HR19" i="16"/>
  <c r="HQ19" i="16"/>
  <c r="HP19" i="16"/>
  <c r="HO19" i="16"/>
  <c r="HZ18" i="16"/>
  <c r="HY18" i="16"/>
  <c r="HX18" i="16"/>
  <c r="HW18" i="16"/>
  <c r="HV18" i="16"/>
  <c r="HU18" i="16"/>
  <c r="HT18" i="16"/>
  <c r="HS18" i="16"/>
  <c r="HR18" i="16"/>
  <c r="HQ18" i="16"/>
  <c r="HP18" i="16"/>
  <c r="HO18" i="16"/>
  <c r="HZ17" i="16"/>
  <c r="HY17" i="16"/>
  <c r="HX17" i="16"/>
  <c r="HW17" i="16"/>
  <c r="HV17" i="16"/>
  <c r="HU17" i="16"/>
  <c r="HT17" i="16"/>
  <c r="HS17" i="16"/>
  <c r="HR17" i="16"/>
  <c r="HQ17" i="16"/>
  <c r="HP17" i="16"/>
  <c r="HO17" i="16"/>
  <c r="HZ16" i="16"/>
  <c r="HY16" i="16"/>
  <c r="HX16" i="16"/>
  <c r="HW16" i="16"/>
  <c r="HV16" i="16"/>
  <c r="HU16" i="16"/>
  <c r="HT16" i="16"/>
  <c r="HS16" i="16"/>
  <c r="HR16" i="16"/>
  <c r="HQ16" i="16"/>
  <c r="HP16" i="16"/>
  <c r="HO16" i="16"/>
  <c r="HZ15" i="16"/>
  <c r="HY15" i="16"/>
  <c r="HX15" i="16"/>
  <c r="HW15" i="16"/>
  <c r="HV15" i="16"/>
  <c r="HU15" i="16"/>
  <c r="HT15" i="16"/>
  <c r="HS15" i="16"/>
  <c r="HR15" i="16"/>
  <c r="HQ15" i="16"/>
  <c r="HP15" i="16"/>
  <c r="HO15" i="16"/>
  <c r="HZ14" i="16"/>
  <c r="HY14" i="16"/>
  <c r="HX14" i="16"/>
  <c r="HW14" i="16"/>
  <c r="HV14" i="16"/>
  <c r="HU14" i="16"/>
  <c r="HT14" i="16"/>
  <c r="HS14" i="16"/>
  <c r="HR14" i="16"/>
  <c r="HQ14" i="16"/>
  <c r="HP14" i="16"/>
  <c r="HO14" i="16"/>
  <c r="HL20" i="16"/>
  <c r="HK20" i="16"/>
  <c r="HJ20" i="16"/>
  <c r="HI20" i="16"/>
  <c r="HH20" i="16"/>
  <c r="HG20" i="16"/>
  <c r="HF20" i="16"/>
  <c r="HE20" i="16"/>
  <c r="HD20" i="16"/>
  <c r="HC20" i="16"/>
  <c r="HB20" i="16"/>
  <c r="HA20" i="16"/>
  <c r="HL19" i="16"/>
  <c r="HK19" i="16"/>
  <c r="HJ19" i="16"/>
  <c r="HI19" i="16"/>
  <c r="HH19" i="16"/>
  <c r="HG19" i="16"/>
  <c r="HF19" i="16"/>
  <c r="HE19" i="16"/>
  <c r="HD19" i="16"/>
  <c r="HC19" i="16"/>
  <c r="HB19" i="16"/>
  <c r="HA19" i="16"/>
  <c r="HL18" i="16"/>
  <c r="HK18" i="16"/>
  <c r="HJ18" i="16"/>
  <c r="HI18" i="16"/>
  <c r="HH18" i="16"/>
  <c r="HG18" i="16"/>
  <c r="HF18" i="16"/>
  <c r="HE18" i="16"/>
  <c r="HD18" i="16"/>
  <c r="HC18" i="16"/>
  <c r="HB18" i="16"/>
  <c r="HA18" i="16"/>
  <c r="HL17" i="16"/>
  <c r="HK17" i="16"/>
  <c r="HJ17" i="16"/>
  <c r="HI17" i="16"/>
  <c r="HH17" i="16"/>
  <c r="HG17" i="16"/>
  <c r="HF17" i="16"/>
  <c r="HE17" i="16"/>
  <c r="HD17" i="16"/>
  <c r="HC17" i="16"/>
  <c r="HB17" i="16"/>
  <c r="HA17" i="16"/>
  <c r="HL16" i="16"/>
  <c r="HK16" i="16"/>
  <c r="HJ16" i="16"/>
  <c r="HI16" i="16"/>
  <c r="HH16" i="16"/>
  <c r="HG16" i="16"/>
  <c r="HF16" i="16"/>
  <c r="HE16" i="16"/>
  <c r="HD16" i="16"/>
  <c r="HC16" i="16"/>
  <c r="HB16" i="16"/>
  <c r="HA16" i="16"/>
  <c r="HL15" i="16"/>
  <c r="HK15" i="16"/>
  <c r="HJ15" i="16"/>
  <c r="HI15" i="16"/>
  <c r="HH15" i="16"/>
  <c r="HG15" i="16"/>
  <c r="HF15" i="16"/>
  <c r="HE15" i="16"/>
  <c r="HD15" i="16"/>
  <c r="HC15" i="16"/>
  <c r="HB15" i="16"/>
  <c r="HA15" i="16"/>
  <c r="HL14" i="16"/>
  <c r="HK14" i="16"/>
  <c r="HJ14" i="16"/>
  <c r="HI14" i="16"/>
  <c r="HH14" i="16"/>
  <c r="HG14" i="16"/>
  <c r="HF14" i="16"/>
  <c r="HE14" i="16"/>
  <c r="HD14" i="16"/>
  <c r="HC14" i="16"/>
  <c r="HB14" i="16"/>
  <c r="HA14" i="16"/>
  <c r="GX20" i="16"/>
  <c r="GW20" i="16"/>
  <c r="GV20" i="16"/>
  <c r="GU20" i="16"/>
  <c r="GT20" i="16"/>
  <c r="GS20" i="16"/>
  <c r="GR20" i="16"/>
  <c r="GQ20" i="16"/>
  <c r="GP20" i="16"/>
  <c r="GO20" i="16"/>
  <c r="GN20" i="16"/>
  <c r="GM20" i="16"/>
  <c r="GX19" i="16"/>
  <c r="GW19" i="16"/>
  <c r="GV19" i="16"/>
  <c r="GU19" i="16"/>
  <c r="GT19" i="16"/>
  <c r="GS19" i="16"/>
  <c r="GR19" i="16"/>
  <c r="GQ19" i="16"/>
  <c r="GP19" i="16"/>
  <c r="GO19" i="16"/>
  <c r="GN19" i="16"/>
  <c r="GM19" i="16"/>
  <c r="GX18" i="16"/>
  <c r="GW18" i="16"/>
  <c r="GV18" i="16"/>
  <c r="GU18" i="16"/>
  <c r="GT18" i="16"/>
  <c r="GS18" i="16"/>
  <c r="GR18" i="16"/>
  <c r="GQ18" i="16"/>
  <c r="GP18" i="16"/>
  <c r="GO18" i="16"/>
  <c r="GN18" i="16"/>
  <c r="GM18" i="16"/>
  <c r="GX17" i="16"/>
  <c r="GW17" i="16"/>
  <c r="GV17" i="16"/>
  <c r="GU17" i="16"/>
  <c r="GT17" i="16"/>
  <c r="GS17" i="16"/>
  <c r="GR17" i="16"/>
  <c r="GQ17" i="16"/>
  <c r="GP17" i="16"/>
  <c r="GO17" i="16"/>
  <c r="GN17" i="16"/>
  <c r="GM17" i="16"/>
  <c r="GX16" i="16"/>
  <c r="GW16" i="16"/>
  <c r="GV16" i="16"/>
  <c r="GU16" i="16"/>
  <c r="GT16" i="16"/>
  <c r="GS16" i="16"/>
  <c r="GR16" i="16"/>
  <c r="GQ16" i="16"/>
  <c r="GP16" i="16"/>
  <c r="GO16" i="16"/>
  <c r="GN16" i="16"/>
  <c r="GM16" i="16"/>
  <c r="GX15" i="16"/>
  <c r="GW15" i="16"/>
  <c r="GV15" i="16"/>
  <c r="GU15" i="16"/>
  <c r="GT15" i="16"/>
  <c r="GS15" i="16"/>
  <c r="GR15" i="16"/>
  <c r="GQ15" i="16"/>
  <c r="GP15" i="16"/>
  <c r="GO15" i="16"/>
  <c r="GN15" i="16"/>
  <c r="GM15" i="16"/>
  <c r="GX14" i="16"/>
  <c r="GW14" i="16"/>
  <c r="GV14" i="16"/>
  <c r="GU14" i="16"/>
  <c r="GT14" i="16"/>
  <c r="GS14" i="16"/>
  <c r="GR14" i="16"/>
  <c r="GQ14" i="16"/>
  <c r="GP14" i="16"/>
  <c r="GO14" i="16"/>
  <c r="GN14" i="16"/>
  <c r="GM14" i="16"/>
  <c r="AD55" i="17" l="1"/>
  <c r="AD28" i="17"/>
  <c r="GJ20" i="16"/>
  <c r="GI20" i="16"/>
  <c r="GH20" i="16"/>
  <c r="GG20" i="16"/>
  <c r="GF20" i="16"/>
  <c r="GE20" i="16"/>
  <c r="GD20" i="16"/>
  <c r="GC20" i="16"/>
  <c r="GB20" i="16"/>
  <c r="GA20" i="16"/>
  <c r="FZ20" i="16"/>
  <c r="FY20" i="16"/>
  <c r="GJ19" i="16"/>
  <c r="GI19" i="16"/>
  <c r="GH19" i="16"/>
  <c r="GG19" i="16"/>
  <c r="GF19" i="16"/>
  <c r="GE19" i="16"/>
  <c r="GD19" i="16"/>
  <c r="GC19" i="16"/>
  <c r="GB19" i="16"/>
  <c r="GA19" i="16"/>
  <c r="FZ19" i="16"/>
  <c r="FY19" i="16"/>
  <c r="GJ18" i="16"/>
  <c r="GI18" i="16"/>
  <c r="GH18" i="16"/>
  <c r="GG18" i="16"/>
  <c r="GF18" i="16"/>
  <c r="GE18" i="16"/>
  <c r="GD18" i="16"/>
  <c r="GC18" i="16"/>
  <c r="GB18" i="16"/>
  <c r="GA18" i="16"/>
  <c r="FZ18" i="16"/>
  <c r="FY18" i="16"/>
  <c r="GJ17" i="16"/>
  <c r="GI17" i="16"/>
  <c r="GH17" i="16"/>
  <c r="GG17" i="16"/>
  <c r="GF17" i="16"/>
  <c r="GE17" i="16"/>
  <c r="GD17" i="16"/>
  <c r="GC17" i="16"/>
  <c r="GB17" i="16"/>
  <c r="GA17" i="16"/>
  <c r="FZ17" i="16"/>
  <c r="FY17" i="16"/>
  <c r="GJ16" i="16"/>
  <c r="GI16" i="16"/>
  <c r="GH16" i="16"/>
  <c r="GG16" i="16"/>
  <c r="GF16" i="16"/>
  <c r="GE16" i="16"/>
  <c r="GD16" i="16"/>
  <c r="GC16" i="16"/>
  <c r="GB16" i="16"/>
  <c r="GA16" i="16"/>
  <c r="FZ16" i="16"/>
  <c r="FY16" i="16"/>
  <c r="GJ15" i="16"/>
  <c r="GI15" i="16"/>
  <c r="GH15" i="16"/>
  <c r="GG15" i="16"/>
  <c r="GF15" i="16"/>
  <c r="GE15" i="16"/>
  <c r="GD15" i="16"/>
  <c r="GC15" i="16"/>
  <c r="GB15" i="16"/>
  <c r="GA15" i="16"/>
  <c r="FZ15" i="16"/>
  <c r="FY15" i="16"/>
  <c r="GJ14" i="16"/>
  <c r="GI14" i="16"/>
  <c r="GH14" i="16"/>
  <c r="GG14" i="16"/>
  <c r="GF14" i="16"/>
  <c r="GE14" i="16"/>
  <c r="GD14" i="16"/>
  <c r="GC14" i="16"/>
  <c r="GB14" i="16"/>
  <c r="GA14" i="16"/>
  <c r="FZ14" i="16"/>
  <c r="FY14" i="16"/>
  <c r="FV20" i="16"/>
  <c r="FU20" i="16"/>
  <c r="FT20" i="16"/>
  <c r="FS20" i="16"/>
  <c r="FR20" i="16"/>
  <c r="FQ20" i="16"/>
  <c r="FP20" i="16"/>
  <c r="FO20" i="16"/>
  <c r="FN20" i="16"/>
  <c r="FM20" i="16"/>
  <c r="FL20" i="16"/>
  <c r="FK20" i="16"/>
  <c r="FV19" i="16"/>
  <c r="FU19" i="16"/>
  <c r="FT19" i="16"/>
  <c r="FS19" i="16"/>
  <c r="FR19" i="16"/>
  <c r="FQ19" i="16"/>
  <c r="FP19" i="16"/>
  <c r="FO19" i="16"/>
  <c r="FN19" i="16"/>
  <c r="FM19" i="16"/>
  <c r="FL19" i="16"/>
  <c r="FK19" i="16"/>
  <c r="FV18" i="16"/>
  <c r="FU18" i="16"/>
  <c r="FT18" i="16"/>
  <c r="FS18" i="16"/>
  <c r="FR18" i="16"/>
  <c r="FQ18" i="16"/>
  <c r="FP18" i="16"/>
  <c r="FO18" i="16"/>
  <c r="FN18" i="16"/>
  <c r="FM18" i="16"/>
  <c r="FL18" i="16"/>
  <c r="FK18" i="16"/>
  <c r="FV17" i="16"/>
  <c r="FU17" i="16"/>
  <c r="FT17" i="16"/>
  <c r="FS17" i="16"/>
  <c r="FR17" i="16"/>
  <c r="FQ17" i="16"/>
  <c r="FP17" i="16"/>
  <c r="FO17" i="16"/>
  <c r="FN17" i="16"/>
  <c r="FM17" i="16"/>
  <c r="FL17" i="16"/>
  <c r="FK17" i="16"/>
  <c r="FV16" i="16"/>
  <c r="FU16" i="16"/>
  <c r="FT16" i="16"/>
  <c r="FS16" i="16"/>
  <c r="FR16" i="16"/>
  <c r="FQ16" i="16"/>
  <c r="FP16" i="16"/>
  <c r="FO16" i="16"/>
  <c r="FN16" i="16"/>
  <c r="FM16" i="16"/>
  <c r="FL16" i="16"/>
  <c r="FK16" i="16"/>
  <c r="FV15" i="16"/>
  <c r="FU15" i="16"/>
  <c r="FT15" i="16"/>
  <c r="FS15" i="16"/>
  <c r="FR15" i="16"/>
  <c r="FQ15" i="16"/>
  <c r="FP15" i="16"/>
  <c r="FO15" i="16"/>
  <c r="FN15" i="16"/>
  <c r="FM15" i="16"/>
  <c r="FL15" i="16"/>
  <c r="FK15" i="16"/>
  <c r="FV14" i="16"/>
  <c r="FU14" i="16"/>
  <c r="FT14" i="16"/>
  <c r="FS14" i="16"/>
  <c r="FR14" i="16"/>
  <c r="FQ14" i="16"/>
  <c r="FP14" i="16"/>
  <c r="FO14" i="16"/>
  <c r="FN14" i="16"/>
  <c r="FM14" i="16"/>
  <c r="FL14" i="16"/>
  <c r="FK14" i="16"/>
  <c r="FH20" i="16"/>
  <c r="FG20" i="16"/>
  <c r="FF20" i="16"/>
  <c r="FE20" i="16"/>
  <c r="FD20" i="16"/>
  <c r="FC20" i="16"/>
  <c r="FB20" i="16"/>
  <c r="FA20" i="16"/>
  <c r="EZ20" i="16"/>
  <c r="EY20" i="16"/>
  <c r="EX20" i="16"/>
  <c r="EW20" i="16"/>
  <c r="FH19" i="16"/>
  <c r="FG19" i="16"/>
  <c r="FF19" i="16"/>
  <c r="FE19" i="16"/>
  <c r="FD19" i="16"/>
  <c r="FC19" i="16"/>
  <c r="FB19" i="16"/>
  <c r="FA19" i="16"/>
  <c r="EZ19" i="16"/>
  <c r="EY19" i="16"/>
  <c r="EX19" i="16"/>
  <c r="EW19" i="16"/>
  <c r="FH18" i="16"/>
  <c r="FG18" i="16"/>
  <c r="FF18" i="16"/>
  <c r="FE18" i="16"/>
  <c r="FD18" i="16"/>
  <c r="FC18" i="16"/>
  <c r="FB18" i="16"/>
  <c r="FA18" i="16"/>
  <c r="EZ18" i="16"/>
  <c r="EY18" i="16"/>
  <c r="EX18" i="16"/>
  <c r="EW18" i="16"/>
  <c r="FH17" i="16"/>
  <c r="FG17" i="16"/>
  <c r="FF17" i="16"/>
  <c r="FE17" i="16"/>
  <c r="FD17" i="16"/>
  <c r="FC17" i="16"/>
  <c r="FB17" i="16"/>
  <c r="FA17" i="16"/>
  <c r="EZ17" i="16"/>
  <c r="EY17" i="16"/>
  <c r="EX17" i="16"/>
  <c r="EW17" i="16"/>
  <c r="FH16" i="16"/>
  <c r="FG16" i="16"/>
  <c r="FF16" i="16"/>
  <c r="FE16" i="16"/>
  <c r="FD16" i="16"/>
  <c r="FC16" i="16"/>
  <c r="FB16" i="16"/>
  <c r="FA16" i="16"/>
  <c r="EZ16" i="16"/>
  <c r="EY16" i="16"/>
  <c r="EX16" i="16"/>
  <c r="EW16" i="16"/>
  <c r="FH15" i="16"/>
  <c r="FG15" i="16"/>
  <c r="FF15" i="16"/>
  <c r="FE15" i="16"/>
  <c r="FD15" i="16"/>
  <c r="FC15" i="16"/>
  <c r="FB15" i="16"/>
  <c r="FA15" i="16"/>
  <c r="EZ15" i="16"/>
  <c r="EY15" i="16"/>
  <c r="EX15" i="16"/>
  <c r="EW15" i="16"/>
  <c r="FH14" i="16"/>
  <c r="FG14" i="16"/>
  <c r="FF14" i="16"/>
  <c r="FE14" i="16"/>
  <c r="FD14" i="16"/>
  <c r="FC14" i="16"/>
  <c r="FB14" i="16"/>
  <c r="FA14" i="16"/>
  <c r="EZ14" i="16"/>
  <c r="EY14" i="16"/>
  <c r="EX14" i="16"/>
  <c r="EW14" i="16"/>
  <c r="ET20" i="16"/>
  <c r="ES20" i="16"/>
  <c r="ER20" i="16"/>
  <c r="EQ20" i="16"/>
  <c r="EP20" i="16"/>
  <c r="EO20" i="16"/>
  <c r="EN20" i="16"/>
  <c r="EM20" i="16"/>
  <c r="EL20" i="16"/>
  <c r="EK20" i="16"/>
  <c r="EJ20" i="16"/>
  <c r="EI20" i="16"/>
  <c r="ET19" i="16"/>
  <c r="ES19" i="16"/>
  <c r="ER19" i="16"/>
  <c r="EQ19" i="16"/>
  <c r="EP19" i="16"/>
  <c r="EO19" i="16"/>
  <c r="EN19" i="16"/>
  <c r="EM19" i="16"/>
  <c r="EL19" i="16"/>
  <c r="EK19" i="16"/>
  <c r="EJ19" i="16"/>
  <c r="EI19" i="16"/>
  <c r="ET18" i="16"/>
  <c r="ES18" i="16"/>
  <c r="ER18" i="16"/>
  <c r="EQ18" i="16"/>
  <c r="EP18" i="16"/>
  <c r="EO18" i="16"/>
  <c r="EN18" i="16"/>
  <c r="EM18" i="16"/>
  <c r="EL18" i="16"/>
  <c r="EK18" i="16"/>
  <c r="EJ18" i="16"/>
  <c r="EI18" i="16"/>
  <c r="ET17" i="16"/>
  <c r="ES17" i="16"/>
  <c r="ER17" i="16"/>
  <c r="EQ17" i="16"/>
  <c r="EP17" i="16"/>
  <c r="EO17" i="16"/>
  <c r="EN17" i="16"/>
  <c r="EM17" i="16"/>
  <c r="EL17" i="16"/>
  <c r="EK17" i="16"/>
  <c r="EJ17" i="16"/>
  <c r="EI17" i="16"/>
  <c r="ET16" i="16"/>
  <c r="ES16" i="16"/>
  <c r="ER16" i="16"/>
  <c r="EQ16" i="16"/>
  <c r="EP16" i="16"/>
  <c r="EO16" i="16"/>
  <c r="EN16" i="16"/>
  <c r="EM16" i="16"/>
  <c r="EL16" i="16"/>
  <c r="EK16" i="16"/>
  <c r="EJ16" i="16"/>
  <c r="EI16" i="16"/>
  <c r="ET15" i="16"/>
  <c r="ES15" i="16"/>
  <c r="ER15" i="16"/>
  <c r="EQ15" i="16"/>
  <c r="EP15" i="16"/>
  <c r="EO15" i="16"/>
  <c r="EN15" i="16"/>
  <c r="EM15" i="16"/>
  <c r="EL15" i="16"/>
  <c r="EK15" i="16"/>
  <c r="EJ15" i="16"/>
  <c r="EI15" i="16"/>
  <c r="ET14" i="16"/>
  <c r="ES14" i="16"/>
  <c r="ER14" i="16"/>
  <c r="EQ14" i="16"/>
  <c r="EP14" i="16"/>
  <c r="EO14" i="16"/>
  <c r="EN14" i="16"/>
  <c r="EM14" i="16"/>
  <c r="EL14" i="16"/>
  <c r="EK14" i="16"/>
  <c r="EJ14" i="16"/>
  <c r="EI14" i="16"/>
  <c r="EF20" i="16"/>
  <c r="EE20" i="16"/>
  <c r="ED20" i="16"/>
  <c r="EC20" i="16"/>
  <c r="EB20" i="16"/>
  <c r="EA20" i="16"/>
  <c r="DZ20" i="16"/>
  <c r="DY20" i="16"/>
  <c r="DX20" i="16"/>
  <c r="DW20" i="16"/>
  <c r="DV20" i="16"/>
  <c r="DU20" i="16"/>
  <c r="EF19" i="16"/>
  <c r="EE19" i="16"/>
  <c r="ED19" i="16"/>
  <c r="EC19" i="16"/>
  <c r="EB19" i="16"/>
  <c r="EA19" i="16"/>
  <c r="DZ19" i="16"/>
  <c r="DY19" i="16"/>
  <c r="DX19" i="16"/>
  <c r="DW19" i="16"/>
  <c r="DV19" i="16"/>
  <c r="DU19" i="16"/>
  <c r="EF18" i="16"/>
  <c r="EE18" i="16"/>
  <c r="ED18" i="16"/>
  <c r="EC18" i="16"/>
  <c r="EB18" i="16"/>
  <c r="EA18" i="16"/>
  <c r="DZ18" i="16"/>
  <c r="DY18" i="16"/>
  <c r="DX18" i="16"/>
  <c r="DW18" i="16"/>
  <c r="DV18" i="16"/>
  <c r="DU18" i="16"/>
  <c r="EF17" i="16"/>
  <c r="EE17" i="16"/>
  <c r="ED17" i="16"/>
  <c r="EC17" i="16"/>
  <c r="EB17" i="16"/>
  <c r="EA17" i="16"/>
  <c r="DZ17" i="16"/>
  <c r="DY17" i="16"/>
  <c r="DX17" i="16"/>
  <c r="DW17" i="16"/>
  <c r="DV17" i="16"/>
  <c r="DU17" i="16"/>
  <c r="EF16" i="16"/>
  <c r="EE16" i="16"/>
  <c r="ED16" i="16"/>
  <c r="EC16" i="16"/>
  <c r="EB16" i="16"/>
  <c r="EA16" i="16"/>
  <c r="DZ16" i="16"/>
  <c r="DY16" i="16"/>
  <c r="DX16" i="16"/>
  <c r="DW16" i="16"/>
  <c r="DV16" i="16"/>
  <c r="DU16" i="16"/>
  <c r="EF15" i="16"/>
  <c r="EE15" i="16"/>
  <c r="ED15" i="16"/>
  <c r="EC15" i="16"/>
  <c r="EB15" i="16"/>
  <c r="EA15" i="16"/>
  <c r="DZ15" i="16"/>
  <c r="DY15" i="16"/>
  <c r="DX15" i="16"/>
  <c r="DW15" i="16"/>
  <c r="DV15" i="16"/>
  <c r="DU15" i="16"/>
  <c r="EF14" i="16"/>
  <c r="EE14" i="16"/>
  <c r="ED14" i="16"/>
  <c r="EC14" i="16"/>
  <c r="EB14" i="16"/>
  <c r="EA14" i="16"/>
  <c r="DZ14" i="16"/>
  <c r="DY14" i="16"/>
  <c r="DX14" i="16"/>
  <c r="DW14" i="16"/>
  <c r="DV14" i="16"/>
  <c r="DU14" i="16"/>
  <c r="DR20" i="16"/>
  <c r="DQ20" i="16"/>
  <c r="DR19" i="16"/>
  <c r="DQ19" i="16"/>
  <c r="DR18" i="16"/>
  <c r="DQ18" i="16"/>
  <c r="DR17" i="16"/>
  <c r="DQ17" i="16"/>
  <c r="DR16" i="16"/>
  <c r="DQ16" i="16"/>
  <c r="DR15" i="16"/>
  <c r="DQ15" i="16"/>
  <c r="DR14" i="16"/>
  <c r="DQ14" i="16"/>
  <c r="DP20" i="16"/>
  <c r="DO20" i="16"/>
  <c r="DN20" i="16"/>
  <c r="DM20" i="16"/>
  <c r="DL20" i="16"/>
  <c r="DK20" i="16"/>
  <c r="DJ20" i="16"/>
  <c r="DI20" i="16"/>
  <c r="DH20" i="16"/>
  <c r="DG20" i="16"/>
  <c r="DP19" i="16"/>
  <c r="DO19" i="16"/>
  <c r="DN19" i="16"/>
  <c r="DM19" i="16"/>
  <c r="DL19" i="16"/>
  <c r="DK19" i="16"/>
  <c r="DJ19" i="16"/>
  <c r="DI19" i="16"/>
  <c r="DH19" i="16"/>
  <c r="DG19" i="16"/>
  <c r="DP18" i="16"/>
  <c r="DO18" i="16"/>
  <c r="DN18" i="16"/>
  <c r="DM18" i="16"/>
  <c r="DL18" i="16"/>
  <c r="DK18" i="16"/>
  <c r="DJ18" i="16"/>
  <c r="DI18" i="16"/>
  <c r="DH18" i="16"/>
  <c r="DG18" i="16"/>
  <c r="DP17" i="16"/>
  <c r="DO17" i="16"/>
  <c r="DN17" i="16"/>
  <c r="DM17" i="16"/>
  <c r="DL17" i="16"/>
  <c r="DK17" i="16"/>
  <c r="DJ17" i="16"/>
  <c r="DI17" i="16"/>
  <c r="DH17" i="16"/>
  <c r="DG17" i="16"/>
  <c r="DP16" i="16"/>
  <c r="DO16" i="16"/>
  <c r="DN16" i="16"/>
  <c r="DM16" i="16"/>
  <c r="DL16" i="16"/>
  <c r="DK16" i="16"/>
  <c r="DJ16" i="16"/>
  <c r="DI16" i="16"/>
  <c r="DH16" i="16"/>
  <c r="DG16" i="16"/>
  <c r="DP15" i="16"/>
  <c r="DO15" i="16"/>
  <c r="DN15" i="16"/>
  <c r="DM15" i="16"/>
  <c r="DL15" i="16"/>
  <c r="DK15" i="16"/>
  <c r="DJ15" i="16"/>
  <c r="DI15" i="16"/>
  <c r="DH15" i="16"/>
  <c r="DG15" i="16"/>
  <c r="DP14" i="16"/>
  <c r="DO14" i="16"/>
  <c r="DN14" i="16"/>
  <c r="DM14" i="16"/>
  <c r="DL14" i="16"/>
  <c r="DK14" i="16"/>
  <c r="DJ14" i="16"/>
  <c r="DI14" i="16"/>
  <c r="DH14" i="16"/>
  <c r="DG14" i="16"/>
  <c r="DD20" i="16"/>
  <c r="DC20" i="16"/>
  <c r="DB20" i="16"/>
  <c r="DA20" i="16"/>
  <c r="CZ20" i="16"/>
  <c r="CY20" i="16"/>
  <c r="CX20" i="16"/>
  <c r="CW20" i="16"/>
  <c r="CV20" i="16"/>
  <c r="CU20" i="16"/>
  <c r="DD19" i="16"/>
  <c r="DC19" i="16"/>
  <c r="DB19" i="16"/>
  <c r="DA19" i="16"/>
  <c r="CZ19" i="16"/>
  <c r="CY19" i="16"/>
  <c r="CX19" i="16"/>
  <c r="CW19" i="16"/>
  <c r="CV19" i="16"/>
  <c r="CU19" i="16"/>
  <c r="DD18" i="16"/>
  <c r="DC18" i="16"/>
  <c r="DB18" i="16"/>
  <c r="DA18" i="16"/>
  <c r="CZ18" i="16"/>
  <c r="CY18" i="16"/>
  <c r="CX18" i="16"/>
  <c r="CW18" i="16"/>
  <c r="CV18" i="16"/>
  <c r="CU18" i="16"/>
  <c r="DD17" i="16"/>
  <c r="DC17" i="16"/>
  <c r="DB17" i="16"/>
  <c r="DA17" i="16"/>
  <c r="CZ17" i="16"/>
  <c r="CY17" i="16"/>
  <c r="CX17" i="16"/>
  <c r="CW17" i="16"/>
  <c r="CV17" i="16"/>
  <c r="CU17" i="16"/>
  <c r="DD16" i="16"/>
  <c r="DC16" i="16"/>
  <c r="DB16" i="16"/>
  <c r="DA16" i="16"/>
  <c r="CZ16" i="16"/>
  <c r="CY16" i="16"/>
  <c r="CX16" i="16"/>
  <c r="CW16" i="16"/>
  <c r="CV16" i="16"/>
  <c r="CU16" i="16"/>
  <c r="DD15" i="16"/>
  <c r="DC15" i="16"/>
  <c r="DB15" i="16"/>
  <c r="DA15" i="16"/>
  <c r="CZ15" i="16"/>
  <c r="CY15" i="16"/>
  <c r="CX15" i="16"/>
  <c r="CW15" i="16"/>
  <c r="CV15" i="16"/>
  <c r="CU15" i="16"/>
  <c r="DD14" i="16"/>
  <c r="DC14" i="16"/>
  <c r="DB14" i="16"/>
  <c r="DA14" i="16"/>
  <c r="CZ14" i="16"/>
  <c r="CY14" i="16"/>
  <c r="CX14" i="16"/>
  <c r="CW14" i="16"/>
  <c r="CV14" i="16"/>
  <c r="CU14" i="16"/>
  <c r="CR20" i="16"/>
  <c r="CQ20" i="16"/>
  <c r="CP20" i="16"/>
  <c r="CO20" i="16"/>
  <c r="CN20" i="16"/>
  <c r="CM20" i="16"/>
  <c r="CL20" i="16"/>
  <c r="CK20" i="16"/>
  <c r="CJ20" i="16"/>
  <c r="CI20" i="16"/>
  <c r="CR19" i="16"/>
  <c r="CQ19" i="16"/>
  <c r="CP19" i="16"/>
  <c r="CO19" i="16"/>
  <c r="CN19" i="16"/>
  <c r="CM19" i="16"/>
  <c r="CL19" i="16"/>
  <c r="CK19" i="16"/>
  <c r="CJ19" i="16"/>
  <c r="CI19" i="16"/>
  <c r="CR18" i="16"/>
  <c r="CQ18" i="16"/>
  <c r="CP18" i="16"/>
  <c r="CO18" i="16"/>
  <c r="CN18" i="16"/>
  <c r="CM18" i="16"/>
  <c r="CL18" i="16"/>
  <c r="CK18" i="16"/>
  <c r="CJ18" i="16"/>
  <c r="CI18" i="16"/>
  <c r="CR17" i="16"/>
  <c r="CQ17" i="16"/>
  <c r="CP17" i="16"/>
  <c r="CO17" i="16"/>
  <c r="CN17" i="16"/>
  <c r="CM17" i="16"/>
  <c r="CL17" i="16"/>
  <c r="CK17" i="16"/>
  <c r="CJ17" i="16"/>
  <c r="CI17" i="16"/>
  <c r="CR16" i="16"/>
  <c r="CQ16" i="16"/>
  <c r="CP16" i="16"/>
  <c r="CO16" i="16"/>
  <c r="CN16" i="16"/>
  <c r="CM16" i="16"/>
  <c r="CL16" i="16"/>
  <c r="CK16" i="16"/>
  <c r="CJ16" i="16"/>
  <c r="CI16" i="16"/>
  <c r="CR15" i="16"/>
  <c r="CQ15" i="16"/>
  <c r="CP15" i="16"/>
  <c r="CO15" i="16"/>
  <c r="CN15" i="16"/>
  <c r="CM15" i="16"/>
  <c r="CL15" i="16"/>
  <c r="CK15" i="16"/>
  <c r="CJ15" i="16"/>
  <c r="CI15" i="16"/>
  <c r="CR14" i="16"/>
  <c r="CQ14" i="16"/>
  <c r="CP14" i="16"/>
  <c r="CO14" i="16"/>
  <c r="CN14" i="16"/>
  <c r="CM14" i="16"/>
  <c r="CL14" i="16"/>
  <c r="CK14" i="16"/>
  <c r="CJ14" i="16"/>
  <c r="CI14" i="16"/>
  <c r="CF20" i="16"/>
  <c r="CE20" i="16"/>
  <c r="CD20" i="16"/>
  <c r="CC20" i="16"/>
  <c r="CB20" i="16"/>
  <c r="CA20" i="16"/>
  <c r="BZ20" i="16"/>
  <c r="BY20" i="16"/>
  <c r="BX20" i="16"/>
  <c r="BW20" i="16"/>
  <c r="CF19" i="16"/>
  <c r="CE19" i="16"/>
  <c r="CD19" i="16"/>
  <c r="CC19" i="16"/>
  <c r="CB19" i="16"/>
  <c r="CA19" i="16"/>
  <c r="BZ19" i="16"/>
  <c r="BY19" i="16"/>
  <c r="BX19" i="16"/>
  <c r="BW19" i="16"/>
  <c r="CF18" i="16"/>
  <c r="CE18" i="16"/>
  <c r="CD18" i="16"/>
  <c r="CC18" i="16"/>
  <c r="CB18" i="16"/>
  <c r="CA18" i="16"/>
  <c r="BZ18" i="16"/>
  <c r="BY18" i="16"/>
  <c r="BX18" i="16"/>
  <c r="BW18" i="16"/>
  <c r="CF17" i="16"/>
  <c r="CE17" i="16"/>
  <c r="CD17" i="16"/>
  <c r="CC17" i="16"/>
  <c r="CB17" i="16"/>
  <c r="CA17" i="16"/>
  <c r="BZ17" i="16"/>
  <c r="BY17" i="16"/>
  <c r="BX17" i="16"/>
  <c r="BW17" i="16"/>
  <c r="CF16" i="16"/>
  <c r="CE16" i="16"/>
  <c r="CD16" i="16"/>
  <c r="CC16" i="16"/>
  <c r="CB16" i="16"/>
  <c r="CA16" i="16"/>
  <c r="BZ16" i="16"/>
  <c r="BY16" i="16"/>
  <c r="BX16" i="16"/>
  <c r="BW16" i="16"/>
  <c r="CF15" i="16"/>
  <c r="CE15" i="16"/>
  <c r="CD15" i="16"/>
  <c r="CC15" i="16"/>
  <c r="CB15" i="16"/>
  <c r="CA15" i="16"/>
  <c r="BZ15" i="16"/>
  <c r="BY15" i="16"/>
  <c r="BX15" i="16"/>
  <c r="BW15" i="16"/>
  <c r="CF14" i="16"/>
  <c r="CE14" i="16"/>
  <c r="CD14" i="16"/>
  <c r="CC14" i="16"/>
  <c r="CB14" i="16"/>
  <c r="CA14" i="16"/>
  <c r="BZ14" i="16"/>
  <c r="BY14" i="16"/>
  <c r="BX14" i="16"/>
  <c r="BW14" i="16"/>
  <c r="BT20" i="16"/>
  <c r="BS20" i="16"/>
  <c r="BR20" i="16"/>
  <c r="BQ20" i="16"/>
  <c r="BP20" i="16"/>
  <c r="BO20" i="16"/>
  <c r="BN20" i="16"/>
  <c r="BM20" i="16"/>
  <c r="BL20" i="16"/>
  <c r="BK20" i="16"/>
  <c r="BT19" i="16"/>
  <c r="BS19" i="16"/>
  <c r="BR19" i="16"/>
  <c r="BQ19" i="16"/>
  <c r="BP19" i="16"/>
  <c r="BO19" i="16"/>
  <c r="BN19" i="16"/>
  <c r="BM19" i="16"/>
  <c r="BL19" i="16"/>
  <c r="BK19" i="16"/>
  <c r="BT18" i="16"/>
  <c r="BS18" i="16"/>
  <c r="BR18" i="16"/>
  <c r="BQ18" i="16"/>
  <c r="BP18" i="16"/>
  <c r="BO18" i="16"/>
  <c r="BN18" i="16"/>
  <c r="BM18" i="16"/>
  <c r="BL18" i="16"/>
  <c r="BK18" i="16"/>
  <c r="BT17" i="16"/>
  <c r="BS17" i="16"/>
  <c r="BR17" i="16"/>
  <c r="BQ17" i="16"/>
  <c r="BP17" i="16"/>
  <c r="BO17" i="16"/>
  <c r="BN17" i="16"/>
  <c r="BM17" i="16"/>
  <c r="BL17" i="16"/>
  <c r="BK17" i="16"/>
  <c r="BT16" i="16"/>
  <c r="BS16" i="16"/>
  <c r="BR16" i="16"/>
  <c r="BQ16" i="16"/>
  <c r="BP16" i="16"/>
  <c r="BO16" i="16"/>
  <c r="BN16" i="16"/>
  <c r="BM16" i="16"/>
  <c r="BL16" i="16"/>
  <c r="BK16" i="16"/>
  <c r="BT15" i="16"/>
  <c r="BS15" i="16"/>
  <c r="BR15" i="16"/>
  <c r="BQ15" i="16"/>
  <c r="BP15" i="16"/>
  <c r="BO15" i="16"/>
  <c r="BN15" i="16"/>
  <c r="BM15" i="16"/>
  <c r="BL15" i="16"/>
  <c r="BK15" i="16"/>
  <c r="BT14" i="16"/>
  <c r="BS14" i="16"/>
  <c r="BR14" i="16"/>
  <c r="BQ14" i="16"/>
  <c r="BP14" i="16"/>
  <c r="BO14" i="16"/>
  <c r="BN14" i="16"/>
  <c r="BM14" i="16"/>
  <c r="BL14" i="16"/>
  <c r="BK14" i="16"/>
  <c r="AJ28" i="17" l="1"/>
  <c r="AR28" i="17"/>
  <c r="AV28" i="17" s="1"/>
  <c r="AE28" i="17"/>
  <c r="AK28" i="17" s="1"/>
  <c r="AE55" i="17"/>
  <c r="AK55" i="17" s="1"/>
  <c r="AR55" i="17"/>
  <c r="AV55" i="17" s="1"/>
  <c r="AJ55" i="17"/>
  <c r="BH20" i="16"/>
  <c r="BG20" i="16"/>
  <c r="BF20" i="16"/>
  <c r="BE20" i="16"/>
  <c r="BD20" i="16"/>
  <c r="BC20" i="16"/>
  <c r="BB20" i="16"/>
  <c r="BA20" i="16"/>
  <c r="AZ20" i="16"/>
  <c r="AY20" i="16"/>
  <c r="BH19" i="16"/>
  <c r="BG19" i="16"/>
  <c r="BF19" i="16"/>
  <c r="BE19" i="16"/>
  <c r="BD19" i="16"/>
  <c r="BC19" i="16"/>
  <c r="BB19" i="16"/>
  <c r="BA19" i="16"/>
  <c r="AZ19" i="16"/>
  <c r="AY19" i="16"/>
  <c r="BH18" i="16"/>
  <c r="BG18" i="16"/>
  <c r="BF18" i="16"/>
  <c r="BE18" i="16"/>
  <c r="BD18" i="16"/>
  <c r="BC18" i="16"/>
  <c r="BB18" i="16"/>
  <c r="BA18" i="16"/>
  <c r="AZ18" i="16"/>
  <c r="AY18" i="16"/>
  <c r="BH17" i="16"/>
  <c r="BG17" i="16"/>
  <c r="BF17" i="16"/>
  <c r="BE17" i="16"/>
  <c r="BD17" i="16"/>
  <c r="BC17" i="16"/>
  <c r="BB17" i="16"/>
  <c r="BA17" i="16"/>
  <c r="AZ17" i="16"/>
  <c r="AY17" i="16"/>
  <c r="BH16" i="16"/>
  <c r="BG16" i="16"/>
  <c r="BF16" i="16"/>
  <c r="BE16" i="16"/>
  <c r="BD16" i="16"/>
  <c r="BC16" i="16"/>
  <c r="BB16" i="16"/>
  <c r="BA16" i="16"/>
  <c r="AZ16" i="16"/>
  <c r="AY16" i="16"/>
  <c r="BH15" i="16"/>
  <c r="BG15" i="16"/>
  <c r="BF15" i="16"/>
  <c r="BE15" i="16"/>
  <c r="BD15" i="16"/>
  <c r="BC15" i="16"/>
  <c r="BB15" i="16"/>
  <c r="BA15" i="16"/>
  <c r="AZ15" i="16"/>
  <c r="AY15" i="16"/>
  <c r="BH14" i="16"/>
  <c r="BG14" i="16"/>
  <c r="BF14" i="16"/>
  <c r="BE14" i="16"/>
  <c r="BD14" i="16"/>
  <c r="BC14" i="16"/>
  <c r="BB14" i="16"/>
  <c r="BA14" i="16"/>
  <c r="AZ14" i="16"/>
  <c r="AY14" i="16"/>
  <c r="AV20" i="16"/>
  <c r="AU20" i="16"/>
  <c r="AT20" i="16"/>
  <c r="AS20" i="16"/>
  <c r="AR20" i="16"/>
  <c r="AQ20" i="16"/>
  <c r="AP20" i="16"/>
  <c r="AO20" i="16"/>
  <c r="AN20" i="16"/>
  <c r="AM20" i="16"/>
  <c r="AV19" i="16"/>
  <c r="AU19" i="16"/>
  <c r="AT19" i="16"/>
  <c r="AS19" i="16"/>
  <c r="AR19" i="16"/>
  <c r="AQ19" i="16"/>
  <c r="AP19" i="16"/>
  <c r="AO19" i="16"/>
  <c r="AN19" i="16"/>
  <c r="AM19" i="16"/>
  <c r="AV18" i="16"/>
  <c r="AU18" i="16"/>
  <c r="AT18" i="16"/>
  <c r="AS18" i="16"/>
  <c r="AR18" i="16"/>
  <c r="AQ18" i="16"/>
  <c r="AP18" i="16"/>
  <c r="AO18" i="16"/>
  <c r="AN18" i="16"/>
  <c r="AM18" i="16"/>
  <c r="AV17" i="16"/>
  <c r="AU17" i="16"/>
  <c r="AT17" i="16"/>
  <c r="AS17" i="16"/>
  <c r="AR17" i="16"/>
  <c r="AQ17" i="16"/>
  <c r="AP17" i="16"/>
  <c r="AO17" i="16"/>
  <c r="AN17" i="16"/>
  <c r="AM17" i="16"/>
  <c r="AV16" i="16"/>
  <c r="AU16" i="16"/>
  <c r="AT16" i="16"/>
  <c r="AS16" i="16"/>
  <c r="AR16" i="16"/>
  <c r="AQ16" i="16"/>
  <c r="AP16" i="16"/>
  <c r="AO16" i="16"/>
  <c r="AN16" i="16"/>
  <c r="AM16" i="16"/>
  <c r="AV15" i="16"/>
  <c r="AU15" i="16"/>
  <c r="AT15" i="16"/>
  <c r="AS15" i="16"/>
  <c r="AR15" i="16"/>
  <c r="AQ15" i="16"/>
  <c r="AP15" i="16"/>
  <c r="AO15" i="16"/>
  <c r="AN15" i="16"/>
  <c r="AM15" i="16"/>
  <c r="AV14" i="16"/>
  <c r="AU14" i="16"/>
  <c r="AT14" i="16"/>
  <c r="AS14" i="16"/>
  <c r="AR14" i="16"/>
  <c r="AQ14" i="16"/>
  <c r="AP14" i="16"/>
  <c r="AO14" i="16"/>
  <c r="AN14" i="16"/>
  <c r="AM14" i="16"/>
  <c r="AJ20" i="16"/>
  <c r="AI20" i="16"/>
  <c r="AH20" i="16"/>
  <c r="AG20" i="16"/>
  <c r="AF20" i="16"/>
  <c r="AE20" i="16"/>
  <c r="AD20" i="16"/>
  <c r="AC20" i="16"/>
  <c r="AB20" i="16"/>
  <c r="AA20" i="16"/>
  <c r="AJ19" i="16"/>
  <c r="AI19" i="16"/>
  <c r="AH19" i="16"/>
  <c r="AG19" i="16"/>
  <c r="AF19" i="16"/>
  <c r="AE19" i="16"/>
  <c r="AD19" i="16"/>
  <c r="AC19" i="16"/>
  <c r="AB19" i="16"/>
  <c r="AA19" i="16"/>
  <c r="AJ18" i="16"/>
  <c r="AI18" i="16"/>
  <c r="AH18" i="16"/>
  <c r="AG18" i="16"/>
  <c r="AF18" i="16"/>
  <c r="AE18" i="16"/>
  <c r="AD18" i="16"/>
  <c r="AC18" i="16"/>
  <c r="AB18" i="16"/>
  <c r="AA18" i="16"/>
  <c r="AJ17" i="16"/>
  <c r="AI17" i="16"/>
  <c r="AH17" i="16"/>
  <c r="AG17" i="16"/>
  <c r="AF17" i="16"/>
  <c r="AE17" i="16"/>
  <c r="AD17" i="16"/>
  <c r="AC17" i="16"/>
  <c r="AB17" i="16"/>
  <c r="AA17" i="16"/>
  <c r="AJ16" i="16"/>
  <c r="AI16" i="16"/>
  <c r="AH16" i="16"/>
  <c r="AG16" i="16"/>
  <c r="AF16" i="16"/>
  <c r="AE16" i="16"/>
  <c r="AD16" i="16"/>
  <c r="AC16" i="16"/>
  <c r="AB16" i="16"/>
  <c r="AA16" i="16"/>
  <c r="AJ15" i="16"/>
  <c r="AI15" i="16"/>
  <c r="AH15" i="16"/>
  <c r="AG15" i="16"/>
  <c r="AF15" i="16"/>
  <c r="AE15" i="16"/>
  <c r="AD15" i="16"/>
  <c r="AC15" i="16"/>
  <c r="AB15" i="16"/>
  <c r="AA15" i="16"/>
  <c r="AJ14" i="16"/>
  <c r="AI14" i="16"/>
  <c r="AH14" i="16"/>
  <c r="AG14" i="16"/>
  <c r="AF14" i="16"/>
  <c r="AE14" i="16"/>
  <c r="AD14" i="16"/>
  <c r="AC14" i="16"/>
  <c r="AB14" i="16"/>
  <c r="AA14" i="16"/>
  <c r="AD103" i="17" l="1"/>
  <c r="AE103" i="17" s="1"/>
  <c r="AK103" i="17" s="1"/>
  <c r="AA28" i="17"/>
  <c r="AF28" i="17" s="1"/>
  <c r="AD411" i="17"/>
  <c r="AD94" i="17"/>
  <c r="AD12" i="17"/>
  <c r="AD95" i="17"/>
  <c r="AD13" i="17"/>
  <c r="AD161" i="17"/>
  <c r="AD162" i="17"/>
  <c r="AD374" i="17"/>
  <c r="AD238" i="17"/>
  <c r="AD180" i="17"/>
  <c r="AD298" i="17"/>
  <c r="AD239" i="17"/>
  <c r="AD217" i="17"/>
  <c r="AD299" i="17"/>
  <c r="AD424" i="17"/>
  <c r="AD264" i="17"/>
  <c r="AD218" i="17"/>
  <c r="AD219" i="17"/>
  <c r="AD361" i="17"/>
  <c r="AD46" i="17"/>
  <c r="AD181" i="17"/>
  <c r="AD360" i="17"/>
  <c r="AD137" i="17"/>
  <c r="AD498" i="17"/>
  <c r="AD439" i="17"/>
  <c r="AD392" i="17"/>
  <c r="AD440" i="17"/>
  <c r="AD268" i="17"/>
  <c r="AD305" i="17"/>
  <c r="AD306" i="17"/>
  <c r="AD27" i="17"/>
  <c r="AD81" i="17"/>
  <c r="AD54" i="17"/>
  <c r="AD423" i="17"/>
  <c r="AD310" i="17"/>
  <c r="AD359" i="17"/>
  <c r="AD71" i="17"/>
  <c r="AD235" i="17"/>
  <c r="AD177" i="17"/>
  <c r="AD160" i="17"/>
  <c r="AD136" i="17"/>
  <c r="AD178" i="17"/>
  <c r="AD131" i="17"/>
  <c r="AD372" i="17"/>
  <c r="AD271" i="17"/>
  <c r="AD214" i="17"/>
  <c r="AD272" i="17"/>
  <c r="AD9" i="17"/>
  <c r="AD215" i="17"/>
  <c r="AD157" i="17"/>
  <c r="AD133" i="17"/>
  <c r="AD92" i="17"/>
  <c r="AD45" i="17"/>
  <c r="AD10" i="17"/>
  <c r="AD216" i="17"/>
  <c r="AD422" i="17"/>
  <c r="AD262" i="17"/>
  <c r="AD158" i="17"/>
  <c r="AD134" i="17"/>
  <c r="AD93" i="17"/>
  <c r="AD11" i="17"/>
  <c r="AD70" i="17"/>
  <c r="AD263" i="17"/>
  <c r="AD159" i="17"/>
  <c r="AD135" i="17"/>
  <c r="AD496" i="17"/>
  <c r="AD72" i="17"/>
  <c r="AD236" i="17"/>
  <c r="AD44" i="17"/>
  <c r="AD261" i="17"/>
  <c r="AD437" i="17"/>
  <c r="AD390" i="17"/>
  <c r="AD295" i="17"/>
  <c r="AD497" i="17"/>
  <c r="AD237" i="17"/>
  <c r="AD179" i="17"/>
  <c r="AD132" i="17"/>
  <c r="AD438" i="17"/>
  <c r="AD391" i="17"/>
  <c r="AD296" i="17"/>
  <c r="AD373" i="17"/>
  <c r="AD297" i="17"/>
  <c r="AD410" i="17"/>
  <c r="AD404" i="17"/>
  <c r="AD393" i="17"/>
  <c r="AD375" i="17"/>
  <c r="AD394" i="17"/>
  <c r="AD47" i="17"/>
  <c r="AD240" i="17"/>
  <c r="AD241" i="17"/>
  <c r="AD14" i="17"/>
  <c r="AD138" i="17"/>
  <c r="AD221" i="17"/>
  <c r="AD222" i="17"/>
  <c r="AD412" i="17"/>
  <c r="AD220" i="17"/>
  <c r="AD139" i="17"/>
  <c r="AD140" i="17"/>
  <c r="AD300" i="17"/>
  <c r="AD425" i="17"/>
  <c r="AD265" i="17"/>
  <c r="AD443" i="17"/>
  <c r="AD421" i="17"/>
  <c r="AD304" i="17"/>
  <c r="AD269" i="17"/>
  <c r="AD246" i="17"/>
  <c r="AD248" i="17"/>
  <c r="AD247" i="17"/>
  <c r="AD267" i="17"/>
  <c r="AD499" i="17"/>
  <c r="AD22" i="17"/>
  <c r="AD379" i="17"/>
  <c r="AD307" i="17"/>
  <c r="AD308" i="17"/>
  <c r="AD23" i="17"/>
  <c r="AD314" i="17"/>
  <c r="AD291" i="17"/>
  <c r="AD229" i="17"/>
  <c r="AD249" i="17"/>
  <c r="AD228" i="17"/>
  <c r="AD186" i="17"/>
  <c r="AD447" i="17"/>
  <c r="AD505" i="17"/>
  <c r="AD503" i="17"/>
  <c r="AD504" i="17"/>
  <c r="AD495" i="17"/>
  <c r="AD59" i="17"/>
  <c r="AD83" i="17"/>
  <c r="AD37" i="17"/>
  <c r="AD38" i="17"/>
  <c r="AD57" i="17"/>
  <c r="AD58" i="17"/>
  <c r="AD60" i="17"/>
  <c r="AD39" i="17"/>
  <c r="AA55" i="17"/>
  <c r="AF55" i="17" s="1"/>
  <c r="AL55" i="17"/>
  <c r="AG55" i="17"/>
  <c r="AD77" i="17"/>
  <c r="AD100" i="17"/>
  <c r="AD24" i="17"/>
  <c r="AD98" i="17"/>
  <c r="AD144" i="17"/>
  <c r="AD52" i="17"/>
  <c r="AD380" i="17"/>
  <c r="AD99" i="17"/>
  <c r="AD428" i="17"/>
  <c r="AD388" i="17"/>
  <c r="AD441" i="17"/>
  <c r="AD429" i="17"/>
  <c r="AD370" i="17"/>
  <c r="AD65" i="17"/>
  <c r="AD258" i="17"/>
  <c r="AD154" i="17"/>
  <c r="AD130" i="17"/>
  <c r="AD89" i="17"/>
  <c r="AD42" i="17"/>
  <c r="AD7" i="17"/>
  <c r="AD259" i="17"/>
  <c r="AD90" i="17"/>
  <c r="AD43" i="17"/>
  <c r="AD8" i="17"/>
  <c r="AD67" i="17"/>
  <c r="AD260" i="17"/>
  <c r="AD68" i="17"/>
  <c r="AD127" i="17"/>
  <c r="AD357" i="17"/>
  <c r="AD175" i="17"/>
  <c r="AD128" i="17"/>
  <c r="AD369" i="17"/>
  <c r="AD358" i="17"/>
  <c r="AD234" i="17"/>
  <c r="AD176" i="17"/>
  <c r="AD129" i="17"/>
  <c r="AD389" i="17"/>
  <c r="AD294" i="17"/>
  <c r="AD442" i="17"/>
  <c r="AD371" i="17"/>
  <c r="AD213" i="17"/>
  <c r="AD66" i="17"/>
  <c r="AD155" i="17"/>
  <c r="AD408" i="17"/>
  <c r="AD91" i="17"/>
  <c r="AD69" i="17"/>
  <c r="AD233" i="17"/>
  <c r="AD87" i="17"/>
  <c r="AD64" i="17"/>
  <c r="AD40" i="17"/>
  <c r="AD153" i="17"/>
  <c r="AD156" i="17"/>
  <c r="AD426" i="17"/>
  <c r="AD409" i="17"/>
  <c r="AD427" i="17"/>
  <c r="AD41" i="17"/>
  <c r="AD6" i="17"/>
  <c r="AD88" i="17"/>
  <c r="AD399" i="17"/>
  <c r="AD489" i="17"/>
  <c r="AD400" i="17"/>
  <c r="AD18" i="17"/>
  <c r="AD166" i="17"/>
  <c r="AD143" i="17"/>
  <c r="AD225" i="17"/>
  <c r="AD184" i="17"/>
  <c r="AD167" i="17"/>
  <c r="AD20" i="17"/>
  <c r="AD50" i="17"/>
  <c r="AD226" i="17"/>
  <c r="AD75" i="17"/>
  <c r="AD51" i="17"/>
  <c r="AD303" i="17"/>
  <c r="AD227" i="17"/>
  <c r="AD363" i="17"/>
  <c r="AD76" i="17"/>
  <c r="AD245" i="17"/>
  <c r="AD19" i="17"/>
  <c r="AD49" i="17"/>
  <c r="AD168" i="17"/>
  <c r="AD21" i="17"/>
  <c r="AD169" i="17"/>
  <c r="AD378" i="17"/>
  <c r="AD290" i="17"/>
  <c r="AG28" i="17"/>
  <c r="AL28" i="17"/>
  <c r="AD185" i="17"/>
  <c r="AD145" i="17"/>
  <c r="AD309" i="17"/>
  <c r="AD170" i="17"/>
  <c r="AD25" i="17"/>
  <c r="AD494" i="17"/>
  <c r="AD434" i="17"/>
  <c r="AD293" i="17"/>
  <c r="AD435" i="17"/>
  <c r="AD406" i="17"/>
  <c r="AD124" i="17"/>
  <c r="AD126" i="17"/>
  <c r="AD85" i="17"/>
  <c r="AD3" i="17"/>
  <c r="AD356" i="17"/>
  <c r="AD62" i="17"/>
  <c r="AD255" i="17"/>
  <c r="AD174" i="17"/>
  <c r="AD151" i="17"/>
  <c r="AD4" i="17"/>
  <c r="AD368" i="17"/>
  <c r="AD63" i="17"/>
  <c r="AD387" i="17"/>
  <c r="AD292" i="17"/>
  <c r="AD256" i="17"/>
  <c r="AD152" i="17"/>
  <c r="AD5" i="17"/>
  <c r="AD257" i="17"/>
  <c r="AD436" i="17"/>
  <c r="AD418" i="17"/>
  <c r="AD383" i="17"/>
  <c r="AD490" i="17"/>
  <c r="AD407" i="17"/>
  <c r="AD354" i="17"/>
  <c r="AD148" i="17"/>
  <c r="AD125" i="17"/>
  <c r="AD84" i="17"/>
  <c r="AD366" i="17"/>
  <c r="AD355" i="17"/>
  <c r="AD149" i="17"/>
  <c r="AD31" i="17"/>
  <c r="AD232" i="17"/>
  <c r="AD86" i="17"/>
  <c r="AD419" i="17"/>
  <c r="AD384" i="17"/>
  <c r="AD491" i="17"/>
  <c r="AD150" i="17"/>
  <c r="AD420" i="17"/>
  <c r="AD385" i="17"/>
  <c r="AD492" i="17"/>
  <c r="AD403" i="17"/>
  <c r="AD367" i="17"/>
  <c r="AD386" i="17"/>
  <c r="AD493" i="17"/>
  <c r="AD433" i="17"/>
  <c r="AD417" i="17"/>
  <c r="AD61" i="17"/>
  <c r="AD2" i="17"/>
  <c r="AD188" i="17"/>
  <c r="AD171" i="17"/>
  <c r="AD189" i="17"/>
  <c r="AD187" i="17"/>
  <c r="AD78" i="17"/>
  <c r="AD26" i="17"/>
  <c r="AD79" i="17"/>
  <c r="AD102" i="17"/>
  <c r="AD101" i="17"/>
  <c r="AD80" i="17"/>
  <c r="AD53" i="17"/>
  <c r="AJ103" i="17" l="1"/>
  <c r="AR103" i="17"/>
  <c r="AV103" i="17" s="1"/>
  <c r="AR384" i="17"/>
  <c r="AV384" i="17" s="1"/>
  <c r="AJ384" i="17"/>
  <c r="AE384" i="17"/>
  <c r="AK384" i="17" s="1"/>
  <c r="AR159" i="17"/>
  <c r="AV159" i="17" s="1"/>
  <c r="AJ159" i="17"/>
  <c r="AE159" i="17"/>
  <c r="AK159" i="17" s="1"/>
  <c r="AJ419" i="17"/>
  <c r="AR419" i="17"/>
  <c r="AV419" i="17" s="1"/>
  <c r="AE419" i="17"/>
  <c r="AK419" i="17" s="1"/>
  <c r="AE4" i="17"/>
  <c r="AK4" i="17" s="1"/>
  <c r="AR4" i="17"/>
  <c r="AV4" i="17" s="1"/>
  <c r="AJ4" i="17"/>
  <c r="AR293" i="17"/>
  <c r="AV293" i="17" s="1"/>
  <c r="AJ293" i="17"/>
  <c r="AE293" i="17"/>
  <c r="AK293" i="17" s="1"/>
  <c r="AJ309" i="17"/>
  <c r="AR309" i="17"/>
  <c r="AV309" i="17" s="1"/>
  <c r="AE309" i="17"/>
  <c r="AK309" i="17" s="1"/>
  <c r="AJ363" i="17"/>
  <c r="AR363" i="17"/>
  <c r="AV363" i="17" s="1"/>
  <c r="AE363" i="17"/>
  <c r="AK363" i="17" s="1"/>
  <c r="AR166" i="17"/>
  <c r="AV166" i="17" s="1"/>
  <c r="AJ166" i="17"/>
  <c r="AE166" i="17"/>
  <c r="AK166" i="17" s="1"/>
  <c r="AJ408" i="17"/>
  <c r="AR408" i="17"/>
  <c r="AV408" i="17" s="1"/>
  <c r="AE408" i="17"/>
  <c r="AK408" i="17" s="1"/>
  <c r="AJ369" i="17"/>
  <c r="AR369" i="17"/>
  <c r="AV369" i="17" s="1"/>
  <c r="AE369" i="17"/>
  <c r="AK369" i="17" s="1"/>
  <c r="AJ7" i="17"/>
  <c r="AR7" i="17"/>
  <c r="AV7" i="17" s="1"/>
  <c r="AE7" i="17"/>
  <c r="AK7" i="17" s="1"/>
  <c r="AJ57" i="17"/>
  <c r="AR57" i="17"/>
  <c r="AV57" i="17" s="1"/>
  <c r="AE57" i="17"/>
  <c r="AK57" i="17" s="1"/>
  <c r="AJ504" i="17"/>
  <c r="AR504" i="17"/>
  <c r="AV504" i="17" s="1"/>
  <c r="AE504" i="17"/>
  <c r="AK504" i="17" s="1"/>
  <c r="AJ229" i="17"/>
  <c r="AR229" i="17"/>
  <c r="AV229" i="17" s="1"/>
  <c r="AE229" i="17"/>
  <c r="AK229" i="17" s="1"/>
  <c r="AE246" i="17"/>
  <c r="AK246" i="17" s="1"/>
  <c r="AR246" i="17"/>
  <c r="AV246" i="17" s="1"/>
  <c r="AJ246" i="17"/>
  <c r="AR300" i="17"/>
  <c r="AV300" i="17" s="1"/>
  <c r="AJ300" i="17"/>
  <c r="AE300" i="17"/>
  <c r="AK300" i="17" s="1"/>
  <c r="AE394" i="17"/>
  <c r="AK394" i="17" s="1"/>
  <c r="AR394" i="17"/>
  <c r="AV394" i="17" s="1"/>
  <c r="AJ394" i="17"/>
  <c r="AR237" i="17"/>
  <c r="AV237" i="17" s="1"/>
  <c r="AE237" i="17"/>
  <c r="AK237" i="17" s="1"/>
  <c r="AJ237" i="17"/>
  <c r="AJ263" i="17"/>
  <c r="AR263" i="17"/>
  <c r="AV263" i="17" s="1"/>
  <c r="AE263" i="17"/>
  <c r="AK263" i="17" s="1"/>
  <c r="AR133" i="17"/>
  <c r="AV133" i="17" s="1"/>
  <c r="AJ133" i="17"/>
  <c r="AE133" i="17"/>
  <c r="AK133" i="17" s="1"/>
  <c r="AJ177" i="17"/>
  <c r="AR177" i="17"/>
  <c r="AV177" i="17" s="1"/>
  <c r="AE177" i="17"/>
  <c r="AK177" i="17" s="1"/>
  <c r="AR81" i="17"/>
  <c r="AV81" i="17" s="1"/>
  <c r="AE81" i="17"/>
  <c r="AK81" i="17" s="1"/>
  <c r="AJ81" i="17"/>
  <c r="AJ360" i="17"/>
  <c r="AR360" i="17"/>
  <c r="AV360" i="17" s="1"/>
  <c r="AE360" i="17"/>
  <c r="AK360" i="17" s="1"/>
  <c r="AJ180" i="17"/>
  <c r="AR180" i="17"/>
  <c r="AV180" i="17" s="1"/>
  <c r="AE180" i="17"/>
  <c r="AK180" i="17" s="1"/>
  <c r="AE435" i="17"/>
  <c r="AK435" i="17" s="1"/>
  <c r="AR435" i="17"/>
  <c r="AV435" i="17" s="1"/>
  <c r="AJ435" i="17"/>
  <c r="AE358" i="17"/>
  <c r="AK358" i="17" s="1"/>
  <c r="AR358" i="17"/>
  <c r="AV358" i="17" s="1"/>
  <c r="AJ358" i="17"/>
  <c r="AJ58" i="17"/>
  <c r="AR58" i="17"/>
  <c r="AV58" i="17" s="1"/>
  <c r="AE58" i="17"/>
  <c r="AK58" i="17" s="1"/>
  <c r="AR425" i="17"/>
  <c r="AV425" i="17" s="1"/>
  <c r="AJ425" i="17"/>
  <c r="AE425" i="17"/>
  <c r="AK425" i="17" s="1"/>
  <c r="AJ47" i="17"/>
  <c r="AR47" i="17"/>
  <c r="AV47" i="17" s="1"/>
  <c r="AE47" i="17"/>
  <c r="AK47" i="17" s="1"/>
  <c r="AR92" i="17"/>
  <c r="AV92" i="17" s="1"/>
  <c r="AJ92" i="17"/>
  <c r="AE92" i="17"/>
  <c r="AK92" i="17" s="1"/>
  <c r="AE26" i="17"/>
  <c r="AK26" i="17" s="1"/>
  <c r="AR26" i="17"/>
  <c r="AV26" i="17" s="1"/>
  <c r="AJ26" i="17"/>
  <c r="AR490" i="17"/>
  <c r="AV490" i="17" s="1"/>
  <c r="AJ490" i="17"/>
  <c r="AE490" i="17"/>
  <c r="AK490" i="17" s="1"/>
  <c r="AE41" i="17"/>
  <c r="AK41" i="17" s="1"/>
  <c r="AR41" i="17"/>
  <c r="AV41" i="17" s="1"/>
  <c r="AJ41" i="17"/>
  <c r="AE78" i="17"/>
  <c r="AK78" i="17" s="1"/>
  <c r="AR78" i="17"/>
  <c r="AV78" i="17" s="1"/>
  <c r="AJ78" i="17"/>
  <c r="AJ433" i="17"/>
  <c r="AR433" i="17"/>
  <c r="AV433" i="17" s="1"/>
  <c r="AE433" i="17"/>
  <c r="AK433" i="17" s="1"/>
  <c r="AE86" i="17"/>
  <c r="AK86" i="17" s="1"/>
  <c r="AR86" i="17"/>
  <c r="AV86" i="17" s="1"/>
  <c r="AJ86" i="17"/>
  <c r="AR383" i="17"/>
  <c r="AV383" i="17" s="1"/>
  <c r="AJ383" i="17"/>
  <c r="AE383" i="17"/>
  <c r="AK383" i="17" s="1"/>
  <c r="AR151" i="17"/>
  <c r="AV151" i="17" s="1"/>
  <c r="AE151" i="17"/>
  <c r="AK151" i="17" s="1"/>
  <c r="AJ151" i="17"/>
  <c r="AE434" i="17"/>
  <c r="AK434" i="17" s="1"/>
  <c r="AR434" i="17"/>
  <c r="AV434" i="17" s="1"/>
  <c r="AJ434" i="17"/>
  <c r="AR145" i="17"/>
  <c r="AV145" i="17" s="1"/>
  <c r="AJ145" i="17"/>
  <c r="AE145" i="17"/>
  <c r="AK145" i="17" s="1"/>
  <c r="AJ227" i="17"/>
  <c r="AR227" i="17"/>
  <c r="AV227" i="17" s="1"/>
  <c r="AE227" i="17"/>
  <c r="AK227" i="17" s="1"/>
  <c r="AJ18" i="17"/>
  <c r="AR18" i="17"/>
  <c r="AV18" i="17" s="1"/>
  <c r="AE18" i="17"/>
  <c r="AK18" i="17" s="1"/>
  <c r="AR427" i="17"/>
  <c r="AV427" i="17" s="1"/>
  <c r="AJ427" i="17"/>
  <c r="AE427" i="17"/>
  <c r="AK427" i="17" s="1"/>
  <c r="AJ155" i="17"/>
  <c r="AR155" i="17"/>
  <c r="AV155" i="17" s="1"/>
  <c r="AE155" i="17"/>
  <c r="AK155" i="17" s="1"/>
  <c r="AE128" i="17"/>
  <c r="AK128" i="17" s="1"/>
  <c r="AR128" i="17"/>
  <c r="AV128" i="17" s="1"/>
  <c r="AJ128" i="17"/>
  <c r="AJ42" i="17"/>
  <c r="AR42" i="17"/>
  <c r="AV42" i="17" s="1"/>
  <c r="AE42" i="17"/>
  <c r="AK42" i="17" s="1"/>
  <c r="AA103" i="17"/>
  <c r="AF103" i="17" s="1"/>
  <c r="AE38" i="17"/>
  <c r="AK38" i="17" s="1"/>
  <c r="AR38" i="17"/>
  <c r="AV38" i="17" s="1"/>
  <c r="AJ38" i="17"/>
  <c r="AR503" i="17"/>
  <c r="AV503" i="17" s="1"/>
  <c r="AE503" i="17"/>
  <c r="AK503" i="17" s="1"/>
  <c r="AJ503" i="17"/>
  <c r="AJ269" i="17"/>
  <c r="AR269" i="17"/>
  <c r="AV269" i="17" s="1"/>
  <c r="AE269" i="17"/>
  <c r="AK269" i="17" s="1"/>
  <c r="AJ140" i="17"/>
  <c r="AR140" i="17"/>
  <c r="AV140" i="17" s="1"/>
  <c r="AE140" i="17"/>
  <c r="AE375" i="17"/>
  <c r="AK375" i="17" s="1"/>
  <c r="AR375" i="17"/>
  <c r="AV375" i="17" s="1"/>
  <c r="AJ375" i="17"/>
  <c r="AR497" i="17"/>
  <c r="AV497" i="17" s="1"/>
  <c r="AJ497" i="17"/>
  <c r="AE497" i="17"/>
  <c r="AK497" i="17" s="1"/>
  <c r="AE70" i="17"/>
  <c r="AK70" i="17" s="1"/>
  <c r="AR70" i="17"/>
  <c r="AV70" i="17" s="1"/>
  <c r="AJ70" i="17"/>
  <c r="AR157" i="17"/>
  <c r="AV157" i="17" s="1"/>
  <c r="AJ157" i="17"/>
  <c r="AE157" i="17"/>
  <c r="AK157" i="17" s="1"/>
  <c r="AJ235" i="17"/>
  <c r="AR235" i="17"/>
  <c r="AV235" i="17" s="1"/>
  <c r="AE235" i="17"/>
  <c r="AK235" i="17" s="1"/>
  <c r="AE27" i="17"/>
  <c r="AK27" i="17" s="1"/>
  <c r="AR27" i="17"/>
  <c r="AV27" i="17" s="1"/>
  <c r="AJ27" i="17"/>
  <c r="AE181" i="17"/>
  <c r="AK181" i="17" s="1"/>
  <c r="AR181" i="17"/>
  <c r="AV181" i="17" s="1"/>
  <c r="AJ181" i="17"/>
  <c r="AR238" i="17"/>
  <c r="AV238" i="17" s="1"/>
  <c r="AJ238" i="17"/>
  <c r="AE238" i="17"/>
  <c r="AK238" i="17" s="1"/>
  <c r="AR368" i="17"/>
  <c r="AV368" i="17" s="1"/>
  <c r="AJ368" i="17"/>
  <c r="AE368" i="17"/>
  <c r="AK368" i="17" s="1"/>
  <c r="AR428" i="17"/>
  <c r="AV428" i="17" s="1"/>
  <c r="AE428" i="17"/>
  <c r="AK428" i="17" s="1"/>
  <c r="AJ428" i="17"/>
  <c r="AE54" i="17"/>
  <c r="AK54" i="17" s="1"/>
  <c r="AR54" i="17"/>
  <c r="AV54" i="17" s="1"/>
  <c r="AJ54" i="17"/>
  <c r="AJ187" i="17"/>
  <c r="AR187" i="17"/>
  <c r="AV187" i="17" s="1"/>
  <c r="AE187" i="17"/>
  <c r="AK187" i="17" s="1"/>
  <c r="AJ493" i="17"/>
  <c r="AR493" i="17"/>
  <c r="AV493" i="17" s="1"/>
  <c r="AE493" i="17"/>
  <c r="AK493" i="17" s="1"/>
  <c r="AJ232" i="17"/>
  <c r="AR232" i="17"/>
  <c r="AV232" i="17" s="1"/>
  <c r="AE232" i="17"/>
  <c r="AK232" i="17" s="1"/>
  <c r="AR418" i="17"/>
  <c r="AV418" i="17" s="1"/>
  <c r="AJ418" i="17"/>
  <c r="AE418" i="17"/>
  <c r="AK418" i="17" s="1"/>
  <c r="AJ174" i="17"/>
  <c r="AR174" i="17"/>
  <c r="AV174" i="17" s="1"/>
  <c r="AE174" i="17"/>
  <c r="AJ494" i="17"/>
  <c r="AR494" i="17"/>
  <c r="AV494" i="17" s="1"/>
  <c r="AE494" i="17"/>
  <c r="AK494" i="17" s="1"/>
  <c r="AE185" i="17"/>
  <c r="AK185" i="17" s="1"/>
  <c r="AR185" i="17"/>
  <c r="AV185" i="17" s="1"/>
  <c r="AJ185" i="17"/>
  <c r="AJ303" i="17"/>
  <c r="AR303" i="17"/>
  <c r="AV303" i="17" s="1"/>
  <c r="AE303" i="17"/>
  <c r="AK303" i="17" s="1"/>
  <c r="AE400" i="17"/>
  <c r="AK400" i="17" s="1"/>
  <c r="AR400" i="17"/>
  <c r="AV400" i="17" s="1"/>
  <c r="AJ400" i="17"/>
  <c r="AJ409" i="17"/>
  <c r="AR409" i="17"/>
  <c r="AV409" i="17" s="1"/>
  <c r="AE409" i="17"/>
  <c r="AK409" i="17" s="1"/>
  <c r="AJ66" i="17"/>
  <c r="AR66" i="17"/>
  <c r="AV66" i="17" s="1"/>
  <c r="AE66" i="17"/>
  <c r="AK66" i="17" s="1"/>
  <c r="AE175" i="17"/>
  <c r="AK175" i="17" s="1"/>
  <c r="AR175" i="17"/>
  <c r="AV175" i="17" s="1"/>
  <c r="AJ175" i="17"/>
  <c r="AJ89" i="17"/>
  <c r="AR89" i="17"/>
  <c r="AV89" i="17" s="1"/>
  <c r="AE89" i="17"/>
  <c r="AK89" i="17" s="1"/>
  <c r="AJ37" i="17"/>
  <c r="AR37" i="17"/>
  <c r="AV37" i="17" s="1"/>
  <c r="AE37" i="17"/>
  <c r="AK37" i="17" s="1"/>
  <c r="AR505" i="17"/>
  <c r="AV505" i="17" s="1"/>
  <c r="AE505" i="17"/>
  <c r="AK505" i="17" s="1"/>
  <c r="AJ505" i="17"/>
  <c r="AR304" i="17"/>
  <c r="AV304" i="17" s="1"/>
  <c r="AJ304" i="17"/>
  <c r="AE304" i="17"/>
  <c r="AK304" i="17" s="1"/>
  <c r="AE139" i="17"/>
  <c r="AK139" i="17" s="1"/>
  <c r="AR139" i="17"/>
  <c r="AV139" i="17" s="1"/>
  <c r="AJ139" i="17"/>
  <c r="AJ393" i="17"/>
  <c r="AR393" i="17"/>
  <c r="AV393" i="17" s="1"/>
  <c r="AE393" i="17"/>
  <c r="AK393" i="17" s="1"/>
  <c r="AR295" i="17"/>
  <c r="AV295" i="17" s="1"/>
  <c r="AE295" i="17"/>
  <c r="AK295" i="17" s="1"/>
  <c r="AJ295" i="17"/>
  <c r="AJ11" i="17"/>
  <c r="AR11" i="17"/>
  <c r="AV11" i="17" s="1"/>
  <c r="AE11" i="17"/>
  <c r="AJ215" i="17"/>
  <c r="AR215" i="17"/>
  <c r="AV215" i="17" s="1"/>
  <c r="AE215" i="17"/>
  <c r="AK215" i="17" s="1"/>
  <c r="AR71" i="17"/>
  <c r="AV71" i="17" s="1"/>
  <c r="AJ71" i="17"/>
  <c r="AE71" i="17"/>
  <c r="AK71" i="17" s="1"/>
  <c r="AJ46" i="17"/>
  <c r="AR46" i="17"/>
  <c r="AV46" i="17" s="1"/>
  <c r="AE46" i="17"/>
  <c r="AK46" i="17" s="1"/>
  <c r="AJ374" i="17"/>
  <c r="AR374" i="17"/>
  <c r="AV374" i="17" s="1"/>
  <c r="AE374" i="17"/>
  <c r="AK374" i="17" s="1"/>
  <c r="AJ170" i="17"/>
  <c r="AR170" i="17"/>
  <c r="AV170" i="17" s="1"/>
  <c r="AE170" i="17"/>
  <c r="AJ189" i="17"/>
  <c r="AR189" i="17"/>
  <c r="AV189" i="17" s="1"/>
  <c r="AE189" i="17"/>
  <c r="AK189" i="17" s="1"/>
  <c r="AR386" i="17"/>
  <c r="AV386" i="17" s="1"/>
  <c r="AJ386" i="17"/>
  <c r="AE386" i="17"/>
  <c r="AK386" i="17" s="1"/>
  <c r="AE31" i="17"/>
  <c r="AK31" i="17" s="1"/>
  <c r="AR31" i="17"/>
  <c r="AV31" i="17" s="1"/>
  <c r="AJ31" i="17"/>
  <c r="AR436" i="17"/>
  <c r="AV436" i="17" s="1"/>
  <c r="AE436" i="17"/>
  <c r="AK436" i="17" s="1"/>
  <c r="AJ436" i="17"/>
  <c r="AJ255" i="17"/>
  <c r="AR255" i="17"/>
  <c r="AV255" i="17" s="1"/>
  <c r="AE255" i="17"/>
  <c r="AK255" i="17" s="1"/>
  <c r="AJ290" i="17"/>
  <c r="AR290" i="17"/>
  <c r="AV290" i="17" s="1"/>
  <c r="AE290" i="17"/>
  <c r="AK290" i="17" s="1"/>
  <c r="AE51" i="17"/>
  <c r="AK51" i="17" s="1"/>
  <c r="AR51" i="17"/>
  <c r="AV51" i="17" s="1"/>
  <c r="AJ51" i="17"/>
  <c r="AE489" i="17"/>
  <c r="AK489" i="17" s="1"/>
  <c r="AR489" i="17"/>
  <c r="AV489" i="17" s="1"/>
  <c r="AJ489" i="17"/>
  <c r="AR426" i="17"/>
  <c r="AV426" i="17" s="1"/>
  <c r="AE426" i="17"/>
  <c r="AK426" i="17" s="1"/>
  <c r="AJ426" i="17"/>
  <c r="AR213" i="17"/>
  <c r="AV213" i="17" s="1"/>
  <c r="AJ213" i="17"/>
  <c r="AE213" i="17"/>
  <c r="AK213" i="17" s="1"/>
  <c r="AJ357" i="17"/>
  <c r="AR357" i="17"/>
  <c r="AV357" i="17" s="1"/>
  <c r="AE357" i="17"/>
  <c r="AK357" i="17" s="1"/>
  <c r="AE130" i="17"/>
  <c r="AK130" i="17" s="1"/>
  <c r="AR130" i="17"/>
  <c r="AV130" i="17" s="1"/>
  <c r="AJ130" i="17"/>
  <c r="AR99" i="17"/>
  <c r="AV99" i="17" s="1"/>
  <c r="AJ99" i="17"/>
  <c r="AE99" i="17"/>
  <c r="AK99" i="17" s="1"/>
  <c r="AE83" i="17"/>
  <c r="AK83" i="17" s="1"/>
  <c r="AR83" i="17"/>
  <c r="AV83" i="17" s="1"/>
  <c r="AJ83" i="17"/>
  <c r="AJ447" i="17"/>
  <c r="AR447" i="17"/>
  <c r="AV447" i="17" s="1"/>
  <c r="AE447" i="17"/>
  <c r="AK447" i="17" s="1"/>
  <c r="AE291" i="17"/>
  <c r="AK291" i="17" s="1"/>
  <c r="AR291" i="17"/>
  <c r="AV291" i="17" s="1"/>
  <c r="AJ291" i="17"/>
  <c r="AE23" i="17"/>
  <c r="AK23" i="17" s="1"/>
  <c r="AR23" i="17"/>
  <c r="AV23" i="17" s="1"/>
  <c r="AJ23" i="17"/>
  <c r="AJ220" i="17"/>
  <c r="AR220" i="17"/>
  <c r="AV220" i="17" s="1"/>
  <c r="AE220" i="17"/>
  <c r="AK220" i="17" s="1"/>
  <c r="AJ404" i="17"/>
  <c r="AR404" i="17"/>
  <c r="AV404" i="17" s="1"/>
  <c r="AE404" i="17"/>
  <c r="AK404" i="17" s="1"/>
  <c r="AR390" i="17"/>
  <c r="AV390" i="17" s="1"/>
  <c r="AE390" i="17"/>
  <c r="AK390" i="17" s="1"/>
  <c r="AJ390" i="17"/>
  <c r="AJ93" i="17"/>
  <c r="AR93" i="17"/>
  <c r="AV93" i="17" s="1"/>
  <c r="AE93" i="17"/>
  <c r="AK93" i="17" s="1"/>
  <c r="AJ9" i="17"/>
  <c r="AR9" i="17"/>
  <c r="AV9" i="17" s="1"/>
  <c r="AE9" i="17"/>
  <c r="AK9" i="17" s="1"/>
  <c r="AJ359" i="17"/>
  <c r="AR359" i="17"/>
  <c r="AV359" i="17" s="1"/>
  <c r="AE359" i="17"/>
  <c r="AK359" i="17" s="1"/>
  <c r="AR361" i="17"/>
  <c r="AV361" i="17" s="1"/>
  <c r="AJ361" i="17"/>
  <c r="AE361" i="17"/>
  <c r="AK361" i="17" s="1"/>
  <c r="AJ162" i="17"/>
  <c r="AR162" i="17"/>
  <c r="AV162" i="17" s="1"/>
  <c r="AE162" i="17"/>
  <c r="AK162" i="17" s="1"/>
  <c r="AJ143" i="17"/>
  <c r="AR143" i="17"/>
  <c r="AV143" i="17" s="1"/>
  <c r="AE143" i="17"/>
  <c r="AK143" i="17" s="1"/>
  <c r="AE53" i="17"/>
  <c r="AK53" i="17" s="1"/>
  <c r="AR53" i="17"/>
  <c r="AV53" i="17" s="1"/>
  <c r="AJ53" i="17"/>
  <c r="AJ171" i="17"/>
  <c r="AR171" i="17"/>
  <c r="AV171" i="17" s="1"/>
  <c r="AE171" i="17"/>
  <c r="AK171" i="17" s="1"/>
  <c r="AR367" i="17"/>
  <c r="AV367" i="17" s="1"/>
  <c r="AJ367" i="17"/>
  <c r="AE367" i="17"/>
  <c r="AK367" i="17" s="1"/>
  <c r="AE149" i="17"/>
  <c r="AK149" i="17" s="1"/>
  <c r="AR149" i="17"/>
  <c r="AV149" i="17" s="1"/>
  <c r="AJ149" i="17"/>
  <c r="AE257" i="17"/>
  <c r="AK257" i="17" s="1"/>
  <c r="AR257" i="17"/>
  <c r="AV257" i="17" s="1"/>
  <c r="AJ257" i="17"/>
  <c r="AJ62" i="17"/>
  <c r="AR62" i="17"/>
  <c r="AV62" i="17" s="1"/>
  <c r="AE62" i="17"/>
  <c r="AK62" i="17" s="1"/>
  <c r="V28" i="17"/>
  <c r="W28" i="17" s="1"/>
  <c r="AM28" i="17"/>
  <c r="AR378" i="17"/>
  <c r="AV378" i="17" s="1"/>
  <c r="AJ378" i="17"/>
  <c r="AE378" i="17"/>
  <c r="AK378" i="17" s="1"/>
  <c r="AE75" i="17"/>
  <c r="AK75" i="17" s="1"/>
  <c r="AR75" i="17"/>
  <c r="AV75" i="17" s="1"/>
  <c r="AJ75" i="17"/>
  <c r="AR399" i="17"/>
  <c r="AV399" i="17" s="1"/>
  <c r="AJ399" i="17"/>
  <c r="AE399" i="17"/>
  <c r="AK399" i="17" s="1"/>
  <c r="AR156" i="17"/>
  <c r="AV156" i="17" s="1"/>
  <c r="AJ156" i="17"/>
  <c r="AE156" i="17"/>
  <c r="AK156" i="17" s="1"/>
  <c r="AR371" i="17"/>
  <c r="AV371" i="17" s="1"/>
  <c r="AE371" i="17"/>
  <c r="AK371" i="17" s="1"/>
  <c r="AJ371" i="17"/>
  <c r="AR127" i="17"/>
  <c r="AV127" i="17" s="1"/>
  <c r="AE127" i="17"/>
  <c r="AK127" i="17" s="1"/>
  <c r="AJ127" i="17"/>
  <c r="AE154" i="17"/>
  <c r="AK154" i="17" s="1"/>
  <c r="AR154" i="17"/>
  <c r="AV154" i="17" s="1"/>
  <c r="AJ154" i="17"/>
  <c r="AR380" i="17"/>
  <c r="AV380" i="17" s="1"/>
  <c r="AE380" i="17"/>
  <c r="AK380" i="17" s="1"/>
  <c r="AJ380" i="17"/>
  <c r="AG103" i="17"/>
  <c r="AL103" i="17"/>
  <c r="AE59" i="17"/>
  <c r="AK59" i="17" s="1"/>
  <c r="AR59" i="17"/>
  <c r="AV59" i="17" s="1"/>
  <c r="AJ59" i="17"/>
  <c r="AE314" i="17"/>
  <c r="AK314" i="17" s="1"/>
  <c r="AR314" i="17"/>
  <c r="AV314" i="17" s="1"/>
  <c r="AJ314" i="17"/>
  <c r="AE308" i="17"/>
  <c r="AK308" i="17" s="1"/>
  <c r="AR308" i="17"/>
  <c r="AV308" i="17" s="1"/>
  <c r="AJ308" i="17"/>
  <c r="AR412" i="17"/>
  <c r="AV412" i="17" s="1"/>
  <c r="AE412" i="17"/>
  <c r="AK412" i="17" s="1"/>
  <c r="AJ412" i="17"/>
  <c r="AE410" i="17"/>
  <c r="AK410" i="17" s="1"/>
  <c r="AR410" i="17"/>
  <c r="AV410" i="17" s="1"/>
  <c r="AJ410" i="17"/>
  <c r="AJ437" i="17"/>
  <c r="AR437" i="17"/>
  <c r="AV437" i="17" s="1"/>
  <c r="AE437" i="17"/>
  <c r="AJ134" i="17"/>
  <c r="AR134" i="17"/>
  <c r="AV134" i="17" s="1"/>
  <c r="AE134" i="17"/>
  <c r="AK134" i="17" s="1"/>
  <c r="AJ272" i="17"/>
  <c r="AR272" i="17"/>
  <c r="AV272" i="17" s="1"/>
  <c r="AE272" i="17"/>
  <c r="AK272" i="17" s="1"/>
  <c r="AR310" i="17"/>
  <c r="AV310" i="17" s="1"/>
  <c r="AJ310" i="17"/>
  <c r="AE310" i="17"/>
  <c r="AK310" i="17" s="1"/>
  <c r="AR219" i="17"/>
  <c r="AV219" i="17" s="1"/>
  <c r="AJ219" i="17"/>
  <c r="AE219" i="17"/>
  <c r="AK219" i="17" s="1"/>
  <c r="AE161" i="17"/>
  <c r="AK161" i="17" s="1"/>
  <c r="AR161" i="17"/>
  <c r="AV161" i="17" s="1"/>
  <c r="AJ161" i="17"/>
  <c r="AR407" i="17"/>
  <c r="AV407" i="17" s="1"/>
  <c r="AJ407" i="17"/>
  <c r="AE407" i="17"/>
  <c r="AK407" i="17" s="1"/>
  <c r="AE179" i="17"/>
  <c r="AK179" i="17" s="1"/>
  <c r="AR179" i="17"/>
  <c r="AV179" i="17" s="1"/>
  <c r="AJ179" i="17"/>
  <c r="AR80" i="17"/>
  <c r="AV80" i="17" s="1"/>
  <c r="AE80" i="17"/>
  <c r="AK80" i="17" s="1"/>
  <c r="AJ80" i="17"/>
  <c r="AJ188" i="17"/>
  <c r="AR188" i="17"/>
  <c r="AV188" i="17" s="1"/>
  <c r="AE188" i="17"/>
  <c r="AK188" i="17" s="1"/>
  <c r="AE2" i="17"/>
  <c r="AK2" i="17" s="1"/>
  <c r="AR2" i="17"/>
  <c r="AV2" i="17" s="1"/>
  <c r="AJ2" i="17"/>
  <c r="AR403" i="17"/>
  <c r="AV403" i="17" s="1"/>
  <c r="AE403" i="17"/>
  <c r="AK403" i="17" s="1"/>
  <c r="AJ403" i="17"/>
  <c r="AE355" i="17"/>
  <c r="AK355" i="17" s="1"/>
  <c r="AR355" i="17"/>
  <c r="AV355" i="17" s="1"/>
  <c r="AJ355" i="17"/>
  <c r="AE5" i="17"/>
  <c r="AK5" i="17" s="1"/>
  <c r="AR5" i="17"/>
  <c r="AV5" i="17" s="1"/>
  <c r="AJ5" i="17"/>
  <c r="AJ356" i="17"/>
  <c r="AR356" i="17"/>
  <c r="AV356" i="17" s="1"/>
  <c r="AE356" i="17"/>
  <c r="AK356" i="17" s="1"/>
  <c r="AE169" i="17"/>
  <c r="AK169" i="17" s="1"/>
  <c r="AR169" i="17"/>
  <c r="AV169" i="17" s="1"/>
  <c r="AJ169" i="17"/>
  <c r="AE226" i="17"/>
  <c r="AK226" i="17" s="1"/>
  <c r="AR226" i="17"/>
  <c r="AV226" i="17" s="1"/>
  <c r="AJ226" i="17"/>
  <c r="AE153" i="17"/>
  <c r="AK153" i="17" s="1"/>
  <c r="AR153" i="17"/>
  <c r="AV153" i="17" s="1"/>
  <c r="AJ153" i="17"/>
  <c r="AJ442" i="17"/>
  <c r="AR442" i="17"/>
  <c r="AV442" i="17" s="1"/>
  <c r="AE442" i="17"/>
  <c r="AK442" i="17" s="1"/>
  <c r="AE68" i="17"/>
  <c r="AK68" i="17" s="1"/>
  <c r="AR68" i="17"/>
  <c r="AV68" i="17" s="1"/>
  <c r="AJ68" i="17"/>
  <c r="AE258" i="17"/>
  <c r="AK258" i="17" s="1"/>
  <c r="AR258" i="17"/>
  <c r="AV258" i="17" s="1"/>
  <c r="AJ258" i="17"/>
  <c r="AR52" i="17"/>
  <c r="AV52" i="17" s="1"/>
  <c r="AE52" i="17"/>
  <c r="AK52" i="17" s="1"/>
  <c r="AJ52" i="17"/>
  <c r="AE307" i="17"/>
  <c r="AK307" i="17" s="1"/>
  <c r="AR307" i="17"/>
  <c r="AV307" i="17" s="1"/>
  <c r="AJ307" i="17"/>
  <c r="AR421" i="17"/>
  <c r="AV421" i="17" s="1"/>
  <c r="AJ421" i="17"/>
  <c r="AE421" i="17"/>
  <c r="AK421" i="17" s="1"/>
  <c r="AJ222" i="17"/>
  <c r="AR222" i="17"/>
  <c r="AV222" i="17" s="1"/>
  <c r="AE222" i="17"/>
  <c r="AK222" i="17" s="1"/>
  <c r="AR297" i="17"/>
  <c r="AV297" i="17" s="1"/>
  <c r="AJ297" i="17"/>
  <c r="AE297" i="17"/>
  <c r="AK297" i="17" s="1"/>
  <c r="AJ261" i="17"/>
  <c r="AR261" i="17"/>
  <c r="AV261" i="17" s="1"/>
  <c r="AE261" i="17"/>
  <c r="AK261" i="17" s="1"/>
  <c r="AR158" i="17"/>
  <c r="AV158" i="17" s="1"/>
  <c r="AJ158" i="17"/>
  <c r="AE158" i="17"/>
  <c r="AK158" i="17" s="1"/>
  <c r="AJ214" i="17"/>
  <c r="AR214" i="17"/>
  <c r="AV214" i="17" s="1"/>
  <c r="AE214" i="17"/>
  <c r="AJ423" i="17"/>
  <c r="AR423" i="17"/>
  <c r="AV423" i="17" s="1"/>
  <c r="AE423" i="17"/>
  <c r="AK423" i="17" s="1"/>
  <c r="AJ218" i="17"/>
  <c r="AR218" i="17"/>
  <c r="AV218" i="17" s="1"/>
  <c r="AE218" i="17"/>
  <c r="AK218" i="17" s="1"/>
  <c r="AE13" i="17"/>
  <c r="AK13" i="17" s="1"/>
  <c r="AR13" i="17"/>
  <c r="AV13" i="17" s="1"/>
  <c r="AJ13" i="17"/>
  <c r="AJ76" i="17"/>
  <c r="AR76" i="17"/>
  <c r="AV76" i="17" s="1"/>
  <c r="AE76" i="17"/>
  <c r="AK76" i="17" s="1"/>
  <c r="AJ249" i="17"/>
  <c r="AR249" i="17"/>
  <c r="AV249" i="17" s="1"/>
  <c r="AE249" i="17"/>
  <c r="AK249" i="17" s="1"/>
  <c r="AJ101" i="17"/>
  <c r="AR101" i="17"/>
  <c r="AV101" i="17" s="1"/>
  <c r="AE101" i="17"/>
  <c r="AK101" i="17" s="1"/>
  <c r="AE61" i="17"/>
  <c r="AK61" i="17" s="1"/>
  <c r="AR61" i="17"/>
  <c r="AV61" i="17" s="1"/>
  <c r="AJ61" i="17"/>
  <c r="AR492" i="17"/>
  <c r="AV492" i="17" s="1"/>
  <c r="AJ492" i="17"/>
  <c r="AE492" i="17"/>
  <c r="AK492" i="17" s="1"/>
  <c r="AJ366" i="17"/>
  <c r="AR366" i="17"/>
  <c r="AV366" i="17" s="1"/>
  <c r="AE366" i="17"/>
  <c r="AK366" i="17" s="1"/>
  <c r="AE152" i="17"/>
  <c r="AK152" i="17" s="1"/>
  <c r="AR152" i="17"/>
  <c r="AV152" i="17" s="1"/>
  <c r="AJ152" i="17"/>
  <c r="AJ3" i="17"/>
  <c r="AR3" i="17"/>
  <c r="AV3" i="17" s="1"/>
  <c r="AE3" i="17"/>
  <c r="AK3" i="17" s="1"/>
  <c r="AE21" i="17"/>
  <c r="AK21" i="17" s="1"/>
  <c r="AR21" i="17"/>
  <c r="AV21" i="17" s="1"/>
  <c r="AJ21" i="17"/>
  <c r="AJ50" i="17"/>
  <c r="AR50" i="17"/>
  <c r="AV50" i="17" s="1"/>
  <c r="AE50" i="17"/>
  <c r="AK50" i="17" s="1"/>
  <c r="AJ40" i="17"/>
  <c r="AR40" i="17"/>
  <c r="AV40" i="17" s="1"/>
  <c r="AE40" i="17"/>
  <c r="AK40" i="17" s="1"/>
  <c r="AR294" i="17"/>
  <c r="AV294" i="17" s="1"/>
  <c r="AJ294" i="17"/>
  <c r="AE294" i="17"/>
  <c r="AK294" i="17" s="1"/>
  <c r="AE260" i="17"/>
  <c r="AK260" i="17" s="1"/>
  <c r="AR260" i="17"/>
  <c r="AV260" i="17" s="1"/>
  <c r="AJ260" i="17"/>
  <c r="AE65" i="17"/>
  <c r="AK65" i="17" s="1"/>
  <c r="AR65" i="17"/>
  <c r="AV65" i="17" s="1"/>
  <c r="AJ65" i="17"/>
  <c r="AR144" i="17"/>
  <c r="AV144" i="17" s="1"/>
  <c r="AJ144" i="17"/>
  <c r="AE144" i="17"/>
  <c r="AK144" i="17" s="1"/>
  <c r="AM55" i="17"/>
  <c r="V55" i="17"/>
  <c r="W55" i="17" s="1"/>
  <c r="AR495" i="17"/>
  <c r="AV495" i="17" s="1"/>
  <c r="AJ495" i="17"/>
  <c r="AE495" i="17"/>
  <c r="AK495" i="17" s="1"/>
  <c r="AR379" i="17"/>
  <c r="AV379" i="17" s="1"/>
  <c r="AE379" i="17"/>
  <c r="AK379" i="17" s="1"/>
  <c r="AJ379" i="17"/>
  <c r="AJ221" i="17"/>
  <c r="AR221" i="17"/>
  <c r="AV221" i="17" s="1"/>
  <c r="AE221" i="17"/>
  <c r="AK221" i="17" s="1"/>
  <c r="AE373" i="17"/>
  <c r="AK373" i="17" s="1"/>
  <c r="AR373" i="17"/>
  <c r="AV373" i="17" s="1"/>
  <c r="AJ373" i="17"/>
  <c r="AR44" i="17"/>
  <c r="AV44" i="17" s="1"/>
  <c r="AE44" i="17"/>
  <c r="AK44" i="17" s="1"/>
  <c r="AJ44" i="17"/>
  <c r="AE262" i="17"/>
  <c r="AK262" i="17" s="1"/>
  <c r="AR262" i="17"/>
  <c r="AV262" i="17" s="1"/>
  <c r="AJ262" i="17"/>
  <c r="AE271" i="17"/>
  <c r="AK271" i="17" s="1"/>
  <c r="AR271" i="17"/>
  <c r="AV271" i="17" s="1"/>
  <c r="AJ271" i="17"/>
  <c r="AE264" i="17"/>
  <c r="AK264" i="17" s="1"/>
  <c r="AR264" i="17"/>
  <c r="AV264" i="17" s="1"/>
  <c r="AJ264" i="17"/>
  <c r="AE95" i="17"/>
  <c r="AK95" i="17" s="1"/>
  <c r="AR95" i="17"/>
  <c r="AV95" i="17" s="1"/>
  <c r="AJ95" i="17"/>
  <c r="AE6" i="17"/>
  <c r="AK6" i="17" s="1"/>
  <c r="AR6" i="17"/>
  <c r="AV6" i="17" s="1"/>
  <c r="AJ6" i="17"/>
  <c r="AE248" i="17"/>
  <c r="AK248" i="17" s="1"/>
  <c r="AR248" i="17"/>
  <c r="AV248" i="17" s="1"/>
  <c r="AJ248" i="17"/>
  <c r="AE102" i="17"/>
  <c r="AK102" i="17" s="1"/>
  <c r="AR102" i="17"/>
  <c r="AV102" i="17" s="1"/>
  <c r="AJ102" i="17"/>
  <c r="AJ417" i="17"/>
  <c r="AR417" i="17"/>
  <c r="AV417" i="17" s="1"/>
  <c r="AE417" i="17"/>
  <c r="AK417" i="17" s="1"/>
  <c r="AE385" i="17"/>
  <c r="AK385" i="17" s="1"/>
  <c r="AR385" i="17"/>
  <c r="AV385" i="17" s="1"/>
  <c r="AJ385" i="17"/>
  <c r="AE84" i="17"/>
  <c r="AK84" i="17" s="1"/>
  <c r="AR84" i="17"/>
  <c r="AV84" i="17" s="1"/>
  <c r="AJ84" i="17"/>
  <c r="AR256" i="17"/>
  <c r="AV256" i="17" s="1"/>
  <c r="AJ256" i="17"/>
  <c r="AE256" i="17"/>
  <c r="AK256" i="17" s="1"/>
  <c r="AE85" i="17"/>
  <c r="AK85" i="17" s="1"/>
  <c r="AR85" i="17"/>
  <c r="AV85" i="17" s="1"/>
  <c r="AJ85" i="17"/>
  <c r="AJ168" i="17"/>
  <c r="AR168" i="17"/>
  <c r="AV168" i="17" s="1"/>
  <c r="AE168" i="17"/>
  <c r="AK168" i="17" s="1"/>
  <c r="AE20" i="17"/>
  <c r="AK20" i="17" s="1"/>
  <c r="AR20" i="17"/>
  <c r="AV20" i="17" s="1"/>
  <c r="AJ20" i="17"/>
  <c r="AE64" i="17"/>
  <c r="AK64" i="17" s="1"/>
  <c r="AR64" i="17"/>
  <c r="AV64" i="17" s="1"/>
  <c r="AJ64" i="17"/>
  <c r="AJ389" i="17"/>
  <c r="AR389" i="17"/>
  <c r="AV389" i="17" s="1"/>
  <c r="AE389" i="17"/>
  <c r="AK389" i="17" s="1"/>
  <c r="AR67" i="17"/>
  <c r="AV67" i="17" s="1"/>
  <c r="AJ67" i="17"/>
  <c r="AE67" i="17"/>
  <c r="AR370" i="17"/>
  <c r="AV370" i="17" s="1"/>
  <c r="AE370" i="17"/>
  <c r="AK370" i="17" s="1"/>
  <c r="AJ370" i="17"/>
  <c r="AJ98" i="17"/>
  <c r="AR98" i="17"/>
  <c r="AV98" i="17" s="1"/>
  <c r="AE98" i="17"/>
  <c r="AK98" i="17" s="1"/>
  <c r="AE22" i="17"/>
  <c r="AK22" i="17" s="1"/>
  <c r="AR22" i="17"/>
  <c r="AV22" i="17" s="1"/>
  <c r="AJ22" i="17"/>
  <c r="AE138" i="17"/>
  <c r="AK138" i="17" s="1"/>
  <c r="AR138" i="17"/>
  <c r="AV138" i="17" s="1"/>
  <c r="AJ138" i="17"/>
  <c r="AJ296" i="17"/>
  <c r="AR296" i="17"/>
  <c r="AV296" i="17" s="1"/>
  <c r="AE296" i="17"/>
  <c r="AK296" i="17" s="1"/>
  <c r="AE236" i="17"/>
  <c r="AK236" i="17" s="1"/>
  <c r="AR236" i="17"/>
  <c r="AV236" i="17" s="1"/>
  <c r="AJ236" i="17"/>
  <c r="AR422" i="17"/>
  <c r="AV422" i="17" s="1"/>
  <c r="AE422" i="17"/>
  <c r="AK422" i="17" s="1"/>
  <c r="AJ422" i="17"/>
  <c r="AR372" i="17"/>
  <c r="AV372" i="17" s="1"/>
  <c r="AJ372" i="17"/>
  <c r="AE372" i="17"/>
  <c r="AK372" i="17" s="1"/>
  <c r="AE306" i="17"/>
  <c r="AK306" i="17" s="1"/>
  <c r="AR306" i="17"/>
  <c r="AV306" i="17" s="1"/>
  <c r="AJ306" i="17"/>
  <c r="AR424" i="17"/>
  <c r="AV424" i="17" s="1"/>
  <c r="AE424" i="17"/>
  <c r="AK424" i="17" s="1"/>
  <c r="AJ424" i="17"/>
  <c r="AJ12" i="17"/>
  <c r="AR12" i="17"/>
  <c r="AV12" i="17" s="1"/>
  <c r="AE12" i="17"/>
  <c r="AK12" i="17" s="1"/>
  <c r="AE259" i="17"/>
  <c r="AK259" i="17" s="1"/>
  <c r="AR259" i="17"/>
  <c r="AV259" i="17" s="1"/>
  <c r="AJ259" i="17"/>
  <c r="AJ298" i="17"/>
  <c r="AR298" i="17"/>
  <c r="AV298" i="17" s="1"/>
  <c r="AE298" i="17"/>
  <c r="AK298" i="17" s="1"/>
  <c r="AJ79" i="17"/>
  <c r="AR79" i="17"/>
  <c r="AV79" i="17" s="1"/>
  <c r="AE79" i="17"/>
  <c r="AK79" i="17" s="1"/>
  <c r="AJ420" i="17"/>
  <c r="AR420" i="17"/>
  <c r="AV420" i="17" s="1"/>
  <c r="AE420" i="17"/>
  <c r="AK420" i="17" s="1"/>
  <c r="AR125" i="17"/>
  <c r="AV125" i="17" s="1"/>
  <c r="AJ125" i="17"/>
  <c r="AE125" i="17"/>
  <c r="AK125" i="17" s="1"/>
  <c r="AJ292" i="17"/>
  <c r="AR292" i="17"/>
  <c r="AV292" i="17" s="1"/>
  <c r="AE292" i="17"/>
  <c r="AK292" i="17" s="1"/>
  <c r="AJ126" i="17"/>
  <c r="AR126" i="17"/>
  <c r="AV126" i="17" s="1"/>
  <c r="AE126" i="17"/>
  <c r="AK126" i="17" s="1"/>
  <c r="AJ49" i="17"/>
  <c r="AR49" i="17"/>
  <c r="AV49" i="17" s="1"/>
  <c r="AE49" i="17"/>
  <c r="AK49" i="17" s="1"/>
  <c r="AJ167" i="17"/>
  <c r="AR167" i="17"/>
  <c r="AV167" i="17" s="1"/>
  <c r="AE167" i="17"/>
  <c r="AK167" i="17" s="1"/>
  <c r="AJ87" i="17"/>
  <c r="AR87" i="17"/>
  <c r="AV87" i="17" s="1"/>
  <c r="AE87" i="17"/>
  <c r="AK87" i="17" s="1"/>
  <c r="AJ129" i="17"/>
  <c r="AR129" i="17"/>
  <c r="AV129" i="17" s="1"/>
  <c r="AE129" i="17"/>
  <c r="AK129" i="17" s="1"/>
  <c r="AJ8" i="17"/>
  <c r="AR8" i="17"/>
  <c r="AV8" i="17" s="1"/>
  <c r="AE8" i="17"/>
  <c r="AK8" i="17" s="1"/>
  <c r="AJ429" i="17"/>
  <c r="AR429" i="17"/>
  <c r="AV429" i="17" s="1"/>
  <c r="AE429" i="17"/>
  <c r="AK429" i="17" s="1"/>
  <c r="AE24" i="17"/>
  <c r="AK24" i="17" s="1"/>
  <c r="AR24" i="17"/>
  <c r="AV24" i="17" s="1"/>
  <c r="AJ24" i="17"/>
  <c r="AE499" i="17"/>
  <c r="AK499" i="17" s="1"/>
  <c r="AR499" i="17"/>
  <c r="AV499" i="17" s="1"/>
  <c r="AJ499" i="17"/>
  <c r="AE443" i="17"/>
  <c r="AK443" i="17" s="1"/>
  <c r="AR443" i="17"/>
  <c r="AV443" i="17" s="1"/>
  <c r="AJ443" i="17"/>
  <c r="AE14" i="17"/>
  <c r="AK14" i="17" s="1"/>
  <c r="AR14" i="17"/>
  <c r="AV14" i="17" s="1"/>
  <c r="AJ14" i="17"/>
  <c r="AR391" i="17"/>
  <c r="AV391" i="17" s="1"/>
  <c r="AE391" i="17"/>
  <c r="AK391" i="17" s="1"/>
  <c r="AJ391" i="17"/>
  <c r="AR72" i="17"/>
  <c r="AV72" i="17" s="1"/>
  <c r="AJ72" i="17"/>
  <c r="AE72" i="17"/>
  <c r="AK72" i="17" s="1"/>
  <c r="AE216" i="17"/>
  <c r="AK216" i="17" s="1"/>
  <c r="AR216" i="17"/>
  <c r="AV216" i="17" s="1"/>
  <c r="AJ216" i="17"/>
  <c r="AE131" i="17"/>
  <c r="AK131" i="17" s="1"/>
  <c r="AR131" i="17"/>
  <c r="AV131" i="17" s="1"/>
  <c r="AJ131" i="17"/>
  <c r="AR305" i="17"/>
  <c r="AV305" i="17" s="1"/>
  <c r="AJ305" i="17"/>
  <c r="AE305" i="17"/>
  <c r="AK305" i="17" s="1"/>
  <c r="AR392" i="17"/>
  <c r="AV392" i="17" s="1"/>
  <c r="AJ392" i="17"/>
  <c r="AE392" i="17"/>
  <c r="AK392" i="17" s="1"/>
  <c r="AJ299" i="17"/>
  <c r="AR299" i="17"/>
  <c r="AV299" i="17" s="1"/>
  <c r="AE299" i="17"/>
  <c r="AK299" i="17" s="1"/>
  <c r="AJ94" i="17"/>
  <c r="AR94" i="17"/>
  <c r="AV94" i="17" s="1"/>
  <c r="AE94" i="17"/>
  <c r="AJ91" i="17"/>
  <c r="AR91" i="17"/>
  <c r="AV91" i="17" s="1"/>
  <c r="AE91" i="17"/>
  <c r="AK91" i="17" s="1"/>
  <c r="AJ160" i="17"/>
  <c r="AR160" i="17"/>
  <c r="AV160" i="17" s="1"/>
  <c r="AE160" i="17"/>
  <c r="AK160" i="17" s="1"/>
  <c r="AR150" i="17"/>
  <c r="AV150" i="17" s="1"/>
  <c r="AE150" i="17"/>
  <c r="AK150" i="17" s="1"/>
  <c r="AJ150" i="17"/>
  <c r="AJ148" i="17"/>
  <c r="AR148" i="17"/>
  <c r="AV148" i="17" s="1"/>
  <c r="AE148" i="17"/>
  <c r="AE387" i="17"/>
  <c r="AK387" i="17" s="1"/>
  <c r="AR387" i="17"/>
  <c r="AV387" i="17" s="1"/>
  <c r="AJ387" i="17"/>
  <c r="AR124" i="17"/>
  <c r="AV124" i="17" s="1"/>
  <c r="AE124" i="17"/>
  <c r="AK124" i="17" s="1"/>
  <c r="AJ124" i="17"/>
  <c r="AE19" i="17"/>
  <c r="AK19" i="17" s="1"/>
  <c r="AR19" i="17"/>
  <c r="AV19" i="17" s="1"/>
  <c r="AJ19" i="17"/>
  <c r="AR184" i="17"/>
  <c r="AV184" i="17" s="1"/>
  <c r="AE184" i="17"/>
  <c r="AK184" i="17" s="1"/>
  <c r="AJ184" i="17"/>
  <c r="AR233" i="17"/>
  <c r="AV233" i="17" s="1"/>
  <c r="AJ233" i="17"/>
  <c r="AE233" i="17"/>
  <c r="AK233" i="17" s="1"/>
  <c r="AR176" i="17"/>
  <c r="AV176" i="17" s="1"/>
  <c r="AJ176" i="17"/>
  <c r="AE176" i="17"/>
  <c r="AK176" i="17" s="1"/>
  <c r="AR43" i="17"/>
  <c r="AV43" i="17" s="1"/>
  <c r="AE43" i="17"/>
  <c r="AK43" i="17" s="1"/>
  <c r="AJ43" i="17"/>
  <c r="AR441" i="17"/>
  <c r="AV441" i="17" s="1"/>
  <c r="AE441" i="17"/>
  <c r="AK441" i="17" s="1"/>
  <c r="AJ441" i="17"/>
  <c r="AJ100" i="17"/>
  <c r="AR100" i="17"/>
  <c r="AV100" i="17" s="1"/>
  <c r="AE100" i="17"/>
  <c r="AK100" i="17" s="1"/>
  <c r="AE39" i="17"/>
  <c r="AK39" i="17" s="1"/>
  <c r="AR39" i="17"/>
  <c r="AV39" i="17" s="1"/>
  <c r="AJ39" i="17"/>
  <c r="AR186" i="17"/>
  <c r="AV186" i="17" s="1"/>
  <c r="AJ186" i="17"/>
  <c r="AE186" i="17"/>
  <c r="AK186" i="17" s="1"/>
  <c r="AE267" i="17"/>
  <c r="AK267" i="17" s="1"/>
  <c r="AR267" i="17"/>
  <c r="AV267" i="17" s="1"/>
  <c r="AJ267" i="17"/>
  <c r="AE241" i="17"/>
  <c r="AK241" i="17" s="1"/>
  <c r="AR241" i="17"/>
  <c r="AV241" i="17" s="1"/>
  <c r="AJ241" i="17"/>
  <c r="AJ438" i="17"/>
  <c r="AR438" i="17"/>
  <c r="AV438" i="17" s="1"/>
  <c r="AE438" i="17"/>
  <c r="AK438" i="17" s="1"/>
  <c r="AR496" i="17"/>
  <c r="AV496" i="17" s="1"/>
  <c r="AE496" i="17"/>
  <c r="AK496" i="17" s="1"/>
  <c r="AJ496" i="17"/>
  <c r="AE10" i="17"/>
  <c r="AK10" i="17" s="1"/>
  <c r="AR10" i="17"/>
  <c r="AV10" i="17" s="1"/>
  <c r="AJ10" i="17"/>
  <c r="AJ178" i="17"/>
  <c r="AR178" i="17"/>
  <c r="AV178" i="17" s="1"/>
  <c r="AE178" i="17"/>
  <c r="AK178" i="17" s="1"/>
  <c r="AJ268" i="17"/>
  <c r="AR268" i="17"/>
  <c r="AV268" i="17" s="1"/>
  <c r="AE268" i="17"/>
  <c r="AK268" i="17" s="1"/>
  <c r="AR439" i="17"/>
  <c r="AV439" i="17" s="1"/>
  <c r="AE439" i="17"/>
  <c r="AK439" i="17" s="1"/>
  <c r="AJ439" i="17"/>
  <c r="AE217" i="17"/>
  <c r="AK217" i="17" s="1"/>
  <c r="AR217" i="17"/>
  <c r="AV217" i="17" s="1"/>
  <c r="AJ217" i="17"/>
  <c r="AJ411" i="17"/>
  <c r="AR411" i="17"/>
  <c r="AV411" i="17" s="1"/>
  <c r="AE411" i="17"/>
  <c r="AK411" i="17" s="1"/>
  <c r="AJ137" i="17"/>
  <c r="AR137" i="17"/>
  <c r="AV137" i="17" s="1"/>
  <c r="AE137" i="17"/>
  <c r="AK137" i="17" s="1"/>
  <c r="AJ491" i="17"/>
  <c r="AR491" i="17"/>
  <c r="AV491" i="17" s="1"/>
  <c r="AE491" i="17"/>
  <c r="AK491" i="17" s="1"/>
  <c r="AE354" i="17"/>
  <c r="AK354" i="17" s="1"/>
  <c r="AR354" i="17"/>
  <c r="AV354" i="17" s="1"/>
  <c r="AJ354" i="17"/>
  <c r="AJ63" i="17"/>
  <c r="AR63" i="17"/>
  <c r="AV63" i="17" s="1"/>
  <c r="AE63" i="17"/>
  <c r="AK63" i="17" s="1"/>
  <c r="AR406" i="17"/>
  <c r="AV406" i="17" s="1"/>
  <c r="AJ406" i="17"/>
  <c r="AE406" i="17"/>
  <c r="AK406" i="17" s="1"/>
  <c r="AJ25" i="17"/>
  <c r="AR25" i="17"/>
  <c r="AV25" i="17" s="1"/>
  <c r="AE25" i="17"/>
  <c r="AK25" i="17" s="1"/>
  <c r="AR245" i="17"/>
  <c r="AV245" i="17" s="1"/>
  <c r="AJ245" i="17"/>
  <c r="AE245" i="17"/>
  <c r="AK245" i="17" s="1"/>
  <c r="AJ225" i="17"/>
  <c r="AR225" i="17"/>
  <c r="AV225" i="17" s="1"/>
  <c r="AE225" i="17"/>
  <c r="AK225" i="17" s="1"/>
  <c r="AJ88" i="17"/>
  <c r="AR88" i="17"/>
  <c r="AV88" i="17" s="1"/>
  <c r="AE88" i="17"/>
  <c r="AK88" i="17" s="1"/>
  <c r="AJ69" i="17"/>
  <c r="AR69" i="17"/>
  <c r="AV69" i="17" s="1"/>
  <c r="AE69" i="17"/>
  <c r="AE234" i="17"/>
  <c r="AK234" i="17" s="1"/>
  <c r="AR234" i="17"/>
  <c r="AV234" i="17" s="1"/>
  <c r="AJ234" i="17"/>
  <c r="AJ90" i="17"/>
  <c r="AR90" i="17"/>
  <c r="AV90" i="17" s="1"/>
  <c r="AE90" i="17"/>
  <c r="AK90" i="17" s="1"/>
  <c r="AJ388" i="17"/>
  <c r="AR388" i="17"/>
  <c r="AV388" i="17" s="1"/>
  <c r="AE388" i="17"/>
  <c r="AK388" i="17" s="1"/>
  <c r="AR77" i="17"/>
  <c r="AV77" i="17" s="1"/>
  <c r="AE77" i="17"/>
  <c r="AK77" i="17" s="1"/>
  <c r="AJ77" i="17"/>
  <c r="AE60" i="17"/>
  <c r="AK60" i="17" s="1"/>
  <c r="AR60" i="17"/>
  <c r="AV60" i="17" s="1"/>
  <c r="AJ60" i="17"/>
  <c r="AE228" i="17"/>
  <c r="AK228" i="17" s="1"/>
  <c r="AR228" i="17"/>
  <c r="AV228" i="17" s="1"/>
  <c r="AJ228" i="17"/>
  <c r="AE247" i="17"/>
  <c r="AK247" i="17" s="1"/>
  <c r="AR247" i="17"/>
  <c r="AV247" i="17" s="1"/>
  <c r="AJ247" i="17"/>
  <c r="AR265" i="17"/>
  <c r="AV265" i="17" s="1"/>
  <c r="AJ265" i="17"/>
  <c r="AE265" i="17"/>
  <c r="AK265" i="17" s="1"/>
  <c r="AJ240" i="17"/>
  <c r="AR240" i="17"/>
  <c r="AV240" i="17" s="1"/>
  <c r="AE240" i="17"/>
  <c r="AK240" i="17" s="1"/>
  <c r="AJ132" i="17"/>
  <c r="AR132" i="17"/>
  <c r="AV132" i="17" s="1"/>
  <c r="AE132" i="17"/>
  <c r="AK132" i="17" s="1"/>
  <c r="AJ135" i="17"/>
  <c r="AR135" i="17"/>
  <c r="AV135" i="17" s="1"/>
  <c r="AE135" i="17"/>
  <c r="AK135" i="17" s="1"/>
  <c r="AR45" i="17"/>
  <c r="AV45" i="17" s="1"/>
  <c r="AE45" i="17"/>
  <c r="AK45" i="17" s="1"/>
  <c r="AJ45" i="17"/>
  <c r="AE136" i="17"/>
  <c r="AK136" i="17" s="1"/>
  <c r="AR136" i="17"/>
  <c r="AV136" i="17" s="1"/>
  <c r="AJ136" i="17"/>
  <c r="AR440" i="17"/>
  <c r="AV440" i="17" s="1"/>
  <c r="AE440" i="17"/>
  <c r="AK440" i="17" s="1"/>
  <c r="AJ440" i="17"/>
  <c r="AE498" i="17"/>
  <c r="AK498" i="17" s="1"/>
  <c r="AR498" i="17"/>
  <c r="AV498" i="17" s="1"/>
  <c r="AJ498" i="17"/>
  <c r="AJ239" i="17"/>
  <c r="AR239" i="17"/>
  <c r="AV239" i="17" s="1"/>
  <c r="AE239" i="17"/>
  <c r="AK239" i="17" s="1"/>
  <c r="AA167" i="17" l="1"/>
  <c r="AF167" i="17" s="1"/>
  <c r="AA187" i="17"/>
  <c r="AF187" i="17" s="1"/>
  <c r="AA418" i="17"/>
  <c r="AF418" i="17" s="1"/>
  <c r="AA70" i="17"/>
  <c r="AF70" i="17" s="1"/>
  <c r="AA24" i="17"/>
  <c r="AF24" i="17" s="1"/>
  <c r="AA297" i="17"/>
  <c r="AF297" i="17" s="1"/>
  <c r="AA10" i="17"/>
  <c r="AF10" i="17" s="1"/>
  <c r="AA134" i="17"/>
  <c r="AF134" i="17" s="1"/>
  <c r="AA380" i="17"/>
  <c r="AF380" i="17" s="1"/>
  <c r="AA498" i="17"/>
  <c r="AF498" i="17" s="1"/>
  <c r="AA441" i="17"/>
  <c r="AF441" i="17" s="1"/>
  <c r="AA390" i="17"/>
  <c r="AF390" i="17" s="1"/>
  <c r="AA129" i="17"/>
  <c r="AF129" i="17" s="1"/>
  <c r="AA499" i="17"/>
  <c r="AF499" i="17" s="1"/>
  <c r="AA155" i="17"/>
  <c r="AF155" i="17" s="1"/>
  <c r="AA258" i="17"/>
  <c r="AF258" i="17" s="1"/>
  <c r="AA166" i="17"/>
  <c r="AF166" i="17" s="1"/>
  <c r="AA137" i="17"/>
  <c r="AF137" i="17" s="1"/>
  <c r="AA391" i="17"/>
  <c r="AF391" i="17" s="1"/>
  <c r="AA143" i="17"/>
  <c r="AF143" i="17" s="1"/>
  <c r="AA93" i="17"/>
  <c r="AF93" i="17" s="1"/>
  <c r="AA130" i="17"/>
  <c r="AF130" i="17" s="1"/>
  <c r="AA153" i="17"/>
  <c r="AF153" i="17" s="1"/>
  <c r="AA440" i="17"/>
  <c r="AF440" i="17" s="1"/>
  <c r="AA305" i="17"/>
  <c r="AF305" i="17" s="1"/>
  <c r="AA2" i="17"/>
  <c r="AF2" i="17" s="1"/>
  <c r="AA62" i="17"/>
  <c r="AF62" i="17" s="1"/>
  <c r="AA447" i="17"/>
  <c r="AF447" i="17" s="1"/>
  <c r="AA265" i="17"/>
  <c r="AF265" i="17" s="1"/>
  <c r="AA186" i="17"/>
  <c r="AF186" i="17" s="1"/>
  <c r="AA495" i="17"/>
  <c r="AF495" i="17" s="1"/>
  <c r="AA260" i="17"/>
  <c r="AF260" i="17" s="1"/>
  <c r="AA423" i="17"/>
  <c r="AF423" i="17" s="1"/>
  <c r="AA156" i="17"/>
  <c r="AF156" i="17" s="1"/>
  <c r="AA386" i="17"/>
  <c r="AF386" i="17" s="1"/>
  <c r="AA41" i="17"/>
  <c r="AF41" i="17" s="1"/>
  <c r="AA133" i="17"/>
  <c r="AF133" i="17" s="1"/>
  <c r="AA241" i="17"/>
  <c r="AF241" i="17" s="1"/>
  <c r="AA8" i="17"/>
  <c r="AF8" i="17" s="1"/>
  <c r="AA259" i="17"/>
  <c r="AF259" i="17" s="1"/>
  <c r="AA236" i="17"/>
  <c r="AF236" i="17" s="1"/>
  <c r="AA68" i="17"/>
  <c r="AF68" i="17" s="1"/>
  <c r="AA356" i="17"/>
  <c r="AF356" i="17" s="1"/>
  <c r="AA83" i="17"/>
  <c r="AF83" i="17" s="1"/>
  <c r="AA57" i="17"/>
  <c r="AF57" i="17" s="1"/>
  <c r="AA136" i="17"/>
  <c r="AF136" i="17" s="1"/>
  <c r="AA131" i="17"/>
  <c r="AF131" i="17" s="1"/>
  <c r="AA385" i="17"/>
  <c r="AF385" i="17" s="1"/>
  <c r="AA257" i="17"/>
  <c r="AF257" i="17" s="1"/>
  <c r="AA139" i="17"/>
  <c r="AF139" i="17" s="1"/>
  <c r="AA217" i="17"/>
  <c r="AF217" i="17" s="1"/>
  <c r="AA249" i="17"/>
  <c r="AF249" i="17" s="1"/>
  <c r="AA226" i="17"/>
  <c r="AF226" i="17" s="1"/>
  <c r="AA310" i="17"/>
  <c r="AF310" i="17" s="1"/>
  <c r="AA505" i="17"/>
  <c r="AF505" i="17" s="1"/>
  <c r="AA5" i="17"/>
  <c r="AF5" i="17" s="1"/>
  <c r="AA263" i="17"/>
  <c r="AF263" i="17" s="1"/>
  <c r="AA124" i="17"/>
  <c r="AF124" i="17" s="1"/>
  <c r="AA51" i="17"/>
  <c r="AF51" i="17" s="1"/>
  <c r="AA81" i="17"/>
  <c r="AF81" i="17" s="1"/>
  <c r="AA234" i="17"/>
  <c r="AF234" i="17" s="1"/>
  <c r="AA439" i="17"/>
  <c r="AF439" i="17" s="1"/>
  <c r="AA420" i="17"/>
  <c r="AF420" i="17" s="1"/>
  <c r="AA20" i="17"/>
  <c r="AF20" i="17" s="1"/>
  <c r="AA229" i="17"/>
  <c r="AF229" i="17" s="1"/>
  <c r="AA49" i="17"/>
  <c r="AF49" i="17" s="1"/>
  <c r="AA12" i="17"/>
  <c r="AF12" i="17" s="1"/>
  <c r="AA306" i="17"/>
  <c r="AF306" i="17" s="1"/>
  <c r="AA221" i="17"/>
  <c r="AF221" i="17" s="1"/>
  <c r="AA76" i="17"/>
  <c r="AF76" i="17" s="1"/>
  <c r="AA189" i="17"/>
  <c r="AF189" i="17" s="1"/>
  <c r="AA47" i="17"/>
  <c r="AF47" i="17" s="1"/>
  <c r="AA293" i="17"/>
  <c r="AF293" i="17" s="1"/>
  <c r="AA489" i="17"/>
  <c r="AF489" i="17" s="1"/>
  <c r="AA27" i="17"/>
  <c r="AF27" i="17" s="1"/>
  <c r="AA375" i="17"/>
  <c r="AF375" i="17" s="1"/>
  <c r="AA63" i="17"/>
  <c r="AF63" i="17" s="1"/>
  <c r="AA392" i="17"/>
  <c r="AF392" i="17" s="1"/>
  <c r="AA298" i="17"/>
  <c r="AF298" i="17" s="1"/>
  <c r="AA389" i="17"/>
  <c r="AF389" i="17" s="1"/>
  <c r="AA255" i="17"/>
  <c r="AF255" i="17" s="1"/>
  <c r="AA393" i="17"/>
  <c r="AF393" i="17" s="1"/>
  <c r="AA493" i="17"/>
  <c r="AF493" i="17" s="1"/>
  <c r="AA26" i="17"/>
  <c r="AF26" i="17" s="1"/>
  <c r="AA180" i="17"/>
  <c r="AF180" i="17" s="1"/>
  <c r="AA394" i="17"/>
  <c r="AF394" i="17" s="1"/>
  <c r="AA4" i="17"/>
  <c r="AF4" i="17" s="1"/>
  <c r="AA412" i="17"/>
  <c r="AF412" i="17" s="1"/>
  <c r="AA154" i="17"/>
  <c r="AF154" i="17" s="1"/>
  <c r="AA426" i="17"/>
  <c r="AF426" i="17" s="1"/>
  <c r="AA372" i="17"/>
  <c r="AF372" i="17" s="1"/>
  <c r="AA261" i="17"/>
  <c r="AF261" i="17" s="1"/>
  <c r="AA410" i="17"/>
  <c r="AF410" i="17" s="1"/>
  <c r="AA378" i="17"/>
  <c r="AF378" i="17" s="1"/>
  <c r="AA53" i="17"/>
  <c r="AF53" i="17" s="1"/>
  <c r="AA177" i="17"/>
  <c r="AF177" i="17" s="1"/>
  <c r="AA237" i="17"/>
  <c r="AF237" i="17" s="1"/>
  <c r="AA50" i="17"/>
  <c r="AF50" i="17" s="1"/>
  <c r="AA239" i="17"/>
  <c r="AF239" i="17" s="1"/>
  <c r="AA72" i="17"/>
  <c r="AF72" i="17" s="1"/>
  <c r="AA218" i="17"/>
  <c r="AF218" i="17" s="1"/>
  <c r="AA222" i="17"/>
  <c r="AF222" i="17" s="1"/>
  <c r="AA162" i="17"/>
  <c r="AF162" i="17" s="1"/>
  <c r="AA374" i="17"/>
  <c r="AF374" i="17" s="1"/>
  <c r="AA128" i="17"/>
  <c r="AF128" i="17" s="1"/>
  <c r="AA225" i="17"/>
  <c r="AF225" i="17" s="1"/>
  <c r="AA422" i="17"/>
  <c r="AF422" i="17" s="1"/>
  <c r="AA152" i="17"/>
  <c r="AF152" i="17" s="1"/>
  <c r="AA228" i="17"/>
  <c r="AF228" i="17" s="1"/>
  <c r="AA491" i="17"/>
  <c r="AF491" i="17" s="1"/>
  <c r="AA43" i="17"/>
  <c r="AF43" i="17" s="1"/>
  <c r="AA150" i="17"/>
  <c r="AF150" i="17" s="1"/>
  <c r="AA79" i="17"/>
  <c r="AF79" i="17" s="1"/>
  <c r="AA188" i="17"/>
  <c r="AF188" i="17" s="1"/>
  <c r="AA371" i="17"/>
  <c r="AF371" i="17" s="1"/>
  <c r="AA400" i="17"/>
  <c r="AF400" i="17" s="1"/>
  <c r="AA58" i="17"/>
  <c r="AF58" i="17" s="1"/>
  <c r="AA408" i="17"/>
  <c r="AF408" i="17" s="1"/>
  <c r="AA406" i="17"/>
  <c r="AF406" i="17" s="1"/>
  <c r="AA39" i="17"/>
  <c r="AF39" i="17" s="1"/>
  <c r="AA299" i="17"/>
  <c r="AF299" i="17" s="1"/>
  <c r="AA232" i="17"/>
  <c r="AF232" i="17" s="1"/>
  <c r="AA269" i="17"/>
  <c r="AF269" i="17" s="1"/>
  <c r="AG178" i="17"/>
  <c r="AL178" i="17"/>
  <c r="AL438" i="17"/>
  <c r="AG438" i="17"/>
  <c r="AA100" i="17"/>
  <c r="AF100" i="17" s="1"/>
  <c r="AA176" i="17"/>
  <c r="AF176" i="17" s="1"/>
  <c r="AG387" i="17"/>
  <c r="AL387" i="17"/>
  <c r="AA91" i="17"/>
  <c r="AF91" i="17" s="1"/>
  <c r="AG443" i="17"/>
  <c r="AL443" i="17"/>
  <c r="AG292" i="17"/>
  <c r="AL292" i="17"/>
  <c r="AL138" i="17"/>
  <c r="AG138" i="17"/>
  <c r="AL168" i="17"/>
  <c r="AG168" i="17"/>
  <c r="AL256" i="17"/>
  <c r="AG256" i="17"/>
  <c r="AG40" i="17"/>
  <c r="AL40" i="17"/>
  <c r="AG3" i="17"/>
  <c r="AL3" i="17"/>
  <c r="AL492" i="17"/>
  <c r="AG492" i="17"/>
  <c r="AG442" i="17"/>
  <c r="AL442" i="17"/>
  <c r="AL75" i="17"/>
  <c r="AG75" i="17"/>
  <c r="AL171" i="17"/>
  <c r="AG171" i="17"/>
  <c r="AA361" i="17"/>
  <c r="AF361" i="17" s="1"/>
  <c r="AA359" i="17"/>
  <c r="AF359" i="17" s="1"/>
  <c r="AA220" i="17"/>
  <c r="AF220" i="17" s="1"/>
  <c r="AL99" i="17"/>
  <c r="AG99" i="17"/>
  <c r="AL213" i="17"/>
  <c r="AG213" i="17"/>
  <c r="AL71" i="17"/>
  <c r="AG71" i="17"/>
  <c r="AL295" i="17"/>
  <c r="AG295" i="17"/>
  <c r="AG157" i="17"/>
  <c r="AL157" i="17"/>
  <c r="AA360" i="17"/>
  <c r="AF360" i="17" s="1"/>
  <c r="AG309" i="17"/>
  <c r="AL309" i="17"/>
  <c r="AL419" i="17"/>
  <c r="AG419" i="17"/>
  <c r="AL45" i="17"/>
  <c r="AG45" i="17"/>
  <c r="AL176" i="17"/>
  <c r="AG176" i="17"/>
  <c r="AA148" i="17"/>
  <c r="AF148" i="17" s="1"/>
  <c r="AK148" i="17"/>
  <c r="AL91" i="17"/>
  <c r="AG91" i="17"/>
  <c r="AG264" i="17"/>
  <c r="AL264" i="17"/>
  <c r="AG271" i="17"/>
  <c r="AL271" i="17"/>
  <c r="AL373" i="17"/>
  <c r="AG373" i="17"/>
  <c r="AG52" i="17"/>
  <c r="AL52" i="17"/>
  <c r="AG403" i="17"/>
  <c r="AL403" i="17"/>
  <c r="AG161" i="17"/>
  <c r="AL161" i="17"/>
  <c r="AA437" i="17"/>
  <c r="AF437" i="17" s="1"/>
  <c r="AK437" i="17"/>
  <c r="AL59" i="17"/>
  <c r="AG59" i="17"/>
  <c r="AG127" i="17"/>
  <c r="AL127" i="17"/>
  <c r="AG361" i="17"/>
  <c r="AL361" i="17"/>
  <c r="AG359" i="17"/>
  <c r="AL359" i="17"/>
  <c r="AL220" i="17"/>
  <c r="AG220" i="17"/>
  <c r="AL42" i="17"/>
  <c r="AG42" i="17"/>
  <c r="AL427" i="17"/>
  <c r="AG427" i="17"/>
  <c r="AL360" i="17"/>
  <c r="AG360" i="17"/>
  <c r="AG246" i="17"/>
  <c r="AL246" i="17"/>
  <c r="AL57" i="17"/>
  <c r="AG57" i="17"/>
  <c r="AG408" i="17"/>
  <c r="AL408" i="17"/>
  <c r="AG77" i="17"/>
  <c r="AL77" i="17"/>
  <c r="AL234" i="17"/>
  <c r="AG234" i="17"/>
  <c r="AG439" i="17"/>
  <c r="AL439" i="17"/>
  <c r="AG186" i="17"/>
  <c r="AL186" i="17"/>
  <c r="AA14" i="17"/>
  <c r="AF14" i="17" s="1"/>
  <c r="AG129" i="17"/>
  <c r="AL129" i="17"/>
  <c r="AL422" i="17"/>
  <c r="AG422" i="17"/>
  <c r="AG102" i="17"/>
  <c r="AL102" i="17"/>
  <c r="AL6" i="17"/>
  <c r="AG6" i="17"/>
  <c r="AA262" i="17"/>
  <c r="AF262" i="17" s="1"/>
  <c r="AG495" i="17"/>
  <c r="AL495" i="17"/>
  <c r="AG65" i="17"/>
  <c r="AL65" i="17"/>
  <c r="AA21" i="17"/>
  <c r="AF21" i="17" s="1"/>
  <c r="AG61" i="17"/>
  <c r="AL61" i="17"/>
  <c r="AA214" i="17"/>
  <c r="AF214" i="17" s="1"/>
  <c r="AK214" i="17"/>
  <c r="AL297" i="17"/>
  <c r="AG297" i="17"/>
  <c r="AL222" i="17"/>
  <c r="AG222" i="17"/>
  <c r="AG307" i="17"/>
  <c r="AL307" i="17"/>
  <c r="AG2" i="17"/>
  <c r="AL2" i="17"/>
  <c r="AA179" i="17"/>
  <c r="AF179" i="17" s="1"/>
  <c r="AA219" i="17"/>
  <c r="AF219" i="17" s="1"/>
  <c r="AL310" i="17"/>
  <c r="AG310" i="17"/>
  <c r="AA308" i="17"/>
  <c r="AF308" i="17" s="1"/>
  <c r="AA127" i="17"/>
  <c r="AF127" i="17" s="1"/>
  <c r="AL378" i="17"/>
  <c r="AG378" i="17"/>
  <c r="AG143" i="17"/>
  <c r="AL143" i="17"/>
  <c r="AG390" i="17"/>
  <c r="AL390" i="17"/>
  <c r="AG291" i="17"/>
  <c r="AL291" i="17"/>
  <c r="AG31" i="17"/>
  <c r="AL31" i="17"/>
  <c r="AG189" i="17"/>
  <c r="AL189" i="17"/>
  <c r="AA46" i="17"/>
  <c r="AF46" i="17" s="1"/>
  <c r="AA89" i="17"/>
  <c r="AF89" i="17" s="1"/>
  <c r="AA409" i="17"/>
  <c r="AF409" i="17" s="1"/>
  <c r="AG418" i="17"/>
  <c r="AL418" i="17"/>
  <c r="AA238" i="17"/>
  <c r="AF238" i="17" s="1"/>
  <c r="AA503" i="17"/>
  <c r="AF503" i="17" s="1"/>
  <c r="AA42" i="17"/>
  <c r="AF42" i="17" s="1"/>
  <c r="AA227" i="17"/>
  <c r="AF227" i="17" s="1"/>
  <c r="AA434" i="17"/>
  <c r="AF434" i="17" s="1"/>
  <c r="AG58" i="17"/>
  <c r="AL58" i="17"/>
  <c r="AA435" i="17"/>
  <c r="AF435" i="17" s="1"/>
  <c r="AG177" i="17"/>
  <c r="AL177" i="17"/>
  <c r="AA363" i="17"/>
  <c r="AF363" i="17" s="1"/>
  <c r="AA135" i="17"/>
  <c r="AF135" i="17" s="1"/>
  <c r="AG228" i="17"/>
  <c r="AL228" i="17"/>
  <c r="AA388" i="17"/>
  <c r="AF388" i="17" s="1"/>
  <c r="AA69" i="17"/>
  <c r="AF69" i="17" s="1"/>
  <c r="AK69" i="17"/>
  <c r="AL63" i="17"/>
  <c r="AG63" i="17"/>
  <c r="AL241" i="17"/>
  <c r="AG241" i="17"/>
  <c r="AA184" i="17"/>
  <c r="AF184" i="17" s="1"/>
  <c r="AL392" i="17"/>
  <c r="AG392" i="17"/>
  <c r="AL391" i="17"/>
  <c r="AG391" i="17"/>
  <c r="AA125" i="17"/>
  <c r="AF125" i="17" s="1"/>
  <c r="AL12" i="17"/>
  <c r="AG12" i="17"/>
  <c r="AA98" i="17"/>
  <c r="AF98" i="17" s="1"/>
  <c r="AG389" i="17"/>
  <c r="AL389" i="17"/>
  <c r="AA84" i="17"/>
  <c r="AF84" i="17" s="1"/>
  <c r="AA379" i="17"/>
  <c r="AF379" i="17" s="1"/>
  <c r="AA101" i="17"/>
  <c r="AF101" i="17" s="1"/>
  <c r="AL76" i="17"/>
  <c r="AG76" i="17"/>
  <c r="AL219" i="17"/>
  <c r="AG219" i="17"/>
  <c r="AM103" i="17"/>
  <c r="V103" i="17"/>
  <c r="W103" i="17" s="1"/>
  <c r="AL489" i="17"/>
  <c r="AG489" i="17"/>
  <c r="AG46" i="17"/>
  <c r="AL46" i="17"/>
  <c r="AL215" i="17"/>
  <c r="AG215" i="17"/>
  <c r="AL89" i="17"/>
  <c r="AG89" i="17"/>
  <c r="AG409" i="17"/>
  <c r="AL409" i="17"/>
  <c r="AG400" i="17"/>
  <c r="AL400" i="17"/>
  <c r="AA185" i="17"/>
  <c r="AF185" i="17" s="1"/>
  <c r="AA54" i="17"/>
  <c r="AF54" i="17" s="1"/>
  <c r="AL238" i="17"/>
  <c r="AG238" i="17"/>
  <c r="AA427" i="17"/>
  <c r="AF427" i="17" s="1"/>
  <c r="AG227" i="17"/>
  <c r="AL227" i="17"/>
  <c r="AA86" i="17"/>
  <c r="AF86" i="17" s="1"/>
  <c r="AG41" i="17"/>
  <c r="AL41" i="17"/>
  <c r="AG237" i="17"/>
  <c r="AL237" i="17"/>
  <c r="AG394" i="17"/>
  <c r="AL394" i="17"/>
  <c r="AG363" i="17"/>
  <c r="AL363" i="17"/>
  <c r="AG293" i="17"/>
  <c r="AL293" i="17"/>
  <c r="AG135" i="17"/>
  <c r="AL135" i="17"/>
  <c r="AG388" i="17"/>
  <c r="AL388" i="17"/>
  <c r="AG225" i="17"/>
  <c r="AL225" i="17"/>
  <c r="AA411" i="17"/>
  <c r="AF411" i="17" s="1"/>
  <c r="AA233" i="17"/>
  <c r="AF233" i="17" s="1"/>
  <c r="AL131" i="17"/>
  <c r="AG131" i="17"/>
  <c r="AG499" i="17"/>
  <c r="AL499" i="17"/>
  <c r="AL24" i="17"/>
  <c r="AG24" i="17"/>
  <c r="AG125" i="17"/>
  <c r="AL125" i="17"/>
  <c r="AL298" i="17"/>
  <c r="AG298" i="17"/>
  <c r="AL98" i="17"/>
  <c r="AG98" i="17"/>
  <c r="AG101" i="17"/>
  <c r="AL101" i="17"/>
  <c r="AG226" i="17"/>
  <c r="AL226" i="17"/>
  <c r="AG188" i="17"/>
  <c r="AL188" i="17"/>
  <c r="AL257" i="17"/>
  <c r="AG257" i="17"/>
  <c r="AA9" i="17"/>
  <c r="AF9" i="17" s="1"/>
  <c r="AA404" i="17"/>
  <c r="AF404" i="17" s="1"/>
  <c r="AG447" i="17"/>
  <c r="AL447" i="17"/>
  <c r="AL255" i="17"/>
  <c r="AG255" i="17"/>
  <c r="AG386" i="17"/>
  <c r="AL386" i="17"/>
  <c r="AA215" i="17"/>
  <c r="AF215" i="17" s="1"/>
  <c r="AG139" i="17"/>
  <c r="AL139" i="17"/>
  <c r="AA303" i="17"/>
  <c r="AF303" i="17" s="1"/>
  <c r="AL503" i="17"/>
  <c r="AG503" i="17"/>
  <c r="AA490" i="17"/>
  <c r="AF490" i="17" s="1"/>
  <c r="AG47" i="17"/>
  <c r="AL47" i="17"/>
  <c r="AG435" i="17"/>
  <c r="AL435" i="17"/>
  <c r="AA300" i="17"/>
  <c r="AF300" i="17" s="1"/>
  <c r="AL229" i="17"/>
  <c r="AG229" i="17"/>
  <c r="AA7" i="17"/>
  <c r="AF7" i="17" s="1"/>
  <c r="AA384" i="17"/>
  <c r="AF384" i="17" s="1"/>
  <c r="AL440" i="17"/>
  <c r="AG440" i="17"/>
  <c r="AG411" i="17"/>
  <c r="AL411" i="17"/>
  <c r="AL184" i="17"/>
  <c r="AG184" i="17"/>
  <c r="AL87" i="17"/>
  <c r="AG87" i="17"/>
  <c r="AL262" i="17"/>
  <c r="AG262" i="17"/>
  <c r="AL379" i="17"/>
  <c r="AG379" i="17"/>
  <c r="AL21" i="17"/>
  <c r="AG21" i="17"/>
  <c r="AL158" i="17"/>
  <c r="AG158" i="17"/>
  <c r="AL179" i="17"/>
  <c r="AG179" i="17"/>
  <c r="AG272" i="17"/>
  <c r="AL272" i="17"/>
  <c r="AL308" i="17"/>
  <c r="AG308" i="17"/>
  <c r="AG399" i="17"/>
  <c r="AL399" i="17"/>
  <c r="AL9" i="17"/>
  <c r="AG9" i="17"/>
  <c r="AL404" i="17"/>
  <c r="AG404" i="17"/>
  <c r="AL426" i="17"/>
  <c r="AG426" i="17"/>
  <c r="AG303" i="17"/>
  <c r="AL303" i="17"/>
  <c r="AG185" i="17"/>
  <c r="AL185" i="17"/>
  <c r="AL54" i="17"/>
  <c r="AG54" i="17"/>
  <c r="AG434" i="17"/>
  <c r="AL434" i="17"/>
  <c r="AG86" i="17"/>
  <c r="AL86" i="17"/>
  <c r="AL490" i="17"/>
  <c r="AG490" i="17"/>
  <c r="AG300" i="17"/>
  <c r="AL300" i="17"/>
  <c r="AL7" i="17"/>
  <c r="AG7" i="17"/>
  <c r="AL384" i="17"/>
  <c r="AG384" i="17"/>
  <c r="AG239" i="17"/>
  <c r="AL239" i="17"/>
  <c r="AA247" i="17"/>
  <c r="AF247" i="17" s="1"/>
  <c r="AL233" i="17"/>
  <c r="AG233" i="17"/>
  <c r="AG14" i="17"/>
  <c r="AL14" i="17"/>
  <c r="AG429" i="17"/>
  <c r="AL429" i="17"/>
  <c r="AA240" i="17"/>
  <c r="AF240" i="17" s="1"/>
  <c r="AA88" i="17"/>
  <c r="AF88" i="17" s="1"/>
  <c r="AA25" i="17"/>
  <c r="AF25" i="17" s="1"/>
  <c r="AG10" i="17"/>
  <c r="AL10" i="17"/>
  <c r="AG441" i="17"/>
  <c r="AL441" i="17"/>
  <c r="AG150" i="17"/>
  <c r="AL150" i="17"/>
  <c r="AA216" i="17"/>
  <c r="AF216" i="17" s="1"/>
  <c r="AA429" i="17"/>
  <c r="AF429" i="17" s="1"/>
  <c r="AA87" i="17"/>
  <c r="AF87" i="17" s="1"/>
  <c r="AL167" i="17"/>
  <c r="AG167" i="17"/>
  <c r="AA424" i="17"/>
  <c r="AF424" i="17" s="1"/>
  <c r="AL84" i="17"/>
  <c r="AG84" i="17"/>
  <c r="AA95" i="17"/>
  <c r="AF95" i="17" s="1"/>
  <c r="AA44" i="17"/>
  <c r="AF44" i="17" s="1"/>
  <c r="AG260" i="17"/>
  <c r="AL260" i="17"/>
  <c r="AG152" i="17"/>
  <c r="AL152" i="17"/>
  <c r="AL258" i="17"/>
  <c r="AG258" i="17"/>
  <c r="AL153" i="17"/>
  <c r="AG153" i="17"/>
  <c r="AA169" i="17"/>
  <c r="AF169" i="17" s="1"/>
  <c r="AG5" i="17"/>
  <c r="AL5" i="17"/>
  <c r="AA407" i="17"/>
  <c r="AF407" i="17" s="1"/>
  <c r="AA272" i="17"/>
  <c r="AF272" i="17" s="1"/>
  <c r="AA314" i="17"/>
  <c r="AF314" i="17" s="1"/>
  <c r="AG380" i="17"/>
  <c r="AL380" i="17"/>
  <c r="AL371" i="17"/>
  <c r="AG371" i="17"/>
  <c r="AA149" i="17"/>
  <c r="AF149" i="17" s="1"/>
  <c r="AG53" i="17"/>
  <c r="AL53" i="17"/>
  <c r="AL130" i="17"/>
  <c r="AG130" i="17"/>
  <c r="AL505" i="17"/>
  <c r="AG505" i="17"/>
  <c r="AA175" i="17"/>
  <c r="AF175" i="17" s="1"/>
  <c r="AA494" i="17"/>
  <c r="AF494" i="17" s="1"/>
  <c r="AL232" i="17"/>
  <c r="AG232" i="17"/>
  <c r="AA428" i="17"/>
  <c r="AF428" i="17" s="1"/>
  <c r="AA181" i="17"/>
  <c r="AF181" i="17" s="1"/>
  <c r="AG27" i="17"/>
  <c r="AL27" i="17"/>
  <c r="AG70" i="17"/>
  <c r="AL70" i="17"/>
  <c r="AG269" i="17"/>
  <c r="AL269" i="17"/>
  <c r="AA38" i="17"/>
  <c r="AF38" i="17" s="1"/>
  <c r="AA151" i="17"/>
  <c r="AF151" i="17" s="1"/>
  <c r="AA433" i="17"/>
  <c r="AF433" i="17" s="1"/>
  <c r="AA78" i="17"/>
  <c r="AF78" i="17" s="1"/>
  <c r="AA358" i="17"/>
  <c r="AF358" i="17" s="1"/>
  <c r="AG133" i="17"/>
  <c r="AL133" i="17"/>
  <c r="AA159" i="17"/>
  <c r="AF159" i="17" s="1"/>
  <c r="AL100" i="17"/>
  <c r="AG100" i="17"/>
  <c r="AA132" i="17"/>
  <c r="AF132" i="17" s="1"/>
  <c r="AG240" i="17"/>
  <c r="AL240" i="17"/>
  <c r="AA60" i="17"/>
  <c r="AF60" i="17" s="1"/>
  <c r="AA90" i="17"/>
  <c r="AF90" i="17" s="1"/>
  <c r="AL88" i="17"/>
  <c r="AG88" i="17"/>
  <c r="AG25" i="17"/>
  <c r="AL25" i="17"/>
  <c r="AA354" i="17"/>
  <c r="AF354" i="17" s="1"/>
  <c r="AA268" i="17"/>
  <c r="AF268" i="17" s="1"/>
  <c r="AA496" i="17"/>
  <c r="AF496" i="17" s="1"/>
  <c r="AA267" i="17"/>
  <c r="AF267" i="17" s="1"/>
  <c r="AA19" i="17"/>
  <c r="AF19" i="17" s="1"/>
  <c r="AG124" i="17"/>
  <c r="AL124" i="17"/>
  <c r="AA94" i="17"/>
  <c r="AF94" i="17" s="1"/>
  <c r="AK94" i="17"/>
  <c r="AA126" i="17"/>
  <c r="AF126" i="17" s="1"/>
  <c r="AL420" i="17"/>
  <c r="AG420" i="17"/>
  <c r="AL306" i="17"/>
  <c r="AG306" i="17"/>
  <c r="AG236" i="17"/>
  <c r="AL236" i="17"/>
  <c r="AA22" i="17"/>
  <c r="AF22" i="17" s="1"/>
  <c r="AA370" i="17"/>
  <c r="AF370" i="17" s="1"/>
  <c r="AA64" i="17"/>
  <c r="AF64" i="17" s="1"/>
  <c r="AA85" i="17"/>
  <c r="AF85" i="17" s="1"/>
  <c r="AA417" i="17"/>
  <c r="AF417" i="17" s="1"/>
  <c r="AA248" i="17"/>
  <c r="AF248" i="17" s="1"/>
  <c r="AA144" i="17"/>
  <c r="AF144" i="17" s="1"/>
  <c r="AA294" i="17"/>
  <c r="AF294" i="17" s="1"/>
  <c r="AA366" i="17"/>
  <c r="AF366" i="17" s="1"/>
  <c r="AA13" i="17"/>
  <c r="AF13" i="17" s="1"/>
  <c r="AA158" i="17"/>
  <c r="AF158" i="17" s="1"/>
  <c r="AA421" i="17"/>
  <c r="AF421" i="17" s="1"/>
  <c r="AA355" i="17"/>
  <c r="AF355" i="17" s="1"/>
  <c r="AA80" i="17"/>
  <c r="AF80" i="17" s="1"/>
  <c r="AG407" i="17"/>
  <c r="AL407" i="17"/>
  <c r="AL410" i="17"/>
  <c r="AG410" i="17"/>
  <c r="AG412" i="17"/>
  <c r="AL412" i="17"/>
  <c r="AA399" i="17"/>
  <c r="AF399" i="17" s="1"/>
  <c r="AA23" i="17"/>
  <c r="AF23" i="17" s="1"/>
  <c r="AA357" i="17"/>
  <c r="AF357" i="17" s="1"/>
  <c r="AG51" i="17"/>
  <c r="AL51" i="17"/>
  <c r="AA170" i="17"/>
  <c r="AF170" i="17" s="1"/>
  <c r="AK170" i="17"/>
  <c r="AA11" i="17"/>
  <c r="AF11" i="17" s="1"/>
  <c r="AK11" i="17"/>
  <c r="AA304" i="17"/>
  <c r="AF304" i="17" s="1"/>
  <c r="AL494" i="17"/>
  <c r="AG494" i="17"/>
  <c r="AA235" i="17"/>
  <c r="AF235" i="17" s="1"/>
  <c r="AA497" i="17"/>
  <c r="AF497" i="17" s="1"/>
  <c r="AL433" i="17"/>
  <c r="AG433" i="17"/>
  <c r="AG26" i="17"/>
  <c r="AL26" i="17"/>
  <c r="AA425" i="17"/>
  <c r="AF425" i="17" s="1"/>
  <c r="AG159" i="17"/>
  <c r="AL159" i="17"/>
  <c r="AG247" i="17"/>
  <c r="AL247" i="17"/>
  <c r="AG160" i="17"/>
  <c r="AL160" i="17"/>
  <c r="AG216" i="17"/>
  <c r="AL216" i="17"/>
  <c r="AG126" i="17"/>
  <c r="AL126" i="17"/>
  <c r="AG424" i="17"/>
  <c r="AL424" i="17"/>
  <c r="AL296" i="17"/>
  <c r="AG296" i="17"/>
  <c r="AL417" i="17"/>
  <c r="AG417" i="17"/>
  <c r="AL44" i="17"/>
  <c r="AG44" i="17"/>
  <c r="AL144" i="17"/>
  <c r="AG144" i="17"/>
  <c r="AG294" i="17"/>
  <c r="AL294" i="17"/>
  <c r="AL366" i="17"/>
  <c r="AG366" i="17"/>
  <c r="AL421" i="17"/>
  <c r="AG421" i="17"/>
  <c r="AG169" i="17"/>
  <c r="AL169" i="17"/>
  <c r="AL149" i="17"/>
  <c r="AG149" i="17"/>
  <c r="AG357" i="17"/>
  <c r="AL357" i="17"/>
  <c r="AL290" i="17"/>
  <c r="AG290" i="17"/>
  <c r="AL436" i="17"/>
  <c r="AG436" i="17"/>
  <c r="AL304" i="17"/>
  <c r="AG304" i="17"/>
  <c r="AG37" i="17"/>
  <c r="AL37" i="17"/>
  <c r="AL428" i="17"/>
  <c r="AG428" i="17"/>
  <c r="AG235" i="17"/>
  <c r="AL235" i="17"/>
  <c r="AL497" i="17"/>
  <c r="AG497" i="17"/>
  <c r="AG128" i="17"/>
  <c r="AL128" i="17"/>
  <c r="AG151" i="17"/>
  <c r="AL151" i="17"/>
  <c r="AL78" i="17"/>
  <c r="AG78" i="17"/>
  <c r="AA92" i="17"/>
  <c r="AF92" i="17" s="1"/>
  <c r="AG425" i="17"/>
  <c r="AL425" i="17"/>
  <c r="AG358" i="17"/>
  <c r="AL358" i="17"/>
  <c r="AG180" i="17"/>
  <c r="AL180" i="17"/>
  <c r="AA504" i="17"/>
  <c r="AF504" i="17" s="1"/>
  <c r="AA369" i="17"/>
  <c r="AF369" i="17" s="1"/>
  <c r="AL132" i="17"/>
  <c r="AG132" i="17"/>
  <c r="AL245" i="17"/>
  <c r="AG245" i="17"/>
  <c r="AL268" i="17"/>
  <c r="AG268" i="17"/>
  <c r="AA245" i="17"/>
  <c r="AF245" i="17" s="1"/>
  <c r="AL267" i="17"/>
  <c r="AG267" i="17"/>
  <c r="AA160" i="17"/>
  <c r="AF160" i="17" s="1"/>
  <c r="AL372" i="17"/>
  <c r="AG372" i="17"/>
  <c r="AA296" i="17"/>
  <c r="AF296" i="17" s="1"/>
  <c r="AG22" i="17"/>
  <c r="AL22" i="17"/>
  <c r="AG370" i="17"/>
  <c r="AL370" i="17"/>
  <c r="AL64" i="17"/>
  <c r="AG64" i="17"/>
  <c r="AG95" i="17"/>
  <c r="AL95" i="17"/>
  <c r="AG13" i="17"/>
  <c r="AL13" i="17"/>
  <c r="AG80" i="17"/>
  <c r="AL80" i="17"/>
  <c r="AL314" i="17"/>
  <c r="AG314" i="17"/>
  <c r="AL156" i="17"/>
  <c r="AG156" i="17"/>
  <c r="AA75" i="17"/>
  <c r="AF75" i="17" s="1"/>
  <c r="AG367" i="17"/>
  <c r="AL367" i="17"/>
  <c r="AL162" i="17"/>
  <c r="AG162" i="17"/>
  <c r="AG93" i="17"/>
  <c r="AL93" i="17"/>
  <c r="AA290" i="17"/>
  <c r="AF290" i="17" s="1"/>
  <c r="AA436" i="17"/>
  <c r="AF436" i="17" s="1"/>
  <c r="AA37" i="17"/>
  <c r="AF37" i="17" s="1"/>
  <c r="AG175" i="17"/>
  <c r="AL175" i="17"/>
  <c r="AL187" i="17"/>
  <c r="AG187" i="17"/>
  <c r="AL181" i="17"/>
  <c r="AG181" i="17"/>
  <c r="AG38" i="17"/>
  <c r="AL38" i="17"/>
  <c r="AG92" i="17"/>
  <c r="AL92" i="17"/>
  <c r="AL504" i="17"/>
  <c r="AG504" i="17"/>
  <c r="AL369" i="17"/>
  <c r="AG369" i="17"/>
  <c r="AL90" i="17"/>
  <c r="AG90" i="17"/>
  <c r="AG354" i="17"/>
  <c r="AL354" i="17"/>
  <c r="AL43" i="17"/>
  <c r="AG43" i="17"/>
  <c r="AG72" i="17"/>
  <c r="AL72" i="17"/>
  <c r="AL8" i="17"/>
  <c r="AG8" i="17"/>
  <c r="AG49" i="17"/>
  <c r="AL49" i="17"/>
  <c r="AL259" i="17"/>
  <c r="AG259" i="17"/>
  <c r="AA138" i="17"/>
  <c r="AF138" i="17" s="1"/>
  <c r="AL20" i="17"/>
  <c r="AG20" i="17"/>
  <c r="AL85" i="17"/>
  <c r="AG85" i="17"/>
  <c r="AG385" i="17"/>
  <c r="AL385" i="17"/>
  <c r="AG248" i="17"/>
  <c r="AL248" i="17"/>
  <c r="AA264" i="17"/>
  <c r="AF264" i="17" s="1"/>
  <c r="AA271" i="17"/>
  <c r="AF271" i="17" s="1"/>
  <c r="AA373" i="17"/>
  <c r="AF373" i="17" s="1"/>
  <c r="AG221" i="17"/>
  <c r="AL221" i="17"/>
  <c r="AG261" i="17"/>
  <c r="AL261" i="17"/>
  <c r="AL68" i="17"/>
  <c r="AG68" i="17"/>
  <c r="AG355" i="17"/>
  <c r="AL355" i="17"/>
  <c r="AG134" i="17"/>
  <c r="AL134" i="17"/>
  <c r="AA59" i="17"/>
  <c r="AF59" i="17" s="1"/>
  <c r="AL62" i="17"/>
  <c r="AG62" i="17"/>
  <c r="AL23" i="17"/>
  <c r="AG23" i="17"/>
  <c r="AL83" i="17"/>
  <c r="AG83" i="17"/>
  <c r="AA295" i="17"/>
  <c r="AF295" i="17" s="1"/>
  <c r="AG393" i="17"/>
  <c r="AL393" i="17"/>
  <c r="AA66" i="17"/>
  <c r="AF66" i="17" s="1"/>
  <c r="AA174" i="17"/>
  <c r="AF174" i="17" s="1"/>
  <c r="AK174" i="17"/>
  <c r="AL493" i="17"/>
  <c r="AG493" i="17"/>
  <c r="AA368" i="17"/>
  <c r="AF368" i="17" s="1"/>
  <c r="AG375" i="17"/>
  <c r="AL375" i="17"/>
  <c r="AL155" i="17"/>
  <c r="AG155" i="17"/>
  <c r="AA18" i="17"/>
  <c r="AF18" i="17" s="1"/>
  <c r="AA145" i="17"/>
  <c r="AF145" i="17" s="1"/>
  <c r="AA383" i="17"/>
  <c r="AF383" i="17" s="1"/>
  <c r="AG263" i="17"/>
  <c r="AL263" i="17"/>
  <c r="AA246" i="17"/>
  <c r="AF246" i="17" s="1"/>
  <c r="AG4" i="17"/>
  <c r="AL4" i="17"/>
  <c r="AG496" i="17"/>
  <c r="AL496" i="17"/>
  <c r="AL136" i="17"/>
  <c r="AG136" i="17"/>
  <c r="AL60" i="17"/>
  <c r="AG60" i="17"/>
  <c r="AL137" i="17"/>
  <c r="AG137" i="17"/>
  <c r="AG19" i="17"/>
  <c r="AL19" i="17"/>
  <c r="AA387" i="17"/>
  <c r="AF387" i="17" s="1"/>
  <c r="AG305" i="17"/>
  <c r="AL305" i="17"/>
  <c r="AA443" i="17"/>
  <c r="AF443" i="17" s="1"/>
  <c r="AG498" i="17"/>
  <c r="AL498" i="17"/>
  <c r="AA45" i="17"/>
  <c r="AF45" i="17" s="1"/>
  <c r="AG265" i="17"/>
  <c r="AL265" i="17"/>
  <c r="AA77" i="17"/>
  <c r="AF77" i="17" s="1"/>
  <c r="AG406" i="17"/>
  <c r="AL406" i="17"/>
  <c r="AL491" i="17"/>
  <c r="AG491" i="17"/>
  <c r="AG217" i="17"/>
  <c r="AL217" i="17"/>
  <c r="AA178" i="17"/>
  <c r="AF178" i="17" s="1"/>
  <c r="AA438" i="17"/>
  <c r="AF438" i="17" s="1"/>
  <c r="AG39" i="17"/>
  <c r="AL39" i="17"/>
  <c r="AL299" i="17"/>
  <c r="AG299" i="17"/>
  <c r="AA292" i="17"/>
  <c r="AF292" i="17" s="1"/>
  <c r="AG79" i="17"/>
  <c r="AL79" i="17"/>
  <c r="AA67" i="17"/>
  <c r="AF67" i="17" s="1"/>
  <c r="AK67" i="17"/>
  <c r="AA168" i="17"/>
  <c r="AF168" i="17" s="1"/>
  <c r="AA256" i="17"/>
  <c r="AF256" i="17" s="1"/>
  <c r="AA102" i="17"/>
  <c r="AF102" i="17" s="1"/>
  <c r="AA6" i="17"/>
  <c r="AF6" i="17" s="1"/>
  <c r="AA65" i="17"/>
  <c r="AF65" i="17" s="1"/>
  <c r="AA40" i="17"/>
  <c r="AF40" i="17" s="1"/>
  <c r="AG50" i="17"/>
  <c r="AL50" i="17"/>
  <c r="AA3" i="17"/>
  <c r="AF3" i="17" s="1"/>
  <c r="AA492" i="17"/>
  <c r="AF492" i="17" s="1"/>
  <c r="AA61" i="17"/>
  <c r="AF61" i="17" s="1"/>
  <c r="AG249" i="17"/>
  <c r="AL249" i="17"/>
  <c r="AL218" i="17"/>
  <c r="AG218" i="17"/>
  <c r="AL423" i="17"/>
  <c r="AG423" i="17"/>
  <c r="AA307" i="17"/>
  <c r="AF307" i="17" s="1"/>
  <c r="AA52" i="17"/>
  <c r="AF52" i="17" s="1"/>
  <c r="AA442" i="17"/>
  <c r="AF442" i="17" s="1"/>
  <c r="AG356" i="17"/>
  <c r="AL356" i="17"/>
  <c r="AA403" i="17"/>
  <c r="AF403" i="17" s="1"/>
  <c r="AA161" i="17"/>
  <c r="AF161" i="17" s="1"/>
  <c r="AG154" i="17"/>
  <c r="AL154" i="17"/>
  <c r="AA367" i="17"/>
  <c r="AF367" i="17" s="1"/>
  <c r="AA171" i="17"/>
  <c r="AF171" i="17" s="1"/>
  <c r="AA291" i="17"/>
  <c r="AF291" i="17" s="1"/>
  <c r="AA99" i="17"/>
  <c r="AF99" i="17" s="1"/>
  <c r="AA213" i="17"/>
  <c r="AF213" i="17" s="1"/>
  <c r="AA31" i="17"/>
  <c r="AF31" i="17" s="1"/>
  <c r="AG374" i="17"/>
  <c r="AL374" i="17"/>
  <c r="AA71" i="17"/>
  <c r="AF71" i="17" s="1"/>
  <c r="AG66" i="17"/>
  <c r="AL66" i="17"/>
  <c r="AL368" i="17"/>
  <c r="AG368" i="17"/>
  <c r="AA157" i="17"/>
  <c r="AF157" i="17" s="1"/>
  <c r="AA140" i="17"/>
  <c r="AF140" i="17" s="1"/>
  <c r="AK140" i="17"/>
  <c r="AL18" i="17"/>
  <c r="AG18" i="17"/>
  <c r="AL145" i="17"/>
  <c r="AG145" i="17"/>
  <c r="AG383" i="17"/>
  <c r="AL383" i="17"/>
  <c r="AL81" i="17"/>
  <c r="AG81" i="17"/>
  <c r="AG166" i="17"/>
  <c r="AL166" i="17"/>
  <c r="AA309" i="17"/>
  <c r="AF309" i="17" s="1"/>
  <c r="AA419" i="17"/>
  <c r="AF419" i="17" s="1"/>
  <c r="X20" i="16"/>
  <c r="W20" i="16"/>
  <c r="V20" i="16"/>
  <c r="U20" i="16"/>
  <c r="T20" i="16"/>
  <c r="S20" i="16"/>
  <c r="R20" i="16"/>
  <c r="Q20" i="16"/>
  <c r="P20" i="16"/>
  <c r="O20" i="16"/>
  <c r="X19" i="16"/>
  <c r="W19" i="16"/>
  <c r="V19" i="16"/>
  <c r="U19" i="16"/>
  <c r="T19" i="16"/>
  <c r="S19" i="16"/>
  <c r="R19" i="16"/>
  <c r="Q19" i="16"/>
  <c r="P19" i="16"/>
  <c r="O19" i="16"/>
  <c r="X18" i="16"/>
  <c r="W18" i="16"/>
  <c r="V18" i="16"/>
  <c r="U18" i="16"/>
  <c r="T18" i="16"/>
  <c r="S18" i="16"/>
  <c r="R18" i="16"/>
  <c r="Q18" i="16"/>
  <c r="P18" i="16"/>
  <c r="O18" i="16"/>
  <c r="X17" i="16"/>
  <c r="W17" i="16"/>
  <c r="V17" i="16"/>
  <c r="U17" i="16"/>
  <c r="T17" i="16"/>
  <c r="S17" i="16"/>
  <c r="R17" i="16"/>
  <c r="Q17" i="16"/>
  <c r="P17" i="16"/>
  <c r="O17" i="16"/>
  <c r="X16" i="16"/>
  <c r="W16" i="16"/>
  <c r="V16" i="16"/>
  <c r="U16" i="16"/>
  <c r="T16" i="16"/>
  <c r="S16" i="16"/>
  <c r="R16" i="16"/>
  <c r="Q16" i="16"/>
  <c r="P16" i="16"/>
  <c r="O16" i="16"/>
  <c r="X15" i="16"/>
  <c r="W15" i="16"/>
  <c r="V15" i="16"/>
  <c r="U15" i="16"/>
  <c r="T15" i="16"/>
  <c r="S15" i="16"/>
  <c r="R15" i="16"/>
  <c r="Q15" i="16"/>
  <c r="P15" i="16"/>
  <c r="O15" i="16"/>
  <c r="X14" i="16"/>
  <c r="W14" i="16"/>
  <c r="V14" i="16"/>
  <c r="U14" i="16"/>
  <c r="T14" i="16"/>
  <c r="S14" i="16"/>
  <c r="R14" i="16"/>
  <c r="Q14" i="16"/>
  <c r="P14" i="16"/>
  <c r="O14" i="16"/>
  <c r="L20" i="16"/>
  <c r="K20" i="16"/>
  <c r="J20" i="16"/>
  <c r="I20" i="16"/>
  <c r="H20" i="16"/>
  <c r="G20" i="16"/>
  <c r="F20" i="16"/>
  <c r="E20" i="16"/>
  <c r="D20" i="16"/>
  <c r="C20" i="16"/>
  <c r="L19" i="16"/>
  <c r="K19" i="16"/>
  <c r="J19" i="16"/>
  <c r="I19" i="16"/>
  <c r="H19" i="16"/>
  <c r="G19" i="16"/>
  <c r="F19" i="16"/>
  <c r="E19" i="16"/>
  <c r="D19" i="16"/>
  <c r="C19" i="16"/>
  <c r="L18" i="16"/>
  <c r="K18" i="16"/>
  <c r="J18" i="16"/>
  <c r="I18" i="16"/>
  <c r="H18" i="16"/>
  <c r="G18" i="16"/>
  <c r="F18" i="16"/>
  <c r="E18" i="16"/>
  <c r="D18" i="16"/>
  <c r="C18" i="16"/>
  <c r="L17" i="16"/>
  <c r="K17" i="16"/>
  <c r="J17" i="16"/>
  <c r="I17" i="16"/>
  <c r="H17" i="16"/>
  <c r="G17" i="16"/>
  <c r="F17" i="16"/>
  <c r="E17" i="16"/>
  <c r="D17" i="16"/>
  <c r="C17" i="16"/>
  <c r="L16" i="16"/>
  <c r="K16" i="16"/>
  <c r="J16" i="16"/>
  <c r="I16" i="16"/>
  <c r="H16" i="16"/>
  <c r="G16" i="16"/>
  <c r="F16" i="16"/>
  <c r="E16" i="16"/>
  <c r="D16" i="16"/>
  <c r="C16" i="16"/>
  <c r="L15" i="16"/>
  <c r="K15" i="16"/>
  <c r="J15" i="16"/>
  <c r="I15" i="16"/>
  <c r="H15" i="16"/>
  <c r="G15" i="16"/>
  <c r="F15" i="16"/>
  <c r="E15" i="16"/>
  <c r="D15" i="16"/>
  <c r="C15" i="16"/>
  <c r="L14" i="16"/>
  <c r="K14" i="16"/>
  <c r="J14" i="16"/>
  <c r="I14" i="16"/>
  <c r="H14" i="16"/>
  <c r="G14" i="16"/>
  <c r="F14" i="16"/>
  <c r="E14" i="16"/>
  <c r="D14" i="16"/>
  <c r="C14" i="16"/>
  <c r="AM50" i="17" l="1"/>
  <c r="V50" i="17"/>
  <c r="W50" i="17" s="1"/>
  <c r="V406" i="17"/>
  <c r="W406" i="17" s="1"/>
  <c r="AM406" i="17"/>
  <c r="V154" i="17"/>
  <c r="W154" i="17" s="1"/>
  <c r="AM154" i="17"/>
  <c r="AM493" i="17"/>
  <c r="V493" i="17"/>
  <c r="W493" i="17" s="1"/>
  <c r="AM49" i="17"/>
  <c r="V49" i="17"/>
  <c r="W49" i="17" s="1"/>
  <c r="V369" i="17"/>
  <c r="W369" i="17" s="1"/>
  <c r="AM369" i="17"/>
  <c r="AM367" i="17"/>
  <c r="V367" i="17"/>
  <c r="W367" i="17" s="1"/>
  <c r="AM160" i="17"/>
  <c r="V160" i="17"/>
  <c r="W160" i="17" s="1"/>
  <c r="AG11" i="17"/>
  <c r="AL11" i="17"/>
  <c r="AM420" i="17"/>
  <c r="V420" i="17"/>
  <c r="W420" i="17" s="1"/>
  <c r="AM124" i="17"/>
  <c r="V124" i="17"/>
  <c r="W124" i="17" s="1"/>
  <c r="V25" i="17"/>
  <c r="W25" i="17" s="1"/>
  <c r="AM25" i="17"/>
  <c r="AM272" i="17"/>
  <c r="V272" i="17"/>
  <c r="W272" i="17" s="1"/>
  <c r="V188" i="17"/>
  <c r="W188" i="17" s="1"/>
  <c r="AM188" i="17"/>
  <c r="V24" i="17"/>
  <c r="W24" i="17" s="1"/>
  <c r="AM24" i="17"/>
  <c r="AM237" i="17"/>
  <c r="V237" i="17"/>
  <c r="W237" i="17" s="1"/>
  <c r="V46" i="17"/>
  <c r="W46" i="17" s="1"/>
  <c r="AM46" i="17"/>
  <c r="AM392" i="17"/>
  <c r="V392" i="17"/>
  <c r="W392" i="17" s="1"/>
  <c r="V143" i="17"/>
  <c r="W143" i="17" s="1"/>
  <c r="AM143" i="17"/>
  <c r="AM307" i="17"/>
  <c r="V307" i="17"/>
  <c r="W307" i="17" s="1"/>
  <c r="V57" i="17"/>
  <c r="W57" i="17" s="1"/>
  <c r="AM57" i="17"/>
  <c r="V42" i="17"/>
  <c r="W42" i="17" s="1"/>
  <c r="AM42" i="17"/>
  <c r="V220" i="17"/>
  <c r="W220" i="17" s="1"/>
  <c r="AM220" i="17"/>
  <c r="AM373" i="17"/>
  <c r="V373" i="17"/>
  <c r="W373" i="17" s="1"/>
  <c r="AM176" i="17"/>
  <c r="V176" i="17"/>
  <c r="W176" i="17" s="1"/>
  <c r="V71" i="17"/>
  <c r="W71" i="17" s="1"/>
  <c r="AM71" i="17"/>
  <c r="AL140" i="17"/>
  <c r="AG140" i="17"/>
  <c r="V423" i="17"/>
  <c r="W423" i="17" s="1"/>
  <c r="AM423" i="17"/>
  <c r="V305" i="17"/>
  <c r="W305" i="17" s="1"/>
  <c r="AM305" i="17"/>
  <c r="AM263" i="17"/>
  <c r="V263" i="17"/>
  <c r="W263" i="17" s="1"/>
  <c r="AM261" i="17"/>
  <c r="V261" i="17"/>
  <c r="W261" i="17" s="1"/>
  <c r="AM385" i="17"/>
  <c r="V385" i="17"/>
  <c r="W385" i="17" s="1"/>
  <c r="AM8" i="17"/>
  <c r="V8" i="17"/>
  <c r="W8" i="17" s="1"/>
  <c r="V372" i="17"/>
  <c r="W372" i="17" s="1"/>
  <c r="AM372" i="17"/>
  <c r="V132" i="17"/>
  <c r="W132" i="17" s="1"/>
  <c r="AM132" i="17"/>
  <c r="AM180" i="17"/>
  <c r="V180" i="17"/>
  <c r="W180" i="17" s="1"/>
  <c r="AM37" i="17"/>
  <c r="V37" i="17"/>
  <c r="W37" i="17" s="1"/>
  <c r="AM88" i="17"/>
  <c r="V88" i="17"/>
  <c r="W88" i="17" s="1"/>
  <c r="AM269" i="17"/>
  <c r="V269" i="17"/>
  <c r="W269" i="17" s="1"/>
  <c r="V54" i="17"/>
  <c r="W54" i="17" s="1"/>
  <c r="AM54" i="17"/>
  <c r="V404" i="17"/>
  <c r="W404" i="17" s="1"/>
  <c r="AM404" i="17"/>
  <c r="V179" i="17"/>
  <c r="W179" i="17" s="1"/>
  <c r="AM179" i="17"/>
  <c r="AM229" i="17"/>
  <c r="V229" i="17"/>
  <c r="W229" i="17" s="1"/>
  <c r="AM135" i="17"/>
  <c r="V135" i="17"/>
  <c r="W135" i="17" s="1"/>
  <c r="V489" i="17"/>
  <c r="W489" i="17" s="1"/>
  <c r="AM489" i="17"/>
  <c r="V378" i="17"/>
  <c r="W378" i="17" s="1"/>
  <c r="AM378" i="17"/>
  <c r="AM222" i="17"/>
  <c r="V222" i="17"/>
  <c r="W222" i="17" s="1"/>
  <c r="AM495" i="17"/>
  <c r="V495" i="17"/>
  <c r="W495" i="17" s="1"/>
  <c r="V422" i="17"/>
  <c r="W422" i="17" s="1"/>
  <c r="AM422" i="17"/>
  <c r="AM171" i="17"/>
  <c r="V171" i="17"/>
  <c r="W171" i="17" s="1"/>
  <c r="V168" i="17"/>
  <c r="W168" i="17" s="1"/>
  <c r="AM168" i="17"/>
  <c r="AM374" i="17"/>
  <c r="V374" i="17"/>
  <c r="W374" i="17" s="1"/>
  <c r="AM496" i="17"/>
  <c r="V496" i="17"/>
  <c r="W496" i="17" s="1"/>
  <c r="AL174" i="17"/>
  <c r="AG174" i="17"/>
  <c r="V83" i="17"/>
  <c r="W83" i="17" s="1"/>
  <c r="AM83" i="17"/>
  <c r="AM85" i="17"/>
  <c r="V85" i="17"/>
  <c r="W85" i="17" s="1"/>
  <c r="V354" i="17"/>
  <c r="W354" i="17" s="1"/>
  <c r="AM354" i="17"/>
  <c r="V504" i="17"/>
  <c r="W504" i="17" s="1"/>
  <c r="AM504" i="17"/>
  <c r="AM156" i="17"/>
  <c r="V156" i="17"/>
  <c r="W156" i="17" s="1"/>
  <c r="V304" i="17"/>
  <c r="W304" i="17" s="1"/>
  <c r="AM304" i="17"/>
  <c r="AM149" i="17"/>
  <c r="V149" i="17"/>
  <c r="W149" i="17" s="1"/>
  <c r="V424" i="17"/>
  <c r="W424" i="17" s="1"/>
  <c r="AM424" i="17"/>
  <c r="V247" i="17"/>
  <c r="W247" i="17" s="1"/>
  <c r="AM247" i="17"/>
  <c r="AG170" i="17"/>
  <c r="AL170" i="17"/>
  <c r="V133" i="17"/>
  <c r="W133" i="17" s="1"/>
  <c r="AM133" i="17"/>
  <c r="AM53" i="17"/>
  <c r="V53" i="17"/>
  <c r="W53" i="17" s="1"/>
  <c r="AM152" i="17"/>
  <c r="V152" i="17"/>
  <c r="W152" i="17" s="1"/>
  <c r="AM167" i="17"/>
  <c r="V167" i="17"/>
  <c r="W167" i="17" s="1"/>
  <c r="AM150" i="17"/>
  <c r="V150" i="17"/>
  <c r="W150" i="17" s="1"/>
  <c r="AM300" i="17"/>
  <c r="V300" i="17"/>
  <c r="W300" i="17" s="1"/>
  <c r="AM447" i="17"/>
  <c r="V447" i="17"/>
  <c r="W447" i="17" s="1"/>
  <c r="AM98" i="17"/>
  <c r="V98" i="17"/>
  <c r="W98" i="17" s="1"/>
  <c r="V41" i="17"/>
  <c r="W41" i="17" s="1"/>
  <c r="AM41" i="17"/>
  <c r="AM177" i="17"/>
  <c r="V177" i="17"/>
  <c r="W177" i="17" s="1"/>
  <c r="AM189" i="17"/>
  <c r="V189" i="17"/>
  <c r="W189" i="17" s="1"/>
  <c r="AM234" i="17"/>
  <c r="V234" i="17"/>
  <c r="W234" i="17" s="1"/>
  <c r="AL437" i="17"/>
  <c r="AG437" i="17"/>
  <c r="V91" i="17"/>
  <c r="W91" i="17" s="1"/>
  <c r="AM91" i="17"/>
  <c r="V45" i="17"/>
  <c r="W45" i="17" s="1"/>
  <c r="AM45" i="17"/>
  <c r="AM492" i="17"/>
  <c r="V492" i="17"/>
  <c r="W492" i="17" s="1"/>
  <c r="V292" i="17"/>
  <c r="W292" i="17" s="1"/>
  <c r="AM292" i="17"/>
  <c r="AM218" i="17"/>
  <c r="V218" i="17"/>
  <c r="W218" i="17" s="1"/>
  <c r="AM38" i="17"/>
  <c r="V38" i="17"/>
  <c r="W38" i="17" s="1"/>
  <c r="AM358" i="17"/>
  <c r="V358" i="17"/>
  <c r="W358" i="17" s="1"/>
  <c r="AM128" i="17"/>
  <c r="V128" i="17"/>
  <c r="W128" i="17" s="1"/>
  <c r="AM366" i="17"/>
  <c r="V366" i="17"/>
  <c r="W366" i="17" s="1"/>
  <c r="V44" i="17"/>
  <c r="W44" i="17" s="1"/>
  <c r="AM44" i="17"/>
  <c r="AM505" i="17"/>
  <c r="V505" i="17"/>
  <c r="W505" i="17" s="1"/>
  <c r="V5" i="17"/>
  <c r="W5" i="17" s="1"/>
  <c r="AM5" i="17"/>
  <c r="AM9" i="17"/>
  <c r="V9" i="17"/>
  <c r="W9" i="17" s="1"/>
  <c r="V21" i="17"/>
  <c r="W21" i="17" s="1"/>
  <c r="AM21" i="17"/>
  <c r="AM87" i="17"/>
  <c r="V87" i="17"/>
  <c r="W87" i="17" s="1"/>
  <c r="V226" i="17"/>
  <c r="W226" i="17" s="1"/>
  <c r="AM226" i="17"/>
  <c r="AM499" i="17"/>
  <c r="V499" i="17"/>
  <c r="W499" i="17" s="1"/>
  <c r="AG69" i="17"/>
  <c r="AL69" i="17"/>
  <c r="V297" i="17"/>
  <c r="W297" i="17" s="1"/>
  <c r="AM297" i="17"/>
  <c r="AM246" i="17"/>
  <c r="V246" i="17"/>
  <c r="W246" i="17" s="1"/>
  <c r="AM359" i="17"/>
  <c r="V359" i="17"/>
  <c r="W359" i="17" s="1"/>
  <c r="V271" i="17"/>
  <c r="W271" i="17" s="1"/>
  <c r="AM271" i="17"/>
  <c r="AM75" i="17"/>
  <c r="V75" i="17"/>
  <c r="W75" i="17" s="1"/>
  <c r="AM383" i="17"/>
  <c r="V383" i="17"/>
  <c r="W383" i="17" s="1"/>
  <c r="AM368" i="17"/>
  <c r="V368" i="17"/>
  <c r="W368" i="17" s="1"/>
  <c r="AM265" i="17"/>
  <c r="V265" i="17"/>
  <c r="W265" i="17" s="1"/>
  <c r="AM19" i="17"/>
  <c r="V19" i="17"/>
  <c r="W19" i="17" s="1"/>
  <c r="AM23" i="17"/>
  <c r="V23" i="17"/>
  <c r="W23" i="17" s="1"/>
  <c r="AM20" i="17"/>
  <c r="V20" i="17"/>
  <c r="W20" i="17" s="1"/>
  <c r="AM181" i="17"/>
  <c r="V181" i="17"/>
  <c r="W181" i="17" s="1"/>
  <c r="AM93" i="17"/>
  <c r="V93" i="17"/>
  <c r="W93" i="17" s="1"/>
  <c r="AM314" i="17"/>
  <c r="V314" i="17"/>
  <c r="W314" i="17" s="1"/>
  <c r="V497" i="17"/>
  <c r="W497" i="17" s="1"/>
  <c r="AM497" i="17"/>
  <c r="AM436" i="17"/>
  <c r="V436" i="17"/>
  <c r="W436" i="17" s="1"/>
  <c r="AM126" i="17"/>
  <c r="V126" i="17"/>
  <c r="W126" i="17" s="1"/>
  <c r="AM159" i="17"/>
  <c r="V159" i="17"/>
  <c r="W159" i="17" s="1"/>
  <c r="AM84" i="17"/>
  <c r="V84" i="17"/>
  <c r="W84" i="17" s="1"/>
  <c r="AM441" i="17"/>
  <c r="V441" i="17"/>
  <c r="W441" i="17" s="1"/>
  <c r="V239" i="17"/>
  <c r="W239" i="17" s="1"/>
  <c r="AM239" i="17"/>
  <c r="AM185" i="17"/>
  <c r="V185" i="17"/>
  <c r="W185" i="17" s="1"/>
  <c r="V131" i="17"/>
  <c r="W131" i="17" s="1"/>
  <c r="AM131" i="17"/>
  <c r="AM400" i="17"/>
  <c r="V400" i="17"/>
  <c r="W400" i="17" s="1"/>
  <c r="V31" i="17"/>
  <c r="W31" i="17" s="1"/>
  <c r="AM31" i="17"/>
  <c r="V360" i="17"/>
  <c r="W360" i="17" s="1"/>
  <c r="AM360" i="17"/>
  <c r="V213" i="17"/>
  <c r="W213" i="17" s="1"/>
  <c r="AM213" i="17"/>
  <c r="V145" i="17"/>
  <c r="W145" i="17" s="1"/>
  <c r="AM145" i="17"/>
  <c r="AM217" i="17"/>
  <c r="V217" i="17"/>
  <c r="W217" i="17" s="1"/>
  <c r="AM134" i="17"/>
  <c r="V134" i="17"/>
  <c r="W134" i="17" s="1"/>
  <c r="AM90" i="17"/>
  <c r="V90" i="17"/>
  <c r="W90" i="17" s="1"/>
  <c r="AM95" i="17"/>
  <c r="V95" i="17"/>
  <c r="W95" i="17" s="1"/>
  <c r="AM425" i="17"/>
  <c r="V425" i="17"/>
  <c r="W425" i="17" s="1"/>
  <c r="AM51" i="17"/>
  <c r="V51" i="17"/>
  <c r="W51" i="17" s="1"/>
  <c r="AM412" i="17"/>
  <c r="V412" i="17"/>
  <c r="W412" i="17" s="1"/>
  <c r="V70" i="17"/>
  <c r="W70" i="17" s="1"/>
  <c r="AM70" i="17"/>
  <c r="V153" i="17"/>
  <c r="W153" i="17" s="1"/>
  <c r="AM153" i="17"/>
  <c r="V429" i="17"/>
  <c r="W429" i="17" s="1"/>
  <c r="AM429" i="17"/>
  <c r="AM490" i="17"/>
  <c r="V490" i="17"/>
  <c r="W490" i="17" s="1"/>
  <c r="V184" i="17"/>
  <c r="W184" i="17" s="1"/>
  <c r="AM184" i="17"/>
  <c r="AM139" i="17"/>
  <c r="V139" i="17"/>
  <c r="W139" i="17" s="1"/>
  <c r="V257" i="17"/>
  <c r="W257" i="17" s="1"/>
  <c r="AM257" i="17"/>
  <c r="AM225" i="17"/>
  <c r="V225" i="17"/>
  <c r="W225" i="17" s="1"/>
  <c r="V12" i="17"/>
  <c r="W12" i="17" s="1"/>
  <c r="AM12" i="17"/>
  <c r="AM241" i="17"/>
  <c r="V241" i="17"/>
  <c r="W241" i="17" s="1"/>
  <c r="V58" i="17"/>
  <c r="W58" i="17" s="1"/>
  <c r="AM58" i="17"/>
  <c r="AM310" i="17"/>
  <c r="V310" i="17"/>
  <c r="W310" i="17" s="1"/>
  <c r="AG214" i="17"/>
  <c r="AL214" i="17"/>
  <c r="AM6" i="17"/>
  <c r="V6" i="17"/>
  <c r="W6" i="17" s="1"/>
  <c r="AM361" i="17"/>
  <c r="V361" i="17"/>
  <c r="W361" i="17" s="1"/>
  <c r="AM161" i="17"/>
  <c r="V161" i="17"/>
  <c r="W161" i="17" s="1"/>
  <c r="V264" i="17"/>
  <c r="W264" i="17" s="1"/>
  <c r="AM264" i="17"/>
  <c r="V157" i="17"/>
  <c r="W157" i="17" s="1"/>
  <c r="AM157" i="17"/>
  <c r="V3" i="17"/>
  <c r="W3" i="17" s="1"/>
  <c r="AM3" i="17"/>
  <c r="V166" i="17"/>
  <c r="W166" i="17" s="1"/>
  <c r="AM166" i="17"/>
  <c r="V249" i="17"/>
  <c r="W249" i="17" s="1"/>
  <c r="AM249" i="17"/>
  <c r="AG67" i="17"/>
  <c r="AL67" i="17"/>
  <c r="V299" i="17"/>
  <c r="W299" i="17" s="1"/>
  <c r="AM299" i="17"/>
  <c r="V137" i="17"/>
  <c r="W137" i="17" s="1"/>
  <c r="AM137" i="17"/>
  <c r="V155" i="17"/>
  <c r="W155" i="17" s="1"/>
  <c r="AM155" i="17"/>
  <c r="AM221" i="17"/>
  <c r="V221" i="17"/>
  <c r="W221" i="17" s="1"/>
  <c r="V72" i="17"/>
  <c r="W72" i="17" s="1"/>
  <c r="AM72" i="17"/>
  <c r="V187" i="17"/>
  <c r="W187" i="17" s="1"/>
  <c r="AM187" i="17"/>
  <c r="AM64" i="17"/>
  <c r="V64" i="17"/>
  <c r="W64" i="17" s="1"/>
  <c r="V267" i="17"/>
  <c r="W267" i="17" s="1"/>
  <c r="AM267" i="17"/>
  <c r="AM290" i="17"/>
  <c r="V290" i="17"/>
  <c r="W290" i="17" s="1"/>
  <c r="AM494" i="17"/>
  <c r="V494" i="17"/>
  <c r="W494" i="17" s="1"/>
  <c r="AM410" i="17"/>
  <c r="V410" i="17"/>
  <c r="W410" i="17" s="1"/>
  <c r="V240" i="17"/>
  <c r="W240" i="17" s="1"/>
  <c r="AM240" i="17"/>
  <c r="AM371" i="17"/>
  <c r="V371" i="17"/>
  <c r="W371" i="17" s="1"/>
  <c r="AM10" i="17"/>
  <c r="V10" i="17"/>
  <c r="W10" i="17" s="1"/>
  <c r="V303" i="17"/>
  <c r="W303" i="17" s="1"/>
  <c r="AM303" i="17"/>
  <c r="AM298" i="17"/>
  <c r="V298" i="17"/>
  <c r="W298" i="17" s="1"/>
  <c r="AM293" i="17"/>
  <c r="V293" i="17"/>
  <c r="W293" i="17" s="1"/>
  <c r="V409" i="17"/>
  <c r="W409" i="17" s="1"/>
  <c r="AM409" i="17"/>
  <c r="V129" i="17"/>
  <c r="W129" i="17" s="1"/>
  <c r="AM129" i="17"/>
  <c r="AG148" i="17"/>
  <c r="AL148" i="17"/>
  <c r="V419" i="17"/>
  <c r="W419" i="17" s="1"/>
  <c r="AM419" i="17"/>
  <c r="AM99" i="17"/>
  <c r="V99" i="17"/>
  <c r="W99" i="17" s="1"/>
  <c r="AM443" i="17"/>
  <c r="V443" i="17"/>
  <c r="W443" i="17" s="1"/>
  <c r="V438" i="17"/>
  <c r="W438" i="17" s="1"/>
  <c r="AM438" i="17"/>
  <c r="AM81" i="17"/>
  <c r="V81" i="17"/>
  <c r="W81" i="17" s="1"/>
  <c r="AM18" i="17"/>
  <c r="V18" i="17"/>
  <c r="W18" i="17" s="1"/>
  <c r="V356" i="17"/>
  <c r="W356" i="17" s="1"/>
  <c r="AM356" i="17"/>
  <c r="V355" i="17"/>
  <c r="W355" i="17" s="1"/>
  <c r="AM355" i="17"/>
  <c r="V162" i="17"/>
  <c r="W162" i="17" s="1"/>
  <c r="AM162" i="17"/>
  <c r="AM235" i="17"/>
  <c r="V235" i="17"/>
  <c r="W235" i="17" s="1"/>
  <c r="V417" i="17"/>
  <c r="W417" i="17" s="1"/>
  <c r="AM417" i="17"/>
  <c r="AG94" i="17"/>
  <c r="AL94" i="17"/>
  <c r="V27" i="17"/>
  <c r="W27" i="17" s="1"/>
  <c r="AM27" i="17"/>
  <c r="V130" i="17"/>
  <c r="W130" i="17" s="1"/>
  <c r="AM130" i="17"/>
  <c r="AM258" i="17"/>
  <c r="V258" i="17"/>
  <c r="W258" i="17" s="1"/>
  <c r="AM260" i="17"/>
  <c r="V260" i="17"/>
  <c r="W260" i="17" s="1"/>
  <c r="V14" i="17"/>
  <c r="W14" i="17" s="1"/>
  <c r="AM14" i="17"/>
  <c r="AM384" i="17"/>
  <c r="V384" i="17"/>
  <c r="W384" i="17" s="1"/>
  <c r="AM379" i="17"/>
  <c r="V379" i="17"/>
  <c r="W379" i="17" s="1"/>
  <c r="AM435" i="17"/>
  <c r="V435" i="17"/>
  <c r="W435" i="17" s="1"/>
  <c r="AM101" i="17"/>
  <c r="V101" i="17"/>
  <c r="W101" i="17" s="1"/>
  <c r="AM388" i="17"/>
  <c r="V388" i="17"/>
  <c r="W388" i="17" s="1"/>
  <c r="AM227" i="17"/>
  <c r="V227" i="17"/>
  <c r="W227" i="17" s="1"/>
  <c r="V89" i="17"/>
  <c r="W89" i="17" s="1"/>
  <c r="AM89" i="17"/>
  <c r="V219" i="17"/>
  <c r="W219" i="17" s="1"/>
  <c r="AM219" i="17"/>
  <c r="AM228" i="17"/>
  <c r="V228" i="17"/>
  <c r="W228" i="17" s="1"/>
  <c r="V418" i="17"/>
  <c r="W418" i="17" s="1"/>
  <c r="AM418" i="17"/>
  <c r="AM127" i="17"/>
  <c r="V127" i="17"/>
  <c r="W127" i="17" s="1"/>
  <c r="V403" i="17"/>
  <c r="W403" i="17" s="1"/>
  <c r="AM403" i="17"/>
  <c r="AM40" i="17"/>
  <c r="V40" i="17"/>
  <c r="W40" i="17" s="1"/>
  <c r="AM138" i="17"/>
  <c r="V138" i="17"/>
  <c r="W138" i="17" s="1"/>
  <c r="V491" i="17"/>
  <c r="W491" i="17" s="1"/>
  <c r="AM491" i="17"/>
  <c r="V498" i="17"/>
  <c r="W498" i="17" s="1"/>
  <c r="AM498" i="17"/>
  <c r="V4" i="17"/>
  <c r="W4" i="17" s="1"/>
  <c r="AM4" i="17"/>
  <c r="V393" i="17"/>
  <c r="W393" i="17" s="1"/>
  <c r="AM393" i="17"/>
  <c r="AM68" i="17"/>
  <c r="V68" i="17"/>
  <c r="W68" i="17" s="1"/>
  <c r="AM78" i="17"/>
  <c r="V78" i="17"/>
  <c r="W78" i="17" s="1"/>
  <c r="V428" i="17"/>
  <c r="W428" i="17" s="1"/>
  <c r="AM428" i="17"/>
  <c r="V216" i="17"/>
  <c r="W216" i="17" s="1"/>
  <c r="AM216" i="17"/>
  <c r="AM100" i="17"/>
  <c r="V100" i="17"/>
  <c r="W100" i="17" s="1"/>
  <c r="AM233" i="17"/>
  <c r="V233" i="17"/>
  <c r="W233" i="17" s="1"/>
  <c r="V86" i="17"/>
  <c r="W86" i="17" s="1"/>
  <c r="AM86" i="17"/>
  <c r="AM399" i="17"/>
  <c r="V399" i="17"/>
  <c r="W399" i="17" s="1"/>
  <c r="AM411" i="17"/>
  <c r="V411" i="17"/>
  <c r="W411" i="17" s="1"/>
  <c r="AM363" i="17"/>
  <c r="V363" i="17"/>
  <c r="W363" i="17" s="1"/>
  <c r="V291" i="17"/>
  <c r="W291" i="17" s="1"/>
  <c r="AM291" i="17"/>
  <c r="AM61" i="17"/>
  <c r="V61" i="17"/>
  <c r="W61" i="17" s="1"/>
  <c r="V102" i="17"/>
  <c r="W102" i="17" s="1"/>
  <c r="AM102" i="17"/>
  <c r="AM59" i="17"/>
  <c r="V59" i="17"/>
  <c r="W59" i="17" s="1"/>
  <c r="AM60" i="17"/>
  <c r="V60" i="17"/>
  <c r="W60" i="17" s="1"/>
  <c r="V375" i="17"/>
  <c r="W375" i="17" s="1"/>
  <c r="AM375" i="17"/>
  <c r="V259" i="17"/>
  <c r="W259" i="17" s="1"/>
  <c r="AM259" i="17"/>
  <c r="V43" i="17"/>
  <c r="W43" i="17" s="1"/>
  <c r="AM43" i="17"/>
  <c r="AM92" i="17"/>
  <c r="V92" i="17"/>
  <c r="W92" i="17" s="1"/>
  <c r="V175" i="17"/>
  <c r="W175" i="17" s="1"/>
  <c r="AM175" i="17"/>
  <c r="V13" i="17"/>
  <c r="W13" i="17" s="1"/>
  <c r="AM13" i="17"/>
  <c r="AM370" i="17"/>
  <c r="V370" i="17"/>
  <c r="W370" i="17" s="1"/>
  <c r="AM268" i="17"/>
  <c r="V268" i="17"/>
  <c r="W268" i="17" s="1"/>
  <c r="V357" i="17"/>
  <c r="W357" i="17" s="1"/>
  <c r="AM357" i="17"/>
  <c r="AM169" i="17"/>
  <c r="V169" i="17"/>
  <c r="W169" i="17" s="1"/>
  <c r="AM407" i="17"/>
  <c r="V407" i="17"/>
  <c r="W407" i="17" s="1"/>
  <c r="AM236" i="17"/>
  <c r="V236" i="17"/>
  <c r="W236" i="17" s="1"/>
  <c r="AM380" i="17"/>
  <c r="V380" i="17"/>
  <c r="W380" i="17" s="1"/>
  <c r="AM308" i="17"/>
  <c r="V308" i="17"/>
  <c r="W308" i="17" s="1"/>
  <c r="V158" i="17"/>
  <c r="W158" i="17" s="1"/>
  <c r="AM158" i="17"/>
  <c r="AM262" i="17"/>
  <c r="V262" i="17"/>
  <c r="W262" i="17" s="1"/>
  <c r="V440" i="17"/>
  <c r="W440" i="17" s="1"/>
  <c r="AM440" i="17"/>
  <c r="V47" i="17"/>
  <c r="W47" i="17" s="1"/>
  <c r="AM47" i="17"/>
  <c r="AM125" i="17"/>
  <c r="V125" i="17"/>
  <c r="W125" i="17" s="1"/>
  <c r="V238" i="17"/>
  <c r="W238" i="17" s="1"/>
  <c r="AM238" i="17"/>
  <c r="V215" i="17"/>
  <c r="W215" i="17" s="1"/>
  <c r="AM215" i="17"/>
  <c r="AM186" i="17"/>
  <c r="V186" i="17"/>
  <c r="W186" i="17" s="1"/>
  <c r="V77" i="17"/>
  <c r="W77" i="17" s="1"/>
  <c r="AM77" i="17"/>
  <c r="AM52" i="17"/>
  <c r="V52" i="17"/>
  <c r="W52" i="17" s="1"/>
  <c r="AM309" i="17"/>
  <c r="V309" i="17"/>
  <c r="W309" i="17" s="1"/>
  <c r="V178" i="17"/>
  <c r="W178" i="17" s="1"/>
  <c r="AM178" i="17"/>
  <c r="V66" i="17"/>
  <c r="W66" i="17" s="1"/>
  <c r="AM66" i="17"/>
  <c r="AM39" i="17"/>
  <c r="V39" i="17"/>
  <c r="W39" i="17" s="1"/>
  <c r="AM421" i="17"/>
  <c r="V421" i="17"/>
  <c r="W421" i="17" s="1"/>
  <c r="V294" i="17"/>
  <c r="W294" i="17" s="1"/>
  <c r="AM294" i="17"/>
  <c r="AM26" i="17"/>
  <c r="V26" i="17"/>
  <c r="W26" i="17" s="1"/>
  <c r="AM306" i="17"/>
  <c r="V306" i="17"/>
  <c r="W306" i="17" s="1"/>
  <c r="AM434" i="17"/>
  <c r="V434" i="17"/>
  <c r="W434" i="17" s="1"/>
  <c r="V386" i="17"/>
  <c r="W386" i="17" s="1"/>
  <c r="AM386" i="17"/>
  <c r="V394" i="17"/>
  <c r="W394" i="17" s="1"/>
  <c r="AM394" i="17"/>
  <c r="V76" i="17"/>
  <c r="W76" i="17" s="1"/>
  <c r="AM76" i="17"/>
  <c r="AM389" i="17"/>
  <c r="V389" i="17"/>
  <c r="W389" i="17" s="1"/>
  <c r="AM391" i="17"/>
  <c r="V391" i="17"/>
  <c r="W391" i="17" s="1"/>
  <c r="V63" i="17"/>
  <c r="W63" i="17" s="1"/>
  <c r="AM63" i="17"/>
  <c r="AM390" i="17"/>
  <c r="V390" i="17"/>
  <c r="W390" i="17" s="1"/>
  <c r="AM2" i="17"/>
  <c r="V2" i="17"/>
  <c r="W2" i="17" s="1"/>
  <c r="V427" i="17"/>
  <c r="W427" i="17" s="1"/>
  <c r="AM427" i="17"/>
  <c r="V295" i="17"/>
  <c r="W295" i="17" s="1"/>
  <c r="AM295" i="17"/>
  <c r="AM387" i="17"/>
  <c r="V387" i="17"/>
  <c r="W387" i="17" s="1"/>
  <c r="AM79" i="17"/>
  <c r="V79" i="17"/>
  <c r="W79" i="17" s="1"/>
  <c r="AM136" i="17"/>
  <c r="V136" i="17"/>
  <c r="W136" i="17" s="1"/>
  <c r="AM62" i="17"/>
  <c r="V62" i="17"/>
  <c r="W62" i="17" s="1"/>
  <c r="AM248" i="17"/>
  <c r="V248" i="17"/>
  <c r="W248" i="17" s="1"/>
  <c r="AM80" i="17"/>
  <c r="V80" i="17"/>
  <c r="W80" i="17" s="1"/>
  <c r="AM22" i="17"/>
  <c r="V22" i="17"/>
  <c r="W22" i="17" s="1"/>
  <c r="V245" i="17"/>
  <c r="W245" i="17" s="1"/>
  <c r="AM245" i="17"/>
  <c r="V151" i="17"/>
  <c r="W151" i="17" s="1"/>
  <c r="AM151" i="17"/>
  <c r="V144" i="17"/>
  <c r="W144" i="17" s="1"/>
  <c r="AM144" i="17"/>
  <c r="AM296" i="17"/>
  <c r="V296" i="17"/>
  <c r="W296" i="17" s="1"/>
  <c r="AM433" i="17"/>
  <c r="V433" i="17"/>
  <c r="W433" i="17" s="1"/>
  <c r="AM232" i="17"/>
  <c r="V232" i="17"/>
  <c r="W232" i="17" s="1"/>
  <c r="AM7" i="17"/>
  <c r="V7" i="17"/>
  <c r="W7" i="17" s="1"/>
  <c r="V426" i="17"/>
  <c r="W426" i="17" s="1"/>
  <c r="AM426" i="17"/>
  <c r="V503" i="17"/>
  <c r="W503" i="17" s="1"/>
  <c r="AM503" i="17"/>
  <c r="AM255" i="17"/>
  <c r="V255" i="17"/>
  <c r="W255" i="17" s="1"/>
  <c r="V65" i="17"/>
  <c r="W65" i="17" s="1"/>
  <c r="AM65" i="17"/>
  <c r="V439" i="17"/>
  <c r="W439" i="17" s="1"/>
  <c r="AM439" i="17"/>
  <c r="AM408" i="17"/>
  <c r="V408" i="17"/>
  <c r="W408" i="17" s="1"/>
  <c r="V442" i="17"/>
  <c r="W442" i="17" s="1"/>
  <c r="AM442" i="17"/>
  <c r="AM256" i="17"/>
  <c r="V256" i="17"/>
  <c r="W256" i="17" s="1"/>
  <c r="LC20" i="14"/>
  <c r="LB20" i="14"/>
  <c r="LA20" i="14"/>
  <c r="KZ20" i="14"/>
  <c r="KY20" i="14"/>
  <c r="KX20" i="14"/>
  <c r="KW20" i="14"/>
  <c r="KU20" i="14"/>
  <c r="KT20" i="14"/>
  <c r="KS20" i="14"/>
  <c r="KR20" i="14"/>
  <c r="LC19" i="14"/>
  <c r="LB19" i="14"/>
  <c r="LA19" i="14"/>
  <c r="KZ19" i="14"/>
  <c r="KY19" i="14"/>
  <c r="KX19" i="14"/>
  <c r="KW19" i="14"/>
  <c r="KU19" i="14"/>
  <c r="KT19" i="14"/>
  <c r="KS19" i="14"/>
  <c r="KR19" i="14"/>
  <c r="LC18" i="14"/>
  <c r="LB18" i="14"/>
  <c r="LA18" i="14"/>
  <c r="KZ18" i="14"/>
  <c r="KY18" i="14"/>
  <c r="KX18" i="14"/>
  <c r="KW18" i="14"/>
  <c r="KU18" i="14"/>
  <c r="KT18" i="14"/>
  <c r="KS18" i="14"/>
  <c r="KR18" i="14"/>
  <c r="LC17" i="14"/>
  <c r="LB17" i="14"/>
  <c r="LA17" i="14"/>
  <c r="KZ17" i="14"/>
  <c r="KY17" i="14"/>
  <c r="KX17" i="14"/>
  <c r="KW17" i="14"/>
  <c r="KU17" i="14"/>
  <c r="KT17" i="14"/>
  <c r="KS17" i="14"/>
  <c r="KR17" i="14"/>
  <c r="LC16" i="14"/>
  <c r="LB16" i="14"/>
  <c r="LA16" i="14"/>
  <c r="KZ16" i="14"/>
  <c r="KY16" i="14"/>
  <c r="KX16" i="14"/>
  <c r="KW16" i="14"/>
  <c r="KU16" i="14"/>
  <c r="KT16" i="14"/>
  <c r="KS16" i="14"/>
  <c r="KR16" i="14"/>
  <c r="LC15" i="14"/>
  <c r="LB15" i="14"/>
  <c r="LA15" i="14"/>
  <c r="KZ15" i="14"/>
  <c r="KY15" i="14"/>
  <c r="KX15" i="14"/>
  <c r="KW15" i="14"/>
  <c r="KU15" i="14"/>
  <c r="KT15" i="14"/>
  <c r="KS15" i="14"/>
  <c r="KR15" i="14"/>
  <c r="LC14" i="14"/>
  <c r="LB14" i="14"/>
  <c r="LA14" i="14"/>
  <c r="KZ14" i="14"/>
  <c r="KY14" i="14"/>
  <c r="KX14" i="14"/>
  <c r="KW14" i="14"/>
  <c r="KU14" i="14"/>
  <c r="KT14" i="14"/>
  <c r="KS14" i="14"/>
  <c r="KR14" i="14"/>
  <c r="LI10" i="14"/>
  <c r="LH10" i="14"/>
  <c r="LG10" i="14"/>
  <c r="LF10" i="14"/>
  <c r="LE10" i="14"/>
  <c r="LI9" i="14"/>
  <c r="LH9" i="14"/>
  <c r="LG9" i="14"/>
  <c r="LF9" i="14"/>
  <c r="LE9" i="14"/>
  <c r="LI8" i="14"/>
  <c r="LH8" i="14"/>
  <c r="LG8" i="14"/>
  <c r="LF8" i="14"/>
  <c r="LE8" i="14"/>
  <c r="LI7" i="14"/>
  <c r="LH7" i="14"/>
  <c r="LG7" i="14"/>
  <c r="LF7" i="14"/>
  <c r="LE7" i="14"/>
  <c r="LI6" i="14"/>
  <c r="LH6" i="14"/>
  <c r="LG6" i="14"/>
  <c r="LF6" i="14"/>
  <c r="LE6" i="14"/>
  <c r="LI5" i="14"/>
  <c r="LH5" i="14"/>
  <c r="LG5" i="14"/>
  <c r="LF5" i="14"/>
  <c r="LE5" i="14"/>
  <c r="LI4" i="14"/>
  <c r="LH4" i="14"/>
  <c r="LG4" i="14"/>
  <c r="LF4" i="14"/>
  <c r="LE4" i="14"/>
  <c r="LD10" i="14"/>
  <c r="LD9" i="14"/>
  <c r="LD8" i="14"/>
  <c r="LD7" i="14"/>
  <c r="LD6" i="14"/>
  <c r="LD5" i="14"/>
  <c r="LD4" i="14"/>
  <c r="KO20" i="14"/>
  <c r="KN20" i="14"/>
  <c r="KM20" i="14"/>
  <c r="KL20" i="14"/>
  <c r="KK20" i="14"/>
  <c r="KJ20" i="14"/>
  <c r="KI20" i="14"/>
  <c r="KG20" i="14"/>
  <c r="KF20" i="14"/>
  <c r="KE20" i="14"/>
  <c r="KD20" i="14"/>
  <c r="KO19" i="14"/>
  <c r="KN19" i="14"/>
  <c r="KM19" i="14"/>
  <c r="KL19" i="14"/>
  <c r="KK19" i="14"/>
  <c r="KJ19" i="14"/>
  <c r="KI19" i="14"/>
  <c r="KG19" i="14"/>
  <c r="KF19" i="14"/>
  <c r="KE19" i="14"/>
  <c r="KD19" i="14"/>
  <c r="KO18" i="14"/>
  <c r="KN18" i="14"/>
  <c r="KM18" i="14"/>
  <c r="KL18" i="14"/>
  <c r="KK18" i="14"/>
  <c r="KJ18" i="14"/>
  <c r="KI18" i="14"/>
  <c r="KG18" i="14"/>
  <c r="KF18" i="14"/>
  <c r="KE18" i="14"/>
  <c r="KD18" i="14"/>
  <c r="KO17" i="14"/>
  <c r="KN17" i="14"/>
  <c r="KM17" i="14"/>
  <c r="KL17" i="14"/>
  <c r="KK17" i="14"/>
  <c r="KJ17" i="14"/>
  <c r="KI17" i="14"/>
  <c r="KG17" i="14"/>
  <c r="KF17" i="14"/>
  <c r="KE17" i="14"/>
  <c r="KD17" i="14"/>
  <c r="KO16" i="14"/>
  <c r="KN16" i="14"/>
  <c r="KM16" i="14"/>
  <c r="KL16" i="14"/>
  <c r="KK16" i="14"/>
  <c r="KJ16" i="14"/>
  <c r="KI16" i="14"/>
  <c r="KG16" i="14"/>
  <c r="KF16" i="14"/>
  <c r="KE16" i="14"/>
  <c r="KD16" i="14"/>
  <c r="KO15" i="14"/>
  <c r="KN15" i="14"/>
  <c r="KM15" i="14"/>
  <c r="KL15" i="14"/>
  <c r="KK15" i="14"/>
  <c r="KJ15" i="14"/>
  <c r="KI15" i="14"/>
  <c r="KG15" i="14"/>
  <c r="KF15" i="14"/>
  <c r="KE15" i="14"/>
  <c r="KD15" i="14"/>
  <c r="KO14" i="14"/>
  <c r="KN14" i="14"/>
  <c r="KM14" i="14"/>
  <c r="KL14" i="14"/>
  <c r="KK14" i="14"/>
  <c r="KJ14" i="14"/>
  <c r="KI14" i="14"/>
  <c r="KG14" i="14"/>
  <c r="KF14" i="14"/>
  <c r="KE14" i="14"/>
  <c r="KD14" i="14"/>
  <c r="KA20" i="14"/>
  <c r="JZ20" i="14"/>
  <c r="JY20" i="14"/>
  <c r="JX20" i="14"/>
  <c r="JW20" i="14"/>
  <c r="JV20" i="14"/>
  <c r="JU20" i="14"/>
  <c r="JS20" i="14"/>
  <c r="JR20" i="14"/>
  <c r="JQ20" i="14"/>
  <c r="JP20" i="14"/>
  <c r="KA19" i="14"/>
  <c r="JZ19" i="14"/>
  <c r="JY19" i="14"/>
  <c r="JX19" i="14"/>
  <c r="JW19" i="14"/>
  <c r="JV19" i="14"/>
  <c r="JU19" i="14"/>
  <c r="JS19" i="14"/>
  <c r="JR19" i="14"/>
  <c r="JQ19" i="14"/>
  <c r="JP19" i="14"/>
  <c r="KA18" i="14"/>
  <c r="JZ18" i="14"/>
  <c r="JY18" i="14"/>
  <c r="JX18" i="14"/>
  <c r="JW18" i="14"/>
  <c r="JV18" i="14"/>
  <c r="JU18" i="14"/>
  <c r="JS18" i="14"/>
  <c r="JR18" i="14"/>
  <c r="JQ18" i="14"/>
  <c r="JP18" i="14"/>
  <c r="KA17" i="14"/>
  <c r="JZ17" i="14"/>
  <c r="JY17" i="14"/>
  <c r="JX17" i="14"/>
  <c r="JW17" i="14"/>
  <c r="JV17" i="14"/>
  <c r="JU17" i="14"/>
  <c r="JS17" i="14"/>
  <c r="JR17" i="14"/>
  <c r="JQ17" i="14"/>
  <c r="JP17" i="14"/>
  <c r="KA16" i="14"/>
  <c r="JZ16" i="14"/>
  <c r="JY16" i="14"/>
  <c r="JX16" i="14"/>
  <c r="JW16" i="14"/>
  <c r="JV16" i="14"/>
  <c r="JU16" i="14"/>
  <c r="JS16" i="14"/>
  <c r="JR16" i="14"/>
  <c r="JQ16" i="14"/>
  <c r="JP16" i="14"/>
  <c r="KA15" i="14"/>
  <c r="JZ15" i="14"/>
  <c r="JY15" i="14"/>
  <c r="JX15" i="14"/>
  <c r="JW15" i="14"/>
  <c r="JV15" i="14"/>
  <c r="JU15" i="14"/>
  <c r="JS15" i="14"/>
  <c r="JR15" i="14"/>
  <c r="JQ15" i="14"/>
  <c r="JP15" i="14"/>
  <c r="KA14" i="14"/>
  <c r="JZ14" i="14"/>
  <c r="JY14" i="14"/>
  <c r="JX14" i="14"/>
  <c r="JW14" i="14"/>
  <c r="JV14" i="14"/>
  <c r="JU14" i="14"/>
  <c r="JS14" i="14"/>
  <c r="JR14" i="14"/>
  <c r="JQ14" i="14"/>
  <c r="JP14" i="14"/>
  <c r="JM20" i="14"/>
  <c r="JL20" i="14"/>
  <c r="JK20" i="14"/>
  <c r="JJ20" i="14"/>
  <c r="JI20" i="14"/>
  <c r="JH20" i="14"/>
  <c r="JG20" i="14"/>
  <c r="JE20" i="14"/>
  <c r="JD20" i="14"/>
  <c r="JC20" i="14"/>
  <c r="JB20" i="14"/>
  <c r="JM19" i="14"/>
  <c r="JL19" i="14"/>
  <c r="JK19" i="14"/>
  <c r="JJ19" i="14"/>
  <c r="JI19" i="14"/>
  <c r="JH19" i="14"/>
  <c r="JG19" i="14"/>
  <c r="JE19" i="14"/>
  <c r="JD19" i="14"/>
  <c r="JC19" i="14"/>
  <c r="JB19" i="14"/>
  <c r="JM18" i="14"/>
  <c r="JL18" i="14"/>
  <c r="JK18" i="14"/>
  <c r="JJ18" i="14"/>
  <c r="JI18" i="14"/>
  <c r="JH18" i="14"/>
  <c r="JG18" i="14"/>
  <c r="JE18" i="14"/>
  <c r="JD18" i="14"/>
  <c r="JC18" i="14"/>
  <c r="JB18" i="14"/>
  <c r="JM17" i="14"/>
  <c r="JL17" i="14"/>
  <c r="JK17" i="14"/>
  <c r="JJ17" i="14"/>
  <c r="JI17" i="14"/>
  <c r="JH17" i="14"/>
  <c r="JG17" i="14"/>
  <c r="JE17" i="14"/>
  <c r="JD17" i="14"/>
  <c r="JC17" i="14"/>
  <c r="JB17" i="14"/>
  <c r="JM16" i="14"/>
  <c r="JL16" i="14"/>
  <c r="JK16" i="14"/>
  <c r="JJ16" i="14"/>
  <c r="JI16" i="14"/>
  <c r="JH16" i="14"/>
  <c r="JG16" i="14"/>
  <c r="JE16" i="14"/>
  <c r="JD16" i="14"/>
  <c r="JC16" i="14"/>
  <c r="JB16" i="14"/>
  <c r="JM15" i="14"/>
  <c r="JL15" i="14"/>
  <c r="JK15" i="14"/>
  <c r="JJ15" i="14"/>
  <c r="JI15" i="14"/>
  <c r="JH15" i="14"/>
  <c r="JG15" i="14"/>
  <c r="JE15" i="14"/>
  <c r="JD15" i="14"/>
  <c r="JC15" i="14"/>
  <c r="JB15" i="14"/>
  <c r="JM14" i="14"/>
  <c r="JL14" i="14"/>
  <c r="JK14" i="14"/>
  <c r="JJ14" i="14"/>
  <c r="JI14" i="14"/>
  <c r="JH14" i="14"/>
  <c r="JG14" i="14"/>
  <c r="JE14" i="14"/>
  <c r="JD14" i="14"/>
  <c r="JC14" i="14"/>
  <c r="JB14" i="14"/>
  <c r="IY20" i="14"/>
  <c r="IX20" i="14"/>
  <c r="IW20" i="14"/>
  <c r="IV20" i="14"/>
  <c r="IU20" i="14"/>
  <c r="IT20" i="14"/>
  <c r="IS20" i="14"/>
  <c r="IQ20" i="14"/>
  <c r="IP20" i="14"/>
  <c r="IO20" i="14"/>
  <c r="IN20" i="14"/>
  <c r="IY19" i="14"/>
  <c r="IX19" i="14"/>
  <c r="IW19" i="14"/>
  <c r="IV19" i="14"/>
  <c r="IU19" i="14"/>
  <c r="IT19" i="14"/>
  <c r="IS19" i="14"/>
  <c r="IQ19" i="14"/>
  <c r="IP19" i="14"/>
  <c r="IO19" i="14"/>
  <c r="IN19" i="14"/>
  <c r="IY18" i="14"/>
  <c r="IX18" i="14"/>
  <c r="IW18" i="14"/>
  <c r="IV18" i="14"/>
  <c r="IU18" i="14"/>
  <c r="IT18" i="14"/>
  <c r="IS18" i="14"/>
  <c r="IQ18" i="14"/>
  <c r="IP18" i="14"/>
  <c r="IO18" i="14"/>
  <c r="IN18" i="14"/>
  <c r="IY17" i="14"/>
  <c r="IX17" i="14"/>
  <c r="IW17" i="14"/>
  <c r="IV17" i="14"/>
  <c r="IU17" i="14"/>
  <c r="IT17" i="14"/>
  <c r="IS17" i="14"/>
  <c r="IQ17" i="14"/>
  <c r="IP17" i="14"/>
  <c r="IO17" i="14"/>
  <c r="IN17" i="14"/>
  <c r="IY16" i="14"/>
  <c r="IX16" i="14"/>
  <c r="IW16" i="14"/>
  <c r="IV16" i="14"/>
  <c r="IU16" i="14"/>
  <c r="IT16" i="14"/>
  <c r="IS16" i="14"/>
  <c r="IQ16" i="14"/>
  <c r="IP16" i="14"/>
  <c r="IO16" i="14"/>
  <c r="IN16" i="14"/>
  <c r="IY15" i="14"/>
  <c r="IX15" i="14"/>
  <c r="IW15" i="14"/>
  <c r="IV15" i="14"/>
  <c r="IU15" i="14"/>
  <c r="IT15" i="14"/>
  <c r="IS15" i="14"/>
  <c r="IQ15" i="14"/>
  <c r="IP15" i="14"/>
  <c r="IO15" i="14"/>
  <c r="IN15" i="14"/>
  <c r="IY14" i="14"/>
  <c r="IX14" i="14"/>
  <c r="IW14" i="14"/>
  <c r="IV14" i="14"/>
  <c r="IU14" i="14"/>
  <c r="IT14" i="14"/>
  <c r="IS14" i="14"/>
  <c r="IQ14" i="14"/>
  <c r="IP14" i="14"/>
  <c r="IO14" i="14"/>
  <c r="IN14" i="14"/>
  <c r="IK20" i="14"/>
  <c r="IJ20" i="14"/>
  <c r="II20" i="14"/>
  <c r="IH20" i="14"/>
  <c r="IG20" i="14"/>
  <c r="IF20" i="14"/>
  <c r="IE20" i="14"/>
  <c r="IC20" i="14"/>
  <c r="IB20" i="14"/>
  <c r="IA20" i="14"/>
  <c r="HZ20" i="14"/>
  <c r="IK19" i="14"/>
  <c r="IJ19" i="14"/>
  <c r="II19" i="14"/>
  <c r="IH19" i="14"/>
  <c r="IG19" i="14"/>
  <c r="IF19" i="14"/>
  <c r="IE19" i="14"/>
  <c r="IC19" i="14"/>
  <c r="IB19" i="14"/>
  <c r="IA19" i="14"/>
  <c r="HZ19" i="14"/>
  <c r="IK18" i="14"/>
  <c r="IJ18" i="14"/>
  <c r="II18" i="14"/>
  <c r="IH18" i="14"/>
  <c r="IG18" i="14"/>
  <c r="IF18" i="14"/>
  <c r="IE18" i="14"/>
  <c r="IC18" i="14"/>
  <c r="IB18" i="14"/>
  <c r="IA18" i="14"/>
  <c r="HZ18" i="14"/>
  <c r="IK17" i="14"/>
  <c r="IJ17" i="14"/>
  <c r="II17" i="14"/>
  <c r="IH17" i="14"/>
  <c r="IG17" i="14"/>
  <c r="IF17" i="14"/>
  <c r="IE17" i="14"/>
  <c r="IC17" i="14"/>
  <c r="IB17" i="14"/>
  <c r="IA17" i="14"/>
  <c r="HZ17" i="14"/>
  <c r="IK16" i="14"/>
  <c r="IJ16" i="14"/>
  <c r="II16" i="14"/>
  <c r="IH16" i="14"/>
  <c r="IG16" i="14"/>
  <c r="IF16" i="14"/>
  <c r="IE16" i="14"/>
  <c r="IC16" i="14"/>
  <c r="IB16" i="14"/>
  <c r="IA16" i="14"/>
  <c r="HZ16" i="14"/>
  <c r="IK15" i="14"/>
  <c r="IJ15" i="14"/>
  <c r="II15" i="14"/>
  <c r="IH15" i="14"/>
  <c r="IG15" i="14"/>
  <c r="IF15" i="14"/>
  <c r="IE15" i="14"/>
  <c r="IC15" i="14"/>
  <c r="IB15" i="14"/>
  <c r="IA15" i="14"/>
  <c r="HZ15" i="14"/>
  <c r="IK14" i="14"/>
  <c r="IJ14" i="14"/>
  <c r="II14" i="14"/>
  <c r="IH14" i="14"/>
  <c r="IG14" i="14"/>
  <c r="IF14" i="14"/>
  <c r="IE14" i="14"/>
  <c r="IC14" i="14"/>
  <c r="IB14" i="14"/>
  <c r="IA14" i="14"/>
  <c r="HZ14" i="14"/>
  <c r="HW20" i="14"/>
  <c r="HV20" i="14"/>
  <c r="HU20" i="14"/>
  <c r="HT20" i="14"/>
  <c r="HS20" i="14"/>
  <c r="HR20" i="14"/>
  <c r="HQ20" i="14"/>
  <c r="HO20" i="14"/>
  <c r="HN20" i="14"/>
  <c r="HM20" i="14"/>
  <c r="HL20" i="14"/>
  <c r="HW19" i="14"/>
  <c r="HV19" i="14"/>
  <c r="HU19" i="14"/>
  <c r="HT19" i="14"/>
  <c r="HS19" i="14"/>
  <c r="HR19" i="14"/>
  <c r="HQ19" i="14"/>
  <c r="HO19" i="14"/>
  <c r="HN19" i="14"/>
  <c r="HM19" i="14"/>
  <c r="HL19" i="14"/>
  <c r="HW18" i="14"/>
  <c r="HV18" i="14"/>
  <c r="HU18" i="14"/>
  <c r="HT18" i="14"/>
  <c r="HS18" i="14"/>
  <c r="HR18" i="14"/>
  <c r="HQ18" i="14"/>
  <c r="HO18" i="14"/>
  <c r="HN18" i="14"/>
  <c r="HM18" i="14"/>
  <c r="HL18" i="14"/>
  <c r="HW17" i="14"/>
  <c r="HV17" i="14"/>
  <c r="HU17" i="14"/>
  <c r="HT17" i="14"/>
  <c r="HS17" i="14"/>
  <c r="HR17" i="14"/>
  <c r="HQ17" i="14"/>
  <c r="HO17" i="14"/>
  <c r="HN17" i="14"/>
  <c r="HM17" i="14"/>
  <c r="HL17" i="14"/>
  <c r="HW16" i="14"/>
  <c r="HV16" i="14"/>
  <c r="HU16" i="14"/>
  <c r="HT16" i="14"/>
  <c r="HS16" i="14"/>
  <c r="HR16" i="14"/>
  <c r="HQ16" i="14"/>
  <c r="HO16" i="14"/>
  <c r="HN16" i="14"/>
  <c r="HM16" i="14"/>
  <c r="HL16" i="14"/>
  <c r="HW15" i="14"/>
  <c r="HV15" i="14"/>
  <c r="HU15" i="14"/>
  <c r="HT15" i="14"/>
  <c r="HS15" i="14"/>
  <c r="HR15" i="14"/>
  <c r="HQ15" i="14"/>
  <c r="HO15" i="14"/>
  <c r="HN15" i="14"/>
  <c r="HM15" i="14"/>
  <c r="HL15" i="14"/>
  <c r="HW14" i="14"/>
  <c r="HV14" i="14"/>
  <c r="HU14" i="14"/>
  <c r="HT14" i="14"/>
  <c r="HS14" i="14"/>
  <c r="HR14" i="14"/>
  <c r="HQ14" i="14"/>
  <c r="HO14" i="14"/>
  <c r="HN14" i="14"/>
  <c r="HM14" i="14"/>
  <c r="HL14" i="14"/>
  <c r="H24" i="15"/>
  <c r="H15" i="15"/>
  <c r="HI20" i="14"/>
  <c r="HH20" i="14"/>
  <c r="HG20" i="14"/>
  <c r="HF20" i="14"/>
  <c r="HE20" i="14"/>
  <c r="HD20" i="14"/>
  <c r="HC20" i="14"/>
  <c r="HA20" i="14"/>
  <c r="GZ20" i="14"/>
  <c r="GY20" i="14"/>
  <c r="GX20" i="14"/>
  <c r="HI19" i="14"/>
  <c r="HH19" i="14"/>
  <c r="HG19" i="14"/>
  <c r="HF19" i="14"/>
  <c r="HE19" i="14"/>
  <c r="HD19" i="14"/>
  <c r="HC19" i="14"/>
  <c r="HA19" i="14"/>
  <c r="GZ19" i="14"/>
  <c r="GY19" i="14"/>
  <c r="GX19" i="14"/>
  <c r="HI18" i="14"/>
  <c r="HH18" i="14"/>
  <c r="HG18" i="14"/>
  <c r="HF18" i="14"/>
  <c r="HE18" i="14"/>
  <c r="HD18" i="14"/>
  <c r="HC18" i="14"/>
  <c r="HA18" i="14"/>
  <c r="GZ18" i="14"/>
  <c r="GY18" i="14"/>
  <c r="GX18" i="14"/>
  <c r="HI17" i="14"/>
  <c r="HH17" i="14"/>
  <c r="HG17" i="14"/>
  <c r="HF17" i="14"/>
  <c r="HE17" i="14"/>
  <c r="HD17" i="14"/>
  <c r="HC17" i="14"/>
  <c r="HA17" i="14"/>
  <c r="GZ17" i="14"/>
  <c r="GY17" i="14"/>
  <c r="GX17" i="14"/>
  <c r="HI16" i="14"/>
  <c r="HH16" i="14"/>
  <c r="HG16" i="14"/>
  <c r="HF16" i="14"/>
  <c r="HE16" i="14"/>
  <c r="HD16" i="14"/>
  <c r="HC16" i="14"/>
  <c r="HA16" i="14"/>
  <c r="GZ16" i="14"/>
  <c r="GY16" i="14"/>
  <c r="GX16" i="14"/>
  <c r="HI15" i="14"/>
  <c r="HH15" i="14"/>
  <c r="HG15" i="14"/>
  <c r="HF15" i="14"/>
  <c r="HE15" i="14"/>
  <c r="HD15" i="14"/>
  <c r="HC15" i="14"/>
  <c r="HA15" i="14"/>
  <c r="GZ15" i="14"/>
  <c r="GY15" i="14"/>
  <c r="GX15" i="14"/>
  <c r="HI14" i="14"/>
  <c r="HH14" i="14"/>
  <c r="HG14" i="14"/>
  <c r="HF14" i="14"/>
  <c r="HE14" i="14"/>
  <c r="HD14" i="14"/>
  <c r="HC14" i="14"/>
  <c r="HA14" i="14"/>
  <c r="GZ14" i="14"/>
  <c r="GY14" i="14"/>
  <c r="GX14" i="14"/>
  <c r="GU20" i="14"/>
  <c r="GT20" i="14"/>
  <c r="GS20" i="14"/>
  <c r="GR20" i="14"/>
  <c r="GQ20" i="14"/>
  <c r="GP20" i="14"/>
  <c r="GO20" i="14"/>
  <c r="GM20" i="14"/>
  <c r="GL20" i="14"/>
  <c r="GK20" i="14"/>
  <c r="GJ20" i="14"/>
  <c r="GU19" i="14"/>
  <c r="GT19" i="14"/>
  <c r="GS19" i="14"/>
  <c r="GR19" i="14"/>
  <c r="GQ19" i="14"/>
  <c r="GP19" i="14"/>
  <c r="GO19" i="14"/>
  <c r="GM19" i="14"/>
  <c r="GL19" i="14"/>
  <c r="GK19" i="14"/>
  <c r="GJ19" i="14"/>
  <c r="GU18" i="14"/>
  <c r="GT18" i="14"/>
  <c r="GS18" i="14"/>
  <c r="GR18" i="14"/>
  <c r="GQ18" i="14"/>
  <c r="GP18" i="14"/>
  <c r="GO18" i="14"/>
  <c r="GM18" i="14"/>
  <c r="GL18" i="14"/>
  <c r="GK18" i="14"/>
  <c r="GJ18" i="14"/>
  <c r="GU17" i="14"/>
  <c r="GT17" i="14"/>
  <c r="GS17" i="14"/>
  <c r="GR17" i="14"/>
  <c r="GQ17" i="14"/>
  <c r="GP17" i="14"/>
  <c r="GO17" i="14"/>
  <c r="GM17" i="14"/>
  <c r="GL17" i="14"/>
  <c r="GK17" i="14"/>
  <c r="GJ17" i="14"/>
  <c r="GU16" i="14"/>
  <c r="GT16" i="14"/>
  <c r="GS16" i="14"/>
  <c r="GR16" i="14"/>
  <c r="GQ16" i="14"/>
  <c r="GP16" i="14"/>
  <c r="GO16" i="14"/>
  <c r="GM16" i="14"/>
  <c r="GL16" i="14"/>
  <c r="GK16" i="14"/>
  <c r="GJ16" i="14"/>
  <c r="GU15" i="14"/>
  <c r="GT15" i="14"/>
  <c r="GS15" i="14"/>
  <c r="GR15" i="14"/>
  <c r="GQ15" i="14"/>
  <c r="GP15" i="14"/>
  <c r="GO15" i="14"/>
  <c r="GM15" i="14"/>
  <c r="GL15" i="14"/>
  <c r="GK15" i="14"/>
  <c r="GJ15" i="14"/>
  <c r="GU14" i="14"/>
  <c r="GT14" i="14"/>
  <c r="GS14" i="14"/>
  <c r="GR14" i="14"/>
  <c r="GQ14" i="14"/>
  <c r="GP14" i="14"/>
  <c r="GO14" i="14"/>
  <c r="GM14" i="14"/>
  <c r="GL14" i="14"/>
  <c r="GK14" i="14"/>
  <c r="GJ14" i="14"/>
  <c r="GG20" i="14"/>
  <c r="GF20" i="14"/>
  <c r="GE20" i="14"/>
  <c r="GD20" i="14"/>
  <c r="GC20" i="14"/>
  <c r="GB20" i="14"/>
  <c r="GA20" i="14"/>
  <c r="FY20" i="14"/>
  <c r="FX20" i="14"/>
  <c r="FW20" i="14"/>
  <c r="FV20" i="14"/>
  <c r="GG19" i="14"/>
  <c r="GF19" i="14"/>
  <c r="GE19" i="14"/>
  <c r="GD19" i="14"/>
  <c r="GC19" i="14"/>
  <c r="GB19" i="14"/>
  <c r="GA19" i="14"/>
  <c r="FY19" i="14"/>
  <c r="FX19" i="14"/>
  <c r="FW19" i="14"/>
  <c r="FV19" i="14"/>
  <c r="GG18" i="14"/>
  <c r="GF18" i="14"/>
  <c r="GE18" i="14"/>
  <c r="GD18" i="14"/>
  <c r="GC18" i="14"/>
  <c r="GB18" i="14"/>
  <c r="GA18" i="14"/>
  <c r="FY18" i="14"/>
  <c r="FX18" i="14"/>
  <c r="FW18" i="14"/>
  <c r="FV18" i="14"/>
  <c r="GG17" i="14"/>
  <c r="GF17" i="14"/>
  <c r="GE17" i="14"/>
  <c r="GD17" i="14"/>
  <c r="GC17" i="14"/>
  <c r="GB17" i="14"/>
  <c r="GA17" i="14"/>
  <c r="FY17" i="14"/>
  <c r="FX17" i="14"/>
  <c r="FW17" i="14"/>
  <c r="FV17" i="14"/>
  <c r="GG16" i="14"/>
  <c r="GF16" i="14"/>
  <c r="GE16" i="14"/>
  <c r="GD16" i="14"/>
  <c r="GC16" i="14"/>
  <c r="GB16" i="14"/>
  <c r="GA16" i="14"/>
  <c r="FY16" i="14"/>
  <c r="FX16" i="14"/>
  <c r="FW16" i="14"/>
  <c r="FV16" i="14"/>
  <c r="GG15" i="14"/>
  <c r="GF15" i="14"/>
  <c r="GE15" i="14"/>
  <c r="GD15" i="14"/>
  <c r="GC15" i="14"/>
  <c r="GB15" i="14"/>
  <c r="GA15" i="14"/>
  <c r="FY15" i="14"/>
  <c r="FX15" i="14"/>
  <c r="FW15" i="14"/>
  <c r="FV15" i="14"/>
  <c r="GG14" i="14"/>
  <c r="GF14" i="14"/>
  <c r="GE14" i="14"/>
  <c r="GD14" i="14"/>
  <c r="GC14" i="14"/>
  <c r="GB14" i="14"/>
  <c r="GA14" i="14"/>
  <c r="FY14" i="14"/>
  <c r="FX14" i="14"/>
  <c r="FW14" i="14"/>
  <c r="FV14" i="14"/>
  <c r="E8" i="7"/>
  <c r="FS20" i="14"/>
  <c r="FR20" i="14"/>
  <c r="FQ20" i="14"/>
  <c r="FP20" i="14"/>
  <c r="FO20" i="14"/>
  <c r="FN20" i="14"/>
  <c r="FM20" i="14"/>
  <c r="FL20" i="14"/>
  <c r="FJ20" i="14"/>
  <c r="FI20" i="14"/>
  <c r="FH20" i="14"/>
  <c r="FG20" i="14"/>
  <c r="FF20" i="14"/>
  <c r="FS19" i="14"/>
  <c r="FR19" i="14"/>
  <c r="FQ19" i="14"/>
  <c r="FP19" i="14"/>
  <c r="FO19" i="14"/>
  <c r="FN19" i="14"/>
  <c r="FM19" i="14"/>
  <c r="FL19" i="14"/>
  <c r="FJ19" i="14"/>
  <c r="FI19" i="14"/>
  <c r="FH19" i="14"/>
  <c r="FG19" i="14"/>
  <c r="FF19" i="14"/>
  <c r="FS18" i="14"/>
  <c r="FR18" i="14"/>
  <c r="FQ18" i="14"/>
  <c r="FP18" i="14"/>
  <c r="FO18" i="14"/>
  <c r="FN18" i="14"/>
  <c r="FM18" i="14"/>
  <c r="FL18" i="14"/>
  <c r="FJ18" i="14"/>
  <c r="FI18" i="14"/>
  <c r="FH18" i="14"/>
  <c r="FG18" i="14"/>
  <c r="FF18" i="14"/>
  <c r="FS17" i="14"/>
  <c r="FR17" i="14"/>
  <c r="FQ17" i="14"/>
  <c r="FP17" i="14"/>
  <c r="FO17" i="14"/>
  <c r="FN17" i="14"/>
  <c r="FM17" i="14"/>
  <c r="FL17" i="14"/>
  <c r="FJ17" i="14"/>
  <c r="FI17" i="14"/>
  <c r="FH17" i="14"/>
  <c r="FG17" i="14"/>
  <c r="FF17" i="14"/>
  <c r="FS16" i="14"/>
  <c r="FR16" i="14"/>
  <c r="FQ16" i="14"/>
  <c r="FP16" i="14"/>
  <c r="FO16" i="14"/>
  <c r="FN16" i="14"/>
  <c r="FM16" i="14"/>
  <c r="FL16" i="14"/>
  <c r="FJ16" i="14"/>
  <c r="FI16" i="14"/>
  <c r="FH16" i="14"/>
  <c r="FG16" i="14"/>
  <c r="FF16" i="14"/>
  <c r="FS15" i="14"/>
  <c r="FR15" i="14"/>
  <c r="FQ15" i="14"/>
  <c r="FP15" i="14"/>
  <c r="FO15" i="14"/>
  <c r="FN15" i="14"/>
  <c r="FM15" i="14"/>
  <c r="FL15" i="14"/>
  <c r="FJ15" i="14"/>
  <c r="FI15" i="14"/>
  <c r="FH15" i="14"/>
  <c r="FG15" i="14"/>
  <c r="FF15" i="14"/>
  <c r="FS14" i="14"/>
  <c r="FR14" i="14"/>
  <c r="FQ14" i="14"/>
  <c r="FP14" i="14"/>
  <c r="FO14" i="14"/>
  <c r="FN14" i="14"/>
  <c r="FM14" i="14"/>
  <c r="FL14" i="14"/>
  <c r="FJ14" i="14"/>
  <c r="FI14" i="14"/>
  <c r="FH14" i="14"/>
  <c r="FG14" i="14"/>
  <c r="FF14" i="14"/>
  <c r="FC20" i="14"/>
  <c r="FB20" i="14"/>
  <c r="FA20" i="14"/>
  <c r="EZ20" i="14"/>
  <c r="EY20" i="14"/>
  <c r="EX20" i="14"/>
  <c r="EW20" i="14"/>
  <c r="EV20" i="14"/>
  <c r="ET20" i="14"/>
  <c r="ES20" i="14"/>
  <c r="ER20" i="14"/>
  <c r="EQ20" i="14"/>
  <c r="EP20" i="14"/>
  <c r="FC19" i="14"/>
  <c r="FB19" i="14"/>
  <c r="FA19" i="14"/>
  <c r="EZ19" i="14"/>
  <c r="EY19" i="14"/>
  <c r="EX19" i="14"/>
  <c r="EW19" i="14"/>
  <c r="EV19" i="14"/>
  <c r="ET19" i="14"/>
  <c r="ES19" i="14"/>
  <c r="ER19" i="14"/>
  <c r="EQ19" i="14"/>
  <c r="EP19" i="14"/>
  <c r="FC18" i="14"/>
  <c r="FB18" i="14"/>
  <c r="FA18" i="14"/>
  <c r="EZ18" i="14"/>
  <c r="EY18" i="14"/>
  <c r="EX18" i="14"/>
  <c r="EW18" i="14"/>
  <c r="EV18" i="14"/>
  <c r="ET18" i="14"/>
  <c r="ES18" i="14"/>
  <c r="ER18" i="14"/>
  <c r="EQ18" i="14"/>
  <c r="EP18" i="14"/>
  <c r="FC17" i="14"/>
  <c r="FB17" i="14"/>
  <c r="FA17" i="14"/>
  <c r="EZ17" i="14"/>
  <c r="EY17" i="14"/>
  <c r="EX17" i="14"/>
  <c r="EW17" i="14"/>
  <c r="EV17" i="14"/>
  <c r="ET17" i="14"/>
  <c r="ES17" i="14"/>
  <c r="ER17" i="14"/>
  <c r="EQ17" i="14"/>
  <c r="EP17" i="14"/>
  <c r="FC16" i="14"/>
  <c r="FB16" i="14"/>
  <c r="FA16" i="14"/>
  <c r="EZ16" i="14"/>
  <c r="EY16" i="14"/>
  <c r="EX16" i="14"/>
  <c r="EW16" i="14"/>
  <c r="EV16" i="14"/>
  <c r="ET16" i="14"/>
  <c r="ES16" i="14"/>
  <c r="ER16" i="14"/>
  <c r="EQ16" i="14"/>
  <c r="EP16" i="14"/>
  <c r="FC15" i="14"/>
  <c r="FB15" i="14"/>
  <c r="FA15" i="14"/>
  <c r="EZ15" i="14"/>
  <c r="EY15" i="14"/>
  <c r="EX15" i="14"/>
  <c r="EW15" i="14"/>
  <c r="EV15" i="14"/>
  <c r="ET15" i="14"/>
  <c r="ES15" i="14"/>
  <c r="ER15" i="14"/>
  <c r="EQ15" i="14"/>
  <c r="EP15" i="14"/>
  <c r="FC14" i="14"/>
  <c r="FB14" i="14"/>
  <c r="FA14" i="14"/>
  <c r="EZ14" i="14"/>
  <c r="EY14" i="14"/>
  <c r="EX14" i="14"/>
  <c r="EW14" i="14"/>
  <c r="EV14" i="14"/>
  <c r="ET14" i="14"/>
  <c r="ES14" i="14"/>
  <c r="ER14" i="14"/>
  <c r="EQ14" i="14"/>
  <c r="EP14" i="14"/>
  <c r="EM20" i="14"/>
  <c r="EL20" i="14"/>
  <c r="EK20" i="14"/>
  <c r="EJ20" i="14"/>
  <c r="EI20" i="14"/>
  <c r="EH20" i="14"/>
  <c r="EG20" i="14"/>
  <c r="EF20" i="14"/>
  <c r="ED20" i="14"/>
  <c r="EC20" i="14"/>
  <c r="EB20" i="14"/>
  <c r="EA20" i="14"/>
  <c r="DZ20" i="14"/>
  <c r="EM19" i="14"/>
  <c r="EL19" i="14"/>
  <c r="EK19" i="14"/>
  <c r="EJ19" i="14"/>
  <c r="EI19" i="14"/>
  <c r="EH19" i="14"/>
  <c r="EG19" i="14"/>
  <c r="EF19" i="14"/>
  <c r="ED19" i="14"/>
  <c r="EC19" i="14"/>
  <c r="EB19" i="14"/>
  <c r="EA19" i="14"/>
  <c r="DZ19" i="14"/>
  <c r="EM18" i="14"/>
  <c r="EL18" i="14"/>
  <c r="EK18" i="14"/>
  <c r="EJ18" i="14"/>
  <c r="EI18" i="14"/>
  <c r="EH18" i="14"/>
  <c r="EG18" i="14"/>
  <c r="EF18" i="14"/>
  <c r="ED18" i="14"/>
  <c r="EC18" i="14"/>
  <c r="EB18" i="14"/>
  <c r="EA18" i="14"/>
  <c r="DZ18" i="14"/>
  <c r="EM17" i="14"/>
  <c r="EL17" i="14"/>
  <c r="EK17" i="14"/>
  <c r="EJ17" i="14"/>
  <c r="EI17" i="14"/>
  <c r="EH17" i="14"/>
  <c r="EG17" i="14"/>
  <c r="EF17" i="14"/>
  <c r="ED17" i="14"/>
  <c r="EC17" i="14"/>
  <c r="EB17" i="14"/>
  <c r="EA17" i="14"/>
  <c r="DZ17" i="14"/>
  <c r="EM16" i="14"/>
  <c r="EL16" i="14"/>
  <c r="EK16" i="14"/>
  <c r="EJ16" i="14"/>
  <c r="EI16" i="14"/>
  <c r="EH16" i="14"/>
  <c r="EG16" i="14"/>
  <c r="EF16" i="14"/>
  <c r="ED16" i="14"/>
  <c r="EC16" i="14"/>
  <c r="EB16" i="14"/>
  <c r="EA16" i="14"/>
  <c r="DZ16" i="14"/>
  <c r="EM15" i="14"/>
  <c r="EL15" i="14"/>
  <c r="EK15" i="14"/>
  <c r="EJ15" i="14"/>
  <c r="EI15" i="14"/>
  <c r="EH15" i="14"/>
  <c r="EG15" i="14"/>
  <c r="EF15" i="14"/>
  <c r="ED15" i="14"/>
  <c r="EC15" i="14"/>
  <c r="EB15" i="14"/>
  <c r="EA15" i="14"/>
  <c r="DZ15" i="14"/>
  <c r="EM14" i="14"/>
  <c r="EL14" i="14"/>
  <c r="EK14" i="14"/>
  <c r="EJ14" i="14"/>
  <c r="EI14" i="14"/>
  <c r="EH14" i="14"/>
  <c r="EG14" i="14"/>
  <c r="EF14" i="14"/>
  <c r="ED14" i="14"/>
  <c r="EC14" i="14"/>
  <c r="EB14" i="14"/>
  <c r="EA14" i="14"/>
  <c r="DZ14" i="14"/>
  <c r="DW20" i="14"/>
  <c r="DV20" i="14"/>
  <c r="DU20" i="14"/>
  <c r="DT20" i="14"/>
  <c r="DS20" i="14"/>
  <c r="DR20" i="14"/>
  <c r="DQ20" i="14"/>
  <c r="DP20" i="14"/>
  <c r="DN20" i="14"/>
  <c r="DM20" i="14"/>
  <c r="DL20" i="14"/>
  <c r="DK20" i="14"/>
  <c r="DJ20" i="14"/>
  <c r="DW19" i="14"/>
  <c r="DV19" i="14"/>
  <c r="DU19" i="14"/>
  <c r="DT19" i="14"/>
  <c r="DS19" i="14"/>
  <c r="DR19" i="14"/>
  <c r="DQ19" i="14"/>
  <c r="DP19" i="14"/>
  <c r="DN19" i="14"/>
  <c r="DM19" i="14"/>
  <c r="DL19" i="14"/>
  <c r="DK19" i="14"/>
  <c r="DJ19" i="14"/>
  <c r="DW18" i="14"/>
  <c r="DV18" i="14"/>
  <c r="DU18" i="14"/>
  <c r="DT18" i="14"/>
  <c r="DS18" i="14"/>
  <c r="DR18" i="14"/>
  <c r="DQ18" i="14"/>
  <c r="DP18" i="14"/>
  <c r="DN18" i="14"/>
  <c r="DM18" i="14"/>
  <c r="DL18" i="14"/>
  <c r="DK18" i="14"/>
  <c r="DJ18" i="14"/>
  <c r="DW17" i="14"/>
  <c r="DV17" i="14"/>
  <c r="DU17" i="14"/>
  <c r="DT17" i="14"/>
  <c r="DS17" i="14"/>
  <c r="DR17" i="14"/>
  <c r="DQ17" i="14"/>
  <c r="DP17" i="14"/>
  <c r="DN17" i="14"/>
  <c r="DM17" i="14"/>
  <c r="DL17" i="14"/>
  <c r="DK17" i="14"/>
  <c r="DJ17" i="14"/>
  <c r="DW16" i="14"/>
  <c r="DV16" i="14"/>
  <c r="DU16" i="14"/>
  <c r="DT16" i="14"/>
  <c r="DS16" i="14"/>
  <c r="DR16" i="14"/>
  <c r="DQ16" i="14"/>
  <c r="DP16" i="14"/>
  <c r="DN16" i="14"/>
  <c r="DM16" i="14"/>
  <c r="DL16" i="14"/>
  <c r="DK16" i="14"/>
  <c r="DJ16" i="14"/>
  <c r="DW15" i="14"/>
  <c r="DV15" i="14"/>
  <c r="DU15" i="14"/>
  <c r="DT15" i="14"/>
  <c r="DS15" i="14"/>
  <c r="DR15" i="14"/>
  <c r="DQ15" i="14"/>
  <c r="DP15" i="14"/>
  <c r="DN15" i="14"/>
  <c r="DM15" i="14"/>
  <c r="DL15" i="14"/>
  <c r="DK15" i="14"/>
  <c r="DJ15" i="14"/>
  <c r="DW14" i="14"/>
  <c r="DV14" i="14"/>
  <c r="DU14" i="14"/>
  <c r="DT14" i="14"/>
  <c r="DS14" i="14"/>
  <c r="DR14" i="14"/>
  <c r="DQ14" i="14"/>
  <c r="DP14" i="14"/>
  <c r="DN14" i="14"/>
  <c r="DM14" i="14"/>
  <c r="DL14" i="14"/>
  <c r="DK14" i="14"/>
  <c r="DJ14" i="14"/>
  <c r="DG20" i="14"/>
  <c r="DF20" i="14"/>
  <c r="DE20" i="14"/>
  <c r="DD20" i="14"/>
  <c r="DC20" i="14"/>
  <c r="DB20" i="14"/>
  <c r="DA20" i="14"/>
  <c r="CZ20" i="14"/>
  <c r="CX20" i="14"/>
  <c r="CW20" i="14"/>
  <c r="CV20" i="14"/>
  <c r="CU20" i="14"/>
  <c r="CT20" i="14"/>
  <c r="DG19" i="14"/>
  <c r="DF19" i="14"/>
  <c r="DE19" i="14"/>
  <c r="DD19" i="14"/>
  <c r="DC19" i="14"/>
  <c r="DB19" i="14"/>
  <c r="DA19" i="14"/>
  <c r="CZ19" i="14"/>
  <c r="CX19" i="14"/>
  <c r="CW19" i="14"/>
  <c r="CV19" i="14"/>
  <c r="CU19" i="14"/>
  <c r="CT19" i="14"/>
  <c r="DG18" i="14"/>
  <c r="DF18" i="14"/>
  <c r="DE18" i="14"/>
  <c r="DD18" i="14"/>
  <c r="DC18" i="14"/>
  <c r="DB18" i="14"/>
  <c r="DA18" i="14"/>
  <c r="CZ18" i="14"/>
  <c r="CX18" i="14"/>
  <c r="CW18" i="14"/>
  <c r="CV18" i="14"/>
  <c r="CU18" i="14"/>
  <c r="CT18" i="14"/>
  <c r="DG17" i="14"/>
  <c r="DF17" i="14"/>
  <c r="DE17" i="14"/>
  <c r="DD17" i="14"/>
  <c r="DC17" i="14"/>
  <c r="DB17" i="14"/>
  <c r="DA17" i="14"/>
  <c r="CZ17" i="14"/>
  <c r="CX17" i="14"/>
  <c r="CW17" i="14"/>
  <c r="CV17" i="14"/>
  <c r="CU17" i="14"/>
  <c r="CT17" i="14"/>
  <c r="DG16" i="14"/>
  <c r="DF16" i="14"/>
  <c r="DE16" i="14"/>
  <c r="DD16" i="14"/>
  <c r="DC16" i="14"/>
  <c r="DB16" i="14"/>
  <c r="DA16" i="14"/>
  <c r="CZ16" i="14"/>
  <c r="CX16" i="14"/>
  <c r="CW16" i="14"/>
  <c r="CV16" i="14"/>
  <c r="CU16" i="14"/>
  <c r="CT16" i="14"/>
  <c r="DG15" i="14"/>
  <c r="DF15" i="14"/>
  <c r="DE15" i="14"/>
  <c r="DD15" i="14"/>
  <c r="DC15" i="14"/>
  <c r="DB15" i="14"/>
  <c r="DA15" i="14"/>
  <c r="CZ15" i="14"/>
  <c r="CX15" i="14"/>
  <c r="CW15" i="14"/>
  <c r="CV15" i="14"/>
  <c r="CU15" i="14"/>
  <c r="CT15" i="14"/>
  <c r="DG14" i="14"/>
  <c r="DF14" i="14"/>
  <c r="DE14" i="14"/>
  <c r="DD14" i="14"/>
  <c r="DC14" i="14"/>
  <c r="DB14" i="14"/>
  <c r="DA14" i="14"/>
  <c r="CZ14" i="14"/>
  <c r="CX14" i="14"/>
  <c r="CW14" i="14"/>
  <c r="CV14" i="14"/>
  <c r="CU14" i="14"/>
  <c r="CT14" i="14"/>
  <c r="CQ20" i="14"/>
  <c r="CP20" i="14"/>
  <c r="CO20" i="14"/>
  <c r="CN20" i="14"/>
  <c r="CM20" i="14"/>
  <c r="CL20" i="14"/>
  <c r="CK20" i="14"/>
  <c r="CJ20" i="14"/>
  <c r="CH20" i="14"/>
  <c r="CG20" i="14"/>
  <c r="CF20" i="14"/>
  <c r="CE20" i="14"/>
  <c r="CD20" i="14"/>
  <c r="CQ19" i="14"/>
  <c r="CP19" i="14"/>
  <c r="CO19" i="14"/>
  <c r="CN19" i="14"/>
  <c r="CM19" i="14"/>
  <c r="CL19" i="14"/>
  <c r="CK19" i="14"/>
  <c r="CJ19" i="14"/>
  <c r="CH19" i="14"/>
  <c r="CG19" i="14"/>
  <c r="CF19" i="14"/>
  <c r="CE19" i="14"/>
  <c r="CD19" i="14"/>
  <c r="CQ18" i="14"/>
  <c r="CP18" i="14"/>
  <c r="CO18" i="14"/>
  <c r="CN18" i="14"/>
  <c r="CM18" i="14"/>
  <c r="CL18" i="14"/>
  <c r="CK18" i="14"/>
  <c r="CJ18" i="14"/>
  <c r="CH18" i="14"/>
  <c r="CG18" i="14"/>
  <c r="CF18" i="14"/>
  <c r="CE18" i="14"/>
  <c r="CD18" i="14"/>
  <c r="CQ17" i="14"/>
  <c r="CP17" i="14"/>
  <c r="CO17" i="14"/>
  <c r="CN17" i="14"/>
  <c r="CM17" i="14"/>
  <c r="CL17" i="14"/>
  <c r="CK17" i="14"/>
  <c r="CJ17" i="14"/>
  <c r="CH17" i="14"/>
  <c r="CG17" i="14"/>
  <c r="CF17" i="14"/>
  <c r="CE17" i="14"/>
  <c r="CD17" i="14"/>
  <c r="CQ16" i="14"/>
  <c r="CP16" i="14"/>
  <c r="CO16" i="14"/>
  <c r="CN16" i="14"/>
  <c r="CM16" i="14"/>
  <c r="CL16" i="14"/>
  <c r="CK16" i="14"/>
  <c r="CJ16" i="14"/>
  <c r="CH16" i="14"/>
  <c r="CG16" i="14"/>
  <c r="CF16" i="14"/>
  <c r="CE16" i="14"/>
  <c r="CD16" i="14"/>
  <c r="CQ15" i="14"/>
  <c r="CP15" i="14"/>
  <c r="CO15" i="14"/>
  <c r="CN15" i="14"/>
  <c r="CM15" i="14"/>
  <c r="CL15" i="14"/>
  <c r="CK15" i="14"/>
  <c r="CJ15" i="14"/>
  <c r="CH15" i="14"/>
  <c r="CG15" i="14"/>
  <c r="CF15" i="14"/>
  <c r="CE15" i="14"/>
  <c r="CD15" i="14"/>
  <c r="CQ14" i="14"/>
  <c r="CP14" i="14"/>
  <c r="CO14" i="14"/>
  <c r="CN14" i="14"/>
  <c r="CM14" i="14"/>
  <c r="CL14" i="14"/>
  <c r="CK14" i="14"/>
  <c r="CJ14" i="14"/>
  <c r="CH14" i="14"/>
  <c r="CG14" i="14"/>
  <c r="CF14" i="14"/>
  <c r="CE14" i="14"/>
  <c r="CD14" i="14"/>
  <c r="BZ20" i="14"/>
  <c r="BY20" i="14"/>
  <c r="BX20" i="14"/>
  <c r="BW20" i="14"/>
  <c r="BV20" i="14"/>
  <c r="BU20" i="14"/>
  <c r="BT20" i="14"/>
  <c r="BS20" i="14"/>
  <c r="BQ20" i="14"/>
  <c r="BP20" i="14"/>
  <c r="BO20" i="14"/>
  <c r="BN20" i="14"/>
  <c r="BM20" i="14"/>
  <c r="BZ19" i="14"/>
  <c r="BY19" i="14"/>
  <c r="BX19" i="14"/>
  <c r="BW19" i="14"/>
  <c r="BV19" i="14"/>
  <c r="BU19" i="14"/>
  <c r="BT19" i="14"/>
  <c r="BS19" i="14"/>
  <c r="BQ19" i="14"/>
  <c r="BP19" i="14"/>
  <c r="BO19" i="14"/>
  <c r="BN19" i="14"/>
  <c r="BM19" i="14"/>
  <c r="BZ18" i="14"/>
  <c r="BY18" i="14"/>
  <c r="BX18" i="14"/>
  <c r="BW18" i="14"/>
  <c r="BV18" i="14"/>
  <c r="BU18" i="14"/>
  <c r="BT18" i="14"/>
  <c r="BS18" i="14"/>
  <c r="BQ18" i="14"/>
  <c r="BP18" i="14"/>
  <c r="BO18" i="14"/>
  <c r="BN18" i="14"/>
  <c r="BM18" i="14"/>
  <c r="BZ17" i="14"/>
  <c r="BY17" i="14"/>
  <c r="BX17" i="14"/>
  <c r="BW17" i="14"/>
  <c r="BV17" i="14"/>
  <c r="BU17" i="14"/>
  <c r="BT17" i="14"/>
  <c r="BS17" i="14"/>
  <c r="BQ17" i="14"/>
  <c r="BP17" i="14"/>
  <c r="BO17" i="14"/>
  <c r="BN17" i="14"/>
  <c r="BM17" i="14"/>
  <c r="BZ16" i="14"/>
  <c r="BY16" i="14"/>
  <c r="BX16" i="14"/>
  <c r="BW16" i="14"/>
  <c r="BV16" i="14"/>
  <c r="BU16" i="14"/>
  <c r="BT16" i="14"/>
  <c r="BS16" i="14"/>
  <c r="BQ16" i="14"/>
  <c r="BP16" i="14"/>
  <c r="BO16" i="14"/>
  <c r="BN16" i="14"/>
  <c r="BM16" i="14"/>
  <c r="BZ15" i="14"/>
  <c r="BY15" i="14"/>
  <c r="BX15" i="14"/>
  <c r="BW15" i="14"/>
  <c r="BV15" i="14"/>
  <c r="BU15" i="14"/>
  <c r="BT15" i="14"/>
  <c r="BS15" i="14"/>
  <c r="BQ15" i="14"/>
  <c r="BP15" i="14"/>
  <c r="BO15" i="14"/>
  <c r="BN15" i="14"/>
  <c r="BM15" i="14"/>
  <c r="BZ14" i="14"/>
  <c r="BY14" i="14"/>
  <c r="BX14" i="14"/>
  <c r="BW14" i="14"/>
  <c r="BV14" i="14"/>
  <c r="BU14" i="14"/>
  <c r="BT14" i="14"/>
  <c r="BS14" i="14"/>
  <c r="BQ14" i="14"/>
  <c r="BP14" i="14"/>
  <c r="BO14" i="14"/>
  <c r="BN14" i="14"/>
  <c r="BM14" i="14"/>
  <c r="BJ20" i="14"/>
  <c r="BI20" i="14"/>
  <c r="BH20" i="14"/>
  <c r="BG20" i="14"/>
  <c r="BF20" i="14"/>
  <c r="BE20" i="14"/>
  <c r="BD20" i="14"/>
  <c r="BC20" i="14"/>
  <c r="BA20" i="14"/>
  <c r="AZ20" i="14"/>
  <c r="AY20" i="14"/>
  <c r="AX20" i="14"/>
  <c r="AW20" i="14"/>
  <c r="BJ19" i="14"/>
  <c r="BI19" i="14"/>
  <c r="BH19" i="14"/>
  <c r="BG19" i="14"/>
  <c r="BF19" i="14"/>
  <c r="BE19" i="14"/>
  <c r="BD19" i="14"/>
  <c r="BC19" i="14"/>
  <c r="BA19" i="14"/>
  <c r="AZ19" i="14"/>
  <c r="AY19" i="14"/>
  <c r="AX19" i="14"/>
  <c r="AW19" i="14"/>
  <c r="BJ18" i="14"/>
  <c r="BI18" i="14"/>
  <c r="BH18" i="14"/>
  <c r="BG18" i="14"/>
  <c r="BF18" i="14"/>
  <c r="BE18" i="14"/>
  <c r="BD18" i="14"/>
  <c r="BC18" i="14"/>
  <c r="BA18" i="14"/>
  <c r="AZ18" i="14"/>
  <c r="AY18" i="14"/>
  <c r="AX18" i="14"/>
  <c r="AW18" i="14"/>
  <c r="BJ17" i="14"/>
  <c r="BI17" i="14"/>
  <c r="BH17" i="14"/>
  <c r="BG17" i="14"/>
  <c r="BF17" i="14"/>
  <c r="BE17" i="14"/>
  <c r="BD17" i="14"/>
  <c r="BC17" i="14"/>
  <c r="BA17" i="14"/>
  <c r="AZ17" i="14"/>
  <c r="AY17" i="14"/>
  <c r="AX17" i="14"/>
  <c r="AW17" i="14"/>
  <c r="BJ16" i="14"/>
  <c r="BI16" i="14"/>
  <c r="BH16" i="14"/>
  <c r="BG16" i="14"/>
  <c r="BF16" i="14"/>
  <c r="BE16" i="14"/>
  <c r="BD16" i="14"/>
  <c r="BC16" i="14"/>
  <c r="BA16" i="14"/>
  <c r="AZ16" i="14"/>
  <c r="AY16" i="14"/>
  <c r="AX16" i="14"/>
  <c r="AW16" i="14"/>
  <c r="BJ15" i="14"/>
  <c r="BI15" i="14"/>
  <c r="BH15" i="14"/>
  <c r="BG15" i="14"/>
  <c r="BF15" i="14"/>
  <c r="BE15" i="14"/>
  <c r="BD15" i="14"/>
  <c r="BC15" i="14"/>
  <c r="BA15" i="14"/>
  <c r="AZ15" i="14"/>
  <c r="AY15" i="14"/>
  <c r="AX15" i="14"/>
  <c r="AW15" i="14"/>
  <c r="BJ14" i="14"/>
  <c r="BI14" i="14"/>
  <c r="BH14" i="14"/>
  <c r="BG14" i="14"/>
  <c r="BF14" i="14"/>
  <c r="BE14" i="14"/>
  <c r="BD14" i="14"/>
  <c r="BC14" i="14"/>
  <c r="BA14" i="14"/>
  <c r="AZ14" i="14"/>
  <c r="AY14" i="14"/>
  <c r="AX14" i="14"/>
  <c r="AW14" i="14"/>
  <c r="AT20" i="14"/>
  <c r="AS20" i="14"/>
  <c r="AR20" i="14"/>
  <c r="AQ20" i="14"/>
  <c r="AP20" i="14"/>
  <c r="AO20" i="14"/>
  <c r="AN20" i="14"/>
  <c r="AM20" i="14"/>
  <c r="AK20" i="14"/>
  <c r="AJ20" i="14"/>
  <c r="AI20" i="14"/>
  <c r="AH20" i="14"/>
  <c r="AG20" i="14"/>
  <c r="AT19" i="14"/>
  <c r="AS19" i="14"/>
  <c r="AR19" i="14"/>
  <c r="AQ19" i="14"/>
  <c r="AP19" i="14"/>
  <c r="AO19" i="14"/>
  <c r="AN19" i="14"/>
  <c r="AM19" i="14"/>
  <c r="AK19" i="14"/>
  <c r="AJ19" i="14"/>
  <c r="AI19" i="14"/>
  <c r="AH19" i="14"/>
  <c r="AG19" i="14"/>
  <c r="AT18" i="14"/>
  <c r="AS18" i="14"/>
  <c r="AR18" i="14"/>
  <c r="AQ18" i="14"/>
  <c r="AP18" i="14"/>
  <c r="AO18" i="14"/>
  <c r="AN18" i="14"/>
  <c r="AM18" i="14"/>
  <c r="AK18" i="14"/>
  <c r="AJ18" i="14"/>
  <c r="AI18" i="14"/>
  <c r="AH18" i="14"/>
  <c r="AG18" i="14"/>
  <c r="AT17" i="14"/>
  <c r="AS17" i="14"/>
  <c r="AR17" i="14"/>
  <c r="AQ17" i="14"/>
  <c r="AP17" i="14"/>
  <c r="AO17" i="14"/>
  <c r="AN17" i="14"/>
  <c r="AM17" i="14"/>
  <c r="AK17" i="14"/>
  <c r="AJ17" i="14"/>
  <c r="AI17" i="14"/>
  <c r="AH17" i="14"/>
  <c r="AG17" i="14"/>
  <c r="AT16" i="14"/>
  <c r="AS16" i="14"/>
  <c r="AR16" i="14"/>
  <c r="AQ16" i="14"/>
  <c r="AP16" i="14"/>
  <c r="AO16" i="14"/>
  <c r="AN16" i="14"/>
  <c r="AM16" i="14"/>
  <c r="AK16" i="14"/>
  <c r="AJ16" i="14"/>
  <c r="AI16" i="14"/>
  <c r="AH16" i="14"/>
  <c r="AG16" i="14"/>
  <c r="AT15" i="14"/>
  <c r="AS15" i="14"/>
  <c r="AR15" i="14"/>
  <c r="AQ15" i="14"/>
  <c r="AP15" i="14"/>
  <c r="AO15" i="14"/>
  <c r="AN15" i="14"/>
  <c r="AM15" i="14"/>
  <c r="AK15" i="14"/>
  <c r="AJ15" i="14"/>
  <c r="AI15" i="14"/>
  <c r="AH15" i="14"/>
  <c r="AG15" i="14"/>
  <c r="AT14" i="14"/>
  <c r="AS14" i="14"/>
  <c r="AR14" i="14"/>
  <c r="AQ14" i="14"/>
  <c r="AP14" i="14"/>
  <c r="AO14" i="14"/>
  <c r="AN14" i="14"/>
  <c r="AM14" i="14"/>
  <c r="AK14" i="14"/>
  <c r="AJ14" i="14"/>
  <c r="AI14" i="14"/>
  <c r="AH14" i="14"/>
  <c r="AG14" i="14"/>
  <c r="AD20" i="14"/>
  <c r="AC20" i="14"/>
  <c r="AB20" i="14"/>
  <c r="AD19" i="14"/>
  <c r="AC19" i="14"/>
  <c r="AB19" i="14"/>
  <c r="AD18" i="14"/>
  <c r="AC18" i="14"/>
  <c r="AB18" i="14"/>
  <c r="AD17" i="14"/>
  <c r="AC17" i="14"/>
  <c r="AB17" i="14"/>
  <c r="AD16" i="14"/>
  <c r="AC16" i="14"/>
  <c r="AB16" i="14"/>
  <c r="AD15" i="14"/>
  <c r="AC15" i="14"/>
  <c r="AB15" i="14"/>
  <c r="AD14" i="14"/>
  <c r="AC14" i="14"/>
  <c r="AB14" i="14"/>
  <c r="AA20" i="14"/>
  <c r="Z20" i="14"/>
  <c r="Y20" i="14"/>
  <c r="X20" i="14"/>
  <c r="W20" i="14"/>
  <c r="U20" i="14"/>
  <c r="T20" i="14"/>
  <c r="S20" i="14"/>
  <c r="R20" i="14"/>
  <c r="Q20" i="14"/>
  <c r="AA19" i="14"/>
  <c r="Z19" i="14"/>
  <c r="Y19" i="14"/>
  <c r="X19" i="14"/>
  <c r="W19" i="14"/>
  <c r="U19" i="14"/>
  <c r="T19" i="14"/>
  <c r="S19" i="14"/>
  <c r="R19" i="14"/>
  <c r="Q19" i="14"/>
  <c r="AA18" i="14"/>
  <c r="Z18" i="14"/>
  <c r="Y18" i="14"/>
  <c r="X18" i="14"/>
  <c r="W18" i="14"/>
  <c r="U18" i="14"/>
  <c r="T18" i="14"/>
  <c r="S18" i="14"/>
  <c r="R18" i="14"/>
  <c r="Q18" i="14"/>
  <c r="AA17" i="14"/>
  <c r="Z17" i="14"/>
  <c r="Y17" i="14"/>
  <c r="X17" i="14"/>
  <c r="W17" i="14"/>
  <c r="U17" i="14"/>
  <c r="T17" i="14"/>
  <c r="S17" i="14"/>
  <c r="R17" i="14"/>
  <c r="Q17" i="14"/>
  <c r="AA16" i="14"/>
  <c r="Z16" i="14"/>
  <c r="Y16" i="14"/>
  <c r="X16" i="14"/>
  <c r="W16" i="14"/>
  <c r="U16" i="14"/>
  <c r="T16" i="14"/>
  <c r="S16" i="14"/>
  <c r="R16" i="14"/>
  <c r="Q16" i="14"/>
  <c r="AA15" i="14"/>
  <c r="Z15" i="14"/>
  <c r="Y15" i="14"/>
  <c r="X15" i="14"/>
  <c r="W15" i="14"/>
  <c r="U15" i="14"/>
  <c r="T15" i="14"/>
  <c r="S15" i="14"/>
  <c r="R15" i="14"/>
  <c r="Q15" i="14"/>
  <c r="AA14" i="14"/>
  <c r="Z14" i="14"/>
  <c r="Y14" i="14"/>
  <c r="X14" i="14"/>
  <c r="W14" i="14"/>
  <c r="U14" i="14"/>
  <c r="T14" i="14"/>
  <c r="S14" i="14"/>
  <c r="R14" i="14"/>
  <c r="Q14" i="14"/>
  <c r="V174" i="17" l="1"/>
  <c r="W174" i="17" s="1"/>
  <c r="AM174" i="17"/>
  <c r="V170" i="17"/>
  <c r="W170" i="17" s="1"/>
  <c r="AM170" i="17"/>
  <c r="AM67" i="17"/>
  <c r="V67" i="17"/>
  <c r="W67" i="17" s="1"/>
  <c r="AM11" i="17"/>
  <c r="V11" i="17"/>
  <c r="W11" i="17" s="1"/>
  <c r="AM214" i="17"/>
  <c r="V214" i="17"/>
  <c r="W214" i="17" s="1"/>
  <c r="V69" i="17"/>
  <c r="W69" i="17" s="1"/>
  <c r="AM69" i="17"/>
  <c r="V94" i="17"/>
  <c r="W94" i="17" s="1"/>
  <c r="AM94" i="17"/>
  <c r="AM437" i="17"/>
  <c r="V437" i="17"/>
  <c r="W437" i="17" s="1"/>
  <c r="AM148" i="17"/>
  <c r="V148" i="17"/>
  <c r="W148" i="17" s="1"/>
  <c r="V140" i="17"/>
  <c r="W140" i="17" s="1"/>
  <c r="AM140" i="17"/>
  <c r="X13" i="7"/>
  <c r="X12" i="7"/>
  <c r="X11" i="7"/>
  <c r="X10" i="7"/>
  <c r="X9" i="7"/>
  <c r="E29" i="7" s="1"/>
  <c r="X8" i="7"/>
  <c r="D29" i="7" s="1"/>
  <c r="L13" i="7"/>
  <c r="L12" i="7"/>
  <c r="L11" i="7"/>
  <c r="L10" i="7"/>
  <c r="L9" i="7"/>
  <c r="C29" i="7" s="1"/>
  <c r="L8" i="7"/>
  <c r="B29" i="7" s="1"/>
  <c r="K16" i="14"/>
  <c r="K15" i="14"/>
  <c r="M20" i="14"/>
  <c r="L20" i="14"/>
  <c r="K20" i="14"/>
  <c r="J20" i="14"/>
  <c r="I20" i="14"/>
  <c r="G20" i="14"/>
  <c r="F20" i="14"/>
  <c r="E20" i="14"/>
  <c r="D20" i="14"/>
  <c r="C20" i="14"/>
  <c r="M19" i="14"/>
  <c r="L19" i="14"/>
  <c r="K19" i="14"/>
  <c r="J19" i="14"/>
  <c r="I19" i="14"/>
  <c r="G19" i="14"/>
  <c r="F19" i="14"/>
  <c r="E19" i="14"/>
  <c r="D19" i="14"/>
  <c r="C19" i="14"/>
  <c r="M18" i="14"/>
  <c r="L18" i="14"/>
  <c r="K18" i="14"/>
  <c r="J18" i="14"/>
  <c r="I18" i="14"/>
  <c r="G18" i="14"/>
  <c r="F18" i="14"/>
  <c r="E18" i="14"/>
  <c r="D18" i="14"/>
  <c r="C18" i="14"/>
  <c r="M17" i="14"/>
  <c r="L17" i="14"/>
  <c r="K17" i="14"/>
  <c r="J17" i="14"/>
  <c r="I17" i="14"/>
  <c r="G17" i="14"/>
  <c r="F17" i="14"/>
  <c r="E17" i="14"/>
  <c r="D17" i="14"/>
  <c r="C17" i="14"/>
  <c r="M16" i="14"/>
  <c r="L16" i="14"/>
  <c r="J16" i="14"/>
  <c r="I16" i="14"/>
  <c r="G16" i="14"/>
  <c r="F16" i="14"/>
  <c r="E16" i="14"/>
  <c r="D16" i="14"/>
  <c r="C16" i="14"/>
  <c r="M15" i="14"/>
  <c r="L15" i="14"/>
  <c r="J15" i="14"/>
  <c r="I15" i="14"/>
  <c r="G15" i="14"/>
  <c r="F15" i="14"/>
  <c r="E15" i="14"/>
  <c r="D15" i="14"/>
  <c r="C15" i="14"/>
  <c r="M14" i="14"/>
  <c r="L14" i="14"/>
  <c r="K14" i="14"/>
  <c r="J14" i="14"/>
  <c r="I14" i="14"/>
  <c r="G14" i="14"/>
  <c r="F14" i="14"/>
  <c r="E14" i="14"/>
  <c r="D14" i="14"/>
  <c r="C14" i="14"/>
  <c r="X16" i="7" l="1"/>
  <c r="L16" i="7"/>
  <c r="X14" i="7"/>
  <c r="X15" i="7" s="1"/>
  <c r="L14" i="7"/>
  <c r="L15" i="7" s="1"/>
  <c r="LU20" i="12"/>
  <c r="LT20" i="12"/>
  <c r="LS20" i="12"/>
  <c r="LR20" i="12"/>
  <c r="LQ20" i="12"/>
  <c r="LO20" i="12"/>
  <c r="LN20" i="12"/>
  <c r="LM20" i="12"/>
  <c r="LL20" i="12"/>
  <c r="LK20" i="12"/>
  <c r="LU19" i="12"/>
  <c r="LT19" i="12"/>
  <c r="LS19" i="12"/>
  <c r="LR19" i="12"/>
  <c r="LQ19" i="12"/>
  <c r="LO19" i="12"/>
  <c r="LN19" i="12"/>
  <c r="LM19" i="12"/>
  <c r="LL19" i="12"/>
  <c r="LK19" i="12"/>
  <c r="LU18" i="12"/>
  <c r="LT18" i="12"/>
  <c r="LS18" i="12"/>
  <c r="LR18" i="12"/>
  <c r="LQ18" i="12"/>
  <c r="LO18" i="12"/>
  <c r="LN18" i="12"/>
  <c r="LM18" i="12"/>
  <c r="LL18" i="12"/>
  <c r="LK18" i="12"/>
  <c r="LU17" i="12"/>
  <c r="LT17" i="12"/>
  <c r="LS17" i="12"/>
  <c r="LR17" i="12"/>
  <c r="LQ17" i="12"/>
  <c r="LO17" i="12"/>
  <c r="LN17" i="12"/>
  <c r="LM17" i="12"/>
  <c r="LL17" i="12"/>
  <c r="LK17" i="12"/>
  <c r="LU16" i="12"/>
  <c r="LT16" i="12"/>
  <c r="LS16" i="12"/>
  <c r="LR16" i="12"/>
  <c r="LQ16" i="12"/>
  <c r="LO16" i="12"/>
  <c r="LN16" i="12"/>
  <c r="LM16" i="12"/>
  <c r="LL16" i="12"/>
  <c r="LK16" i="12"/>
  <c r="LU15" i="12"/>
  <c r="LT15" i="12"/>
  <c r="LS15" i="12"/>
  <c r="LR15" i="12"/>
  <c r="LQ15" i="12"/>
  <c r="LO15" i="12"/>
  <c r="LN15" i="12"/>
  <c r="LM15" i="12"/>
  <c r="LL15" i="12"/>
  <c r="LK15" i="12"/>
  <c r="LU14" i="12"/>
  <c r="LT14" i="12"/>
  <c r="LS14" i="12"/>
  <c r="LR14" i="12"/>
  <c r="LQ14" i="12"/>
  <c r="LO14" i="12"/>
  <c r="LN14" i="12"/>
  <c r="LM14" i="12"/>
  <c r="LL14" i="12"/>
  <c r="LK14" i="12"/>
  <c r="MB10" i="12"/>
  <c r="MA10" i="12"/>
  <c r="LZ10" i="12"/>
  <c r="LY10" i="12"/>
  <c r="LX10" i="12"/>
  <c r="MB9" i="12"/>
  <c r="MA9" i="12"/>
  <c r="LZ9" i="12"/>
  <c r="LY9" i="12"/>
  <c r="LX9" i="12"/>
  <c r="MB8" i="12"/>
  <c r="MA8" i="12"/>
  <c r="LZ8" i="12"/>
  <c r="LY8" i="12"/>
  <c r="LX8" i="12"/>
  <c r="MB7" i="12"/>
  <c r="MA7" i="12"/>
  <c r="LZ7" i="12"/>
  <c r="LY7" i="12"/>
  <c r="LX7" i="12"/>
  <c r="MB6" i="12"/>
  <c r="MA6" i="12"/>
  <c r="LZ6" i="12"/>
  <c r="LY6" i="12"/>
  <c r="LX6" i="12"/>
  <c r="MB5" i="12"/>
  <c r="MA5" i="12"/>
  <c r="LZ5" i="12"/>
  <c r="LY5" i="12"/>
  <c r="LX5" i="12"/>
  <c r="MB4" i="12"/>
  <c r="MA4" i="12"/>
  <c r="LZ4" i="12"/>
  <c r="LY4" i="12"/>
  <c r="LX4" i="12"/>
  <c r="LW10" i="12"/>
  <c r="LW9" i="12"/>
  <c r="LW8" i="12"/>
  <c r="LW7" i="12"/>
  <c r="LW6" i="12"/>
  <c r="LW5" i="12"/>
  <c r="LW4" i="12"/>
  <c r="LC30" i="11"/>
  <c r="LC29" i="11"/>
  <c r="LC28" i="11"/>
  <c r="LC27" i="11"/>
  <c r="LC26" i="11"/>
  <c r="LC25" i="11"/>
  <c r="LC24" i="11"/>
  <c r="LG20" i="12" l="1"/>
  <c r="LF20" i="12"/>
  <c r="LE20" i="12"/>
  <c r="LD20" i="12"/>
  <c r="LC20" i="12"/>
  <c r="LA20" i="12"/>
  <c r="KZ20" i="12"/>
  <c r="KY20" i="12"/>
  <c r="KX20" i="12"/>
  <c r="KW20" i="12"/>
  <c r="LG19" i="12"/>
  <c r="LF19" i="12"/>
  <c r="LE19" i="12"/>
  <c r="LD19" i="12"/>
  <c r="LC19" i="12"/>
  <c r="LA19" i="12"/>
  <c r="KZ19" i="12"/>
  <c r="KY19" i="12"/>
  <c r="KX19" i="12"/>
  <c r="KW19" i="12"/>
  <c r="LG18" i="12"/>
  <c r="LF18" i="12"/>
  <c r="LE18" i="12"/>
  <c r="LD18" i="12"/>
  <c r="LC18" i="12"/>
  <c r="LA18" i="12"/>
  <c r="KZ18" i="12"/>
  <c r="KY18" i="12"/>
  <c r="KX18" i="12"/>
  <c r="KW18" i="12"/>
  <c r="LG17" i="12"/>
  <c r="LF17" i="12"/>
  <c r="LE17" i="12"/>
  <c r="LD17" i="12"/>
  <c r="LC17" i="12"/>
  <c r="LA17" i="12"/>
  <c r="KZ17" i="12"/>
  <c r="KY17" i="12"/>
  <c r="KX17" i="12"/>
  <c r="KW17" i="12"/>
  <c r="LG16" i="12"/>
  <c r="LF16" i="12"/>
  <c r="LE16" i="12"/>
  <c r="LD16" i="12"/>
  <c r="LC16" i="12"/>
  <c r="LA16" i="12"/>
  <c r="KZ16" i="12"/>
  <c r="KY16" i="12"/>
  <c r="KX16" i="12"/>
  <c r="KW16" i="12"/>
  <c r="LG15" i="12"/>
  <c r="LF15" i="12"/>
  <c r="LE15" i="12"/>
  <c r="LD15" i="12"/>
  <c r="LC15" i="12"/>
  <c r="LA15" i="12"/>
  <c r="KZ15" i="12"/>
  <c r="KY15" i="12"/>
  <c r="KX15" i="12"/>
  <c r="KW15" i="12"/>
  <c r="LG14" i="12"/>
  <c r="LF14" i="12"/>
  <c r="LE14" i="12"/>
  <c r="LD14" i="12"/>
  <c r="LC14" i="12"/>
  <c r="LA14" i="12"/>
  <c r="KZ14" i="12"/>
  <c r="KY14" i="12"/>
  <c r="KX14" i="12"/>
  <c r="KW14" i="12"/>
  <c r="KS20" i="12"/>
  <c r="KR20" i="12"/>
  <c r="KQ20" i="12"/>
  <c r="KP20" i="12"/>
  <c r="KO20" i="12"/>
  <c r="KM20" i="12"/>
  <c r="KL20" i="12"/>
  <c r="KK20" i="12"/>
  <c r="KJ20" i="12"/>
  <c r="KI20" i="12"/>
  <c r="KS19" i="12"/>
  <c r="KR19" i="12"/>
  <c r="KQ19" i="12"/>
  <c r="KP19" i="12"/>
  <c r="KO19" i="12"/>
  <c r="KM19" i="12"/>
  <c r="KL19" i="12"/>
  <c r="KK19" i="12"/>
  <c r="KJ19" i="12"/>
  <c r="KI19" i="12"/>
  <c r="KS18" i="12"/>
  <c r="KR18" i="12"/>
  <c r="KQ18" i="12"/>
  <c r="KP18" i="12"/>
  <c r="KO18" i="12"/>
  <c r="KM18" i="12"/>
  <c r="KL18" i="12"/>
  <c r="KK18" i="12"/>
  <c r="KJ18" i="12"/>
  <c r="KI18" i="12"/>
  <c r="KS17" i="12"/>
  <c r="KR17" i="12"/>
  <c r="KQ17" i="12"/>
  <c r="KP17" i="12"/>
  <c r="KO17" i="12"/>
  <c r="KM17" i="12"/>
  <c r="KL17" i="12"/>
  <c r="KK17" i="12"/>
  <c r="KJ17" i="12"/>
  <c r="KI17" i="12"/>
  <c r="KS16" i="12"/>
  <c r="KR16" i="12"/>
  <c r="KQ16" i="12"/>
  <c r="KP16" i="12"/>
  <c r="KO16" i="12"/>
  <c r="KM16" i="12"/>
  <c r="KL16" i="12"/>
  <c r="KK16" i="12"/>
  <c r="KJ16" i="12"/>
  <c r="KI16" i="12"/>
  <c r="KS15" i="12"/>
  <c r="KR15" i="12"/>
  <c r="KQ15" i="12"/>
  <c r="KP15" i="12"/>
  <c r="KO15" i="12"/>
  <c r="KM15" i="12"/>
  <c r="KL15" i="12"/>
  <c r="KK15" i="12"/>
  <c r="KJ15" i="12"/>
  <c r="KI15" i="12"/>
  <c r="KS14" i="12"/>
  <c r="KR14" i="12"/>
  <c r="KQ14" i="12"/>
  <c r="KP14" i="12"/>
  <c r="KO14" i="12"/>
  <c r="KM14" i="12"/>
  <c r="KL14" i="12"/>
  <c r="KK14" i="12"/>
  <c r="KJ14" i="12"/>
  <c r="KI14" i="12"/>
  <c r="KA14" i="12"/>
  <c r="KE20" i="12"/>
  <c r="KD20" i="12"/>
  <c r="KC20" i="12"/>
  <c r="KB20" i="12"/>
  <c r="KA20" i="12"/>
  <c r="JY20" i="12"/>
  <c r="JX20" i="12"/>
  <c r="JW20" i="12"/>
  <c r="JV20" i="12"/>
  <c r="JU20" i="12"/>
  <c r="KE19" i="12"/>
  <c r="KD19" i="12"/>
  <c r="KC19" i="12"/>
  <c r="KB19" i="12"/>
  <c r="KA19" i="12"/>
  <c r="JY19" i="12"/>
  <c r="JX19" i="12"/>
  <c r="JW19" i="12"/>
  <c r="JV19" i="12"/>
  <c r="JU19" i="12"/>
  <c r="KE18" i="12"/>
  <c r="KD18" i="12"/>
  <c r="KC18" i="12"/>
  <c r="KB18" i="12"/>
  <c r="KA18" i="12"/>
  <c r="JY18" i="12"/>
  <c r="JX18" i="12"/>
  <c r="JW18" i="12"/>
  <c r="JV18" i="12"/>
  <c r="JU18" i="12"/>
  <c r="KE17" i="12"/>
  <c r="KD17" i="12"/>
  <c r="KC17" i="12"/>
  <c r="KB17" i="12"/>
  <c r="KA17" i="12"/>
  <c r="JY17" i="12"/>
  <c r="JX17" i="12"/>
  <c r="JW17" i="12"/>
  <c r="JV17" i="12"/>
  <c r="JU17" i="12"/>
  <c r="KE16" i="12"/>
  <c r="KD16" i="12"/>
  <c r="KC16" i="12"/>
  <c r="KB16" i="12"/>
  <c r="KA16" i="12"/>
  <c r="JY16" i="12"/>
  <c r="JX16" i="12"/>
  <c r="JW16" i="12"/>
  <c r="JV16" i="12"/>
  <c r="JU16" i="12"/>
  <c r="KE15" i="12"/>
  <c r="KD15" i="12"/>
  <c r="KC15" i="12"/>
  <c r="KB15" i="12"/>
  <c r="KA15" i="12"/>
  <c r="JY15" i="12"/>
  <c r="JX15" i="12"/>
  <c r="JW15" i="12"/>
  <c r="JV15" i="12"/>
  <c r="JU15" i="12"/>
  <c r="KE14" i="12"/>
  <c r="KD14" i="12"/>
  <c r="KC14" i="12"/>
  <c r="KB14" i="12"/>
  <c r="JY14" i="12"/>
  <c r="JX14" i="12"/>
  <c r="JW14" i="12"/>
  <c r="JV14" i="12"/>
  <c r="JU14" i="12"/>
  <c r="JQ20" i="12"/>
  <c r="JP20" i="12"/>
  <c r="JO20" i="12"/>
  <c r="JN20" i="12"/>
  <c r="JM20" i="12"/>
  <c r="JK20" i="12"/>
  <c r="JJ20" i="12"/>
  <c r="JI20" i="12"/>
  <c r="JH20" i="12"/>
  <c r="JG20" i="12"/>
  <c r="JQ19" i="12"/>
  <c r="JP19" i="12"/>
  <c r="JO19" i="12"/>
  <c r="JN19" i="12"/>
  <c r="JM19" i="12"/>
  <c r="JK19" i="12"/>
  <c r="JJ19" i="12"/>
  <c r="JI19" i="12"/>
  <c r="JH19" i="12"/>
  <c r="JG19" i="12"/>
  <c r="JQ18" i="12"/>
  <c r="JP18" i="12"/>
  <c r="JO18" i="12"/>
  <c r="JN18" i="12"/>
  <c r="JM18" i="12"/>
  <c r="JK18" i="12"/>
  <c r="JJ18" i="12"/>
  <c r="JI18" i="12"/>
  <c r="JH18" i="12"/>
  <c r="JG18" i="12"/>
  <c r="JQ17" i="12"/>
  <c r="JP17" i="12"/>
  <c r="JO17" i="12"/>
  <c r="JN17" i="12"/>
  <c r="JM17" i="12"/>
  <c r="JK17" i="12"/>
  <c r="JJ17" i="12"/>
  <c r="JI17" i="12"/>
  <c r="JH17" i="12"/>
  <c r="JG17" i="12"/>
  <c r="JQ16" i="12"/>
  <c r="JP16" i="12"/>
  <c r="JO16" i="12"/>
  <c r="JN16" i="12"/>
  <c r="JM16" i="12"/>
  <c r="JK16" i="12"/>
  <c r="JJ16" i="12"/>
  <c r="JI16" i="12"/>
  <c r="JH16" i="12"/>
  <c r="JG16" i="12"/>
  <c r="JQ15" i="12"/>
  <c r="JP15" i="12"/>
  <c r="JO15" i="12"/>
  <c r="JN15" i="12"/>
  <c r="JM15" i="12"/>
  <c r="JK15" i="12"/>
  <c r="JJ15" i="12"/>
  <c r="JI15" i="12"/>
  <c r="JH15" i="12"/>
  <c r="JG15" i="12"/>
  <c r="JQ14" i="12"/>
  <c r="JP14" i="12"/>
  <c r="JO14" i="12"/>
  <c r="JN14" i="12"/>
  <c r="JM14" i="12"/>
  <c r="JK14" i="12"/>
  <c r="JJ14" i="12"/>
  <c r="JI14" i="12"/>
  <c r="JH14" i="12"/>
  <c r="JG14" i="12"/>
  <c r="JC20" i="12"/>
  <c r="JB20" i="12"/>
  <c r="JA20" i="12"/>
  <c r="IZ20" i="12"/>
  <c r="IY20" i="12"/>
  <c r="IW20" i="12"/>
  <c r="IV20" i="12"/>
  <c r="IU20" i="12"/>
  <c r="IT20" i="12"/>
  <c r="IS20" i="12"/>
  <c r="JC19" i="12"/>
  <c r="JB19" i="12"/>
  <c r="JA19" i="12"/>
  <c r="IZ19" i="12"/>
  <c r="IY19" i="12"/>
  <c r="IW19" i="12"/>
  <c r="IV19" i="12"/>
  <c r="IU19" i="12"/>
  <c r="IT19" i="12"/>
  <c r="IS19" i="12"/>
  <c r="JC18" i="12"/>
  <c r="JB18" i="12"/>
  <c r="JA18" i="12"/>
  <c r="IZ18" i="12"/>
  <c r="IY18" i="12"/>
  <c r="IW18" i="12"/>
  <c r="IV18" i="12"/>
  <c r="IU18" i="12"/>
  <c r="IT18" i="12"/>
  <c r="IS18" i="12"/>
  <c r="JC17" i="12"/>
  <c r="JB17" i="12"/>
  <c r="JA17" i="12"/>
  <c r="IZ17" i="12"/>
  <c r="IY17" i="12"/>
  <c r="IW17" i="12"/>
  <c r="IV17" i="12"/>
  <c r="IU17" i="12"/>
  <c r="IT17" i="12"/>
  <c r="IS17" i="12"/>
  <c r="JC16" i="12"/>
  <c r="JB16" i="12"/>
  <c r="JA16" i="12"/>
  <c r="IZ16" i="12"/>
  <c r="IY16" i="12"/>
  <c r="IW16" i="12"/>
  <c r="IV16" i="12"/>
  <c r="IU16" i="12"/>
  <c r="IT16" i="12"/>
  <c r="IS16" i="12"/>
  <c r="JC15" i="12"/>
  <c r="JB15" i="12"/>
  <c r="JA15" i="12"/>
  <c r="IZ15" i="12"/>
  <c r="IY15" i="12"/>
  <c r="IW15" i="12"/>
  <c r="IV15" i="12"/>
  <c r="IU15" i="12"/>
  <c r="IT15" i="12"/>
  <c r="IS15" i="12"/>
  <c r="JC14" i="12"/>
  <c r="JB14" i="12"/>
  <c r="JA14" i="12"/>
  <c r="IZ14" i="12"/>
  <c r="IY14" i="12"/>
  <c r="IW14" i="12"/>
  <c r="IV14" i="12"/>
  <c r="IU14" i="12"/>
  <c r="IT14" i="12"/>
  <c r="IS14" i="12"/>
  <c r="IO20" i="12"/>
  <c r="IN20" i="12"/>
  <c r="IM20" i="12"/>
  <c r="IL20" i="12"/>
  <c r="IK20" i="12"/>
  <c r="II20" i="12"/>
  <c r="IH20" i="12"/>
  <c r="IG20" i="12"/>
  <c r="IF20" i="12"/>
  <c r="IE20" i="12"/>
  <c r="IO19" i="12"/>
  <c r="IN19" i="12"/>
  <c r="IM19" i="12"/>
  <c r="IL19" i="12"/>
  <c r="IK19" i="12"/>
  <c r="II19" i="12"/>
  <c r="IH19" i="12"/>
  <c r="IG19" i="12"/>
  <c r="IF19" i="12"/>
  <c r="IE19" i="12"/>
  <c r="IO18" i="12"/>
  <c r="IN18" i="12"/>
  <c r="IM18" i="12"/>
  <c r="IL18" i="12"/>
  <c r="IK18" i="12"/>
  <c r="II18" i="12"/>
  <c r="IH18" i="12"/>
  <c r="IG18" i="12"/>
  <c r="IF18" i="12"/>
  <c r="IE18" i="12"/>
  <c r="IO17" i="12"/>
  <c r="IN17" i="12"/>
  <c r="IM17" i="12"/>
  <c r="IL17" i="12"/>
  <c r="IK17" i="12"/>
  <c r="II17" i="12"/>
  <c r="IH17" i="12"/>
  <c r="IG17" i="12"/>
  <c r="IF17" i="12"/>
  <c r="IE17" i="12"/>
  <c r="IO16" i="12"/>
  <c r="IN16" i="12"/>
  <c r="IM16" i="12"/>
  <c r="IL16" i="12"/>
  <c r="IK16" i="12"/>
  <c r="II16" i="12"/>
  <c r="IH16" i="12"/>
  <c r="IG16" i="12"/>
  <c r="IF16" i="12"/>
  <c r="IE16" i="12"/>
  <c r="IO15" i="12"/>
  <c r="IN15" i="12"/>
  <c r="IM15" i="12"/>
  <c r="IL15" i="12"/>
  <c r="IK15" i="12"/>
  <c r="II15" i="12"/>
  <c r="IH15" i="12"/>
  <c r="IG15" i="12"/>
  <c r="IF15" i="12"/>
  <c r="IE15" i="12"/>
  <c r="IO14" i="12"/>
  <c r="IN14" i="12"/>
  <c r="IM14" i="12"/>
  <c r="IL14" i="12"/>
  <c r="IK14" i="12"/>
  <c r="II14" i="12"/>
  <c r="IH14" i="12"/>
  <c r="IG14" i="12"/>
  <c r="IF14" i="12"/>
  <c r="IE14" i="12"/>
  <c r="IA20" i="12"/>
  <c r="HZ20" i="12"/>
  <c r="HY20" i="12"/>
  <c r="HX20" i="12"/>
  <c r="HW20" i="12"/>
  <c r="HU20" i="12"/>
  <c r="HT20" i="12"/>
  <c r="HS20" i="12"/>
  <c r="HR20" i="12"/>
  <c r="HQ20" i="12"/>
  <c r="IA19" i="12"/>
  <c r="HZ19" i="12"/>
  <c r="HY19" i="12"/>
  <c r="HX19" i="12"/>
  <c r="HW19" i="12"/>
  <c r="HU19" i="12"/>
  <c r="HT19" i="12"/>
  <c r="HS19" i="12"/>
  <c r="HR19" i="12"/>
  <c r="HQ19" i="12"/>
  <c r="IA18" i="12"/>
  <c r="HZ18" i="12"/>
  <c r="HY18" i="12"/>
  <c r="HX18" i="12"/>
  <c r="HW18" i="12"/>
  <c r="HU18" i="12"/>
  <c r="HT18" i="12"/>
  <c r="HS18" i="12"/>
  <c r="HR18" i="12"/>
  <c r="HQ18" i="12"/>
  <c r="IA17" i="12"/>
  <c r="HZ17" i="12"/>
  <c r="HY17" i="12"/>
  <c r="HX17" i="12"/>
  <c r="HW17" i="12"/>
  <c r="HU17" i="12"/>
  <c r="HT17" i="12"/>
  <c r="HS17" i="12"/>
  <c r="HR17" i="12"/>
  <c r="HQ17" i="12"/>
  <c r="IA16" i="12"/>
  <c r="HZ16" i="12"/>
  <c r="HY16" i="12"/>
  <c r="HX16" i="12"/>
  <c r="HW16" i="12"/>
  <c r="HU16" i="12"/>
  <c r="HT16" i="12"/>
  <c r="HS16" i="12"/>
  <c r="HR16" i="12"/>
  <c r="HQ16" i="12"/>
  <c r="IA15" i="12"/>
  <c r="HZ15" i="12"/>
  <c r="HY15" i="12"/>
  <c r="HX15" i="12"/>
  <c r="HW15" i="12"/>
  <c r="HU15" i="12"/>
  <c r="HT15" i="12"/>
  <c r="HS15" i="12"/>
  <c r="HR15" i="12"/>
  <c r="HQ15" i="12"/>
  <c r="IA14" i="12"/>
  <c r="HZ14" i="12"/>
  <c r="HY14" i="12"/>
  <c r="HX14" i="12"/>
  <c r="HW14" i="12"/>
  <c r="HU14" i="12"/>
  <c r="HT14" i="12"/>
  <c r="HS14" i="12"/>
  <c r="HR14" i="12"/>
  <c r="HQ14" i="12"/>
  <c r="HM20" i="12"/>
  <c r="HL20" i="12"/>
  <c r="HK20" i="12"/>
  <c r="HJ20" i="12"/>
  <c r="HI20" i="12"/>
  <c r="HG20" i="12"/>
  <c r="HF20" i="12"/>
  <c r="HE20" i="12"/>
  <c r="HD20" i="12"/>
  <c r="HC20" i="12"/>
  <c r="HM19" i="12"/>
  <c r="HL19" i="12"/>
  <c r="HK19" i="12"/>
  <c r="HJ19" i="12"/>
  <c r="HI19" i="12"/>
  <c r="HG19" i="12"/>
  <c r="HF19" i="12"/>
  <c r="HE19" i="12"/>
  <c r="HD19" i="12"/>
  <c r="HC19" i="12"/>
  <c r="HM18" i="12"/>
  <c r="HL18" i="12"/>
  <c r="HK18" i="12"/>
  <c r="HJ18" i="12"/>
  <c r="HI18" i="12"/>
  <c r="HG18" i="12"/>
  <c r="HF18" i="12"/>
  <c r="HE18" i="12"/>
  <c r="HD18" i="12"/>
  <c r="HC18" i="12"/>
  <c r="HM17" i="12"/>
  <c r="HL17" i="12"/>
  <c r="HK17" i="12"/>
  <c r="HJ17" i="12"/>
  <c r="HI17" i="12"/>
  <c r="HG17" i="12"/>
  <c r="HF17" i="12"/>
  <c r="HE17" i="12"/>
  <c r="HD17" i="12"/>
  <c r="HC17" i="12"/>
  <c r="HM16" i="12"/>
  <c r="HL16" i="12"/>
  <c r="HK16" i="12"/>
  <c r="HJ16" i="12"/>
  <c r="HI16" i="12"/>
  <c r="HG16" i="12"/>
  <c r="HF16" i="12"/>
  <c r="HE16" i="12"/>
  <c r="HD16" i="12"/>
  <c r="HC16" i="12"/>
  <c r="HM15" i="12"/>
  <c r="HL15" i="12"/>
  <c r="HK15" i="12"/>
  <c r="HJ15" i="12"/>
  <c r="HI15" i="12"/>
  <c r="HG15" i="12"/>
  <c r="HF15" i="12"/>
  <c r="HE15" i="12"/>
  <c r="HD15" i="12"/>
  <c r="HC15" i="12"/>
  <c r="HM14" i="12"/>
  <c r="HL14" i="12"/>
  <c r="HK14" i="12"/>
  <c r="HJ14" i="12"/>
  <c r="HI14" i="12"/>
  <c r="HG14" i="12"/>
  <c r="HF14" i="12"/>
  <c r="HE14" i="12"/>
  <c r="HD14" i="12"/>
  <c r="HC14" i="12"/>
  <c r="GY20" i="12"/>
  <c r="GX20" i="12"/>
  <c r="GW20" i="12"/>
  <c r="GV20" i="12"/>
  <c r="GU20" i="12"/>
  <c r="GS20" i="12"/>
  <c r="GR20" i="12"/>
  <c r="GQ20" i="12"/>
  <c r="GP20" i="12"/>
  <c r="GO20" i="12"/>
  <c r="GY19" i="12"/>
  <c r="GX19" i="12"/>
  <c r="GW19" i="12"/>
  <c r="GV19" i="12"/>
  <c r="GU19" i="12"/>
  <c r="GS19" i="12"/>
  <c r="GR19" i="12"/>
  <c r="GQ19" i="12"/>
  <c r="GP19" i="12"/>
  <c r="GO19" i="12"/>
  <c r="GY18" i="12"/>
  <c r="GX18" i="12"/>
  <c r="GW18" i="12"/>
  <c r="GV18" i="12"/>
  <c r="GU18" i="12"/>
  <c r="GS18" i="12"/>
  <c r="GR18" i="12"/>
  <c r="GQ18" i="12"/>
  <c r="GP18" i="12"/>
  <c r="GO18" i="12"/>
  <c r="GY17" i="12"/>
  <c r="GX17" i="12"/>
  <c r="GW17" i="12"/>
  <c r="GV17" i="12"/>
  <c r="GU17" i="12"/>
  <c r="GS17" i="12"/>
  <c r="GR17" i="12"/>
  <c r="GQ17" i="12"/>
  <c r="GP17" i="12"/>
  <c r="GO17" i="12"/>
  <c r="GY16" i="12"/>
  <c r="GX16" i="12"/>
  <c r="GW16" i="12"/>
  <c r="GV16" i="12"/>
  <c r="GU16" i="12"/>
  <c r="GS16" i="12"/>
  <c r="GR16" i="12"/>
  <c r="GQ16" i="12"/>
  <c r="GP16" i="12"/>
  <c r="GO16" i="12"/>
  <c r="GY15" i="12"/>
  <c r="GX15" i="12"/>
  <c r="GW15" i="12"/>
  <c r="GV15" i="12"/>
  <c r="GU15" i="12"/>
  <c r="GS15" i="12"/>
  <c r="GR15" i="12"/>
  <c r="GQ15" i="12"/>
  <c r="GP15" i="12"/>
  <c r="GO15" i="12"/>
  <c r="GY14" i="12"/>
  <c r="GX14" i="12"/>
  <c r="GW14" i="12"/>
  <c r="GV14" i="12"/>
  <c r="GU14" i="12"/>
  <c r="GS14" i="12"/>
  <c r="GR14" i="12"/>
  <c r="GQ14" i="12"/>
  <c r="GP14" i="12"/>
  <c r="GO14" i="12"/>
  <c r="GK20" i="12"/>
  <c r="GJ20" i="12"/>
  <c r="GI20" i="12"/>
  <c r="GH20" i="12"/>
  <c r="GG20" i="12"/>
  <c r="GE20" i="12"/>
  <c r="GD20" i="12"/>
  <c r="GC20" i="12"/>
  <c r="GB20" i="12"/>
  <c r="GA20" i="12"/>
  <c r="GK19" i="12"/>
  <c r="GJ19" i="12"/>
  <c r="GI19" i="12"/>
  <c r="GH19" i="12"/>
  <c r="GG19" i="12"/>
  <c r="GE19" i="12"/>
  <c r="GD19" i="12"/>
  <c r="GC19" i="12"/>
  <c r="GB19" i="12"/>
  <c r="GA19" i="12"/>
  <c r="GK18" i="12"/>
  <c r="GJ18" i="12"/>
  <c r="GI18" i="12"/>
  <c r="GH18" i="12"/>
  <c r="GG18" i="12"/>
  <c r="GE18" i="12"/>
  <c r="GD18" i="12"/>
  <c r="GC18" i="12"/>
  <c r="GB18" i="12"/>
  <c r="GA18" i="12"/>
  <c r="GK17" i="12"/>
  <c r="GJ17" i="12"/>
  <c r="GI17" i="12"/>
  <c r="GH17" i="12"/>
  <c r="GG17" i="12"/>
  <c r="GE17" i="12"/>
  <c r="GD17" i="12"/>
  <c r="GC17" i="12"/>
  <c r="GB17" i="12"/>
  <c r="GA17" i="12"/>
  <c r="GK16" i="12"/>
  <c r="GJ16" i="12"/>
  <c r="GI16" i="12"/>
  <c r="GH16" i="12"/>
  <c r="GG16" i="12"/>
  <c r="GE16" i="12"/>
  <c r="GD16" i="12"/>
  <c r="GC16" i="12"/>
  <c r="GB16" i="12"/>
  <c r="GA16" i="12"/>
  <c r="GK15" i="12"/>
  <c r="GJ15" i="12"/>
  <c r="GI15" i="12"/>
  <c r="GH15" i="12"/>
  <c r="GG15" i="12"/>
  <c r="GE15" i="12"/>
  <c r="GD15" i="12"/>
  <c r="GC15" i="12"/>
  <c r="GB15" i="12"/>
  <c r="GA15" i="12"/>
  <c r="GK14" i="12"/>
  <c r="GJ14" i="12"/>
  <c r="GI14" i="12"/>
  <c r="GH14" i="12"/>
  <c r="GG14" i="12"/>
  <c r="GE14" i="12"/>
  <c r="GD14" i="12"/>
  <c r="GC14" i="12"/>
  <c r="GB14" i="12"/>
  <c r="GA14" i="12"/>
  <c r="FW20" i="12"/>
  <c r="FV20" i="12"/>
  <c r="FU20" i="12"/>
  <c r="FT20" i="12"/>
  <c r="FS20" i="12"/>
  <c r="FQ20" i="12"/>
  <c r="FP20" i="12"/>
  <c r="FO20" i="12"/>
  <c r="FN20" i="12"/>
  <c r="FM20" i="12"/>
  <c r="FW19" i="12"/>
  <c r="FV19" i="12"/>
  <c r="FU19" i="12"/>
  <c r="FT19" i="12"/>
  <c r="FS19" i="12"/>
  <c r="FQ19" i="12"/>
  <c r="FP19" i="12"/>
  <c r="FO19" i="12"/>
  <c r="FN19" i="12"/>
  <c r="FM19" i="12"/>
  <c r="FW18" i="12"/>
  <c r="FV18" i="12"/>
  <c r="FU18" i="12"/>
  <c r="FT18" i="12"/>
  <c r="FS18" i="12"/>
  <c r="FQ18" i="12"/>
  <c r="FP18" i="12"/>
  <c r="FO18" i="12"/>
  <c r="FN18" i="12"/>
  <c r="FM18" i="12"/>
  <c r="FW17" i="12"/>
  <c r="FV17" i="12"/>
  <c r="FU17" i="12"/>
  <c r="FT17" i="12"/>
  <c r="FS17" i="12"/>
  <c r="FQ17" i="12"/>
  <c r="FP17" i="12"/>
  <c r="FO17" i="12"/>
  <c r="FN17" i="12"/>
  <c r="FM17" i="12"/>
  <c r="FW16" i="12"/>
  <c r="FV16" i="12"/>
  <c r="FU16" i="12"/>
  <c r="FT16" i="12"/>
  <c r="FS16" i="12"/>
  <c r="FQ16" i="12"/>
  <c r="FP16" i="12"/>
  <c r="FO16" i="12"/>
  <c r="FN16" i="12"/>
  <c r="FM16" i="12"/>
  <c r="FW15" i="12"/>
  <c r="FV15" i="12"/>
  <c r="FU15" i="12"/>
  <c r="FT15" i="12"/>
  <c r="FS15" i="12"/>
  <c r="FQ15" i="12"/>
  <c r="FP15" i="12"/>
  <c r="FO15" i="12"/>
  <c r="FN15" i="12"/>
  <c r="FM15" i="12"/>
  <c r="FW14" i="12"/>
  <c r="FV14" i="12"/>
  <c r="FU14" i="12"/>
  <c r="FT14" i="12"/>
  <c r="FS14" i="12"/>
  <c r="FQ14" i="12"/>
  <c r="FP14" i="12"/>
  <c r="FO14" i="12"/>
  <c r="FN14" i="12"/>
  <c r="FM14" i="12"/>
  <c r="FI20" i="12"/>
  <c r="FH20" i="12"/>
  <c r="FI19" i="12"/>
  <c r="FH19" i="12"/>
  <c r="FI18" i="12"/>
  <c r="FH18" i="12"/>
  <c r="FI17" i="12"/>
  <c r="FH17" i="12"/>
  <c r="FI16" i="12"/>
  <c r="FH16" i="12"/>
  <c r="FI15" i="12"/>
  <c r="FH15" i="12"/>
  <c r="FI14" i="12"/>
  <c r="FH14" i="12"/>
  <c r="FC20" i="12"/>
  <c r="FC19" i="12"/>
  <c r="FC18" i="12"/>
  <c r="FC17" i="12"/>
  <c r="FC16" i="12"/>
  <c r="FC15" i="12"/>
  <c r="FC14" i="12"/>
  <c r="FG20" i="12"/>
  <c r="FF20" i="12"/>
  <c r="FE20" i="12"/>
  <c r="FB20" i="12"/>
  <c r="FA20" i="12"/>
  <c r="EZ20" i="12"/>
  <c r="EY20" i="12"/>
  <c r="FG19" i="12"/>
  <c r="FF19" i="12"/>
  <c r="FE19" i="12"/>
  <c r="FB19" i="12"/>
  <c r="FA19" i="12"/>
  <c r="EZ19" i="12"/>
  <c r="EY19" i="12"/>
  <c r="FG18" i="12"/>
  <c r="FF18" i="12"/>
  <c r="FE18" i="12"/>
  <c r="FB18" i="12"/>
  <c r="FA18" i="12"/>
  <c r="EZ18" i="12"/>
  <c r="EY18" i="12"/>
  <c r="FG17" i="12"/>
  <c r="FF17" i="12"/>
  <c r="FE17" i="12"/>
  <c r="FB17" i="12"/>
  <c r="FA17" i="12"/>
  <c r="EZ17" i="12"/>
  <c r="EY17" i="12"/>
  <c r="FG16" i="12"/>
  <c r="FF16" i="12"/>
  <c r="FE16" i="12"/>
  <c r="FB16" i="12"/>
  <c r="FA16" i="12"/>
  <c r="EZ16" i="12"/>
  <c r="EY16" i="12"/>
  <c r="FG15" i="12"/>
  <c r="FF15" i="12"/>
  <c r="FE15" i="12"/>
  <c r="FB15" i="12"/>
  <c r="FA15" i="12"/>
  <c r="EZ15" i="12"/>
  <c r="EY15" i="12"/>
  <c r="FG14" i="12"/>
  <c r="FF14" i="12"/>
  <c r="FE14" i="12"/>
  <c r="FB14" i="12"/>
  <c r="FA14" i="12"/>
  <c r="EZ14" i="12"/>
  <c r="EY14" i="12"/>
  <c r="EU20" i="12" l="1"/>
  <c r="ET20" i="12"/>
  <c r="ES20" i="12"/>
  <c r="ER20" i="12"/>
  <c r="EP20" i="12"/>
  <c r="EO20" i="12"/>
  <c r="EN20" i="12"/>
  <c r="EM20" i="12"/>
  <c r="EU19" i="12"/>
  <c r="ET19" i="12"/>
  <c r="ES19" i="12"/>
  <c r="ER19" i="12"/>
  <c r="EP19" i="12"/>
  <c r="EO19" i="12"/>
  <c r="EN19" i="12"/>
  <c r="EM19" i="12"/>
  <c r="EU18" i="12"/>
  <c r="ET18" i="12"/>
  <c r="ES18" i="12"/>
  <c r="ER18" i="12"/>
  <c r="EP18" i="12"/>
  <c r="EO18" i="12"/>
  <c r="EN18" i="12"/>
  <c r="EM18" i="12"/>
  <c r="EU17" i="12"/>
  <c r="ET17" i="12"/>
  <c r="ES17" i="12"/>
  <c r="ER17" i="12"/>
  <c r="EP17" i="12"/>
  <c r="EO17" i="12"/>
  <c r="EN17" i="12"/>
  <c r="EM17" i="12"/>
  <c r="EU16" i="12"/>
  <c r="ET16" i="12"/>
  <c r="ES16" i="12"/>
  <c r="ER16" i="12"/>
  <c r="EP16" i="12"/>
  <c r="EO16" i="12"/>
  <c r="EN16" i="12"/>
  <c r="EM16" i="12"/>
  <c r="EU15" i="12"/>
  <c r="ET15" i="12"/>
  <c r="ES15" i="12"/>
  <c r="ER15" i="12"/>
  <c r="EP15" i="12"/>
  <c r="EO15" i="12"/>
  <c r="EN15" i="12"/>
  <c r="EM15" i="12"/>
  <c r="EU14" i="12"/>
  <c r="ET14" i="12"/>
  <c r="ES14" i="12"/>
  <c r="ER14" i="12"/>
  <c r="EP14" i="12"/>
  <c r="EO14" i="12"/>
  <c r="EN14" i="12"/>
  <c r="EM14" i="12"/>
  <c r="EI20" i="12"/>
  <c r="EH20" i="12"/>
  <c r="EG20" i="12"/>
  <c r="EF20" i="12"/>
  <c r="ED20" i="12"/>
  <c r="EC20" i="12"/>
  <c r="EB20" i="12"/>
  <c r="EA20" i="12"/>
  <c r="EI19" i="12"/>
  <c r="EH19" i="12"/>
  <c r="EG19" i="12"/>
  <c r="EF19" i="12"/>
  <c r="ED19" i="12"/>
  <c r="EC19" i="12"/>
  <c r="EB19" i="12"/>
  <c r="EA19" i="12"/>
  <c r="EI18" i="12"/>
  <c r="EH18" i="12"/>
  <c r="EG18" i="12"/>
  <c r="EF18" i="12"/>
  <c r="ED18" i="12"/>
  <c r="EC18" i="12"/>
  <c r="EB18" i="12"/>
  <c r="EA18" i="12"/>
  <c r="EI17" i="12"/>
  <c r="EH17" i="12"/>
  <c r="EG17" i="12"/>
  <c r="EF17" i="12"/>
  <c r="ED17" i="12"/>
  <c r="EC17" i="12"/>
  <c r="EB17" i="12"/>
  <c r="EA17" i="12"/>
  <c r="EI16" i="12"/>
  <c r="EH16" i="12"/>
  <c r="EG16" i="12"/>
  <c r="EF16" i="12"/>
  <c r="ED16" i="12"/>
  <c r="EC16" i="12"/>
  <c r="EB16" i="12"/>
  <c r="EA16" i="12"/>
  <c r="EI15" i="12"/>
  <c r="EH15" i="12"/>
  <c r="EG15" i="12"/>
  <c r="EF15" i="12"/>
  <c r="ED15" i="12"/>
  <c r="EC15" i="12"/>
  <c r="EB15" i="12"/>
  <c r="EA15" i="12"/>
  <c r="EI14" i="12"/>
  <c r="EH14" i="12"/>
  <c r="EG14" i="12"/>
  <c r="EF14" i="12"/>
  <c r="ED14" i="12"/>
  <c r="EC14" i="12"/>
  <c r="EB14" i="12"/>
  <c r="EA14" i="12"/>
  <c r="DW20" i="12"/>
  <c r="DV20" i="12"/>
  <c r="DU20" i="12"/>
  <c r="DT20" i="12"/>
  <c r="DR20" i="12"/>
  <c r="DQ20" i="12"/>
  <c r="DP20" i="12"/>
  <c r="DO20" i="12"/>
  <c r="DW19" i="12"/>
  <c r="DV19" i="12"/>
  <c r="DU19" i="12"/>
  <c r="DT19" i="12"/>
  <c r="DR19" i="12"/>
  <c r="DQ19" i="12"/>
  <c r="DP19" i="12"/>
  <c r="DO19" i="12"/>
  <c r="DW18" i="12"/>
  <c r="DV18" i="12"/>
  <c r="DU18" i="12"/>
  <c r="DT18" i="12"/>
  <c r="DR18" i="12"/>
  <c r="DQ18" i="12"/>
  <c r="DP18" i="12"/>
  <c r="DO18" i="12"/>
  <c r="DW17" i="12"/>
  <c r="DV17" i="12"/>
  <c r="DU17" i="12"/>
  <c r="DT17" i="12"/>
  <c r="DR17" i="12"/>
  <c r="DQ17" i="12"/>
  <c r="DP17" i="12"/>
  <c r="DO17" i="12"/>
  <c r="DW16" i="12"/>
  <c r="DV16" i="12"/>
  <c r="DU16" i="12"/>
  <c r="DT16" i="12"/>
  <c r="DR16" i="12"/>
  <c r="DQ16" i="12"/>
  <c r="DP16" i="12"/>
  <c r="DO16" i="12"/>
  <c r="DW15" i="12"/>
  <c r="DV15" i="12"/>
  <c r="DU15" i="12"/>
  <c r="DT15" i="12"/>
  <c r="DR15" i="12"/>
  <c r="DQ15" i="12"/>
  <c r="DP15" i="12"/>
  <c r="DO15" i="12"/>
  <c r="DW14" i="12"/>
  <c r="DV14" i="12"/>
  <c r="DU14" i="12"/>
  <c r="DT14" i="12"/>
  <c r="DR14" i="12"/>
  <c r="DQ14" i="12"/>
  <c r="DP14" i="12"/>
  <c r="DO14" i="12"/>
  <c r="DK20" i="12"/>
  <c r="DJ20" i="12"/>
  <c r="DI20" i="12"/>
  <c r="DH20" i="12"/>
  <c r="DF20" i="12"/>
  <c r="DE20" i="12"/>
  <c r="DD20" i="12"/>
  <c r="DC20" i="12"/>
  <c r="DK19" i="12"/>
  <c r="DJ19" i="12"/>
  <c r="DI19" i="12"/>
  <c r="DH19" i="12"/>
  <c r="DF19" i="12"/>
  <c r="DE19" i="12"/>
  <c r="DD19" i="12"/>
  <c r="DC19" i="12"/>
  <c r="DK18" i="12"/>
  <c r="DJ18" i="12"/>
  <c r="DI18" i="12"/>
  <c r="DH18" i="12"/>
  <c r="DF18" i="12"/>
  <c r="DE18" i="12"/>
  <c r="DD18" i="12"/>
  <c r="DC18" i="12"/>
  <c r="DK17" i="12"/>
  <c r="DJ17" i="12"/>
  <c r="DI17" i="12"/>
  <c r="DH17" i="12"/>
  <c r="DF17" i="12"/>
  <c r="DE17" i="12"/>
  <c r="DD17" i="12"/>
  <c r="DC17" i="12"/>
  <c r="DK16" i="12"/>
  <c r="DJ16" i="12"/>
  <c r="DI16" i="12"/>
  <c r="DH16" i="12"/>
  <c r="DF16" i="12"/>
  <c r="DE16" i="12"/>
  <c r="DD16" i="12"/>
  <c r="DC16" i="12"/>
  <c r="DK15" i="12"/>
  <c r="DJ15" i="12"/>
  <c r="DI15" i="12"/>
  <c r="DH15" i="12"/>
  <c r="DF15" i="12"/>
  <c r="DE15" i="12"/>
  <c r="DD15" i="12"/>
  <c r="DC15" i="12"/>
  <c r="DK14" i="12"/>
  <c r="DJ14" i="12"/>
  <c r="DI14" i="12"/>
  <c r="DH14" i="12"/>
  <c r="DF14" i="12"/>
  <c r="DE14" i="12"/>
  <c r="DD14" i="12"/>
  <c r="DC14" i="12"/>
  <c r="CY20" i="12"/>
  <c r="CX20" i="12"/>
  <c r="CW20" i="12"/>
  <c r="CV20" i="12"/>
  <c r="CT20" i="12"/>
  <c r="CS20" i="12"/>
  <c r="CR20" i="12"/>
  <c r="CQ20" i="12"/>
  <c r="CY19" i="12"/>
  <c r="CX19" i="12"/>
  <c r="CW19" i="12"/>
  <c r="CV19" i="12"/>
  <c r="CT19" i="12"/>
  <c r="CS19" i="12"/>
  <c r="CR19" i="12"/>
  <c r="CQ19" i="12"/>
  <c r="CY18" i="12"/>
  <c r="CX18" i="12"/>
  <c r="CW18" i="12"/>
  <c r="CV18" i="12"/>
  <c r="CT18" i="12"/>
  <c r="CS18" i="12"/>
  <c r="CR18" i="12"/>
  <c r="CQ18" i="12"/>
  <c r="CY17" i="12"/>
  <c r="CX17" i="12"/>
  <c r="CW17" i="12"/>
  <c r="CV17" i="12"/>
  <c r="CT17" i="12"/>
  <c r="CS17" i="12"/>
  <c r="CR17" i="12"/>
  <c r="CQ17" i="12"/>
  <c r="CY16" i="12"/>
  <c r="CX16" i="12"/>
  <c r="CW16" i="12"/>
  <c r="CV16" i="12"/>
  <c r="CT16" i="12"/>
  <c r="CS16" i="12"/>
  <c r="CR16" i="12"/>
  <c r="CQ16" i="12"/>
  <c r="CY15" i="12"/>
  <c r="CX15" i="12"/>
  <c r="CW15" i="12"/>
  <c r="CV15" i="12"/>
  <c r="CT15" i="12"/>
  <c r="CS15" i="12"/>
  <c r="CR15" i="12"/>
  <c r="CQ15" i="12"/>
  <c r="CY14" i="12"/>
  <c r="CX14" i="12"/>
  <c r="CW14" i="12"/>
  <c r="CV14" i="12"/>
  <c r="CT14" i="12"/>
  <c r="CS14" i="12"/>
  <c r="CR14" i="12"/>
  <c r="CQ14" i="12"/>
  <c r="CM20" i="12"/>
  <c r="CL20" i="12"/>
  <c r="CK20" i="12"/>
  <c r="CJ20" i="12"/>
  <c r="CH20" i="12"/>
  <c r="CG20" i="12"/>
  <c r="CF20" i="12"/>
  <c r="CE20" i="12"/>
  <c r="CM19" i="12"/>
  <c r="CL19" i="12"/>
  <c r="CK19" i="12"/>
  <c r="CJ19" i="12"/>
  <c r="CH19" i="12"/>
  <c r="CG19" i="12"/>
  <c r="CF19" i="12"/>
  <c r="CE19" i="12"/>
  <c r="CM18" i="12"/>
  <c r="CL18" i="12"/>
  <c r="CK18" i="12"/>
  <c r="CJ18" i="12"/>
  <c r="CH18" i="12"/>
  <c r="CG18" i="12"/>
  <c r="CF18" i="12"/>
  <c r="CE18" i="12"/>
  <c r="CM17" i="12"/>
  <c r="CL17" i="12"/>
  <c r="CK17" i="12"/>
  <c r="CJ17" i="12"/>
  <c r="CH17" i="12"/>
  <c r="CG17" i="12"/>
  <c r="CF17" i="12"/>
  <c r="CE17" i="12"/>
  <c r="CM16" i="12"/>
  <c r="CL16" i="12"/>
  <c r="CK16" i="12"/>
  <c r="CJ16" i="12"/>
  <c r="CH16" i="12"/>
  <c r="CG16" i="12"/>
  <c r="CF16" i="12"/>
  <c r="CE16" i="12"/>
  <c r="CM15" i="12"/>
  <c r="CL15" i="12"/>
  <c r="CK15" i="12"/>
  <c r="CJ15" i="12"/>
  <c r="CH15" i="12"/>
  <c r="CG15" i="12"/>
  <c r="CF15" i="12"/>
  <c r="CE15" i="12"/>
  <c r="CM14" i="12"/>
  <c r="CL14" i="12"/>
  <c r="CK14" i="12"/>
  <c r="CJ14" i="12"/>
  <c r="CH14" i="12"/>
  <c r="CG14" i="12"/>
  <c r="CF14" i="12"/>
  <c r="CE14" i="12"/>
  <c r="CA20" i="12"/>
  <c r="BZ20" i="12"/>
  <c r="BY20" i="12"/>
  <c r="BX20" i="12"/>
  <c r="BV20" i="12"/>
  <c r="BU20" i="12"/>
  <c r="BT20" i="12"/>
  <c r="BS20" i="12"/>
  <c r="CA19" i="12"/>
  <c r="BZ19" i="12"/>
  <c r="BY19" i="12"/>
  <c r="BX19" i="12"/>
  <c r="BV19" i="12"/>
  <c r="BU19" i="12"/>
  <c r="BT19" i="12"/>
  <c r="BS19" i="12"/>
  <c r="CA18" i="12"/>
  <c r="BZ18" i="12"/>
  <c r="BY18" i="12"/>
  <c r="BX18" i="12"/>
  <c r="BV18" i="12"/>
  <c r="BU18" i="12"/>
  <c r="BT18" i="12"/>
  <c r="BS18" i="12"/>
  <c r="CA17" i="12"/>
  <c r="BZ17" i="12"/>
  <c r="BY17" i="12"/>
  <c r="BX17" i="12"/>
  <c r="BV17" i="12"/>
  <c r="BU17" i="12"/>
  <c r="BT17" i="12"/>
  <c r="BS17" i="12"/>
  <c r="CA16" i="12"/>
  <c r="BZ16" i="12"/>
  <c r="BY16" i="12"/>
  <c r="BX16" i="12"/>
  <c r="BV16" i="12"/>
  <c r="BU16" i="12"/>
  <c r="BT16" i="12"/>
  <c r="BS16" i="12"/>
  <c r="CA15" i="12"/>
  <c r="BZ15" i="12"/>
  <c r="BY15" i="12"/>
  <c r="BX15" i="12"/>
  <c r="BV15" i="12"/>
  <c r="BU15" i="12"/>
  <c r="BT15" i="12"/>
  <c r="BS15" i="12"/>
  <c r="CA14" i="12"/>
  <c r="BZ14" i="12"/>
  <c r="BY14" i="12"/>
  <c r="BX14" i="12"/>
  <c r="BV14" i="12"/>
  <c r="BU14" i="12"/>
  <c r="BT14" i="12"/>
  <c r="BS14" i="12"/>
  <c r="BO20" i="12"/>
  <c r="BN20" i="12"/>
  <c r="BM20" i="12"/>
  <c r="BL20" i="12"/>
  <c r="BJ20" i="12"/>
  <c r="BI20" i="12"/>
  <c r="BH20" i="12"/>
  <c r="BG20" i="12"/>
  <c r="BO19" i="12"/>
  <c r="BN19" i="12"/>
  <c r="BM19" i="12"/>
  <c r="BL19" i="12"/>
  <c r="BJ19" i="12"/>
  <c r="BI19" i="12"/>
  <c r="BH19" i="12"/>
  <c r="BG19" i="12"/>
  <c r="BO18" i="12"/>
  <c r="BN18" i="12"/>
  <c r="BM18" i="12"/>
  <c r="BL18" i="12"/>
  <c r="BJ18" i="12"/>
  <c r="BI18" i="12"/>
  <c r="BH18" i="12"/>
  <c r="BG18" i="12"/>
  <c r="BO17" i="12"/>
  <c r="BN17" i="12"/>
  <c r="BM17" i="12"/>
  <c r="BL17" i="12"/>
  <c r="BJ17" i="12"/>
  <c r="BI17" i="12"/>
  <c r="BH17" i="12"/>
  <c r="BG17" i="12"/>
  <c r="BO16" i="12"/>
  <c r="BN16" i="12"/>
  <c r="BM16" i="12"/>
  <c r="BL16" i="12"/>
  <c r="BJ16" i="12"/>
  <c r="BI16" i="12"/>
  <c r="BH16" i="12"/>
  <c r="BG16" i="12"/>
  <c r="BO15" i="12"/>
  <c r="BN15" i="12"/>
  <c r="BM15" i="12"/>
  <c r="BL15" i="12"/>
  <c r="BJ15" i="12"/>
  <c r="BI15" i="12"/>
  <c r="BH15" i="12"/>
  <c r="BG15" i="12"/>
  <c r="BO14" i="12"/>
  <c r="BN14" i="12"/>
  <c r="BM14" i="12"/>
  <c r="BL14" i="12"/>
  <c r="BJ14" i="12"/>
  <c r="BI14" i="12"/>
  <c r="BH14" i="12"/>
  <c r="BG14" i="12"/>
  <c r="BC20" i="12"/>
  <c r="BB20" i="12"/>
  <c r="BA20" i="12"/>
  <c r="AZ20" i="12"/>
  <c r="AX20" i="12"/>
  <c r="AW20" i="12"/>
  <c r="AV20" i="12"/>
  <c r="AU20" i="12"/>
  <c r="BC19" i="12"/>
  <c r="BB19" i="12"/>
  <c r="BA19" i="12"/>
  <c r="AZ19" i="12"/>
  <c r="AX19" i="12"/>
  <c r="AW19" i="12"/>
  <c r="AV19" i="12"/>
  <c r="AU19" i="12"/>
  <c r="BC18" i="12"/>
  <c r="BB18" i="12"/>
  <c r="BA18" i="12"/>
  <c r="AZ18" i="12"/>
  <c r="AX18" i="12"/>
  <c r="AW18" i="12"/>
  <c r="AV18" i="12"/>
  <c r="AU18" i="12"/>
  <c r="BC17" i="12"/>
  <c r="BB17" i="12"/>
  <c r="BA17" i="12"/>
  <c r="AZ17" i="12"/>
  <c r="AX17" i="12"/>
  <c r="AW17" i="12"/>
  <c r="AV17" i="12"/>
  <c r="AU17" i="12"/>
  <c r="BC16" i="12"/>
  <c r="BB16" i="12"/>
  <c r="BA16" i="12"/>
  <c r="AZ16" i="12"/>
  <c r="AX16" i="12"/>
  <c r="AW16" i="12"/>
  <c r="AV16" i="12"/>
  <c r="AU16" i="12"/>
  <c r="BC15" i="12"/>
  <c r="BB15" i="12"/>
  <c r="BA15" i="12"/>
  <c r="AZ15" i="12"/>
  <c r="AX15" i="12"/>
  <c r="AW15" i="12"/>
  <c r="AV15" i="12"/>
  <c r="AU15" i="12"/>
  <c r="BC14" i="12"/>
  <c r="BB14" i="12"/>
  <c r="BA14" i="12"/>
  <c r="AZ14" i="12"/>
  <c r="AX14" i="12"/>
  <c r="AW14" i="12"/>
  <c r="AV14" i="12"/>
  <c r="AU14" i="12"/>
  <c r="AQ20" i="12"/>
  <c r="AP20" i="12"/>
  <c r="AO20" i="12"/>
  <c r="AN20" i="12"/>
  <c r="AL20" i="12"/>
  <c r="AK20" i="12"/>
  <c r="AJ20" i="12"/>
  <c r="AI20" i="12"/>
  <c r="AQ19" i="12"/>
  <c r="AP19" i="12"/>
  <c r="AO19" i="12"/>
  <c r="AN19" i="12"/>
  <c r="AL19" i="12"/>
  <c r="AK19" i="12"/>
  <c r="AJ19" i="12"/>
  <c r="AI19" i="12"/>
  <c r="AQ18" i="12"/>
  <c r="AP18" i="12"/>
  <c r="AO18" i="12"/>
  <c r="AN18" i="12"/>
  <c r="AL18" i="12"/>
  <c r="AK18" i="12"/>
  <c r="AJ18" i="12"/>
  <c r="AI18" i="12"/>
  <c r="AQ17" i="12"/>
  <c r="AP17" i="12"/>
  <c r="AO17" i="12"/>
  <c r="AN17" i="12"/>
  <c r="AL17" i="12"/>
  <c r="AK17" i="12"/>
  <c r="AJ17" i="12"/>
  <c r="AI17" i="12"/>
  <c r="AQ16" i="12"/>
  <c r="AP16" i="12"/>
  <c r="AO16" i="12"/>
  <c r="AN16" i="12"/>
  <c r="AL16" i="12"/>
  <c r="AK16" i="12"/>
  <c r="AJ16" i="12"/>
  <c r="AI16" i="12"/>
  <c r="AQ15" i="12"/>
  <c r="AP15" i="12"/>
  <c r="AO15" i="12"/>
  <c r="AN15" i="12"/>
  <c r="AL15" i="12"/>
  <c r="AK15" i="12"/>
  <c r="AJ15" i="12"/>
  <c r="AI15" i="12"/>
  <c r="AQ14" i="12"/>
  <c r="AP14" i="12"/>
  <c r="AO14" i="12"/>
  <c r="AN14" i="12"/>
  <c r="AL14" i="12"/>
  <c r="AK14" i="12"/>
  <c r="AJ14" i="12"/>
  <c r="AI14" i="12"/>
  <c r="AE20" i="12"/>
  <c r="AD20" i="12"/>
  <c r="AC20" i="12"/>
  <c r="AB20" i="12"/>
  <c r="Z20" i="12"/>
  <c r="Y20" i="12"/>
  <c r="X20" i="12"/>
  <c r="W20" i="12"/>
  <c r="AE19" i="12"/>
  <c r="AD19" i="12"/>
  <c r="AC19" i="12"/>
  <c r="AB19" i="12"/>
  <c r="Z19" i="12"/>
  <c r="Y19" i="12"/>
  <c r="X19" i="12"/>
  <c r="W19" i="12"/>
  <c r="AE18" i="12"/>
  <c r="AD18" i="12"/>
  <c r="AC18" i="12"/>
  <c r="AB18" i="12"/>
  <c r="Z18" i="12"/>
  <c r="Y18" i="12"/>
  <c r="X18" i="12"/>
  <c r="W18" i="12"/>
  <c r="AE17" i="12"/>
  <c r="AD17" i="12"/>
  <c r="AC17" i="12"/>
  <c r="AB17" i="12"/>
  <c r="Z17" i="12"/>
  <c r="Y17" i="12"/>
  <c r="X17" i="12"/>
  <c r="W17" i="12"/>
  <c r="AE16" i="12"/>
  <c r="AD16" i="12"/>
  <c r="AC16" i="12"/>
  <c r="AB16" i="12"/>
  <c r="Z16" i="12"/>
  <c r="Y16" i="12"/>
  <c r="X16" i="12"/>
  <c r="W16" i="12"/>
  <c r="AE15" i="12"/>
  <c r="AD15" i="12"/>
  <c r="AC15" i="12"/>
  <c r="AB15" i="12"/>
  <c r="Z15" i="12"/>
  <c r="Y15" i="12"/>
  <c r="X15" i="12"/>
  <c r="W15" i="12"/>
  <c r="AE14" i="12"/>
  <c r="AD14" i="12"/>
  <c r="AC14" i="12"/>
  <c r="AB14" i="12"/>
  <c r="Z14" i="12"/>
  <c r="Y14" i="12"/>
  <c r="X14" i="12"/>
  <c r="W14" i="12"/>
  <c r="K47" i="13"/>
  <c r="AC44" i="13"/>
  <c r="AH44" i="13" s="1"/>
  <c r="AB44" i="13"/>
  <c r="AG44" i="13" s="1"/>
  <c r="AA44" i="13"/>
  <c r="Y44" i="13"/>
  <c r="X44" i="13"/>
  <c r="W44" i="13"/>
  <c r="T44" i="13"/>
  <c r="S44" i="13"/>
  <c r="R44" i="13"/>
  <c r="AC43" i="13"/>
  <c r="AH43" i="13" s="1"/>
  <c r="AB43" i="13"/>
  <c r="AG43" i="13" s="1"/>
  <c r="AA43" i="13"/>
  <c r="AF43" i="13" s="1"/>
  <c r="Y43" i="13"/>
  <c r="X43" i="13"/>
  <c r="W43" i="13"/>
  <c r="T43" i="13"/>
  <c r="S43" i="13"/>
  <c r="R43" i="13"/>
  <c r="AC42" i="13"/>
  <c r="AH42" i="13" s="1"/>
  <c r="AB42" i="13"/>
  <c r="AG42" i="13" s="1"/>
  <c r="AA42" i="13"/>
  <c r="AF42" i="13" s="1"/>
  <c r="Y42" i="13"/>
  <c r="X42" i="13"/>
  <c r="W42" i="13"/>
  <c r="T42" i="13"/>
  <c r="S42" i="13"/>
  <c r="R42" i="13"/>
  <c r="AC41" i="13"/>
  <c r="AH41" i="13" s="1"/>
  <c r="AB41" i="13"/>
  <c r="AG41" i="13" s="1"/>
  <c r="AA41" i="13"/>
  <c r="AF41" i="13" s="1"/>
  <c r="X41" i="13"/>
  <c r="W41" i="13"/>
  <c r="T41" i="13"/>
  <c r="S41" i="13"/>
  <c r="R41" i="13"/>
  <c r="AC40" i="13"/>
  <c r="AH40" i="13" s="1"/>
  <c r="AB40" i="13"/>
  <c r="AG40" i="13" s="1"/>
  <c r="AA40" i="13"/>
  <c r="AF40" i="13" s="1"/>
  <c r="Y40" i="13"/>
  <c r="X40" i="13"/>
  <c r="W40" i="13"/>
  <c r="T40" i="13"/>
  <c r="S40" i="13"/>
  <c r="R40" i="13"/>
  <c r="AC39" i="13"/>
  <c r="AH39" i="13" s="1"/>
  <c r="AB39" i="13"/>
  <c r="AG39" i="13" s="1"/>
  <c r="AA39" i="13"/>
  <c r="AF39" i="13" s="1"/>
  <c r="Y39" i="13"/>
  <c r="X39" i="13"/>
  <c r="W39" i="13"/>
  <c r="T39" i="13"/>
  <c r="S39" i="13"/>
  <c r="R39" i="13"/>
  <c r="AC38" i="13"/>
  <c r="AH38" i="13" s="1"/>
  <c r="AB38" i="13"/>
  <c r="AG38" i="13" s="1"/>
  <c r="AA38" i="13"/>
  <c r="AF38" i="13" s="1"/>
  <c r="X38" i="13"/>
  <c r="W38" i="13"/>
  <c r="T38" i="13"/>
  <c r="S38" i="13"/>
  <c r="R38" i="13"/>
  <c r="AC37" i="13"/>
  <c r="AH37" i="13" s="1"/>
  <c r="AB37" i="13"/>
  <c r="AG37" i="13" s="1"/>
  <c r="AA37" i="13"/>
  <c r="Y37" i="13"/>
  <c r="X37" i="13"/>
  <c r="W37" i="13"/>
  <c r="T37" i="13"/>
  <c r="S37" i="13"/>
  <c r="R37" i="13"/>
  <c r="AC36" i="13"/>
  <c r="AH36" i="13" s="1"/>
  <c r="AB36" i="13"/>
  <c r="AG36" i="13" s="1"/>
  <c r="AA36" i="13"/>
  <c r="AF36" i="13" s="1"/>
  <c r="X36" i="13"/>
  <c r="W36" i="13"/>
  <c r="T36" i="13"/>
  <c r="S36" i="13"/>
  <c r="R36" i="13"/>
  <c r="AC35" i="13"/>
  <c r="AH35" i="13" s="1"/>
  <c r="AB35" i="13"/>
  <c r="AG35" i="13" s="1"/>
  <c r="AA35" i="13"/>
  <c r="AF35" i="13" s="1"/>
  <c r="X35" i="13"/>
  <c r="W35" i="13"/>
  <c r="T35" i="13"/>
  <c r="S35" i="13"/>
  <c r="R35" i="13"/>
  <c r="AC34" i="13"/>
  <c r="AH34" i="13" s="1"/>
  <c r="AB34" i="13"/>
  <c r="AG34" i="13" s="1"/>
  <c r="AA34" i="13"/>
  <c r="AF34" i="13" s="1"/>
  <c r="Y34" i="13"/>
  <c r="X34" i="13"/>
  <c r="W34" i="13"/>
  <c r="T34" i="13"/>
  <c r="S34" i="13"/>
  <c r="R34" i="13"/>
  <c r="AC33" i="13"/>
  <c r="AH33" i="13" s="1"/>
  <c r="AB33" i="13"/>
  <c r="AG33" i="13" s="1"/>
  <c r="AA33" i="13"/>
  <c r="AF33" i="13" s="1"/>
  <c r="Y33" i="13"/>
  <c r="X33" i="13"/>
  <c r="W33" i="13"/>
  <c r="T33" i="13"/>
  <c r="S33" i="13"/>
  <c r="R33" i="13"/>
  <c r="AC32" i="13"/>
  <c r="AH32" i="13" s="1"/>
  <c r="AB32" i="13"/>
  <c r="AG32" i="13" s="1"/>
  <c r="AA32" i="13"/>
  <c r="AF32" i="13" s="1"/>
  <c r="Y32" i="13"/>
  <c r="X32" i="13"/>
  <c r="W32" i="13"/>
  <c r="T32" i="13"/>
  <c r="S32" i="13"/>
  <c r="R32" i="13"/>
  <c r="AC31" i="13"/>
  <c r="AH31" i="13" s="1"/>
  <c r="AB31" i="13"/>
  <c r="AG31" i="13" s="1"/>
  <c r="AA31" i="13"/>
  <c r="AF31" i="13" s="1"/>
  <c r="Y31" i="13"/>
  <c r="X31" i="13"/>
  <c r="W31" i="13"/>
  <c r="T31" i="13"/>
  <c r="S31" i="13"/>
  <c r="R31" i="13"/>
  <c r="AC30" i="13"/>
  <c r="AH30" i="13" s="1"/>
  <c r="AB30" i="13"/>
  <c r="AG30" i="13" s="1"/>
  <c r="AA30" i="13"/>
  <c r="AF30" i="13" s="1"/>
  <c r="Y30" i="13"/>
  <c r="X30" i="13"/>
  <c r="W30" i="13"/>
  <c r="T30" i="13"/>
  <c r="S30" i="13"/>
  <c r="R30" i="13"/>
  <c r="AC29" i="13"/>
  <c r="AH29" i="13" s="1"/>
  <c r="AB29" i="13"/>
  <c r="AG29" i="13" s="1"/>
  <c r="AA29" i="13"/>
  <c r="AF29" i="13" s="1"/>
  <c r="Y29" i="13"/>
  <c r="X29" i="13"/>
  <c r="W29" i="13"/>
  <c r="T29" i="13"/>
  <c r="S29" i="13"/>
  <c r="R29" i="13"/>
  <c r="AC28" i="13"/>
  <c r="AH28" i="13" s="1"/>
  <c r="AB28" i="13"/>
  <c r="AA28" i="13"/>
  <c r="AF28" i="13" s="1"/>
  <c r="Y28" i="13"/>
  <c r="X28" i="13"/>
  <c r="W28" i="13"/>
  <c r="T28" i="13"/>
  <c r="S28" i="13"/>
  <c r="R28" i="13"/>
  <c r="AC27" i="13"/>
  <c r="AH27" i="13" s="1"/>
  <c r="AB27" i="13"/>
  <c r="AG27" i="13" s="1"/>
  <c r="AA27" i="13"/>
  <c r="AF27" i="13" s="1"/>
  <c r="Y27" i="13"/>
  <c r="X27" i="13"/>
  <c r="W27" i="13"/>
  <c r="T27" i="13"/>
  <c r="S27" i="13"/>
  <c r="R27" i="13"/>
  <c r="AC26" i="13"/>
  <c r="AH26" i="13" s="1"/>
  <c r="AB26" i="13"/>
  <c r="AG26" i="13" s="1"/>
  <c r="AA26" i="13"/>
  <c r="AF26" i="13" s="1"/>
  <c r="Y26" i="13"/>
  <c r="X26" i="13"/>
  <c r="W26" i="13"/>
  <c r="T26" i="13"/>
  <c r="S26" i="13"/>
  <c r="R26" i="13"/>
  <c r="AC25" i="13"/>
  <c r="AH25" i="13" s="1"/>
  <c r="AB25" i="13"/>
  <c r="AG25" i="13" s="1"/>
  <c r="AA25" i="13"/>
  <c r="AF25" i="13" s="1"/>
  <c r="Y25" i="13"/>
  <c r="X25" i="13"/>
  <c r="W25" i="13"/>
  <c r="T25" i="13"/>
  <c r="S25" i="13"/>
  <c r="R25" i="13"/>
  <c r="AC24" i="13"/>
  <c r="AH24" i="13" s="1"/>
  <c r="AB24" i="13"/>
  <c r="AG24" i="13" s="1"/>
  <c r="AA24" i="13"/>
  <c r="AF24" i="13" s="1"/>
  <c r="Y24" i="13"/>
  <c r="X24" i="13"/>
  <c r="W24" i="13"/>
  <c r="T24" i="13"/>
  <c r="S24" i="13"/>
  <c r="R24" i="13"/>
  <c r="AC23" i="13"/>
  <c r="AH23" i="13" s="1"/>
  <c r="AB23" i="13"/>
  <c r="AG23" i="13" s="1"/>
  <c r="AA23" i="13"/>
  <c r="Y23" i="13"/>
  <c r="X23" i="13"/>
  <c r="W23" i="13"/>
  <c r="T23" i="13"/>
  <c r="S23" i="13"/>
  <c r="R23" i="13"/>
  <c r="AC22" i="13"/>
  <c r="AH22" i="13" s="1"/>
  <c r="AB22" i="13"/>
  <c r="AG22" i="13" s="1"/>
  <c r="AA22" i="13"/>
  <c r="AF22" i="13" s="1"/>
  <c r="Y22" i="13"/>
  <c r="X22" i="13"/>
  <c r="W22" i="13"/>
  <c r="T22" i="13"/>
  <c r="S22" i="13"/>
  <c r="R22" i="13"/>
  <c r="AC21" i="13"/>
  <c r="AH21" i="13" s="1"/>
  <c r="AB21" i="13"/>
  <c r="AG21" i="13" s="1"/>
  <c r="AA21" i="13"/>
  <c r="AF21" i="13" s="1"/>
  <c r="Y21" i="13"/>
  <c r="X21" i="13"/>
  <c r="W21" i="13"/>
  <c r="T21" i="13"/>
  <c r="S21" i="13"/>
  <c r="R21" i="13"/>
  <c r="AC20" i="13"/>
  <c r="AH20" i="13" s="1"/>
  <c r="AB20" i="13"/>
  <c r="AG20" i="13" s="1"/>
  <c r="AA20" i="13"/>
  <c r="AF20" i="13" s="1"/>
  <c r="Y20" i="13"/>
  <c r="X20" i="13"/>
  <c r="W20" i="13"/>
  <c r="T20" i="13"/>
  <c r="S20" i="13"/>
  <c r="R20" i="13"/>
  <c r="AC19" i="13"/>
  <c r="AH19" i="13" s="1"/>
  <c r="AB19" i="13"/>
  <c r="AG19" i="13" s="1"/>
  <c r="AA19" i="13"/>
  <c r="AF19" i="13" s="1"/>
  <c r="X19" i="13"/>
  <c r="W19" i="13"/>
  <c r="T19" i="13"/>
  <c r="S19" i="13"/>
  <c r="R19" i="13"/>
  <c r="AC18" i="13"/>
  <c r="AH18" i="13" s="1"/>
  <c r="AB18" i="13"/>
  <c r="AG18" i="13" s="1"/>
  <c r="AA18" i="13"/>
  <c r="AF18" i="13" s="1"/>
  <c r="X18" i="13"/>
  <c r="W18" i="13"/>
  <c r="T18" i="13"/>
  <c r="S18" i="13"/>
  <c r="R18" i="13"/>
  <c r="AC17" i="13"/>
  <c r="AH17" i="13" s="1"/>
  <c r="AB17" i="13"/>
  <c r="AG17" i="13" s="1"/>
  <c r="AA17" i="13"/>
  <c r="AF17" i="13" s="1"/>
  <c r="Y17" i="13"/>
  <c r="X17" i="13"/>
  <c r="W17" i="13"/>
  <c r="T17" i="13"/>
  <c r="S17" i="13"/>
  <c r="R17" i="13"/>
  <c r="AC16" i="13"/>
  <c r="AH16" i="13" s="1"/>
  <c r="AB16" i="13"/>
  <c r="AG16" i="13" s="1"/>
  <c r="AA16" i="13"/>
  <c r="AF16" i="13" s="1"/>
  <c r="Y16" i="13"/>
  <c r="X16" i="13"/>
  <c r="W16" i="13"/>
  <c r="T16" i="13"/>
  <c r="S16" i="13"/>
  <c r="R16" i="13"/>
  <c r="AC15" i="13"/>
  <c r="AH15" i="13" s="1"/>
  <c r="AB15" i="13"/>
  <c r="AG15" i="13" s="1"/>
  <c r="AA15" i="13"/>
  <c r="AF15" i="13" s="1"/>
  <c r="Y15" i="13"/>
  <c r="X15" i="13"/>
  <c r="W15" i="13"/>
  <c r="T15" i="13"/>
  <c r="S15" i="13"/>
  <c r="R15" i="13"/>
  <c r="AC14" i="13"/>
  <c r="AH14" i="13" s="1"/>
  <c r="AB14" i="13"/>
  <c r="AA14" i="13"/>
  <c r="AF14" i="13" s="1"/>
  <c r="Y14" i="13"/>
  <c r="X14" i="13"/>
  <c r="W14" i="13"/>
  <c r="T14" i="13"/>
  <c r="S14" i="13"/>
  <c r="R14" i="13"/>
  <c r="AC13" i="13"/>
  <c r="AH13" i="13" s="1"/>
  <c r="AB13" i="13"/>
  <c r="AG13" i="13" s="1"/>
  <c r="AA13" i="13"/>
  <c r="AF13" i="13" s="1"/>
  <c r="Y13" i="13"/>
  <c r="X13" i="13"/>
  <c r="W13" i="13"/>
  <c r="T13" i="13"/>
  <c r="S13" i="13"/>
  <c r="R13" i="13"/>
  <c r="AC12" i="13"/>
  <c r="AH12" i="13" s="1"/>
  <c r="AB12" i="13"/>
  <c r="AG12" i="13" s="1"/>
  <c r="AA12" i="13"/>
  <c r="AF12" i="13" s="1"/>
  <c r="Y12" i="13"/>
  <c r="X12" i="13"/>
  <c r="W12" i="13"/>
  <c r="T12" i="13"/>
  <c r="S12" i="13"/>
  <c r="R12" i="13"/>
  <c r="AC11" i="13"/>
  <c r="AH11" i="13" s="1"/>
  <c r="AB11" i="13"/>
  <c r="AG11" i="13" s="1"/>
  <c r="AA11" i="13"/>
  <c r="AF11" i="13" s="1"/>
  <c r="X11" i="13"/>
  <c r="W11" i="13"/>
  <c r="T11" i="13"/>
  <c r="S11" i="13"/>
  <c r="R11" i="13"/>
  <c r="AC10" i="13"/>
  <c r="AB10" i="13"/>
  <c r="AG10" i="13" s="1"/>
  <c r="AA10" i="13"/>
  <c r="AF10" i="13" s="1"/>
  <c r="Y10" i="13"/>
  <c r="X10" i="13"/>
  <c r="W10" i="13"/>
  <c r="T10" i="13"/>
  <c r="S10" i="13"/>
  <c r="R10" i="13"/>
  <c r="AC9" i="13"/>
  <c r="AH9" i="13" s="1"/>
  <c r="AB9" i="13"/>
  <c r="AG9" i="13" s="1"/>
  <c r="AA9" i="13"/>
  <c r="AF9" i="13" s="1"/>
  <c r="X9" i="13"/>
  <c r="W9" i="13"/>
  <c r="T9" i="13"/>
  <c r="S9" i="13"/>
  <c r="R9" i="13"/>
  <c r="AC8" i="13"/>
  <c r="AH8" i="13" s="1"/>
  <c r="AB8" i="13"/>
  <c r="AG8" i="13" s="1"/>
  <c r="AA8" i="13"/>
  <c r="AF8" i="13" s="1"/>
  <c r="Y8" i="13"/>
  <c r="X8" i="13"/>
  <c r="W8" i="13"/>
  <c r="T8" i="13"/>
  <c r="S8" i="13"/>
  <c r="R8" i="13"/>
  <c r="AC7" i="13"/>
  <c r="AH7" i="13" s="1"/>
  <c r="AB7" i="13"/>
  <c r="AG7" i="13" s="1"/>
  <c r="AA7" i="13"/>
  <c r="Y7" i="13"/>
  <c r="X7" i="13"/>
  <c r="W7" i="13"/>
  <c r="T7" i="13"/>
  <c r="S7" i="13"/>
  <c r="R7" i="13"/>
  <c r="AC6" i="13"/>
  <c r="AH6" i="13" s="1"/>
  <c r="AB6" i="13"/>
  <c r="AG6" i="13" s="1"/>
  <c r="AA6" i="13"/>
  <c r="AF6" i="13" s="1"/>
  <c r="Y6" i="13"/>
  <c r="X6" i="13"/>
  <c r="W6" i="13"/>
  <c r="T6" i="13"/>
  <c r="S6" i="13"/>
  <c r="R6" i="13"/>
  <c r="AC5" i="13"/>
  <c r="AB5" i="13"/>
  <c r="AG5" i="13" s="1"/>
  <c r="AA5" i="13"/>
  <c r="AF5" i="13" s="1"/>
  <c r="Y5" i="13"/>
  <c r="X5" i="13"/>
  <c r="W5" i="13"/>
  <c r="T5" i="13"/>
  <c r="S5" i="13"/>
  <c r="R5" i="13"/>
  <c r="AC4" i="13"/>
  <c r="AH4" i="13" s="1"/>
  <c r="AB4" i="13"/>
  <c r="AG4" i="13" s="1"/>
  <c r="AA4" i="13"/>
  <c r="AF4" i="13" s="1"/>
  <c r="Y4" i="13"/>
  <c r="X4" i="13"/>
  <c r="W4" i="13"/>
  <c r="T4" i="13"/>
  <c r="S4" i="13"/>
  <c r="R4" i="13"/>
  <c r="AC3" i="13"/>
  <c r="AH3" i="13" s="1"/>
  <c r="AB3" i="13"/>
  <c r="AG3" i="13" s="1"/>
  <c r="AA3" i="13"/>
  <c r="AF3" i="13" s="1"/>
  <c r="Y3" i="13"/>
  <c r="X3" i="13"/>
  <c r="W3" i="13"/>
  <c r="T3" i="13"/>
  <c r="S3" i="13"/>
  <c r="R3" i="13"/>
  <c r="Z17" i="13" l="1"/>
  <c r="AD17" i="13" s="1"/>
  <c r="Z43" i="13"/>
  <c r="AD43" i="13" s="1"/>
  <c r="Z18" i="13"/>
  <c r="AD18" i="13" s="1"/>
  <c r="Z40" i="13"/>
  <c r="AD40" i="13" s="1"/>
  <c r="Z44" i="13"/>
  <c r="AD44" i="13" s="1"/>
  <c r="Z4" i="13"/>
  <c r="AD4" i="13" s="1"/>
  <c r="Z26" i="13"/>
  <c r="AD26" i="13" s="1"/>
  <c r="Z39" i="13"/>
  <c r="AD39" i="13" s="1"/>
  <c r="Z3" i="13"/>
  <c r="AD3" i="13" s="1"/>
  <c r="Z38" i="13"/>
  <c r="AD38" i="13" s="1"/>
  <c r="Z16" i="13"/>
  <c r="AD16" i="13" s="1"/>
  <c r="Z30" i="13"/>
  <c r="AD30" i="13" s="1"/>
  <c r="Z34" i="13"/>
  <c r="AD34" i="13" s="1"/>
  <c r="Z15" i="13"/>
  <c r="AD15" i="13" s="1"/>
  <c r="Z29" i="13"/>
  <c r="AD29" i="13" s="1"/>
  <c r="AE35" i="13"/>
  <c r="AJ35" i="13" s="1"/>
  <c r="Z10" i="13"/>
  <c r="AD10" i="13" s="1"/>
  <c r="Z20" i="13"/>
  <c r="AD20" i="13" s="1"/>
  <c r="Z42" i="13"/>
  <c r="AD42" i="13" s="1"/>
  <c r="Z12" i="13"/>
  <c r="AD12" i="13" s="1"/>
  <c r="Z19" i="13"/>
  <c r="AD19" i="13" s="1"/>
  <c r="Z32" i="13"/>
  <c r="AD32" i="13" s="1"/>
  <c r="Z41" i="13"/>
  <c r="AD41" i="13" s="1"/>
  <c r="AH10" i="13"/>
  <c r="AI10" i="13" s="1"/>
  <c r="Z31" i="13"/>
  <c r="AD31" i="13" s="1"/>
  <c r="Z6" i="13"/>
  <c r="AD6" i="13" s="1"/>
  <c r="AI40" i="13"/>
  <c r="AE40" i="13"/>
  <c r="U40" i="13" s="1"/>
  <c r="V40" i="13" s="1"/>
  <c r="AI26" i="13"/>
  <c r="AE26" i="13"/>
  <c r="AJ26" i="13" s="1"/>
  <c r="AI17" i="13"/>
  <c r="AE17" i="13"/>
  <c r="U17" i="13" s="1"/>
  <c r="V17" i="13" s="1"/>
  <c r="AI3" i="13"/>
  <c r="AE3" i="13"/>
  <c r="AJ3" i="13" s="1"/>
  <c r="AI42" i="13"/>
  <c r="AE42" i="13"/>
  <c r="U42" i="13" s="1"/>
  <c r="V42" i="13" s="1"/>
  <c r="AI12" i="13"/>
  <c r="AE12" i="13"/>
  <c r="AJ12" i="13" s="1"/>
  <c r="AI19" i="13"/>
  <c r="AE19" i="13"/>
  <c r="U19" i="13" s="1"/>
  <c r="V19" i="13" s="1"/>
  <c r="AI31" i="13"/>
  <c r="AE31" i="13"/>
  <c r="AJ31" i="13" s="1"/>
  <c r="AE21" i="13"/>
  <c r="U21" i="13" s="1"/>
  <c r="V21" i="13" s="1"/>
  <c r="AE33" i="13"/>
  <c r="U33" i="13" s="1"/>
  <c r="V33" i="13" s="1"/>
  <c r="Z24" i="13"/>
  <c r="AD24" i="13" s="1"/>
  <c r="Z25" i="13"/>
  <c r="AD25" i="13" s="1"/>
  <c r="AF44" i="13"/>
  <c r="AI44" i="13" s="1"/>
  <c r="Z11" i="13"/>
  <c r="AD11" i="13" s="1"/>
  <c r="Z9" i="13"/>
  <c r="AD9" i="13" s="1"/>
  <c r="Z13" i="13"/>
  <c r="AD13" i="13" s="1"/>
  <c r="Z27" i="13"/>
  <c r="AD27" i="13" s="1"/>
  <c r="Z36" i="13"/>
  <c r="AD36" i="13" s="1"/>
  <c r="Z33" i="13"/>
  <c r="AD33" i="13" s="1"/>
  <c r="Z8" i="13"/>
  <c r="AD8" i="13" s="1"/>
  <c r="AE13" i="13"/>
  <c r="U13" i="13" s="1"/>
  <c r="V13" i="13" s="1"/>
  <c r="AE27" i="13"/>
  <c r="U27" i="13" s="1"/>
  <c r="V27" i="13" s="1"/>
  <c r="Z22" i="13"/>
  <c r="AD22" i="13" s="1"/>
  <c r="Z35" i="13"/>
  <c r="AD35" i="13" s="1"/>
  <c r="AE36" i="13"/>
  <c r="AI36" i="13"/>
  <c r="AI15" i="13"/>
  <c r="AE15" i="13"/>
  <c r="AI38" i="13"/>
  <c r="AE38" i="13"/>
  <c r="AI39" i="13"/>
  <c r="AE39" i="13"/>
  <c r="AE43" i="13"/>
  <c r="AI43" i="13"/>
  <c r="AE6" i="13"/>
  <c r="AI6" i="13"/>
  <c r="AI4" i="13"/>
  <c r="AE4" i="13"/>
  <c r="AH5" i="13"/>
  <c r="AE5" i="13" s="1"/>
  <c r="Z5" i="13"/>
  <c r="AD5" i="13" s="1"/>
  <c r="Z21" i="13"/>
  <c r="AD21" i="13" s="1"/>
  <c r="AE22" i="13"/>
  <c r="AI22" i="13"/>
  <c r="AI27" i="13"/>
  <c r="AF37" i="13"/>
  <c r="Z37" i="13"/>
  <c r="AD37" i="13" s="1"/>
  <c r="AE11" i="13"/>
  <c r="AI11" i="13"/>
  <c r="AI16" i="13"/>
  <c r="AE16" i="13"/>
  <c r="AI9" i="13"/>
  <c r="AE9" i="13"/>
  <c r="AE34" i="13"/>
  <c r="AI34" i="13"/>
  <c r="AI35" i="13"/>
  <c r="AE29" i="13"/>
  <c r="AI29" i="13"/>
  <c r="AI30" i="13"/>
  <c r="AE30" i="13"/>
  <c r="AI32" i="13"/>
  <c r="AE32" i="13"/>
  <c r="AE18" i="13"/>
  <c r="AI18" i="13"/>
  <c r="AG14" i="13"/>
  <c r="AE14" i="13" s="1"/>
  <c r="Z14" i="13"/>
  <c r="AD14" i="13" s="1"/>
  <c r="Z7" i="13"/>
  <c r="AD7" i="13" s="1"/>
  <c r="AF7" i="13"/>
  <c r="AE8" i="13"/>
  <c r="AI8" i="13"/>
  <c r="AI13" i="13"/>
  <c r="AE25" i="13"/>
  <c r="AI25" i="13"/>
  <c r="Z28" i="13"/>
  <c r="AD28" i="13" s="1"/>
  <c r="AG28" i="13"/>
  <c r="AE28" i="13" s="1"/>
  <c r="AI33" i="13"/>
  <c r="AE41" i="13"/>
  <c r="AI41" i="13"/>
  <c r="AI20" i="13"/>
  <c r="AE20" i="13"/>
  <c r="AI21" i="13"/>
  <c r="Z23" i="13"/>
  <c r="AD23" i="13" s="1"/>
  <c r="AF23" i="13"/>
  <c r="AE24" i="13"/>
  <c r="AI24" i="13"/>
  <c r="AJ21" i="13" l="1"/>
  <c r="U31" i="13"/>
  <c r="V31" i="13" s="1"/>
  <c r="AJ19" i="13"/>
  <c r="U35" i="13"/>
  <c r="V35" i="13" s="1"/>
  <c r="AJ17" i="13"/>
  <c r="U26" i="13"/>
  <c r="V26" i="13" s="1"/>
  <c r="AJ40" i="13"/>
  <c r="AI28" i="13"/>
  <c r="AI5" i="13"/>
  <c r="AE10" i="13"/>
  <c r="U3" i="13"/>
  <c r="V3" i="13" s="1"/>
  <c r="AJ33" i="13"/>
  <c r="AJ42" i="13"/>
  <c r="AJ13" i="13"/>
  <c r="AI14" i="13"/>
  <c r="AE44" i="13"/>
  <c r="U12" i="13"/>
  <c r="V12" i="13" s="1"/>
  <c r="AJ27" i="13"/>
  <c r="AE23" i="13"/>
  <c r="AI23" i="13"/>
  <c r="U18" i="13"/>
  <c r="V18" i="13" s="1"/>
  <c r="AJ18" i="13"/>
  <c r="AJ39" i="13"/>
  <c r="U39" i="13"/>
  <c r="V39" i="13" s="1"/>
  <c r="AI37" i="13"/>
  <c r="AE37" i="13"/>
  <c r="AJ28" i="13"/>
  <c r="U28" i="13"/>
  <c r="V28" i="13" s="1"/>
  <c r="U14" i="13"/>
  <c r="V14" i="13" s="1"/>
  <c r="AJ14" i="13"/>
  <c r="AJ29" i="13"/>
  <c r="U29" i="13"/>
  <c r="V29" i="13" s="1"/>
  <c r="U16" i="13"/>
  <c r="V16" i="13" s="1"/>
  <c r="AJ16" i="13"/>
  <c r="AJ24" i="13"/>
  <c r="U24" i="13"/>
  <c r="V24" i="13" s="1"/>
  <c r="U22" i="13"/>
  <c r="V22" i="13" s="1"/>
  <c r="AJ22" i="13"/>
  <c r="U43" i="13"/>
  <c r="V43" i="13" s="1"/>
  <c r="AJ43" i="13"/>
  <c r="U34" i="13"/>
  <c r="V34" i="13" s="1"/>
  <c r="AJ34" i="13"/>
  <c r="AJ25" i="13"/>
  <c r="U25" i="13"/>
  <c r="V25" i="13" s="1"/>
  <c r="U20" i="13"/>
  <c r="V20" i="13" s="1"/>
  <c r="AJ20" i="13"/>
  <c r="AI7" i="13"/>
  <c r="AE7" i="13"/>
  <c r="U32" i="13"/>
  <c r="V32" i="13" s="1"/>
  <c r="AJ32" i="13"/>
  <c r="U5" i="13"/>
  <c r="V5" i="13" s="1"/>
  <c r="AJ5" i="13"/>
  <c r="U41" i="13"/>
  <c r="V41" i="13" s="1"/>
  <c r="AJ41" i="13"/>
  <c r="U9" i="13"/>
  <c r="V9" i="13" s="1"/>
  <c r="AJ9" i="13"/>
  <c r="U11" i="13"/>
  <c r="V11" i="13" s="1"/>
  <c r="AJ11" i="13"/>
  <c r="U4" i="13"/>
  <c r="V4" i="13" s="1"/>
  <c r="AJ4" i="13"/>
  <c r="AJ15" i="13"/>
  <c r="U15" i="13"/>
  <c r="V15" i="13" s="1"/>
  <c r="U8" i="13"/>
  <c r="V8" i="13" s="1"/>
  <c r="AJ8" i="13"/>
  <c r="AJ30" i="13"/>
  <c r="U30" i="13"/>
  <c r="V30" i="13" s="1"/>
  <c r="AJ38" i="13"/>
  <c r="U38" i="13"/>
  <c r="V38" i="13" s="1"/>
  <c r="AJ6" i="13"/>
  <c r="U6" i="13"/>
  <c r="V6" i="13" s="1"/>
  <c r="AJ36" i="13"/>
  <c r="U36" i="13"/>
  <c r="V36" i="13" s="1"/>
  <c r="U10" i="13" l="1"/>
  <c r="V10" i="13" s="1"/>
  <c r="AJ10" i="13"/>
  <c r="AJ44" i="13"/>
  <c r="U44" i="13"/>
  <c r="V44" i="13" s="1"/>
  <c r="AJ23" i="13"/>
  <c r="U23" i="13"/>
  <c r="V23" i="13" s="1"/>
  <c r="AJ37" i="13"/>
  <c r="U37" i="13"/>
  <c r="V37" i="13" s="1"/>
  <c r="AJ7" i="13"/>
  <c r="U7" i="13"/>
  <c r="V7" i="13" s="1"/>
  <c r="S20" i="12" l="1"/>
  <c r="R20" i="12"/>
  <c r="Q20" i="12"/>
  <c r="P20" i="12"/>
  <c r="N20" i="12"/>
  <c r="M20" i="12"/>
  <c r="L20" i="12"/>
  <c r="K20" i="12"/>
  <c r="S19" i="12"/>
  <c r="R19" i="12"/>
  <c r="Q19" i="12"/>
  <c r="P19" i="12"/>
  <c r="N19" i="12"/>
  <c r="M19" i="12"/>
  <c r="L19" i="12"/>
  <c r="K19" i="12"/>
  <c r="S18" i="12"/>
  <c r="R18" i="12"/>
  <c r="Q18" i="12"/>
  <c r="P18" i="12"/>
  <c r="N18" i="12"/>
  <c r="M18" i="12"/>
  <c r="L18" i="12"/>
  <c r="K18" i="12"/>
  <c r="S17" i="12"/>
  <c r="R17" i="12"/>
  <c r="Q17" i="12"/>
  <c r="P17" i="12"/>
  <c r="N17" i="12"/>
  <c r="M17" i="12"/>
  <c r="L17" i="12"/>
  <c r="K17" i="12"/>
  <c r="S16" i="12"/>
  <c r="R16" i="12"/>
  <c r="Q16" i="12"/>
  <c r="P16" i="12"/>
  <c r="N16" i="12"/>
  <c r="M16" i="12"/>
  <c r="L16" i="12"/>
  <c r="K16" i="12"/>
  <c r="S15" i="12"/>
  <c r="R15" i="12"/>
  <c r="Q15" i="12"/>
  <c r="P15" i="12"/>
  <c r="N15" i="12"/>
  <c r="M15" i="12"/>
  <c r="L15" i="12"/>
  <c r="K15" i="12"/>
  <c r="S14" i="12"/>
  <c r="R14" i="12"/>
  <c r="Q14" i="12"/>
  <c r="P14" i="12"/>
  <c r="N14" i="12"/>
  <c r="M14" i="12"/>
  <c r="L14" i="12"/>
  <c r="K14" i="12"/>
  <c r="LI20" i="11"/>
  <c r="LH20" i="11"/>
  <c r="LG20" i="11"/>
  <c r="LF20" i="11"/>
  <c r="LE20" i="11"/>
  <c r="LC20" i="11"/>
  <c r="LB20" i="11"/>
  <c r="LA20" i="11"/>
  <c r="KZ20" i="11"/>
  <c r="KY20" i="11"/>
  <c r="LI19" i="11"/>
  <c r="LH19" i="11"/>
  <c r="LG19" i="11"/>
  <c r="LF19" i="11"/>
  <c r="LE19" i="11"/>
  <c r="LC19" i="11"/>
  <c r="LB19" i="11"/>
  <c r="LA19" i="11"/>
  <c r="KZ19" i="11"/>
  <c r="KY19" i="11"/>
  <c r="LI18" i="11"/>
  <c r="LH18" i="11"/>
  <c r="LG18" i="11"/>
  <c r="LF18" i="11"/>
  <c r="LE18" i="11"/>
  <c r="LC18" i="11"/>
  <c r="LB18" i="11"/>
  <c r="LA18" i="11"/>
  <c r="KZ18" i="11"/>
  <c r="KY18" i="11"/>
  <c r="LI17" i="11"/>
  <c r="LH17" i="11"/>
  <c r="LG17" i="11"/>
  <c r="LF17" i="11"/>
  <c r="LE17" i="11"/>
  <c r="LC17" i="11"/>
  <c r="LB17" i="11"/>
  <c r="LA17" i="11"/>
  <c r="KZ17" i="11"/>
  <c r="KY17" i="11"/>
  <c r="LI16" i="11"/>
  <c r="LH16" i="11"/>
  <c r="LG16" i="11"/>
  <c r="LF16" i="11"/>
  <c r="LE16" i="11"/>
  <c r="LC16" i="11"/>
  <c r="LB16" i="11"/>
  <c r="LA16" i="11"/>
  <c r="KZ16" i="11"/>
  <c r="KY16" i="11"/>
  <c r="LI15" i="11"/>
  <c r="LH15" i="11"/>
  <c r="LG15" i="11"/>
  <c r="LF15" i="11"/>
  <c r="LE15" i="11"/>
  <c r="LC15" i="11"/>
  <c r="LB15" i="11"/>
  <c r="LA15" i="11"/>
  <c r="KZ15" i="11"/>
  <c r="KY15" i="11"/>
  <c r="LI14" i="11"/>
  <c r="LH14" i="11"/>
  <c r="LG14" i="11"/>
  <c r="LF14" i="11"/>
  <c r="LE14" i="11"/>
  <c r="LC14" i="11"/>
  <c r="LB14" i="11"/>
  <c r="LA14" i="11"/>
  <c r="KZ14" i="11"/>
  <c r="KY14" i="11"/>
  <c r="LP10" i="11"/>
  <c r="LO10" i="11"/>
  <c r="LN10" i="11"/>
  <c r="LM10" i="11"/>
  <c r="LL10" i="11"/>
  <c r="LP9" i="11"/>
  <c r="LO9" i="11"/>
  <c r="LN9" i="11"/>
  <c r="LM9" i="11"/>
  <c r="LL9" i="11"/>
  <c r="LP8" i="11"/>
  <c r="LO8" i="11"/>
  <c r="LN8" i="11"/>
  <c r="LM8" i="11"/>
  <c r="LL8" i="11"/>
  <c r="LP7" i="11"/>
  <c r="LO7" i="11"/>
  <c r="LN7" i="11"/>
  <c r="LM7" i="11"/>
  <c r="LL7" i="11"/>
  <c r="LP6" i="11"/>
  <c r="LO6" i="11"/>
  <c r="LN6" i="11"/>
  <c r="LM6" i="11"/>
  <c r="LL6" i="11"/>
  <c r="LP5" i="11"/>
  <c r="LO5" i="11"/>
  <c r="LN5" i="11"/>
  <c r="LM5" i="11"/>
  <c r="LL5" i="11"/>
  <c r="LP4" i="11"/>
  <c r="LO4" i="11"/>
  <c r="LN4" i="11"/>
  <c r="LM4" i="11"/>
  <c r="LL4" i="11"/>
  <c r="LK10" i="11"/>
  <c r="LK9" i="11"/>
  <c r="LK8" i="11"/>
  <c r="LK7" i="11"/>
  <c r="LK6" i="11"/>
  <c r="LK5" i="11"/>
  <c r="LK4" i="11"/>
  <c r="KU20" i="11"/>
  <c r="KT20" i="11"/>
  <c r="KS20" i="11"/>
  <c r="KR20" i="11"/>
  <c r="KQ20" i="11"/>
  <c r="KO20" i="11"/>
  <c r="KN20" i="11"/>
  <c r="KM20" i="11"/>
  <c r="KL20" i="11"/>
  <c r="KK20" i="11"/>
  <c r="KU19" i="11"/>
  <c r="KT19" i="11"/>
  <c r="KS19" i="11"/>
  <c r="KR19" i="11"/>
  <c r="KQ19" i="11"/>
  <c r="KO19" i="11"/>
  <c r="KN19" i="11"/>
  <c r="KM19" i="11"/>
  <c r="KL19" i="11"/>
  <c r="KK19" i="11"/>
  <c r="KU18" i="11"/>
  <c r="KT18" i="11"/>
  <c r="KS18" i="11"/>
  <c r="KR18" i="11"/>
  <c r="KQ18" i="11"/>
  <c r="KO18" i="11"/>
  <c r="KN18" i="11"/>
  <c r="KM18" i="11"/>
  <c r="KL18" i="11"/>
  <c r="KK18" i="11"/>
  <c r="KU17" i="11"/>
  <c r="KT17" i="11"/>
  <c r="KS17" i="11"/>
  <c r="KR17" i="11"/>
  <c r="KQ17" i="11"/>
  <c r="KO17" i="11"/>
  <c r="KN17" i="11"/>
  <c r="KM17" i="11"/>
  <c r="KL17" i="11"/>
  <c r="KK17" i="11"/>
  <c r="KU16" i="11"/>
  <c r="KT16" i="11"/>
  <c r="KS16" i="11"/>
  <c r="KR16" i="11"/>
  <c r="KQ16" i="11"/>
  <c r="KO16" i="11"/>
  <c r="KN16" i="11"/>
  <c r="KM16" i="11"/>
  <c r="KL16" i="11"/>
  <c r="KK16" i="11"/>
  <c r="KU15" i="11"/>
  <c r="KT15" i="11"/>
  <c r="KS15" i="11"/>
  <c r="KR15" i="11"/>
  <c r="KQ15" i="11"/>
  <c r="KO15" i="11"/>
  <c r="KN15" i="11"/>
  <c r="KM15" i="11"/>
  <c r="KL15" i="11"/>
  <c r="KK15" i="11"/>
  <c r="KU14" i="11"/>
  <c r="KT14" i="11"/>
  <c r="KS14" i="11"/>
  <c r="KR14" i="11"/>
  <c r="KQ14" i="11"/>
  <c r="KO14" i="11"/>
  <c r="KN14" i="11"/>
  <c r="KM14" i="11"/>
  <c r="KL14" i="11"/>
  <c r="KK14" i="11"/>
  <c r="KG20" i="11"/>
  <c r="KF20" i="11"/>
  <c r="KE20" i="11"/>
  <c r="KD20" i="11"/>
  <c r="KC20" i="11"/>
  <c r="KA20" i="11"/>
  <c r="JZ20" i="11"/>
  <c r="JY20" i="11"/>
  <c r="JX20" i="11"/>
  <c r="JW20" i="11"/>
  <c r="KG19" i="11"/>
  <c r="KF19" i="11"/>
  <c r="KE19" i="11"/>
  <c r="KD19" i="11"/>
  <c r="KC19" i="11"/>
  <c r="KA19" i="11"/>
  <c r="JZ19" i="11"/>
  <c r="JY19" i="11"/>
  <c r="JX19" i="11"/>
  <c r="JW19" i="11"/>
  <c r="KG18" i="11"/>
  <c r="KF18" i="11"/>
  <c r="KE18" i="11"/>
  <c r="KD18" i="11"/>
  <c r="KC18" i="11"/>
  <c r="KA18" i="11"/>
  <c r="JZ18" i="11"/>
  <c r="JY18" i="11"/>
  <c r="JX18" i="11"/>
  <c r="JW18" i="11"/>
  <c r="KG17" i="11"/>
  <c r="KF17" i="11"/>
  <c r="KE17" i="11"/>
  <c r="KD17" i="11"/>
  <c r="KC17" i="11"/>
  <c r="KA17" i="11"/>
  <c r="JZ17" i="11"/>
  <c r="JY17" i="11"/>
  <c r="JX17" i="11"/>
  <c r="JW17" i="11"/>
  <c r="KG16" i="11"/>
  <c r="KF16" i="11"/>
  <c r="KE16" i="11"/>
  <c r="KD16" i="11"/>
  <c r="KC16" i="11"/>
  <c r="KA16" i="11"/>
  <c r="JZ16" i="11"/>
  <c r="JY16" i="11"/>
  <c r="JX16" i="11"/>
  <c r="JW16" i="11"/>
  <c r="KG15" i="11"/>
  <c r="KF15" i="11"/>
  <c r="KE15" i="11"/>
  <c r="KD15" i="11"/>
  <c r="KC15" i="11"/>
  <c r="KA15" i="11"/>
  <c r="JZ15" i="11"/>
  <c r="JY15" i="11"/>
  <c r="JX15" i="11"/>
  <c r="JW15" i="11"/>
  <c r="KG14" i="11"/>
  <c r="KF14" i="11"/>
  <c r="KE14" i="11"/>
  <c r="KD14" i="11"/>
  <c r="KC14" i="11"/>
  <c r="KA14" i="11"/>
  <c r="JZ14" i="11"/>
  <c r="JY14" i="11"/>
  <c r="JX14" i="11"/>
  <c r="JW14" i="11"/>
  <c r="JS20" i="11"/>
  <c r="JR20" i="11"/>
  <c r="JQ20" i="11"/>
  <c r="JP20" i="11"/>
  <c r="JO20" i="11"/>
  <c r="JM20" i="11"/>
  <c r="JL20" i="11"/>
  <c r="JK20" i="11"/>
  <c r="JJ20" i="11"/>
  <c r="JI20" i="11"/>
  <c r="JS19" i="11"/>
  <c r="JR19" i="11"/>
  <c r="JQ19" i="11"/>
  <c r="JP19" i="11"/>
  <c r="JO19" i="11"/>
  <c r="JM19" i="11"/>
  <c r="JL19" i="11"/>
  <c r="JK19" i="11"/>
  <c r="JJ19" i="11"/>
  <c r="JI19" i="11"/>
  <c r="JS18" i="11"/>
  <c r="JR18" i="11"/>
  <c r="JQ18" i="11"/>
  <c r="JP18" i="11"/>
  <c r="JO18" i="11"/>
  <c r="JM18" i="11"/>
  <c r="JL18" i="11"/>
  <c r="JK18" i="11"/>
  <c r="JJ18" i="11"/>
  <c r="JI18" i="11"/>
  <c r="JS17" i="11"/>
  <c r="JR17" i="11"/>
  <c r="JQ17" i="11"/>
  <c r="JP17" i="11"/>
  <c r="JO17" i="11"/>
  <c r="JM17" i="11"/>
  <c r="JL17" i="11"/>
  <c r="JK17" i="11"/>
  <c r="JJ17" i="11"/>
  <c r="JI17" i="11"/>
  <c r="JS16" i="11"/>
  <c r="JR16" i="11"/>
  <c r="JQ16" i="11"/>
  <c r="JP16" i="11"/>
  <c r="JO16" i="11"/>
  <c r="JM16" i="11"/>
  <c r="JL16" i="11"/>
  <c r="JK16" i="11"/>
  <c r="JJ16" i="11"/>
  <c r="JI16" i="11"/>
  <c r="JS15" i="11"/>
  <c r="JR15" i="11"/>
  <c r="JQ15" i="11"/>
  <c r="JP15" i="11"/>
  <c r="JO15" i="11"/>
  <c r="JM15" i="11"/>
  <c r="JL15" i="11"/>
  <c r="JK15" i="11"/>
  <c r="JJ15" i="11"/>
  <c r="JI15" i="11"/>
  <c r="JS14" i="11"/>
  <c r="JR14" i="11"/>
  <c r="JQ14" i="11"/>
  <c r="JP14" i="11"/>
  <c r="JO14" i="11"/>
  <c r="JM14" i="11"/>
  <c r="JL14" i="11"/>
  <c r="JK14" i="11"/>
  <c r="JJ14" i="11"/>
  <c r="JI14" i="11"/>
  <c r="JE20" i="11"/>
  <c r="JD20" i="11"/>
  <c r="JC20" i="11"/>
  <c r="JB20" i="11"/>
  <c r="JA20" i="11"/>
  <c r="IY20" i="11"/>
  <c r="IX20" i="11"/>
  <c r="IW20" i="11"/>
  <c r="IV20" i="11"/>
  <c r="IU20" i="11"/>
  <c r="JE19" i="11"/>
  <c r="JD19" i="11"/>
  <c r="JC19" i="11"/>
  <c r="JB19" i="11"/>
  <c r="JA19" i="11"/>
  <c r="IY19" i="11"/>
  <c r="IX19" i="11"/>
  <c r="IW19" i="11"/>
  <c r="IV19" i="11"/>
  <c r="IU19" i="11"/>
  <c r="JE18" i="11"/>
  <c r="JD18" i="11"/>
  <c r="JC18" i="11"/>
  <c r="JB18" i="11"/>
  <c r="JA18" i="11"/>
  <c r="IY18" i="11"/>
  <c r="IX18" i="11"/>
  <c r="IW18" i="11"/>
  <c r="IV18" i="11"/>
  <c r="IU18" i="11"/>
  <c r="JE17" i="11"/>
  <c r="JD17" i="11"/>
  <c r="JC17" i="11"/>
  <c r="JB17" i="11"/>
  <c r="JA17" i="11"/>
  <c r="IY17" i="11"/>
  <c r="IX17" i="11"/>
  <c r="IW17" i="11"/>
  <c r="IV17" i="11"/>
  <c r="IU17" i="11"/>
  <c r="JE16" i="11"/>
  <c r="JD16" i="11"/>
  <c r="JC16" i="11"/>
  <c r="JB16" i="11"/>
  <c r="JA16" i="11"/>
  <c r="IY16" i="11"/>
  <c r="IX16" i="11"/>
  <c r="IW16" i="11"/>
  <c r="IV16" i="11"/>
  <c r="IU16" i="11"/>
  <c r="JE15" i="11"/>
  <c r="JD15" i="11"/>
  <c r="JC15" i="11"/>
  <c r="JB15" i="11"/>
  <c r="JA15" i="11"/>
  <c r="IY15" i="11"/>
  <c r="IX15" i="11"/>
  <c r="IW15" i="11"/>
  <c r="IV15" i="11"/>
  <c r="IU15" i="11"/>
  <c r="JE14" i="11"/>
  <c r="JD14" i="11"/>
  <c r="JC14" i="11"/>
  <c r="JB14" i="11"/>
  <c r="JA14" i="11"/>
  <c r="IY14" i="11"/>
  <c r="IX14" i="11"/>
  <c r="IW14" i="11"/>
  <c r="IV14" i="11"/>
  <c r="IU14" i="11"/>
  <c r="IQ20" i="11"/>
  <c r="IP20" i="11"/>
  <c r="IO20" i="11"/>
  <c r="IN20" i="11"/>
  <c r="IM20" i="11"/>
  <c r="IK20" i="11"/>
  <c r="IJ20" i="11"/>
  <c r="II20" i="11"/>
  <c r="IH20" i="11"/>
  <c r="IG20" i="11"/>
  <c r="IQ19" i="11"/>
  <c r="IP19" i="11"/>
  <c r="IO19" i="11"/>
  <c r="IN19" i="11"/>
  <c r="IM19" i="11"/>
  <c r="IK19" i="11"/>
  <c r="IJ19" i="11"/>
  <c r="II19" i="11"/>
  <c r="IH19" i="11"/>
  <c r="IG19" i="11"/>
  <c r="IQ18" i="11"/>
  <c r="IP18" i="11"/>
  <c r="IO18" i="11"/>
  <c r="IN18" i="11"/>
  <c r="IM18" i="11"/>
  <c r="IK18" i="11"/>
  <c r="IJ18" i="11"/>
  <c r="II18" i="11"/>
  <c r="IH18" i="11"/>
  <c r="IG18" i="11"/>
  <c r="IQ17" i="11"/>
  <c r="IP17" i="11"/>
  <c r="IO17" i="11"/>
  <c r="IN17" i="11"/>
  <c r="IM17" i="11"/>
  <c r="IK17" i="11"/>
  <c r="IJ17" i="11"/>
  <c r="II17" i="11"/>
  <c r="IH17" i="11"/>
  <c r="IG17" i="11"/>
  <c r="IQ16" i="11"/>
  <c r="IP16" i="11"/>
  <c r="IO16" i="11"/>
  <c r="IN16" i="11"/>
  <c r="IM16" i="11"/>
  <c r="IK16" i="11"/>
  <c r="IJ16" i="11"/>
  <c r="II16" i="11"/>
  <c r="IH16" i="11"/>
  <c r="IG16" i="11"/>
  <c r="IQ15" i="11"/>
  <c r="IP15" i="11"/>
  <c r="IO15" i="11"/>
  <c r="IN15" i="11"/>
  <c r="IM15" i="11"/>
  <c r="IK15" i="11"/>
  <c r="IJ15" i="11"/>
  <c r="II15" i="11"/>
  <c r="IH15" i="11"/>
  <c r="IG15" i="11"/>
  <c r="IQ14" i="11"/>
  <c r="IP14" i="11"/>
  <c r="IO14" i="11"/>
  <c r="IN14" i="11"/>
  <c r="IM14" i="11"/>
  <c r="IK14" i="11"/>
  <c r="IJ14" i="11"/>
  <c r="II14" i="11"/>
  <c r="IH14" i="11"/>
  <c r="IG14" i="11"/>
  <c r="IC20" i="11"/>
  <c r="IB20" i="11"/>
  <c r="IA20" i="11"/>
  <c r="HZ20" i="11"/>
  <c r="HY20" i="11"/>
  <c r="HW20" i="11"/>
  <c r="HV20" i="11"/>
  <c r="HU20" i="11"/>
  <c r="HT20" i="11"/>
  <c r="HS20" i="11"/>
  <c r="IC19" i="11"/>
  <c r="IB19" i="11"/>
  <c r="IA19" i="11"/>
  <c r="HZ19" i="11"/>
  <c r="HY19" i="11"/>
  <c r="HW19" i="11"/>
  <c r="HV19" i="11"/>
  <c r="HU19" i="11"/>
  <c r="HT19" i="11"/>
  <c r="HS19" i="11"/>
  <c r="IC18" i="11"/>
  <c r="IB18" i="11"/>
  <c r="IA18" i="11"/>
  <c r="HZ18" i="11"/>
  <c r="HY18" i="11"/>
  <c r="HW18" i="11"/>
  <c r="HV18" i="11"/>
  <c r="HU18" i="11"/>
  <c r="HT18" i="11"/>
  <c r="HS18" i="11"/>
  <c r="IC17" i="11"/>
  <c r="IB17" i="11"/>
  <c r="IA17" i="11"/>
  <c r="HZ17" i="11"/>
  <c r="HY17" i="11"/>
  <c r="HW17" i="11"/>
  <c r="HV17" i="11"/>
  <c r="HU17" i="11"/>
  <c r="HT17" i="11"/>
  <c r="HS17" i="11"/>
  <c r="IC16" i="11"/>
  <c r="IB16" i="11"/>
  <c r="IA16" i="11"/>
  <c r="HZ16" i="11"/>
  <c r="HY16" i="11"/>
  <c r="HW16" i="11"/>
  <c r="HV16" i="11"/>
  <c r="HU16" i="11"/>
  <c r="HT16" i="11"/>
  <c r="HS16" i="11"/>
  <c r="IC15" i="11"/>
  <c r="IB15" i="11"/>
  <c r="IA15" i="11"/>
  <c r="HZ15" i="11"/>
  <c r="HY15" i="11"/>
  <c r="HW15" i="11"/>
  <c r="HV15" i="11"/>
  <c r="HU15" i="11"/>
  <c r="HT15" i="11"/>
  <c r="HS15" i="11"/>
  <c r="IC14" i="11"/>
  <c r="IB14" i="11"/>
  <c r="IA14" i="11"/>
  <c r="HZ14" i="11"/>
  <c r="HY14" i="11"/>
  <c r="HW14" i="11"/>
  <c r="HV14" i="11"/>
  <c r="HU14" i="11"/>
  <c r="HT14" i="11"/>
  <c r="HS14" i="11"/>
  <c r="HO20" i="11"/>
  <c r="HN20" i="11"/>
  <c r="HM20" i="11"/>
  <c r="HL20" i="11"/>
  <c r="HK20" i="11"/>
  <c r="HI20" i="11"/>
  <c r="HH20" i="11"/>
  <c r="HG20" i="11"/>
  <c r="HF20" i="11"/>
  <c r="HE20" i="11"/>
  <c r="HO19" i="11"/>
  <c r="HN19" i="11"/>
  <c r="HM19" i="11"/>
  <c r="HL19" i="11"/>
  <c r="HK19" i="11"/>
  <c r="HI19" i="11"/>
  <c r="HH19" i="11"/>
  <c r="HG19" i="11"/>
  <c r="HF19" i="11"/>
  <c r="HE19" i="11"/>
  <c r="HO18" i="11"/>
  <c r="HN18" i="11"/>
  <c r="HM18" i="11"/>
  <c r="HL18" i="11"/>
  <c r="HK18" i="11"/>
  <c r="HI18" i="11"/>
  <c r="HH18" i="11"/>
  <c r="HG18" i="11"/>
  <c r="HF18" i="11"/>
  <c r="HE18" i="11"/>
  <c r="HO17" i="11"/>
  <c r="HN17" i="11"/>
  <c r="HM17" i="11"/>
  <c r="HL17" i="11"/>
  <c r="HK17" i="11"/>
  <c r="HI17" i="11"/>
  <c r="HH17" i="11"/>
  <c r="HG17" i="11"/>
  <c r="HF17" i="11"/>
  <c r="HE17" i="11"/>
  <c r="HO16" i="11"/>
  <c r="HN16" i="11"/>
  <c r="HM16" i="11"/>
  <c r="HL16" i="11"/>
  <c r="HK16" i="11"/>
  <c r="HI16" i="11"/>
  <c r="HH16" i="11"/>
  <c r="HG16" i="11"/>
  <c r="HF16" i="11"/>
  <c r="HE16" i="11"/>
  <c r="HO15" i="11"/>
  <c r="HN15" i="11"/>
  <c r="HM15" i="11"/>
  <c r="HL15" i="11"/>
  <c r="HK15" i="11"/>
  <c r="HI15" i="11"/>
  <c r="HH15" i="11"/>
  <c r="HG15" i="11"/>
  <c r="HF15" i="11"/>
  <c r="HE15" i="11"/>
  <c r="HO14" i="11"/>
  <c r="HN14" i="11"/>
  <c r="HM14" i="11"/>
  <c r="HL14" i="11"/>
  <c r="HK14" i="11"/>
  <c r="HI14" i="11"/>
  <c r="HH14" i="11"/>
  <c r="HG14" i="11"/>
  <c r="HF14" i="11"/>
  <c r="HE14" i="11"/>
  <c r="HA20" i="11" l="1"/>
  <c r="GZ20" i="11"/>
  <c r="GY20" i="11"/>
  <c r="GX20" i="11"/>
  <c r="GW20" i="11"/>
  <c r="GU20" i="11"/>
  <c r="GT20" i="11"/>
  <c r="GS20" i="11"/>
  <c r="GR20" i="11"/>
  <c r="GQ20" i="11"/>
  <c r="HA19" i="11"/>
  <c r="GZ19" i="11"/>
  <c r="GY19" i="11"/>
  <c r="GX19" i="11"/>
  <c r="GW19" i="11"/>
  <c r="GU19" i="11"/>
  <c r="GT19" i="11"/>
  <c r="GS19" i="11"/>
  <c r="GR19" i="11"/>
  <c r="GQ19" i="11"/>
  <c r="HA18" i="11"/>
  <c r="GZ18" i="11"/>
  <c r="GY18" i="11"/>
  <c r="GX18" i="11"/>
  <c r="GW18" i="11"/>
  <c r="GU18" i="11"/>
  <c r="GT18" i="11"/>
  <c r="GS18" i="11"/>
  <c r="GR18" i="11"/>
  <c r="GQ18" i="11"/>
  <c r="HA17" i="11"/>
  <c r="GZ17" i="11"/>
  <c r="GY17" i="11"/>
  <c r="GX17" i="11"/>
  <c r="GW17" i="11"/>
  <c r="GU17" i="11"/>
  <c r="GT17" i="11"/>
  <c r="GS17" i="11"/>
  <c r="GR17" i="11"/>
  <c r="GQ17" i="11"/>
  <c r="HA16" i="11"/>
  <c r="GZ16" i="11"/>
  <c r="GY16" i="11"/>
  <c r="GX16" i="11"/>
  <c r="GW16" i="11"/>
  <c r="GU16" i="11"/>
  <c r="GT16" i="11"/>
  <c r="GS16" i="11"/>
  <c r="GR16" i="11"/>
  <c r="GQ16" i="11"/>
  <c r="HA15" i="11"/>
  <c r="GZ15" i="11"/>
  <c r="GY15" i="11"/>
  <c r="GX15" i="11"/>
  <c r="GW15" i="11"/>
  <c r="GU15" i="11"/>
  <c r="GT15" i="11"/>
  <c r="GS15" i="11"/>
  <c r="GR15" i="11"/>
  <c r="GQ15" i="11"/>
  <c r="HA14" i="11"/>
  <c r="GZ14" i="11"/>
  <c r="GY14" i="11"/>
  <c r="GX14" i="11"/>
  <c r="GW14" i="11"/>
  <c r="GU14" i="11"/>
  <c r="GT14" i="11"/>
  <c r="GS14" i="11"/>
  <c r="GR14" i="11"/>
  <c r="GQ14" i="11"/>
  <c r="GM20" i="11"/>
  <c r="GL20" i="11"/>
  <c r="GK20" i="11"/>
  <c r="GJ20" i="11"/>
  <c r="GI20" i="11"/>
  <c r="GG20" i="11"/>
  <c r="GF20" i="11"/>
  <c r="GE20" i="11"/>
  <c r="GD20" i="11"/>
  <c r="GC20" i="11"/>
  <c r="GM19" i="11"/>
  <c r="GL19" i="11"/>
  <c r="GK19" i="11"/>
  <c r="GJ19" i="11"/>
  <c r="GI19" i="11"/>
  <c r="GG19" i="11"/>
  <c r="GF19" i="11"/>
  <c r="GE19" i="11"/>
  <c r="GD19" i="11"/>
  <c r="GC19" i="11"/>
  <c r="GM18" i="11"/>
  <c r="GL18" i="11"/>
  <c r="GK18" i="11"/>
  <c r="GJ18" i="11"/>
  <c r="GI18" i="11"/>
  <c r="GG18" i="11"/>
  <c r="GF18" i="11"/>
  <c r="GE18" i="11"/>
  <c r="GD18" i="11"/>
  <c r="GC18" i="11"/>
  <c r="GM17" i="11"/>
  <c r="GL17" i="11"/>
  <c r="GK17" i="11"/>
  <c r="GJ17" i="11"/>
  <c r="GI17" i="11"/>
  <c r="GG17" i="11"/>
  <c r="GF17" i="11"/>
  <c r="GE17" i="11"/>
  <c r="GD17" i="11"/>
  <c r="GC17" i="11"/>
  <c r="GM16" i="11"/>
  <c r="GL16" i="11"/>
  <c r="GK16" i="11"/>
  <c r="GJ16" i="11"/>
  <c r="GI16" i="11"/>
  <c r="GG16" i="11"/>
  <c r="GF16" i="11"/>
  <c r="GE16" i="11"/>
  <c r="GD16" i="11"/>
  <c r="GC16" i="11"/>
  <c r="GM15" i="11"/>
  <c r="GL15" i="11"/>
  <c r="GK15" i="11"/>
  <c r="GJ15" i="11"/>
  <c r="GI15" i="11"/>
  <c r="GG15" i="11"/>
  <c r="GF15" i="11"/>
  <c r="GE15" i="11"/>
  <c r="GD15" i="11"/>
  <c r="GC15" i="11"/>
  <c r="GM14" i="11"/>
  <c r="GL14" i="11"/>
  <c r="GK14" i="11"/>
  <c r="GJ14" i="11"/>
  <c r="GI14" i="11"/>
  <c r="GG14" i="11"/>
  <c r="GF14" i="11"/>
  <c r="GE14" i="11"/>
  <c r="GD14" i="11"/>
  <c r="GC14" i="11"/>
  <c r="FY20" i="11"/>
  <c r="FX20" i="11"/>
  <c r="FW20" i="11"/>
  <c r="FV20" i="11"/>
  <c r="FU20" i="11"/>
  <c r="FS20" i="11"/>
  <c r="FR20" i="11"/>
  <c r="FQ20" i="11"/>
  <c r="FP20" i="11"/>
  <c r="FO20" i="11"/>
  <c r="FY19" i="11"/>
  <c r="FX19" i="11"/>
  <c r="FW19" i="11"/>
  <c r="FV19" i="11"/>
  <c r="FU19" i="11"/>
  <c r="FS19" i="11"/>
  <c r="FR19" i="11"/>
  <c r="FQ19" i="11"/>
  <c r="FP19" i="11"/>
  <c r="FO19" i="11"/>
  <c r="FY18" i="11"/>
  <c r="FX18" i="11"/>
  <c r="FW18" i="11"/>
  <c r="FV18" i="11"/>
  <c r="FU18" i="11"/>
  <c r="FS18" i="11"/>
  <c r="FR18" i="11"/>
  <c r="FQ18" i="11"/>
  <c r="FP18" i="11"/>
  <c r="FO18" i="11"/>
  <c r="FY17" i="11"/>
  <c r="FX17" i="11"/>
  <c r="FW17" i="11"/>
  <c r="FV17" i="11"/>
  <c r="FU17" i="11"/>
  <c r="FS17" i="11"/>
  <c r="FR17" i="11"/>
  <c r="FQ17" i="11"/>
  <c r="FP17" i="11"/>
  <c r="FO17" i="11"/>
  <c r="FY16" i="11"/>
  <c r="FX16" i="11"/>
  <c r="FW16" i="11"/>
  <c r="FV16" i="11"/>
  <c r="FU16" i="11"/>
  <c r="FS16" i="11"/>
  <c r="FR16" i="11"/>
  <c r="FQ16" i="11"/>
  <c r="FP16" i="11"/>
  <c r="FO16" i="11"/>
  <c r="FY15" i="11"/>
  <c r="FX15" i="11"/>
  <c r="FW15" i="11"/>
  <c r="FV15" i="11"/>
  <c r="FU15" i="11"/>
  <c r="FS15" i="11"/>
  <c r="FR15" i="11"/>
  <c r="FQ15" i="11"/>
  <c r="FP15" i="11"/>
  <c r="FO15" i="11"/>
  <c r="FY14" i="11"/>
  <c r="FX14" i="11"/>
  <c r="FW14" i="11"/>
  <c r="FV14" i="11"/>
  <c r="FU14" i="11"/>
  <c r="FS14" i="11"/>
  <c r="FR14" i="11"/>
  <c r="FQ14" i="11"/>
  <c r="FP14" i="11"/>
  <c r="FO14" i="11"/>
  <c r="FK20" i="11"/>
  <c r="FJ20" i="11"/>
  <c r="FI20" i="11"/>
  <c r="FH20" i="11"/>
  <c r="FG20" i="11"/>
  <c r="FE20" i="11"/>
  <c r="FD20" i="11"/>
  <c r="FC20" i="11"/>
  <c r="FB20" i="11"/>
  <c r="FA20" i="11"/>
  <c r="FK19" i="11"/>
  <c r="FJ19" i="11"/>
  <c r="FI19" i="11"/>
  <c r="FH19" i="11"/>
  <c r="FG19" i="11"/>
  <c r="FE19" i="11"/>
  <c r="FD19" i="11"/>
  <c r="FC19" i="11"/>
  <c r="FB19" i="11"/>
  <c r="FA19" i="11"/>
  <c r="FK18" i="11"/>
  <c r="FJ18" i="11"/>
  <c r="FI18" i="11"/>
  <c r="FH18" i="11"/>
  <c r="FG18" i="11"/>
  <c r="FE18" i="11"/>
  <c r="FD18" i="11"/>
  <c r="FC18" i="11"/>
  <c r="FB18" i="11"/>
  <c r="FA18" i="11"/>
  <c r="FK17" i="11"/>
  <c r="FJ17" i="11"/>
  <c r="FI17" i="11"/>
  <c r="FH17" i="11"/>
  <c r="FG17" i="11"/>
  <c r="FE17" i="11"/>
  <c r="FD17" i="11"/>
  <c r="FC17" i="11"/>
  <c r="FB17" i="11"/>
  <c r="FA17" i="11"/>
  <c r="FK16" i="11"/>
  <c r="FJ16" i="11"/>
  <c r="FI16" i="11"/>
  <c r="FH16" i="11"/>
  <c r="FG16" i="11"/>
  <c r="FE16" i="11"/>
  <c r="FD16" i="11"/>
  <c r="FC16" i="11"/>
  <c r="FB16" i="11"/>
  <c r="FA16" i="11"/>
  <c r="FK15" i="11"/>
  <c r="FJ15" i="11"/>
  <c r="FI15" i="11"/>
  <c r="FH15" i="11"/>
  <c r="FG15" i="11"/>
  <c r="FE15" i="11"/>
  <c r="FD15" i="11"/>
  <c r="FC15" i="11"/>
  <c r="FB15" i="11"/>
  <c r="FA15" i="11"/>
  <c r="FK14" i="11"/>
  <c r="FJ14" i="11"/>
  <c r="FI14" i="11"/>
  <c r="FH14" i="11"/>
  <c r="FG14" i="11"/>
  <c r="FE14" i="11"/>
  <c r="FD14" i="11"/>
  <c r="FC14" i="11"/>
  <c r="FB14" i="11"/>
  <c r="FA14" i="11"/>
  <c r="EW20" i="11"/>
  <c r="EV20" i="11"/>
  <c r="EU20" i="11"/>
  <c r="ET20" i="11"/>
  <c r="ES20" i="11"/>
  <c r="EQ20" i="11"/>
  <c r="EP20" i="11"/>
  <c r="EO20" i="11"/>
  <c r="EN20" i="11"/>
  <c r="EM20" i="11"/>
  <c r="EW19" i="11"/>
  <c r="EV19" i="11"/>
  <c r="EU19" i="11"/>
  <c r="ET19" i="11"/>
  <c r="ES19" i="11"/>
  <c r="EQ19" i="11"/>
  <c r="EP19" i="11"/>
  <c r="EO19" i="11"/>
  <c r="EN19" i="11"/>
  <c r="EM19" i="11"/>
  <c r="EW18" i="11"/>
  <c r="EV18" i="11"/>
  <c r="EU18" i="11"/>
  <c r="ET18" i="11"/>
  <c r="ES18" i="11"/>
  <c r="EQ18" i="11"/>
  <c r="EP18" i="11"/>
  <c r="EO18" i="11"/>
  <c r="EN18" i="11"/>
  <c r="EM18" i="11"/>
  <c r="EW17" i="11"/>
  <c r="EV17" i="11"/>
  <c r="EU17" i="11"/>
  <c r="ET17" i="11"/>
  <c r="ES17" i="11"/>
  <c r="EQ17" i="11"/>
  <c r="EP17" i="11"/>
  <c r="EO17" i="11"/>
  <c r="EN17" i="11"/>
  <c r="EM17" i="11"/>
  <c r="EW16" i="11"/>
  <c r="EV16" i="11"/>
  <c r="EU16" i="11"/>
  <c r="ET16" i="11"/>
  <c r="ES16" i="11"/>
  <c r="EQ16" i="11"/>
  <c r="EP16" i="11"/>
  <c r="EO16" i="11"/>
  <c r="EN16" i="11"/>
  <c r="EM16" i="11"/>
  <c r="EW15" i="11"/>
  <c r="EV15" i="11"/>
  <c r="EU15" i="11"/>
  <c r="ET15" i="11"/>
  <c r="ES15" i="11"/>
  <c r="EQ15" i="11"/>
  <c r="EP15" i="11"/>
  <c r="EO15" i="11"/>
  <c r="EN15" i="11"/>
  <c r="EM15" i="11"/>
  <c r="EW14" i="11"/>
  <c r="EV14" i="11"/>
  <c r="EU14" i="11"/>
  <c r="ET14" i="11"/>
  <c r="ES14" i="11"/>
  <c r="EQ14" i="11"/>
  <c r="EP14" i="11"/>
  <c r="EO14" i="11"/>
  <c r="EN14" i="11"/>
  <c r="EM14" i="11"/>
  <c r="EI20" i="11" l="1"/>
  <c r="EH20" i="11"/>
  <c r="EG20" i="11"/>
  <c r="EF20" i="11"/>
  <c r="EE20" i="11"/>
  <c r="EC20" i="11"/>
  <c r="EB20" i="11"/>
  <c r="EA20" i="11"/>
  <c r="DZ20" i="11"/>
  <c r="DY20" i="11"/>
  <c r="EI19" i="11"/>
  <c r="EH19" i="11"/>
  <c r="EG19" i="11"/>
  <c r="EF19" i="11"/>
  <c r="EE19" i="11"/>
  <c r="EC19" i="11"/>
  <c r="EB19" i="11"/>
  <c r="EA19" i="11"/>
  <c r="DZ19" i="11"/>
  <c r="DY19" i="11"/>
  <c r="EI18" i="11"/>
  <c r="EH18" i="11"/>
  <c r="EG18" i="11"/>
  <c r="EF18" i="11"/>
  <c r="EE18" i="11"/>
  <c r="EC18" i="11"/>
  <c r="EB18" i="11"/>
  <c r="EA18" i="11"/>
  <c r="DZ18" i="11"/>
  <c r="DY18" i="11"/>
  <c r="EI17" i="11"/>
  <c r="EH17" i="11"/>
  <c r="EG17" i="11"/>
  <c r="EF17" i="11"/>
  <c r="EE17" i="11"/>
  <c r="EC17" i="11"/>
  <c r="EB17" i="11"/>
  <c r="EA17" i="11"/>
  <c r="DZ17" i="11"/>
  <c r="DY17" i="11"/>
  <c r="EI16" i="11"/>
  <c r="EH16" i="11"/>
  <c r="EG16" i="11"/>
  <c r="EF16" i="11"/>
  <c r="EE16" i="11"/>
  <c r="EC16" i="11"/>
  <c r="EB16" i="11"/>
  <c r="EA16" i="11"/>
  <c r="DZ16" i="11"/>
  <c r="DY16" i="11"/>
  <c r="EI15" i="11"/>
  <c r="EH15" i="11"/>
  <c r="EG15" i="11"/>
  <c r="EF15" i="11"/>
  <c r="EE15" i="11"/>
  <c r="EC15" i="11"/>
  <c r="EB15" i="11"/>
  <c r="EA15" i="11"/>
  <c r="DZ15" i="11"/>
  <c r="DY15" i="11"/>
  <c r="EI14" i="11"/>
  <c r="EH14" i="11"/>
  <c r="EG14" i="11"/>
  <c r="EF14" i="11"/>
  <c r="EE14" i="11"/>
  <c r="EC14" i="11"/>
  <c r="EB14" i="11"/>
  <c r="EA14" i="11"/>
  <c r="DZ14" i="11"/>
  <c r="DY14" i="11"/>
  <c r="DU20" i="11"/>
  <c r="DT20" i="11"/>
  <c r="DS20" i="11"/>
  <c r="DR20" i="11"/>
  <c r="DQ20" i="11"/>
  <c r="DO20" i="11"/>
  <c r="DN20" i="11"/>
  <c r="DM20" i="11"/>
  <c r="DL20" i="11"/>
  <c r="DK20" i="11"/>
  <c r="DU19" i="11"/>
  <c r="DT19" i="11"/>
  <c r="DS19" i="11"/>
  <c r="DR19" i="11"/>
  <c r="DQ19" i="11"/>
  <c r="DO19" i="11"/>
  <c r="DN19" i="11"/>
  <c r="DM19" i="11"/>
  <c r="DL19" i="11"/>
  <c r="DK19" i="11"/>
  <c r="DU18" i="11"/>
  <c r="DT18" i="11"/>
  <c r="DS18" i="11"/>
  <c r="DR18" i="11"/>
  <c r="DQ18" i="11"/>
  <c r="DO18" i="11"/>
  <c r="DN18" i="11"/>
  <c r="DM18" i="11"/>
  <c r="DL18" i="11"/>
  <c r="DK18" i="11"/>
  <c r="DU17" i="11"/>
  <c r="DT17" i="11"/>
  <c r="DS17" i="11"/>
  <c r="DR17" i="11"/>
  <c r="DQ17" i="11"/>
  <c r="DO17" i="11"/>
  <c r="DN17" i="11"/>
  <c r="DM17" i="11"/>
  <c r="DL17" i="11"/>
  <c r="DK17" i="11"/>
  <c r="DU16" i="11"/>
  <c r="DT16" i="11"/>
  <c r="DS16" i="11"/>
  <c r="DR16" i="11"/>
  <c r="DQ16" i="11"/>
  <c r="DO16" i="11"/>
  <c r="DN16" i="11"/>
  <c r="DM16" i="11"/>
  <c r="DL16" i="11"/>
  <c r="DK16" i="11"/>
  <c r="DU15" i="11"/>
  <c r="DT15" i="11"/>
  <c r="DS15" i="11"/>
  <c r="DR15" i="11"/>
  <c r="DQ15" i="11"/>
  <c r="DO15" i="11"/>
  <c r="DN15" i="11"/>
  <c r="DM15" i="11"/>
  <c r="DL15" i="11"/>
  <c r="DK15" i="11"/>
  <c r="DU14" i="11"/>
  <c r="DT14" i="11"/>
  <c r="DS14" i="11"/>
  <c r="DR14" i="11"/>
  <c r="DQ14" i="11"/>
  <c r="DO14" i="11"/>
  <c r="DN14" i="11"/>
  <c r="DM14" i="11"/>
  <c r="DL14" i="11"/>
  <c r="DK14" i="11"/>
  <c r="DG20" i="11"/>
  <c r="DF20" i="11"/>
  <c r="DE20" i="11"/>
  <c r="DD20" i="11"/>
  <c r="DC20" i="11"/>
  <c r="DA20" i="11"/>
  <c r="CZ20" i="11"/>
  <c r="CY20" i="11"/>
  <c r="CX20" i="11"/>
  <c r="CW20" i="11"/>
  <c r="DG19" i="11"/>
  <c r="DF19" i="11"/>
  <c r="DE19" i="11"/>
  <c r="DD19" i="11"/>
  <c r="DC19" i="11"/>
  <c r="DA19" i="11"/>
  <c r="CZ19" i="11"/>
  <c r="CY19" i="11"/>
  <c r="CX19" i="11"/>
  <c r="CW19" i="11"/>
  <c r="DG18" i="11"/>
  <c r="DF18" i="11"/>
  <c r="DE18" i="11"/>
  <c r="DD18" i="11"/>
  <c r="DC18" i="11"/>
  <c r="DA18" i="11"/>
  <c r="CZ18" i="11"/>
  <c r="CY18" i="11"/>
  <c r="CX18" i="11"/>
  <c r="CW18" i="11"/>
  <c r="DG17" i="11"/>
  <c r="DF17" i="11"/>
  <c r="DE17" i="11"/>
  <c r="DD17" i="11"/>
  <c r="DC17" i="11"/>
  <c r="DA17" i="11"/>
  <c r="CZ17" i="11"/>
  <c r="CY17" i="11"/>
  <c r="CX17" i="11"/>
  <c r="CW17" i="11"/>
  <c r="DG16" i="11"/>
  <c r="DF16" i="11"/>
  <c r="DE16" i="11"/>
  <c r="DD16" i="11"/>
  <c r="DC16" i="11"/>
  <c r="DA16" i="11"/>
  <c r="CZ16" i="11"/>
  <c r="CY16" i="11"/>
  <c r="CX16" i="11"/>
  <c r="CW16" i="11"/>
  <c r="DG15" i="11"/>
  <c r="DF15" i="11"/>
  <c r="DE15" i="11"/>
  <c r="DD15" i="11"/>
  <c r="DC15" i="11"/>
  <c r="DA15" i="11"/>
  <c r="CZ15" i="11"/>
  <c r="CY15" i="11"/>
  <c r="CX15" i="11"/>
  <c r="CW15" i="11"/>
  <c r="DG14" i="11"/>
  <c r="DF14" i="11"/>
  <c r="DE14" i="11"/>
  <c r="DD14" i="11"/>
  <c r="DC14" i="11"/>
  <c r="DA14" i="11"/>
  <c r="CZ14" i="11"/>
  <c r="CY14" i="11"/>
  <c r="CX14" i="11"/>
  <c r="CW14" i="11"/>
  <c r="CN10" i="11"/>
  <c r="CN9" i="11"/>
  <c r="CN8" i="11"/>
  <c r="CN7" i="11"/>
  <c r="CN6" i="11"/>
  <c r="CN5" i="11"/>
  <c r="CN4" i="11"/>
  <c r="CM20" i="11"/>
  <c r="CL20" i="11"/>
  <c r="CK20" i="11"/>
  <c r="CJ20" i="11"/>
  <c r="CI20" i="11"/>
  <c r="CM19" i="11"/>
  <c r="CL19" i="11"/>
  <c r="CK19" i="11"/>
  <c r="CJ19" i="11"/>
  <c r="CI19" i="11"/>
  <c r="CM18" i="11"/>
  <c r="CL18" i="11"/>
  <c r="CK18" i="11"/>
  <c r="CJ18" i="11"/>
  <c r="CI18" i="11"/>
  <c r="CM17" i="11"/>
  <c r="CL17" i="11"/>
  <c r="CK17" i="11"/>
  <c r="CJ17" i="11"/>
  <c r="CI17" i="11"/>
  <c r="CM16" i="11"/>
  <c r="CL16" i="11"/>
  <c r="CK16" i="11"/>
  <c r="CJ16" i="11"/>
  <c r="CI16" i="11"/>
  <c r="CM15" i="11"/>
  <c r="CL15" i="11"/>
  <c r="CK15" i="11"/>
  <c r="CJ15" i="11"/>
  <c r="CI15" i="11"/>
  <c r="CM14" i="11"/>
  <c r="CL14" i="11"/>
  <c r="CK14" i="11"/>
  <c r="CJ14" i="11"/>
  <c r="CI14" i="11"/>
  <c r="CR14" i="11"/>
  <c r="CQ14" i="11"/>
  <c r="CP14" i="11"/>
  <c r="CO14" i="11"/>
  <c r="CS20" i="11"/>
  <c r="CR20" i="11"/>
  <c r="CQ20" i="11"/>
  <c r="CP20" i="11"/>
  <c r="CS19" i="11"/>
  <c r="CR19" i="11"/>
  <c r="CQ19" i="11"/>
  <c r="CP19" i="11"/>
  <c r="CS18" i="11"/>
  <c r="CR18" i="11"/>
  <c r="CQ18" i="11"/>
  <c r="CP18" i="11"/>
  <c r="CS17" i="11"/>
  <c r="CR17" i="11"/>
  <c r="CQ17" i="11"/>
  <c r="CP17" i="11"/>
  <c r="CS16" i="11"/>
  <c r="CR16" i="11"/>
  <c r="CQ16" i="11"/>
  <c r="CP16" i="11"/>
  <c r="CS15" i="11"/>
  <c r="CR15" i="11"/>
  <c r="CQ15" i="11"/>
  <c r="CP15" i="11"/>
  <c r="CO20" i="11"/>
  <c r="CO19" i="11"/>
  <c r="CO18" i="11"/>
  <c r="CO17" i="11"/>
  <c r="CO16" i="11"/>
  <c r="CO15" i="11"/>
  <c r="CS14" i="11"/>
  <c r="CE20" i="11"/>
  <c r="CD20" i="11"/>
  <c r="CC20" i="11"/>
  <c r="CB20" i="11"/>
  <c r="CA20" i="11"/>
  <c r="BY20" i="11"/>
  <c r="BX20" i="11"/>
  <c r="BW20" i="11"/>
  <c r="BV20" i="11"/>
  <c r="BU20" i="11"/>
  <c r="CE19" i="11"/>
  <c r="CD19" i="11"/>
  <c r="CC19" i="11"/>
  <c r="CB19" i="11"/>
  <c r="CA19" i="11"/>
  <c r="BY19" i="11"/>
  <c r="BX19" i="11"/>
  <c r="BW19" i="11"/>
  <c r="BV19" i="11"/>
  <c r="BU19" i="11"/>
  <c r="CE18" i="11"/>
  <c r="CD18" i="11"/>
  <c r="CC18" i="11"/>
  <c r="CB18" i="11"/>
  <c r="CA18" i="11"/>
  <c r="BY18" i="11"/>
  <c r="BX18" i="11"/>
  <c r="BW18" i="11"/>
  <c r="BV18" i="11"/>
  <c r="BU18" i="11"/>
  <c r="CE17" i="11"/>
  <c r="CD17" i="11"/>
  <c r="CC17" i="11"/>
  <c r="CB17" i="11"/>
  <c r="CA17" i="11"/>
  <c r="BY17" i="11"/>
  <c r="BX17" i="11"/>
  <c r="BW17" i="11"/>
  <c r="BV17" i="11"/>
  <c r="BU17" i="11"/>
  <c r="CE16" i="11"/>
  <c r="CD16" i="11"/>
  <c r="CC16" i="11"/>
  <c r="CB16" i="11"/>
  <c r="CA16" i="11"/>
  <c r="BY16" i="11"/>
  <c r="BX16" i="11"/>
  <c r="BW16" i="11"/>
  <c r="BV16" i="11"/>
  <c r="BU16" i="11"/>
  <c r="CE15" i="11"/>
  <c r="CD15" i="11"/>
  <c r="CC15" i="11"/>
  <c r="CB15" i="11"/>
  <c r="CA15" i="11"/>
  <c r="BY15" i="11"/>
  <c r="BX15" i="11"/>
  <c r="BW15" i="11"/>
  <c r="BV15" i="11"/>
  <c r="BU15" i="11"/>
  <c r="CE14" i="11"/>
  <c r="CD14" i="11"/>
  <c r="CC14" i="11"/>
  <c r="CB14" i="11"/>
  <c r="CA14" i="11"/>
  <c r="BY14" i="11"/>
  <c r="BX14" i="11"/>
  <c r="BW14" i="11"/>
  <c r="BV14" i="11"/>
  <c r="BU14" i="11"/>
  <c r="BQ20" i="11" l="1"/>
  <c r="BP20" i="11"/>
  <c r="BO20" i="11"/>
  <c r="BN20" i="11"/>
  <c r="BM20" i="11"/>
  <c r="BK20" i="11"/>
  <c r="BJ20" i="11"/>
  <c r="BI20" i="11"/>
  <c r="BH20" i="11"/>
  <c r="BG20" i="11"/>
  <c r="BQ19" i="11"/>
  <c r="BP19" i="11"/>
  <c r="BO19" i="11"/>
  <c r="BN19" i="11"/>
  <c r="BM19" i="11"/>
  <c r="BK19" i="11"/>
  <c r="BJ19" i="11"/>
  <c r="BI19" i="11"/>
  <c r="BH19" i="11"/>
  <c r="BG19" i="11"/>
  <c r="BQ18" i="11"/>
  <c r="BP18" i="11"/>
  <c r="BO18" i="11"/>
  <c r="BN18" i="11"/>
  <c r="BM18" i="11"/>
  <c r="BK18" i="11"/>
  <c r="BJ18" i="11"/>
  <c r="BI18" i="11"/>
  <c r="BH18" i="11"/>
  <c r="BG18" i="11"/>
  <c r="BQ17" i="11"/>
  <c r="BP17" i="11"/>
  <c r="BO17" i="11"/>
  <c r="BN17" i="11"/>
  <c r="BM17" i="11"/>
  <c r="BK17" i="11"/>
  <c r="BJ17" i="11"/>
  <c r="BI17" i="11"/>
  <c r="BH17" i="11"/>
  <c r="BG17" i="11"/>
  <c r="BQ16" i="11"/>
  <c r="BP16" i="11"/>
  <c r="BO16" i="11"/>
  <c r="BN16" i="11"/>
  <c r="BM16" i="11"/>
  <c r="BK16" i="11"/>
  <c r="BJ16" i="11"/>
  <c r="BI16" i="11"/>
  <c r="BH16" i="11"/>
  <c r="BG16" i="11"/>
  <c r="BQ15" i="11"/>
  <c r="BP15" i="11"/>
  <c r="BO15" i="11"/>
  <c r="BN15" i="11"/>
  <c r="BM15" i="11"/>
  <c r="BK15" i="11"/>
  <c r="BJ15" i="11"/>
  <c r="BI15" i="11"/>
  <c r="BH15" i="11"/>
  <c r="BG15" i="11"/>
  <c r="BQ14" i="11"/>
  <c r="BP14" i="11"/>
  <c r="BO14" i="11"/>
  <c r="BN14" i="11"/>
  <c r="BM14" i="11"/>
  <c r="BK14" i="11"/>
  <c r="BJ14" i="11"/>
  <c r="BI14" i="11"/>
  <c r="BH14" i="11"/>
  <c r="BG14" i="11"/>
  <c r="KT23" i="10" l="1"/>
  <c r="KS23" i="10"/>
  <c r="KR23" i="10"/>
  <c r="KQ23" i="10"/>
  <c r="KP23" i="10"/>
  <c r="KO23" i="10"/>
  <c r="KT22" i="10"/>
  <c r="KS22" i="10"/>
  <c r="KR22" i="10"/>
  <c r="KQ22" i="10"/>
  <c r="KP22" i="10"/>
  <c r="KO22" i="10"/>
  <c r="KT21" i="10"/>
  <c r="KS21" i="10"/>
  <c r="KR21" i="10"/>
  <c r="KQ21" i="10"/>
  <c r="KP21" i="10"/>
  <c r="KO21" i="10"/>
  <c r="KT20" i="10"/>
  <c r="KS20" i="10"/>
  <c r="KR20" i="10"/>
  <c r="KQ20" i="10"/>
  <c r="KP20" i="10"/>
  <c r="KO20" i="10"/>
  <c r="KT19" i="10"/>
  <c r="KS19" i="10"/>
  <c r="KR19" i="10"/>
  <c r="KQ19" i="10"/>
  <c r="KP19" i="10"/>
  <c r="KO19" i="10"/>
  <c r="KT17" i="10"/>
  <c r="KS17" i="10"/>
  <c r="KR17" i="10"/>
  <c r="KQ17" i="10"/>
  <c r="KP17" i="10"/>
  <c r="KO17" i="10"/>
  <c r="KN17" i="10"/>
  <c r="KM17" i="10"/>
  <c r="KL17" i="10"/>
  <c r="KK17" i="10"/>
  <c r="KJ17" i="10"/>
  <c r="KI17" i="10"/>
  <c r="KT16" i="10"/>
  <c r="KS16" i="10"/>
  <c r="KI16" i="10"/>
  <c r="KT15" i="10"/>
  <c r="KS15" i="10"/>
  <c r="KR15" i="10"/>
  <c r="KQ15" i="10"/>
  <c r="KP15" i="10"/>
  <c r="KO15" i="10"/>
  <c r="KN15" i="10"/>
  <c r="KM15" i="10"/>
  <c r="KL15" i="10"/>
  <c r="KK15" i="10"/>
  <c r="KJ15" i="10"/>
  <c r="KI15" i="10"/>
  <c r="KT14" i="10"/>
  <c r="KS14" i="10"/>
  <c r="KR14" i="10"/>
  <c r="KR16" i="10" s="1"/>
  <c r="KQ14" i="10"/>
  <c r="KQ16" i="10" s="1"/>
  <c r="KP14" i="10"/>
  <c r="KP16" i="10" s="1"/>
  <c r="KO14" i="10"/>
  <c r="KO16" i="10" s="1"/>
  <c r="KN14" i="10"/>
  <c r="KN16" i="10" s="1"/>
  <c r="KM14" i="10"/>
  <c r="KM16" i="10" s="1"/>
  <c r="KL14" i="10"/>
  <c r="KL16" i="10" s="1"/>
  <c r="KK14" i="10"/>
  <c r="KK16" i="10" s="1"/>
  <c r="KJ14" i="10"/>
  <c r="KJ16" i="10" s="1"/>
  <c r="KI14" i="10"/>
  <c r="KF23" i="10"/>
  <c r="KE23" i="10"/>
  <c r="KD23" i="10"/>
  <c r="KC23" i="10"/>
  <c r="KB23" i="10"/>
  <c r="KA23" i="10"/>
  <c r="KF22" i="10"/>
  <c r="KE22" i="10"/>
  <c r="KD22" i="10"/>
  <c r="KC22" i="10"/>
  <c r="KB22" i="10"/>
  <c r="KA22" i="10"/>
  <c r="KF21" i="10"/>
  <c r="KE21" i="10"/>
  <c r="KD21" i="10"/>
  <c r="KC21" i="10"/>
  <c r="KB21" i="10"/>
  <c r="KA21" i="10"/>
  <c r="KF20" i="10"/>
  <c r="KE20" i="10"/>
  <c r="KD20" i="10"/>
  <c r="KC20" i="10"/>
  <c r="KB20" i="10"/>
  <c r="KA20" i="10"/>
  <c r="KF19" i="10"/>
  <c r="KE19" i="10"/>
  <c r="KD19" i="10"/>
  <c r="KC19" i="10"/>
  <c r="KB19" i="10"/>
  <c r="KA19" i="10"/>
  <c r="KF17" i="10"/>
  <c r="KE17" i="10"/>
  <c r="KD17" i="10"/>
  <c r="KC17" i="10"/>
  <c r="KB17" i="10"/>
  <c r="KA17" i="10"/>
  <c r="JZ17" i="10"/>
  <c r="JY17" i="10"/>
  <c r="JX17" i="10"/>
  <c r="JW17" i="10"/>
  <c r="JV17" i="10"/>
  <c r="JU17" i="10"/>
  <c r="KF16" i="10"/>
  <c r="KE16" i="10"/>
  <c r="KF15" i="10"/>
  <c r="KE15" i="10"/>
  <c r="KD15" i="10"/>
  <c r="KC15" i="10"/>
  <c r="KB15" i="10"/>
  <c r="KA15" i="10"/>
  <c r="JZ15" i="10"/>
  <c r="JY15" i="10"/>
  <c r="JX15" i="10"/>
  <c r="JW15" i="10"/>
  <c r="JV15" i="10"/>
  <c r="JU15" i="10"/>
  <c r="KF14" i="10"/>
  <c r="KE14" i="10"/>
  <c r="KD14" i="10"/>
  <c r="KD16" i="10" s="1"/>
  <c r="KC14" i="10"/>
  <c r="KC16" i="10" s="1"/>
  <c r="KB14" i="10"/>
  <c r="KB16" i="10" s="1"/>
  <c r="KA14" i="10"/>
  <c r="KA16" i="10" s="1"/>
  <c r="JZ14" i="10"/>
  <c r="JZ16" i="10" s="1"/>
  <c r="JY14" i="10"/>
  <c r="JY16" i="10" s="1"/>
  <c r="JX14" i="10"/>
  <c r="JX16" i="10" s="1"/>
  <c r="JW14" i="10"/>
  <c r="JW16" i="10" s="1"/>
  <c r="JV14" i="10"/>
  <c r="JV16" i="10" s="1"/>
  <c r="JU14" i="10"/>
  <c r="JU16" i="10" s="1"/>
  <c r="JR23" i="10"/>
  <c r="JQ23" i="10"/>
  <c r="JP23" i="10"/>
  <c r="JO23" i="10"/>
  <c r="JN23" i="10"/>
  <c r="JM23" i="10"/>
  <c r="JR22" i="10"/>
  <c r="JQ22" i="10"/>
  <c r="JP22" i="10"/>
  <c r="JO22" i="10"/>
  <c r="JN22" i="10"/>
  <c r="JM22" i="10"/>
  <c r="JR21" i="10"/>
  <c r="JQ21" i="10"/>
  <c r="JP21" i="10"/>
  <c r="JO21" i="10"/>
  <c r="JN21" i="10"/>
  <c r="JM21" i="10"/>
  <c r="JR20" i="10"/>
  <c r="JQ20" i="10"/>
  <c r="JP20" i="10"/>
  <c r="JO20" i="10"/>
  <c r="JN20" i="10"/>
  <c r="JM20" i="10"/>
  <c r="JR19" i="10"/>
  <c r="JQ19" i="10"/>
  <c r="JP19" i="10"/>
  <c r="JO19" i="10"/>
  <c r="JN19" i="10"/>
  <c r="JM19" i="10"/>
  <c r="JR17" i="10"/>
  <c r="JQ17" i="10"/>
  <c r="JP17" i="10"/>
  <c r="JO17" i="10"/>
  <c r="JN17" i="10"/>
  <c r="JM17" i="10"/>
  <c r="JL17" i="10"/>
  <c r="JK17" i="10"/>
  <c r="JJ17" i="10"/>
  <c r="JI17" i="10"/>
  <c r="JH17" i="10"/>
  <c r="JG17" i="10"/>
  <c r="JR16" i="10"/>
  <c r="JQ16" i="10"/>
  <c r="JP16" i="10"/>
  <c r="JR15" i="10"/>
  <c r="JQ15" i="10"/>
  <c r="JP15" i="10"/>
  <c r="JO15" i="10"/>
  <c r="JN15" i="10"/>
  <c r="JM15" i="10"/>
  <c r="JL15" i="10"/>
  <c r="JK15" i="10"/>
  <c r="JJ15" i="10"/>
  <c r="JI15" i="10"/>
  <c r="JH15" i="10"/>
  <c r="JG15" i="10"/>
  <c r="JR14" i="10"/>
  <c r="JQ14" i="10"/>
  <c r="JP14" i="10"/>
  <c r="JO14" i="10"/>
  <c r="JO16" i="10" s="1"/>
  <c r="JN14" i="10"/>
  <c r="JN16" i="10" s="1"/>
  <c r="JM14" i="10"/>
  <c r="JM16" i="10" s="1"/>
  <c r="JL14" i="10"/>
  <c r="JL16" i="10" s="1"/>
  <c r="JK14" i="10"/>
  <c r="JK16" i="10" s="1"/>
  <c r="JJ14" i="10"/>
  <c r="JJ16" i="10" s="1"/>
  <c r="JI14" i="10"/>
  <c r="JI16" i="10" s="1"/>
  <c r="JH14" i="10"/>
  <c r="JH16" i="10" s="1"/>
  <c r="JG14" i="10"/>
  <c r="JG16" i="10" s="1"/>
  <c r="JD23" i="10"/>
  <c r="JC23" i="10"/>
  <c r="JB23" i="10"/>
  <c r="JA23" i="10"/>
  <c r="IZ23" i="10"/>
  <c r="IY23" i="10"/>
  <c r="JD22" i="10"/>
  <c r="JC22" i="10"/>
  <c r="JB22" i="10"/>
  <c r="JA22" i="10"/>
  <c r="IZ22" i="10"/>
  <c r="IY22" i="10"/>
  <c r="JD21" i="10"/>
  <c r="JC21" i="10"/>
  <c r="JB21" i="10"/>
  <c r="JA21" i="10"/>
  <c r="IZ21" i="10"/>
  <c r="IY21" i="10"/>
  <c r="JD20" i="10"/>
  <c r="JC20" i="10"/>
  <c r="JB20" i="10"/>
  <c r="JA20" i="10"/>
  <c r="IZ20" i="10"/>
  <c r="IY20" i="10"/>
  <c r="JD19" i="10"/>
  <c r="JC19" i="10"/>
  <c r="JB19" i="10"/>
  <c r="JA19" i="10"/>
  <c r="IZ19" i="10"/>
  <c r="IY19" i="10"/>
  <c r="JD17" i="10"/>
  <c r="JC17" i="10"/>
  <c r="JB17" i="10"/>
  <c r="JA17" i="10"/>
  <c r="IZ17" i="10"/>
  <c r="IY17" i="10"/>
  <c r="IX17" i="10"/>
  <c r="IW17" i="10"/>
  <c r="IV17" i="10"/>
  <c r="IU17" i="10"/>
  <c r="IT17" i="10"/>
  <c r="IS17" i="10"/>
  <c r="JD16" i="10"/>
  <c r="JC16" i="10"/>
  <c r="JB16" i="10"/>
  <c r="IZ16" i="10"/>
  <c r="JD15" i="10"/>
  <c r="JC15" i="10"/>
  <c r="JB15" i="10"/>
  <c r="JA15" i="10"/>
  <c r="IZ15" i="10"/>
  <c r="IY15" i="10"/>
  <c r="IX15" i="10"/>
  <c r="IW15" i="10"/>
  <c r="IV15" i="10"/>
  <c r="IU15" i="10"/>
  <c r="IT15" i="10"/>
  <c r="IS15" i="10"/>
  <c r="JD14" i="10"/>
  <c r="JC14" i="10"/>
  <c r="JB14" i="10"/>
  <c r="JA14" i="10"/>
  <c r="JA16" i="10" s="1"/>
  <c r="IZ14" i="10"/>
  <c r="IY14" i="10"/>
  <c r="IY16" i="10" s="1"/>
  <c r="IX14" i="10"/>
  <c r="IX16" i="10" s="1"/>
  <c r="IW14" i="10"/>
  <c r="IW16" i="10" s="1"/>
  <c r="IV14" i="10"/>
  <c r="IV16" i="10" s="1"/>
  <c r="IU14" i="10"/>
  <c r="IU16" i="10" s="1"/>
  <c r="IT14" i="10"/>
  <c r="IT16" i="10" s="1"/>
  <c r="IS14" i="10"/>
  <c r="IS16" i="10" s="1"/>
  <c r="IP23" i="10"/>
  <c r="IO23" i="10"/>
  <c r="IN23" i="10"/>
  <c r="IM23" i="10"/>
  <c r="IL23" i="10"/>
  <c r="IK23" i="10"/>
  <c r="IP22" i="10"/>
  <c r="IO22" i="10"/>
  <c r="IN22" i="10"/>
  <c r="IM22" i="10"/>
  <c r="IL22" i="10"/>
  <c r="IK22" i="10"/>
  <c r="IP21" i="10"/>
  <c r="IO21" i="10"/>
  <c r="IN21" i="10"/>
  <c r="IM21" i="10"/>
  <c r="IL21" i="10"/>
  <c r="IK21" i="10"/>
  <c r="IP20" i="10"/>
  <c r="IO20" i="10"/>
  <c r="IN20" i="10"/>
  <c r="IM20" i="10"/>
  <c r="IL20" i="10"/>
  <c r="IK20" i="10"/>
  <c r="IP19" i="10"/>
  <c r="IO19" i="10"/>
  <c r="IN19" i="10"/>
  <c r="IM19" i="10"/>
  <c r="IL19" i="10"/>
  <c r="IK19" i="10"/>
  <c r="IP17" i="10"/>
  <c r="IO17" i="10"/>
  <c r="IN17" i="10"/>
  <c r="IM17" i="10"/>
  <c r="IL17" i="10"/>
  <c r="IK17" i="10"/>
  <c r="IJ17" i="10"/>
  <c r="II17" i="10"/>
  <c r="IH17" i="10"/>
  <c r="IG17" i="10"/>
  <c r="IF17" i="10"/>
  <c r="IE17" i="10"/>
  <c r="IP16" i="10"/>
  <c r="IO16" i="10"/>
  <c r="IN16" i="10"/>
  <c r="IP15" i="10"/>
  <c r="IO15" i="10"/>
  <c r="IN15" i="10"/>
  <c r="IM15" i="10"/>
  <c r="IL15" i="10"/>
  <c r="IK15" i="10"/>
  <c r="IJ15" i="10"/>
  <c r="II15" i="10"/>
  <c r="IH15" i="10"/>
  <c r="IG15" i="10"/>
  <c r="IF15" i="10"/>
  <c r="IE15" i="10"/>
  <c r="IP14" i="10"/>
  <c r="IO14" i="10"/>
  <c r="IN14" i="10"/>
  <c r="IM14" i="10"/>
  <c r="IM16" i="10" s="1"/>
  <c r="IL14" i="10"/>
  <c r="IL16" i="10" s="1"/>
  <c r="IK14" i="10"/>
  <c r="IK16" i="10" s="1"/>
  <c r="IJ14" i="10"/>
  <c r="IJ16" i="10" s="1"/>
  <c r="II14" i="10"/>
  <c r="II16" i="10" s="1"/>
  <c r="IH14" i="10"/>
  <c r="IH16" i="10" s="1"/>
  <c r="IG14" i="10"/>
  <c r="IG16" i="10" s="1"/>
  <c r="IF14" i="10"/>
  <c r="IF16" i="10" s="1"/>
  <c r="IE14" i="10"/>
  <c r="IE16" i="10" s="1"/>
  <c r="IB23" i="10"/>
  <c r="IA23" i="10"/>
  <c r="HZ23" i="10"/>
  <c r="HY23" i="10"/>
  <c r="HX23" i="10"/>
  <c r="HW23" i="10"/>
  <c r="IB22" i="10"/>
  <c r="IA22" i="10"/>
  <c r="HZ22" i="10"/>
  <c r="HY22" i="10"/>
  <c r="HX22" i="10"/>
  <c r="HW22" i="10"/>
  <c r="IB21" i="10"/>
  <c r="IA21" i="10"/>
  <c r="HZ21" i="10"/>
  <c r="HY21" i="10"/>
  <c r="HX21" i="10"/>
  <c r="HW21" i="10"/>
  <c r="IB20" i="10"/>
  <c r="IA20" i="10"/>
  <c r="HZ20" i="10"/>
  <c r="HY20" i="10"/>
  <c r="HX20" i="10"/>
  <c r="HW20" i="10"/>
  <c r="IB19" i="10"/>
  <c r="IA19" i="10"/>
  <c r="HZ19" i="10"/>
  <c r="HY19" i="10"/>
  <c r="HX19" i="10"/>
  <c r="HW19" i="10"/>
  <c r="IB17" i="10"/>
  <c r="IA17" i="10"/>
  <c r="HZ17" i="10"/>
  <c r="HY17" i="10"/>
  <c r="HX17" i="10"/>
  <c r="HW17" i="10"/>
  <c r="HV17" i="10"/>
  <c r="HU17" i="10"/>
  <c r="HT17" i="10"/>
  <c r="HS17" i="10"/>
  <c r="HR17" i="10"/>
  <c r="HQ17" i="10"/>
  <c r="IB16" i="10"/>
  <c r="IA16" i="10"/>
  <c r="IB15" i="10"/>
  <c r="IA15" i="10"/>
  <c r="HZ15" i="10"/>
  <c r="HY15" i="10"/>
  <c r="HX15" i="10"/>
  <c r="HW15" i="10"/>
  <c r="HV15" i="10"/>
  <c r="HU15" i="10"/>
  <c r="HT15" i="10"/>
  <c r="HS15" i="10"/>
  <c r="HR15" i="10"/>
  <c r="HQ15" i="10"/>
  <c r="IB14" i="10"/>
  <c r="IA14" i="10"/>
  <c r="HZ14" i="10"/>
  <c r="HZ16" i="10" s="1"/>
  <c r="HY14" i="10"/>
  <c r="HY16" i="10" s="1"/>
  <c r="HX14" i="10"/>
  <c r="HX16" i="10" s="1"/>
  <c r="HW14" i="10"/>
  <c r="HW16" i="10" s="1"/>
  <c r="HV14" i="10"/>
  <c r="HV16" i="10" s="1"/>
  <c r="HU14" i="10"/>
  <c r="HU16" i="10" s="1"/>
  <c r="HT14" i="10"/>
  <c r="HT16" i="10" s="1"/>
  <c r="HS14" i="10"/>
  <c r="HS16" i="10" s="1"/>
  <c r="HR14" i="10"/>
  <c r="HR16" i="10" s="1"/>
  <c r="HQ14" i="10"/>
  <c r="HQ16" i="10" s="1"/>
  <c r="HN23" i="10" l="1"/>
  <c r="HM23" i="10"/>
  <c r="HL23" i="10"/>
  <c r="HK23" i="10"/>
  <c r="HJ23" i="10"/>
  <c r="HI23" i="10"/>
  <c r="HN22" i="10"/>
  <c r="HM22" i="10"/>
  <c r="HL22" i="10"/>
  <c r="HK22" i="10"/>
  <c r="HJ22" i="10"/>
  <c r="HI22" i="10"/>
  <c r="HN21" i="10"/>
  <c r="HM21" i="10"/>
  <c r="HL21" i="10"/>
  <c r="HK21" i="10"/>
  <c r="HJ21" i="10"/>
  <c r="HI21" i="10"/>
  <c r="HN20" i="10"/>
  <c r="HM20" i="10"/>
  <c r="HL20" i="10"/>
  <c r="HK20" i="10"/>
  <c r="HJ20" i="10"/>
  <c r="HI20" i="10"/>
  <c r="HN19" i="10"/>
  <c r="HM19" i="10"/>
  <c r="HL19" i="10"/>
  <c r="HK19" i="10"/>
  <c r="HJ19" i="10"/>
  <c r="HI19" i="10"/>
  <c r="HN17" i="10"/>
  <c r="HM17" i="10"/>
  <c r="HL17" i="10"/>
  <c r="HK17" i="10"/>
  <c r="HJ17" i="10"/>
  <c r="HI17" i="10"/>
  <c r="HH17" i="10"/>
  <c r="HG17" i="10"/>
  <c r="HF17" i="10"/>
  <c r="HE17" i="10"/>
  <c r="HD17" i="10"/>
  <c r="HC17" i="10"/>
  <c r="HN16" i="10"/>
  <c r="HM16" i="10"/>
  <c r="HN15" i="10"/>
  <c r="HM15" i="10"/>
  <c r="HL15" i="10"/>
  <c r="HK15" i="10"/>
  <c r="HJ15" i="10"/>
  <c r="HI15" i="10"/>
  <c r="HH15" i="10"/>
  <c r="HG15" i="10"/>
  <c r="HF15" i="10"/>
  <c r="HE15" i="10"/>
  <c r="HD15" i="10"/>
  <c r="HC15" i="10"/>
  <c r="HN14" i="10"/>
  <c r="HM14" i="10"/>
  <c r="HL14" i="10"/>
  <c r="HL16" i="10" s="1"/>
  <c r="HK14" i="10"/>
  <c r="HK16" i="10" s="1"/>
  <c r="HJ14" i="10"/>
  <c r="HJ16" i="10" s="1"/>
  <c r="HI14" i="10"/>
  <c r="HI16" i="10" s="1"/>
  <c r="HH14" i="10"/>
  <c r="HH16" i="10" s="1"/>
  <c r="HG14" i="10"/>
  <c r="HG16" i="10" s="1"/>
  <c r="HF14" i="10"/>
  <c r="HF16" i="10" s="1"/>
  <c r="HE14" i="10"/>
  <c r="HE16" i="10" s="1"/>
  <c r="HD14" i="10"/>
  <c r="HD16" i="10" s="1"/>
  <c r="HC14" i="10"/>
  <c r="HC16" i="10" s="1"/>
  <c r="GZ23" i="10"/>
  <c r="GY23" i="10"/>
  <c r="GX23" i="10"/>
  <c r="GW23" i="10"/>
  <c r="GV23" i="10"/>
  <c r="GU23" i="10"/>
  <c r="GZ22" i="10"/>
  <c r="GY22" i="10"/>
  <c r="GX22" i="10"/>
  <c r="GW22" i="10"/>
  <c r="GV22" i="10"/>
  <c r="GU22" i="10"/>
  <c r="GZ21" i="10"/>
  <c r="GY21" i="10"/>
  <c r="GX21" i="10"/>
  <c r="GW21" i="10"/>
  <c r="GV21" i="10"/>
  <c r="GU21" i="10"/>
  <c r="GZ20" i="10"/>
  <c r="GY20" i="10"/>
  <c r="GX20" i="10"/>
  <c r="GW20" i="10"/>
  <c r="GV20" i="10"/>
  <c r="GU20" i="10"/>
  <c r="GZ19" i="10"/>
  <c r="GY19" i="10"/>
  <c r="GX19" i="10"/>
  <c r="GW19" i="10"/>
  <c r="GV19" i="10"/>
  <c r="GU19" i="10"/>
  <c r="GZ17" i="10"/>
  <c r="GY17" i="10"/>
  <c r="GX17" i="10"/>
  <c r="GW17" i="10"/>
  <c r="GV17" i="10"/>
  <c r="GU17" i="10"/>
  <c r="GT17" i="10"/>
  <c r="GS17" i="10"/>
  <c r="GR17" i="10"/>
  <c r="GQ17" i="10"/>
  <c r="GP17" i="10"/>
  <c r="GO17" i="10"/>
  <c r="GZ16" i="10"/>
  <c r="GY16" i="10"/>
  <c r="GU16" i="10"/>
  <c r="GZ15" i="10"/>
  <c r="GY15" i="10"/>
  <c r="GX15" i="10"/>
  <c r="GW15" i="10"/>
  <c r="GV15" i="10"/>
  <c r="GU15" i="10"/>
  <c r="GT15" i="10"/>
  <c r="GS15" i="10"/>
  <c r="GR15" i="10"/>
  <c r="GQ15" i="10"/>
  <c r="GP15" i="10"/>
  <c r="GO15" i="10"/>
  <c r="GZ14" i="10"/>
  <c r="GY14" i="10"/>
  <c r="GX14" i="10"/>
  <c r="GX16" i="10" s="1"/>
  <c r="GW14" i="10"/>
  <c r="GW16" i="10" s="1"/>
  <c r="GV14" i="10"/>
  <c r="GV16" i="10" s="1"/>
  <c r="GU14" i="10"/>
  <c r="GT14" i="10"/>
  <c r="GT16" i="10" s="1"/>
  <c r="GS14" i="10"/>
  <c r="GS16" i="10" s="1"/>
  <c r="GR14" i="10"/>
  <c r="GR16" i="10" s="1"/>
  <c r="GQ14" i="10"/>
  <c r="GQ16" i="10" s="1"/>
  <c r="GP14" i="10"/>
  <c r="GP16" i="10" s="1"/>
  <c r="GO14" i="10"/>
  <c r="GO16" i="10" s="1"/>
  <c r="GJ16" i="10"/>
  <c r="GL23" i="10"/>
  <c r="GK23" i="10"/>
  <c r="GL22" i="10"/>
  <c r="GK22" i="10"/>
  <c r="GL21" i="10"/>
  <c r="GK21" i="10"/>
  <c r="GL20" i="10"/>
  <c r="GK20" i="10"/>
  <c r="GL19" i="10"/>
  <c r="GK19" i="10"/>
  <c r="GL17" i="10"/>
  <c r="GK17" i="10"/>
  <c r="GL16" i="10"/>
  <c r="GK16" i="10"/>
  <c r="GL15" i="10"/>
  <c r="GK15" i="10"/>
  <c r="GL14" i="10"/>
  <c r="GK14" i="10"/>
  <c r="GJ23" i="10"/>
  <c r="GI23" i="10"/>
  <c r="GH23" i="10"/>
  <c r="GG23" i="10"/>
  <c r="GJ22" i="10"/>
  <c r="GI22" i="10"/>
  <c r="GH22" i="10"/>
  <c r="GG22" i="10"/>
  <c r="GJ21" i="10"/>
  <c r="GI21" i="10"/>
  <c r="GH21" i="10"/>
  <c r="GG21" i="10"/>
  <c r="GJ20" i="10"/>
  <c r="GI20" i="10"/>
  <c r="GH20" i="10"/>
  <c r="GG20" i="10"/>
  <c r="GJ19" i="10"/>
  <c r="GI19" i="10"/>
  <c r="GH19" i="10"/>
  <c r="GG19" i="10"/>
  <c r="GJ17" i="10"/>
  <c r="GI17" i="10"/>
  <c r="GH17" i="10"/>
  <c r="GG17" i="10"/>
  <c r="GF17" i="10"/>
  <c r="GE17" i="10"/>
  <c r="GD17" i="10"/>
  <c r="GC17" i="10"/>
  <c r="GB17" i="10"/>
  <c r="GA17" i="10"/>
  <c r="GD16" i="10"/>
  <c r="GC16" i="10"/>
  <c r="GB16" i="10"/>
  <c r="GA16" i="10"/>
  <c r="GJ15" i="10"/>
  <c r="GI15" i="10"/>
  <c r="GH15" i="10"/>
  <c r="GG15" i="10"/>
  <c r="GF15" i="10"/>
  <c r="GE15" i="10"/>
  <c r="GD15" i="10"/>
  <c r="GC15" i="10"/>
  <c r="GB15" i="10"/>
  <c r="GA15" i="10"/>
  <c r="GJ14" i="10"/>
  <c r="GI14" i="10"/>
  <c r="GI16" i="10" s="1"/>
  <c r="GH14" i="10"/>
  <c r="GH16" i="10" s="1"/>
  <c r="GG14" i="10"/>
  <c r="GG16" i="10" s="1"/>
  <c r="GF14" i="10"/>
  <c r="GF16" i="10" s="1"/>
  <c r="GE14" i="10"/>
  <c r="GE16" i="10" s="1"/>
  <c r="GD14" i="10"/>
  <c r="GC14" i="10"/>
  <c r="GB14" i="10"/>
  <c r="GA14" i="10"/>
  <c r="FX23" i="10"/>
  <c r="FW23" i="10"/>
  <c r="FV23" i="10"/>
  <c r="FU23" i="10"/>
  <c r="FT23" i="10"/>
  <c r="FX22" i="10"/>
  <c r="FW22" i="10"/>
  <c r="FV22" i="10"/>
  <c r="FU22" i="10"/>
  <c r="FT22" i="10"/>
  <c r="FX21" i="10"/>
  <c r="FW21" i="10"/>
  <c r="FV21" i="10"/>
  <c r="FU21" i="10"/>
  <c r="FT21" i="10"/>
  <c r="FX20" i="10"/>
  <c r="FW20" i="10"/>
  <c r="FV20" i="10"/>
  <c r="FU20" i="10"/>
  <c r="FT20" i="10"/>
  <c r="FX19" i="10"/>
  <c r="FW19" i="10"/>
  <c r="FV19" i="10"/>
  <c r="FU19" i="10"/>
  <c r="FT19" i="10"/>
  <c r="FX17" i="10"/>
  <c r="FW17" i="10"/>
  <c r="FV17" i="10"/>
  <c r="FU17" i="10"/>
  <c r="FT17" i="10"/>
  <c r="FS17" i="10"/>
  <c r="FR17" i="10"/>
  <c r="FQ17" i="10"/>
  <c r="FP17" i="10"/>
  <c r="FO17" i="10"/>
  <c r="FX16" i="10"/>
  <c r="FQ16" i="10"/>
  <c r="FP16" i="10"/>
  <c r="FX15" i="10"/>
  <c r="FW15" i="10"/>
  <c r="FV15" i="10"/>
  <c r="FU15" i="10"/>
  <c r="FT15" i="10"/>
  <c r="FS15" i="10"/>
  <c r="FR15" i="10"/>
  <c r="FR16" i="10" s="1"/>
  <c r="FQ15" i="10"/>
  <c r="FP15" i="10"/>
  <c r="FO15" i="10"/>
  <c r="FO16" i="10" s="1"/>
  <c r="FX14" i="10"/>
  <c r="FW14" i="10"/>
  <c r="FW16" i="10" s="1"/>
  <c r="FV14" i="10"/>
  <c r="FV16" i="10" s="1"/>
  <c r="FU14" i="10"/>
  <c r="FU16" i="10" s="1"/>
  <c r="FT14" i="10"/>
  <c r="FT16" i="10" s="1"/>
  <c r="FS14" i="10"/>
  <c r="FS16" i="10" s="1"/>
  <c r="FR14" i="10"/>
  <c r="FQ14" i="10"/>
  <c r="FP14" i="10"/>
  <c r="FO14" i="10"/>
  <c r="FL23" i="10"/>
  <c r="FK23" i="10"/>
  <c r="FJ23" i="10"/>
  <c r="FI23" i="10"/>
  <c r="FH23" i="10"/>
  <c r="FL22" i="10"/>
  <c r="FK22" i="10"/>
  <c r="FJ22" i="10"/>
  <c r="FI22" i="10"/>
  <c r="FH22" i="10"/>
  <c r="FL21" i="10"/>
  <c r="FK21" i="10"/>
  <c r="FJ21" i="10"/>
  <c r="FI21" i="10"/>
  <c r="FH21" i="10"/>
  <c r="FL20" i="10"/>
  <c r="FK20" i="10"/>
  <c r="FJ20" i="10"/>
  <c r="FI20" i="10"/>
  <c r="FH20" i="10"/>
  <c r="FL19" i="10"/>
  <c r="FK19" i="10"/>
  <c r="FJ19" i="10"/>
  <c r="FI19" i="10"/>
  <c r="FH19" i="10"/>
  <c r="FL17" i="10"/>
  <c r="FK17" i="10"/>
  <c r="FJ17" i="10"/>
  <c r="FI17" i="10"/>
  <c r="FH17" i="10"/>
  <c r="FG17" i="10"/>
  <c r="FF17" i="10"/>
  <c r="FE17" i="10"/>
  <c r="FD17" i="10"/>
  <c r="FC17" i="10"/>
  <c r="FL16" i="10"/>
  <c r="FG16" i="10"/>
  <c r="FF16" i="10"/>
  <c r="FE16" i="10"/>
  <c r="FD16" i="10"/>
  <c r="FC16" i="10"/>
  <c r="FL15" i="10"/>
  <c r="FK15" i="10"/>
  <c r="FJ15" i="10"/>
  <c r="FJ16" i="10" s="1"/>
  <c r="FI15" i="10"/>
  <c r="FH15" i="10"/>
  <c r="FG15" i="10"/>
  <c r="FF15" i="10"/>
  <c r="FE15" i="10"/>
  <c r="FD15" i="10"/>
  <c r="FC15" i="10"/>
  <c r="FL14" i="10"/>
  <c r="FK14" i="10"/>
  <c r="FK16" i="10" s="1"/>
  <c r="FJ14" i="10"/>
  <c r="FI14" i="10"/>
  <c r="FI16" i="10" s="1"/>
  <c r="FH14" i="10"/>
  <c r="FH16" i="10" s="1"/>
  <c r="FG14" i="10"/>
  <c r="FF14" i="10"/>
  <c r="FE14" i="10"/>
  <c r="FD14" i="10"/>
  <c r="FC14" i="10"/>
  <c r="EZ23" i="10"/>
  <c r="EY23" i="10"/>
  <c r="EX23" i="10"/>
  <c r="EW23" i="10"/>
  <c r="EV23" i="10"/>
  <c r="EZ22" i="10"/>
  <c r="EY22" i="10"/>
  <c r="EX22" i="10"/>
  <c r="EW22" i="10"/>
  <c r="EV22" i="10"/>
  <c r="EZ21" i="10"/>
  <c r="EY21" i="10"/>
  <c r="EX21" i="10"/>
  <c r="EW21" i="10"/>
  <c r="EV21" i="10"/>
  <c r="EZ20" i="10"/>
  <c r="EY20" i="10"/>
  <c r="EX20" i="10"/>
  <c r="EW20" i="10"/>
  <c r="EV20" i="10"/>
  <c r="EZ19" i="10"/>
  <c r="EY19" i="10"/>
  <c r="EX19" i="10"/>
  <c r="EW19" i="10"/>
  <c r="EV19" i="10"/>
  <c r="EZ17" i="10"/>
  <c r="EY17" i="10"/>
  <c r="EX17" i="10"/>
  <c r="EW17" i="10"/>
  <c r="EV17" i="10"/>
  <c r="EU17" i="10"/>
  <c r="ET17" i="10"/>
  <c r="ES17" i="10"/>
  <c r="ER17" i="10"/>
  <c r="EQ17" i="10"/>
  <c r="EZ16" i="10"/>
  <c r="EU16" i="10"/>
  <c r="ET16" i="10"/>
  <c r="ES16" i="10"/>
  <c r="ER16" i="10"/>
  <c r="EQ16" i="10"/>
  <c r="EZ15" i="10"/>
  <c r="EY15" i="10"/>
  <c r="EX15" i="10"/>
  <c r="EW15" i="10"/>
  <c r="EV15" i="10"/>
  <c r="EU15" i="10"/>
  <c r="ET15" i="10"/>
  <c r="ES15" i="10"/>
  <c r="ER15" i="10"/>
  <c r="EQ15" i="10"/>
  <c r="EZ14" i="10"/>
  <c r="EY14" i="10"/>
  <c r="EY16" i="10" s="1"/>
  <c r="EX14" i="10"/>
  <c r="EX16" i="10" s="1"/>
  <c r="EW14" i="10"/>
  <c r="EW16" i="10" s="1"/>
  <c r="EV14" i="10"/>
  <c r="EV16" i="10" s="1"/>
  <c r="EU14" i="10"/>
  <c r="ET14" i="10"/>
  <c r="ES14" i="10"/>
  <c r="ER14" i="10"/>
  <c r="EQ14" i="10"/>
  <c r="EN23" i="10"/>
  <c r="EM23" i="10"/>
  <c r="EL23" i="10"/>
  <c r="EK23" i="10"/>
  <c r="EJ23" i="10"/>
  <c r="EN22" i="10"/>
  <c r="EM22" i="10"/>
  <c r="EL22" i="10"/>
  <c r="EK22" i="10"/>
  <c r="EJ22" i="10"/>
  <c r="EN21" i="10"/>
  <c r="EM21" i="10"/>
  <c r="EL21" i="10"/>
  <c r="EK21" i="10"/>
  <c r="EJ21" i="10"/>
  <c r="EN20" i="10"/>
  <c r="EM20" i="10"/>
  <c r="EL20" i="10"/>
  <c r="EK20" i="10"/>
  <c r="EJ20" i="10"/>
  <c r="EN19" i="10"/>
  <c r="EM19" i="10"/>
  <c r="EL19" i="10"/>
  <c r="EK19" i="10"/>
  <c r="EJ19" i="10"/>
  <c r="EN17" i="10"/>
  <c r="EM17" i="10"/>
  <c r="EL17" i="10"/>
  <c r="EK17" i="10"/>
  <c r="EJ17" i="10"/>
  <c r="EI17" i="10"/>
  <c r="EH17" i="10"/>
  <c r="EG17" i="10"/>
  <c r="EF17" i="10"/>
  <c r="EE17" i="10"/>
  <c r="EN16" i="10"/>
  <c r="EG16" i="10"/>
  <c r="EF16" i="10"/>
  <c r="EE16" i="10"/>
  <c r="EN15" i="10"/>
  <c r="EM15" i="10"/>
  <c r="EL15" i="10"/>
  <c r="EK15" i="10"/>
  <c r="EJ15" i="10"/>
  <c r="EI15" i="10"/>
  <c r="EH15" i="10"/>
  <c r="EG15" i="10"/>
  <c r="EF15" i="10"/>
  <c r="EE15" i="10"/>
  <c r="EN14" i="10"/>
  <c r="EM14" i="10"/>
  <c r="EM16" i="10" s="1"/>
  <c r="EL14" i="10"/>
  <c r="EL16" i="10" s="1"/>
  <c r="EK14" i="10"/>
  <c r="EK16" i="10" s="1"/>
  <c r="EJ14" i="10"/>
  <c r="EJ16" i="10" s="1"/>
  <c r="EI14" i="10"/>
  <c r="EI16" i="10" s="1"/>
  <c r="EH14" i="10"/>
  <c r="EH16" i="10" s="1"/>
  <c r="EG14" i="10"/>
  <c r="EF14" i="10"/>
  <c r="EE14" i="10"/>
  <c r="EB23" i="10"/>
  <c r="EA23" i="10"/>
  <c r="DZ23" i="10"/>
  <c r="DY23" i="10"/>
  <c r="DX23" i="10"/>
  <c r="EB22" i="10"/>
  <c r="EA22" i="10"/>
  <c r="DZ22" i="10"/>
  <c r="DY22" i="10"/>
  <c r="DX22" i="10"/>
  <c r="EB21" i="10"/>
  <c r="EA21" i="10"/>
  <c r="DZ21" i="10"/>
  <c r="DY21" i="10"/>
  <c r="DX21" i="10"/>
  <c r="EB20" i="10"/>
  <c r="EA20" i="10"/>
  <c r="DZ20" i="10"/>
  <c r="DY20" i="10"/>
  <c r="DX20" i="10"/>
  <c r="EB19" i="10"/>
  <c r="EA19" i="10"/>
  <c r="DZ19" i="10"/>
  <c r="DY19" i="10"/>
  <c r="DX19" i="10"/>
  <c r="EB17" i="10"/>
  <c r="EA17" i="10"/>
  <c r="DZ17" i="10"/>
  <c r="DY17" i="10"/>
  <c r="DX17" i="10"/>
  <c r="DW17" i="10"/>
  <c r="DV17" i="10"/>
  <c r="DU17" i="10"/>
  <c r="DT17" i="10"/>
  <c r="DS17" i="10"/>
  <c r="EB16" i="10"/>
  <c r="DU16" i="10"/>
  <c r="EB15" i="10"/>
  <c r="EA15" i="10"/>
  <c r="DZ15" i="10"/>
  <c r="DZ16" i="10" s="1"/>
  <c r="DY15" i="10"/>
  <c r="DX15" i="10"/>
  <c r="DW15" i="10"/>
  <c r="DV15" i="10"/>
  <c r="DU15" i="10"/>
  <c r="DT15" i="10"/>
  <c r="DS15" i="10"/>
  <c r="DS16" i="10" s="1"/>
  <c r="EB14" i="10"/>
  <c r="EA14" i="10"/>
  <c r="EA16" i="10" s="1"/>
  <c r="DZ14" i="10"/>
  <c r="DY14" i="10"/>
  <c r="DY16" i="10" s="1"/>
  <c r="DX14" i="10"/>
  <c r="DX16" i="10" s="1"/>
  <c r="DW14" i="10"/>
  <c r="DW16" i="10" s="1"/>
  <c r="DV14" i="10"/>
  <c r="DV16" i="10" s="1"/>
  <c r="DU14" i="10"/>
  <c r="DT14" i="10"/>
  <c r="DT16" i="10" s="1"/>
  <c r="DS14" i="10"/>
  <c r="DP23" i="10"/>
  <c r="DO23" i="10"/>
  <c r="DN23" i="10"/>
  <c r="DM23" i="10"/>
  <c r="DL23" i="10"/>
  <c r="DP22" i="10"/>
  <c r="DO22" i="10"/>
  <c r="DN22" i="10"/>
  <c r="DM22" i="10"/>
  <c r="DL22" i="10"/>
  <c r="DP21" i="10"/>
  <c r="DO21" i="10"/>
  <c r="DN21" i="10"/>
  <c r="DM21" i="10"/>
  <c r="DL21" i="10"/>
  <c r="DP20" i="10"/>
  <c r="DO20" i="10"/>
  <c r="DN20" i="10"/>
  <c r="DM20" i="10"/>
  <c r="DL20" i="10"/>
  <c r="DP19" i="10"/>
  <c r="DO19" i="10"/>
  <c r="DN19" i="10"/>
  <c r="DM19" i="10"/>
  <c r="DL19" i="10"/>
  <c r="DP17" i="10"/>
  <c r="DO17" i="10"/>
  <c r="DN17" i="10"/>
  <c r="DM17" i="10"/>
  <c r="DL17" i="10"/>
  <c r="DK17" i="10"/>
  <c r="DJ17" i="10"/>
  <c r="DI17" i="10"/>
  <c r="DH17" i="10"/>
  <c r="DG17" i="10"/>
  <c r="DP16" i="10"/>
  <c r="DL16" i="10"/>
  <c r="DK16" i="10"/>
  <c r="DH16" i="10"/>
  <c r="DG16" i="10"/>
  <c r="DP15" i="10"/>
  <c r="DO15" i="10"/>
  <c r="DN15" i="10"/>
  <c r="DN16" i="10" s="1"/>
  <c r="DM15" i="10"/>
  <c r="DM16" i="10" s="1"/>
  <c r="DL15" i="10"/>
  <c r="DK15" i="10"/>
  <c r="DJ15" i="10"/>
  <c r="DI15" i="10"/>
  <c r="DI16" i="10" s="1"/>
  <c r="DH15" i="10"/>
  <c r="DG15" i="10"/>
  <c r="DP14" i="10"/>
  <c r="DO14" i="10"/>
  <c r="DO16" i="10" s="1"/>
  <c r="DN14" i="10"/>
  <c r="DM14" i="10"/>
  <c r="DL14" i="10"/>
  <c r="DK14" i="10"/>
  <c r="DJ14" i="10"/>
  <c r="DJ16" i="10" s="1"/>
  <c r="DI14" i="10"/>
  <c r="DH14" i="10"/>
  <c r="DG14" i="10"/>
  <c r="DD23" i="10"/>
  <c r="DC23" i="10"/>
  <c r="DB23" i="10"/>
  <c r="DA23" i="10"/>
  <c r="CZ23" i="10"/>
  <c r="DD22" i="10"/>
  <c r="DC22" i="10"/>
  <c r="DB22" i="10"/>
  <c r="DA22" i="10"/>
  <c r="CZ22" i="10"/>
  <c r="DD21" i="10"/>
  <c r="DC21" i="10"/>
  <c r="DB21" i="10"/>
  <c r="DA21" i="10"/>
  <c r="CZ21" i="10"/>
  <c r="DD20" i="10"/>
  <c r="DC20" i="10"/>
  <c r="DB20" i="10"/>
  <c r="DA20" i="10"/>
  <c r="CZ20" i="10"/>
  <c r="DD19" i="10"/>
  <c r="DC19" i="10"/>
  <c r="DB19" i="10"/>
  <c r="DA19" i="10"/>
  <c r="CZ19" i="10"/>
  <c r="DD17" i="10"/>
  <c r="DC17" i="10"/>
  <c r="DB17" i="10"/>
  <c r="DA17" i="10"/>
  <c r="CZ17" i="10"/>
  <c r="CY17" i="10"/>
  <c r="CX17" i="10"/>
  <c r="CW17" i="10"/>
  <c r="CV17" i="10"/>
  <c r="CU17" i="10"/>
  <c r="DD16" i="10"/>
  <c r="CY16" i="10"/>
  <c r="CX16" i="10"/>
  <c r="CW16" i="10"/>
  <c r="DD15" i="10"/>
  <c r="DC15" i="10"/>
  <c r="DB15" i="10"/>
  <c r="DA15" i="10"/>
  <c r="CZ15" i="10"/>
  <c r="CY15" i="10"/>
  <c r="CX15" i="10"/>
  <c r="CW15" i="10"/>
  <c r="CV15" i="10"/>
  <c r="CU15" i="10"/>
  <c r="DD14" i="10"/>
  <c r="DC14" i="10"/>
  <c r="DC16" i="10" s="1"/>
  <c r="DB14" i="10"/>
  <c r="DB16" i="10" s="1"/>
  <c r="DA14" i="10"/>
  <c r="DA16" i="10" s="1"/>
  <c r="CZ14" i="10"/>
  <c r="CZ16" i="10" s="1"/>
  <c r="CY14" i="10"/>
  <c r="CX14" i="10"/>
  <c r="CW14" i="10"/>
  <c r="CV14" i="10"/>
  <c r="CV16" i="10" s="1"/>
  <c r="CU14" i="10"/>
  <c r="CU16" i="10" s="1"/>
  <c r="CR23" i="10"/>
  <c r="CQ23" i="10"/>
  <c r="CP23" i="10"/>
  <c r="CO23" i="10"/>
  <c r="CN23" i="10"/>
  <c r="CR22" i="10"/>
  <c r="CQ22" i="10"/>
  <c r="CP22" i="10"/>
  <c r="CO22" i="10"/>
  <c r="CN22" i="10"/>
  <c r="CR21" i="10"/>
  <c r="CQ21" i="10"/>
  <c r="CP21" i="10"/>
  <c r="CO21" i="10"/>
  <c r="CN21" i="10"/>
  <c r="CR20" i="10"/>
  <c r="CQ20" i="10"/>
  <c r="CP20" i="10"/>
  <c r="CO20" i="10"/>
  <c r="CN20" i="10"/>
  <c r="CR19" i="10"/>
  <c r="CQ19" i="10"/>
  <c r="CP19" i="10"/>
  <c r="CO19" i="10"/>
  <c r="CN19" i="10"/>
  <c r="CR17" i="10"/>
  <c r="CQ17" i="10"/>
  <c r="CP17" i="10"/>
  <c r="CO17" i="10"/>
  <c r="CN17" i="10"/>
  <c r="CM17" i="10"/>
  <c r="CL17" i="10"/>
  <c r="CK17" i="10"/>
  <c r="CJ17" i="10"/>
  <c r="CI17" i="10"/>
  <c r="CR16" i="10"/>
  <c r="CQ16" i="10"/>
  <c r="CL16" i="10"/>
  <c r="CK16" i="10"/>
  <c r="CJ16" i="10"/>
  <c r="CR15" i="10"/>
  <c r="CQ15" i="10"/>
  <c r="CP15" i="10"/>
  <c r="CO15" i="10"/>
  <c r="CN15" i="10"/>
  <c r="CM15" i="10"/>
  <c r="CL15" i="10"/>
  <c r="CK15" i="10"/>
  <c r="CJ15" i="10"/>
  <c r="CI15" i="10"/>
  <c r="CR14" i="10"/>
  <c r="CQ14" i="10"/>
  <c r="CP14" i="10"/>
  <c r="CP16" i="10" s="1"/>
  <c r="CO14" i="10"/>
  <c r="CO16" i="10" s="1"/>
  <c r="CN14" i="10"/>
  <c r="CN16" i="10" s="1"/>
  <c r="CM14" i="10"/>
  <c r="CM16" i="10" s="1"/>
  <c r="CL14" i="10"/>
  <c r="CK14" i="10"/>
  <c r="CJ14" i="10"/>
  <c r="CI14" i="10"/>
  <c r="CI16" i="10" s="1"/>
  <c r="CF23" i="10"/>
  <c r="CE23" i="10"/>
  <c r="CD23" i="10"/>
  <c r="CC23" i="10"/>
  <c r="CB23" i="10"/>
  <c r="CF22" i="10"/>
  <c r="CE22" i="10"/>
  <c r="CD22" i="10"/>
  <c r="CC22" i="10"/>
  <c r="CB22" i="10"/>
  <c r="CF21" i="10"/>
  <c r="CE21" i="10"/>
  <c r="CD21" i="10"/>
  <c r="CC21" i="10"/>
  <c r="CB21" i="10"/>
  <c r="CF20" i="10"/>
  <c r="CE20" i="10"/>
  <c r="CD20" i="10"/>
  <c r="CC20" i="10"/>
  <c r="CB20" i="10"/>
  <c r="CF19" i="10"/>
  <c r="CE19" i="10"/>
  <c r="CD19" i="10"/>
  <c r="CC19" i="10"/>
  <c r="CB19" i="10"/>
  <c r="CF17" i="10"/>
  <c r="CE17" i="10"/>
  <c r="CD17" i="10"/>
  <c r="CC17" i="10"/>
  <c r="CB17" i="10"/>
  <c r="CA17" i="10"/>
  <c r="BZ17" i="10"/>
  <c r="BY17" i="10"/>
  <c r="BX17" i="10"/>
  <c r="BW17" i="10"/>
  <c r="CF16" i="10"/>
  <c r="CA16" i="10"/>
  <c r="BZ16" i="10"/>
  <c r="BY16" i="10"/>
  <c r="BW16" i="10"/>
  <c r="CF15" i="10"/>
  <c r="CE15" i="10"/>
  <c r="CD15" i="10"/>
  <c r="CC15" i="10"/>
  <c r="CB15" i="10"/>
  <c r="CA15" i="10"/>
  <c r="BZ15" i="10"/>
  <c r="BY15" i="10"/>
  <c r="BX15" i="10"/>
  <c r="BX16" i="10" s="1"/>
  <c r="BW15" i="10"/>
  <c r="CF14" i="10"/>
  <c r="CE14" i="10"/>
  <c r="CE16" i="10" s="1"/>
  <c r="CD14" i="10"/>
  <c r="CD16" i="10" s="1"/>
  <c r="CC14" i="10"/>
  <c r="CC16" i="10" s="1"/>
  <c r="CB14" i="10"/>
  <c r="CB16" i="10" s="1"/>
  <c r="CA14" i="10"/>
  <c r="BZ14" i="10"/>
  <c r="BY14" i="10"/>
  <c r="BX14" i="10"/>
  <c r="BW14" i="10"/>
  <c r="BT23" i="10"/>
  <c r="BS23" i="10"/>
  <c r="BR23" i="10"/>
  <c r="BQ23" i="10"/>
  <c r="BP23" i="10"/>
  <c r="BT22" i="10"/>
  <c r="BS22" i="10"/>
  <c r="BR22" i="10"/>
  <c r="BQ22" i="10"/>
  <c r="BP22" i="10"/>
  <c r="BT21" i="10"/>
  <c r="BS21" i="10"/>
  <c r="BR21" i="10"/>
  <c r="BQ21" i="10"/>
  <c r="BP21" i="10"/>
  <c r="BT20" i="10"/>
  <c r="BS20" i="10"/>
  <c r="BR20" i="10"/>
  <c r="BQ20" i="10"/>
  <c r="BP20" i="10"/>
  <c r="BT19" i="10"/>
  <c r="BS19" i="10"/>
  <c r="BR19" i="10"/>
  <c r="BQ19" i="10"/>
  <c r="BP19" i="10"/>
  <c r="BT17" i="10"/>
  <c r="BS17" i="10"/>
  <c r="BR17" i="10"/>
  <c r="BQ17" i="10"/>
  <c r="BP17" i="10"/>
  <c r="BO17" i="10"/>
  <c r="BN17" i="10"/>
  <c r="BM17" i="10"/>
  <c r="BL17" i="10"/>
  <c r="BK17" i="10"/>
  <c r="BT16" i="10"/>
  <c r="BL16" i="10"/>
  <c r="BK16" i="10"/>
  <c r="BT15" i="10"/>
  <c r="BS15" i="10"/>
  <c r="BR15" i="10"/>
  <c r="BQ15" i="10"/>
  <c r="BP15" i="10"/>
  <c r="BO15" i="10"/>
  <c r="BN15" i="10"/>
  <c r="BM15" i="10"/>
  <c r="BL15" i="10"/>
  <c r="BK15" i="10"/>
  <c r="BT14" i="10"/>
  <c r="BS14" i="10"/>
  <c r="BR14" i="10"/>
  <c r="BQ14" i="10"/>
  <c r="BP14" i="10"/>
  <c r="BP16" i="10" s="1"/>
  <c r="BO14" i="10"/>
  <c r="BO16" i="10" s="1"/>
  <c r="BN14" i="10"/>
  <c r="BN16" i="10" s="1"/>
  <c r="BM14" i="10"/>
  <c r="BM16" i="10" s="1"/>
  <c r="BL14" i="10"/>
  <c r="BK14" i="10"/>
  <c r="BH23" i="10"/>
  <c r="BG23" i="10"/>
  <c r="BF23" i="10"/>
  <c r="BE23" i="10"/>
  <c r="BD23" i="10"/>
  <c r="BH22" i="10"/>
  <c r="BG22" i="10"/>
  <c r="BF22" i="10"/>
  <c r="BE22" i="10"/>
  <c r="BD22" i="10"/>
  <c r="BH21" i="10"/>
  <c r="BG21" i="10"/>
  <c r="BF21" i="10"/>
  <c r="BE21" i="10"/>
  <c r="BD21" i="10"/>
  <c r="BH20" i="10"/>
  <c r="BG20" i="10"/>
  <c r="BF20" i="10"/>
  <c r="BE20" i="10"/>
  <c r="BD20" i="10"/>
  <c r="BH19" i="10"/>
  <c r="BG19" i="10"/>
  <c r="BF19" i="10"/>
  <c r="BE19" i="10"/>
  <c r="BD19" i="10"/>
  <c r="BH17" i="10"/>
  <c r="BG17" i="10"/>
  <c r="BF17" i="10"/>
  <c r="BE17" i="10"/>
  <c r="BD17" i="10"/>
  <c r="BC17" i="10"/>
  <c r="BB17" i="10"/>
  <c r="BA17" i="10"/>
  <c r="AZ17" i="10"/>
  <c r="AY17" i="10"/>
  <c r="BH16" i="10"/>
  <c r="BH15" i="10"/>
  <c r="BG15" i="10"/>
  <c r="BF15" i="10"/>
  <c r="BE15" i="10"/>
  <c r="BD15" i="10"/>
  <c r="BC15" i="10"/>
  <c r="BB15" i="10"/>
  <c r="BA15" i="10"/>
  <c r="AZ15" i="10"/>
  <c r="AY15" i="10"/>
  <c r="BH14" i="10"/>
  <c r="BG14" i="10"/>
  <c r="BF14" i="10"/>
  <c r="BE14" i="10"/>
  <c r="BD14" i="10"/>
  <c r="BC14" i="10"/>
  <c r="BC16" i="10" s="1"/>
  <c r="BB14" i="10"/>
  <c r="BB16" i="10" s="1"/>
  <c r="BA14" i="10"/>
  <c r="BA16" i="10" s="1"/>
  <c r="AZ14" i="10"/>
  <c r="AZ16" i="10" s="1"/>
  <c r="AY14" i="10"/>
  <c r="AV23" i="10"/>
  <c r="AU23" i="10"/>
  <c r="AT23" i="10"/>
  <c r="AS23" i="10"/>
  <c r="AR23" i="10"/>
  <c r="AV22" i="10"/>
  <c r="AU22" i="10"/>
  <c r="AT22" i="10"/>
  <c r="AS22" i="10"/>
  <c r="AR22" i="10"/>
  <c r="AV21" i="10"/>
  <c r="AU21" i="10"/>
  <c r="AT21" i="10"/>
  <c r="AS21" i="10"/>
  <c r="AR21" i="10"/>
  <c r="AV20" i="10"/>
  <c r="AU20" i="10"/>
  <c r="AT20" i="10"/>
  <c r="AS20" i="10"/>
  <c r="AR20" i="10"/>
  <c r="AV19" i="10"/>
  <c r="AU19" i="10"/>
  <c r="AT19" i="10"/>
  <c r="AS19" i="10"/>
  <c r="AR19" i="10"/>
  <c r="AV17" i="10"/>
  <c r="AU17" i="10"/>
  <c r="AT17" i="10"/>
  <c r="AS17" i="10"/>
  <c r="AR17" i="10"/>
  <c r="AQ17" i="10"/>
  <c r="AP17" i="10"/>
  <c r="AO17" i="10"/>
  <c r="AN17" i="10"/>
  <c r="AM17" i="10"/>
  <c r="AV16" i="10"/>
  <c r="AV15" i="10"/>
  <c r="AU15" i="10"/>
  <c r="AU16" i="10" s="1"/>
  <c r="AT15" i="10"/>
  <c r="AS15" i="10"/>
  <c r="AR15" i="10"/>
  <c r="AQ15" i="10"/>
  <c r="AP15" i="10"/>
  <c r="AO15" i="10"/>
  <c r="AN15" i="10"/>
  <c r="AM15" i="10"/>
  <c r="AV14" i="10"/>
  <c r="AU14" i="10"/>
  <c r="AT14" i="10"/>
  <c r="AS14" i="10"/>
  <c r="AR14" i="10"/>
  <c r="AQ14" i="10"/>
  <c r="AP14" i="10"/>
  <c r="AO14" i="10"/>
  <c r="AN14" i="10"/>
  <c r="AM14" i="10"/>
  <c r="AM16" i="10" s="1"/>
  <c r="AI14" i="10"/>
  <c r="AJ23" i="10"/>
  <c r="AI23" i="10"/>
  <c r="AH23" i="10"/>
  <c r="AG23" i="10"/>
  <c r="AF23" i="10"/>
  <c r="AJ22" i="10"/>
  <c r="AI22" i="10"/>
  <c r="AH22" i="10"/>
  <c r="AG22" i="10"/>
  <c r="AF22" i="10"/>
  <c r="AJ21" i="10"/>
  <c r="AI21" i="10"/>
  <c r="AH21" i="10"/>
  <c r="AG21" i="10"/>
  <c r="AF21" i="10"/>
  <c r="AJ20" i="10"/>
  <c r="AI20" i="10"/>
  <c r="AH20" i="10"/>
  <c r="AG20" i="10"/>
  <c r="AF20" i="10"/>
  <c r="AJ19" i="10"/>
  <c r="AI19" i="10"/>
  <c r="AH19" i="10"/>
  <c r="AG19" i="10"/>
  <c r="AF19" i="10"/>
  <c r="AJ17" i="10"/>
  <c r="AI17" i="10"/>
  <c r="AH17" i="10"/>
  <c r="AG17" i="10"/>
  <c r="AF17" i="10"/>
  <c r="AE17" i="10"/>
  <c r="AD17" i="10"/>
  <c r="AC17" i="10"/>
  <c r="AB17" i="10"/>
  <c r="AA17" i="10"/>
  <c r="AJ16" i="10"/>
  <c r="AA16" i="10"/>
  <c r="AJ15" i="10"/>
  <c r="AI15" i="10"/>
  <c r="AI16" i="10" s="1"/>
  <c r="AH15" i="10"/>
  <c r="AG15" i="10"/>
  <c r="AF15" i="10"/>
  <c r="AE15" i="10"/>
  <c r="AD15" i="10"/>
  <c r="AC15" i="10"/>
  <c r="AB15" i="10"/>
  <c r="AA15" i="10"/>
  <c r="AJ14" i="10"/>
  <c r="AH14" i="10"/>
  <c r="AG14" i="10"/>
  <c r="AF14" i="10"/>
  <c r="AE14" i="10"/>
  <c r="AD14" i="10"/>
  <c r="AC14" i="10"/>
  <c r="AC16" i="10" s="1"/>
  <c r="AB14" i="10"/>
  <c r="AA14" i="10"/>
  <c r="X23" i="10"/>
  <c r="W23" i="10"/>
  <c r="V23" i="10"/>
  <c r="U23" i="10"/>
  <c r="T23" i="10"/>
  <c r="X22" i="10"/>
  <c r="W22" i="10"/>
  <c r="V22" i="10"/>
  <c r="U22" i="10"/>
  <c r="T22" i="10"/>
  <c r="X21" i="10"/>
  <c r="W21" i="10"/>
  <c r="V21" i="10"/>
  <c r="U21" i="10"/>
  <c r="T21" i="10"/>
  <c r="X20" i="10"/>
  <c r="W20" i="10"/>
  <c r="V20" i="10"/>
  <c r="U20" i="10"/>
  <c r="T20" i="10"/>
  <c r="X19" i="10"/>
  <c r="W19" i="10"/>
  <c r="V19" i="10"/>
  <c r="U19" i="10"/>
  <c r="T19" i="10"/>
  <c r="X17" i="10"/>
  <c r="W17" i="10"/>
  <c r="V17" i="10"/>
  <c r="U17" i="10"/>
  <c r="T17" i="10"/>
  <c r="S17" i="10"/>
  <c r="R17" i="10"/>
  <c r="Q17" i="10"/>
  <c r="P17" i="10"/>
  <c r="O17" i="10"/>
  <c r="X16" i="10"/>
  <c r="X15" i="10"/>
  <c r="W15" i="10"/>
  <c r="W16" i="10" s="1"/>
  <c r="V15" i="10"/>
  <c r="V16" i="10" s="1"/>
  <c r="U15" i="10"/>
  <c r="T15" i="10"/>
  <c r="S15" i="10"/>
  <c r="R15" i="10"/>
  <c r="Q15" i="10"/>
  <c r="P15" i="10"/>
  <c r="O15" i="10"/>
  <c r="X14" i="10"/>
  <c r="W14" i="10"/>
  <c r="V14" i="10"/>
  <c r="U14" i="10"/>
  <c r="U16" i="10" s="1"/>
  <c r="T14" i="10"/>
  <c r="S14" i="10"/>
  <c r="S16" i="10" s="1"/>
  <c r="R14" i="10"/>
  <c r="Q14" i="10"/>
  <c r="Q16" i="10" s="1"/>
  <c r="P14" i="10"/>
  <c r="P16" i="10" s="1"/>
  <c r="O14" i="10"/>
  <c r="W13" i="7"/>
  <c r="AA13" i="7" s="1"/>
  <c r="R13" i="7"/>
  <c r="Q13" i="7"/>
  <c r="U13" i="7"/>
  <c r="W12" i="7"/>
  <c r="AA12" i="7" s="1"/>
  <c r="R12" i="7"/>
  <c r="Q12" i="7"/>
  <c r="U12" i="7"/>
  <c r="W11" i="7"/>
  <c r="AA11" i="7" s="1"/>
  <c r="R11" i="7"/>
  <c r="Q11" i="7"/>
  <c r="U11" i="7"/>
  <c r="W10" i="7"/>
  <c r="AA10" i="7" s="1"/>
  <c r="R10" i="7"/>
  <c r="Q10" i="7"/>
  <c r="U10" i="7"/>
  <c r="W9" i="7"/>
  <c r="AA9" i="7" s="1"/>
  <c r="R9" i="7"/>
  <c r="Q9" i="7"/>
  <c r="U9" i="7"/>
  <c r="E28" i="7" s="1"/>
  <c r="E26" i="7" s="1"/>
  <c r="K13" i="7"/>
  <c r="O13" i="7" s="1"/>
  <c r="F13" i="7"/>
  <c r="E13" i="7"/>
  <c r="I13" i="7"/>
  <c r="K12" i="7"/>
  <c r="O12" i="7" s="1"/>
  <c r="F12" i="7"/>
  <c r="E12" i="7"/>
  <c r="I12" i="7"/>
  <c r="K11" i="7"/>
  <c r="O11" i="7" s="1"/>
  <c r="F11" i="7"/>
  <c r="E11" i="7"/>
  <c r="I11" i="7"/>
  <c r="K10" i="7"/>
  <c r="O10" i="7" s="1"/>
  <c r="F10" i="7"/>
  <c r="E10" i="7"/>
  <c r="I10" i="7"/>
  <c r="K9" i="7"/>
  <c r="O9" i="7" s="1"/>
  <c r="O14" i="7" s="1"/>
  <c r="F9" i="7"/>
  <c r="E9" i="7"/>
  <c r="I9" i="7"/>
  <c r="C28" i="7" s="1"/>
  <c r="C26" i="7" s="1"/>
  <c r="IX17" i="8"/>
  <c r="IW17" i="8"/>
  <c r="IV17" i="8"/>
  <c r="IU17" i="8"/>
  <c r="IT17" i="8"/>
  <c r="IS17" i="8"/>
  <c r="IR17" i="8"/>
  <c r="IQ17" i="8"/>
  <c r="IP17" i="8"/>
  <c r="IO17" i="8"/>
  <c r="IX16" i="8"/>
  <c r="IW16" i="8"/>
  <c r="IV16" i="8"/>
  <c r="IQ16" i="8"/>
  <c r="IP16" i="8"/>
  <c r="IO16" i="8"/>
  <c r="IX15" i="8"/>
  <c r="IW15" i="8"/>
  <c r="IV15" i="8"/>
  <c r="IU15" i="8"/>
  <c r="IT15" i="8"/>
  <c r="IS15" i="8"/>
  <c r="IR15" i="8"/>
  <c r="IQ15" i="8"/>
  <c r="IP15" i="8"/>
  <c r="IO15" i="8"/>
  <c r="IX14" i="8"/>
  <c r="IW14" i="8"/>
  <c r="IV14" i="8"/>
  <c r="IU14" i="8"/>
  <c r="IU16" i="8" s="1"/>
  <c r="IT14" i="8"/>
  <c r="IT16" i="8" s="1"/>
  <c r="IS14" i="8"/>
  <c r="IS16" i="8" s="1"/>
  <c r="IR14" i="8"/>
  <c r="IR16" i="8" s="1"/>
  <c r="IQ14" i="8"/>
  <c r="IP14" i="8"/>
  <c r="IO14" i="8"/>
  <c r="L17" i="10"/>
  <c r="K17" i="10"/>
  <c r="J17" i="10"/>
  <c r="I17" i="10"/>
  <c r="H17" i="10"/>
  <c r="G17" i="10"/>
  <c r="F17" i="10"/>
  <c r="E17" i="10"/>
  <c r="D17" i="10"/>
  <c r="C17" i="10"/>
  <c r="L16" i="10"/>
  <c r="L15" i="10"/>
  <c r="L14" i="10"/>
  <c r="K15" i="10"/>
  <c r="J15" i="10"/>
  <c r="I15" i="10"/>
  <c r="H15" i="10"/>
  <c r="K14" i="10"/>
  <c r="J14" i="10"/>
  <c r="I14" i="10"/>
  <c r="H14" i="10"/>
  <c r="G15" i="10"/>
  <c r="F15" i="10"/>
  <c r="E15" i="10"/>
  <c r="D15" i="10"/>
  <c r="G14" i="10"/>
  <c r="F14" i="10"/>
  <c r="E14" i="10"/>
  <c r="D14" i="10"/>
  <c r="C15" i="10"/>
  <c r="C14" i="10"/>
  <c r="AA14" i="7" l="1"/>
  <c r="V11" i="7"/>
  <c r="AB11" i="7" s="1"/>
  <c r="J11" i="7"/>
  <c r="P11" i="7" s="1"/>
  <c r="V10" i="7"/>
  <c r="AB10" i="7" s="1"/>
  <c r="J12" i="7"/>
  <c r="P12" i="7" s="1"/>
  <c r="V13" i="7"/>
  <c r="AB13" i="7" s="1"/>
  <c r="V9" i="7"/>
  <c r="E23" i="7"/>
  <c r="V12" i="7"/>
  <c r="AB12" i="7" s="1"/>
  <c r="E24" i="7"/>
  <c r="E16" i="7"/>
  <c r="C23" i="7"/>
  <c r="J9" i="7"/>
  <c r="C24" i="7"/>
  <c r="J10" i="7"/>
  <c r="P10" i="7" s="1"/>
  <c r="J13" i="7"/>
  <c r="P13" i="7" s="1"/>
  <c r="BQ16" i="10"/>
  <c r="T16" i="10"/>
  <c r="AP16" i="10"/>
  <c r="BE16" i="10"/>
  <c r="BF16" i="10"/>
  <c r="AB16" i="10"/>
  <c r="AN16" i="10"/>
  <c r="AH16" i="10"/>
  <c r="BR16" i="10"/>
  <c r="BS16" i="10"/>
  <c r="R16" i="10"/>
  <c r="AO16" i="10"/>
  <c r="AY16" i="10"/>
  <c r="AQ16" i="10"/>
  <c r="J16" i="10"/>
  <c r="AD16" i="10"/>
  <c r="AR16" i="10"/>
  <c r="K16" i="10"/>
  <c r="AE16" i="10"/>
  <c r="AS16" i="10"/>
  <c r="D16" i="10"/>
  <c r="AF16" i="10"/>
  <c r="AT16" i="10"/>
  <c r="E16" i="10"/>
  <c r="AG16" i="10"/>
  <c r="BD16" i="10"/>
  <c r="O16" i="10"/>
  <c r="BG16" i="10"/>
  <c r="F16" i="10"/>
  <c r="C16" i="10"/>
  <c r="H16" i="10"/>
  <c r="I16" i="10"/>
  <c r="G16" i="10"/>
  <c r="G13" i="9"/>
  <c r="E13" i="9"/>
  <c r="L12" i="9"/>
  <c r="K12" i="9"/>
  <c r="G12" i="9"/>
  <c r="E12" i="9"/>
  <c r="G11" i="9"/>
  <c r="E11" i="9"/>
  <c r="G10" i="9"/>
  <c r="E10" i="9"/>
  <c r="M9" i="9"/>
  <c r="G9" i="9"/>
  <c r="E9" i="9"/>
  <c r="G8" i="9"/>
  <c r="E8" i="9"/>
  <c r="L7" i="9"/>
  <c r="K7" i="9"/>
  <c r="G7" i="9"/>
  <c r="E7" i="9"/>
  <c r="G6" i="9"/>
  <c r="E6" i="9"/>
  <c r="G5" i="9"/>
  <c r="E5" i="9"/>
  <c r="M4" i="9"/>
  <c r="V14" i="7" l="1"/>
  <c r="V15" i="7" s="1"/>
  <c r="C21" i="7"/>
  <c r="E21" i="7"/>
  <c r="AB9" i="7"/>
  <c r="AB14" i="7" s="1"/>
  <c r="J14" i="7"/>
  <c r="J15" i="7" s="1"/>
  <c r="P9" i="7"/>
  <c r="P14" i="7" s="1"/>
  <c r="P15" i="7" s="1"/>
  <c r="F8" i="7"/>
  <c r="R8" i="7"/>
  <c r="R16" i="7" s="1"/>
  <c r="F16" i="7" l="1"/>
  <c r="B23" i="7"/>
  <c r="R39" i="7"/>
  <c r="R38" i="7"/>
  <c r="R37" i="7"/>
  <c r="R35" i="7"/>
  <c r="R36" i="7"/>
  <c r="F14" i="7"/>
  <c r="F15" i="7" s="1"/>
  <c r="R14" i="7"/>
  <c r="E14" i="7"/>
  <c r="E15" i="7" s="1"/>
  <c r="W8" i="7"/>
  <c r="K8" i="7"/>
  <c r="O8" i="7" s="1"/>
  <c r="Q8" i="7"/>
  <c r="U8" i="7"/>
  <c r="I8" i="7"/>
  <c r="B2" i="7"/>
  <c r="E4" i="7" s="1"/>
  <c r="B19" i="7" s="1"/>
  <c r="D24" i="7" l="1"/>
  <c r="AA8" i="7"/>
  <c r="AA16" i="7" s="1"/>
  <c r="I16" i="7"/>
  <c r="B28" i="7"/>
  <c r="B26" i="7" s="1"/>
  <c r="U16" i="7"/>
  <c r="D28" i="7"/>
  <c r="D26" i="7" s="1"/>
  <c r="D23" i="7"/>
  <c r="V8" i="7"/>
  <c r="V16" i="7" s="1"/>
  <c r="J8" i="7"/>
  <c r="W16" i="7"/>
  <c r="K16" i="7"/>
  <c r="B24" i="7"/>
  <c r="B21" i="7" s="1"/>
  <c r="Q35" i="7"/>
  <c r="Q16" i="7"/>
  <c r="R15" i="7"/>
  <c r="R41" i="7" s="1"/>
  <c r="R40" i="7"/>
  <c r="Q37" i="7"/>
  <c r="Q38" i="7"/>
  <c r="Q36" i="7"/>
  <c r="Q39" i="7"/>
  <c r="W39" i="7"/>
  <c r="W35" i="7"/>
  <c r="W38" i="7"/>
  <c r="W37" i="7"/>
  <c r="W36" i="7"/>
  <c r="K14" i="7"/>
  <c r="W14" i="7"/>
  <c r="AA15" i="7" s="1"/>
  <c r="Q14" i="7"/>
  <c r="D21" i="7" l="1"/>
  <c r="K15" i="7"/>
  <c r="P8" i="7"/>
  <c r="O16" i="7"/>
  <c r="AB8" i="7"/>
  <c r="Q15" i="7"/>
  <c r="Q41" i="7" s="1"/>
  <c r="Q40" i="7"/>
  <c r="W15" i="7"/>
  <c r="W41" i="7" s="1"/>
  <c r="W40" i="7"/>
  <c r="U14" i="7"/>
  <c r="I14" i="7"/>
  <c r="I15" i="7" s="1"/>
  <c r="U15" i="7" l="1"/>
  <c r="AB15" i="7"/>
  <c r="O15" i="7"/>
</calcChain>
</file>

<file path=xl/sharedStrings.xml><?xml version="1.0" encoding="utf-8"?>
<sst xmlns="http://schemas.openxmlformats.org/spreadsheetml/2006/main" count="22223" uniqueCount="2035">
  <si>
    <t>Customer Name</t>
  </si>
  <si>
    <t>Posting Date</t>
  </si>
  <si>
    <t>Material</t>
  </si>
  <si>
    <t>Material Description</t>
  </si>
  <si>
    <t>Sales Unit</t>
  </si>
  <si>
    <t>Material type</t>
  </si>
  <si>
    <t>Material Group</t>
  </si>
  <si>
    <t>Actual delivery qty</t>
  </si>
  <si>
    <t>PGI Amount</t>
  </si>
  <si>
    <t>PGI Quantity</t>
  </si>
  <si>
    <t>Billed Quantity</t>
  </si>
  <si>
    <t>Billing Date</t>
  </si>
  <si>
    <t>Net Value</t>
  </si>
  <si>
    <t>Document Type</t>
  </si>
  <si>
    <t>Description</t>
  </si>
  <si>
    <t>Acct Assmt Grp Cust.</t>
  </si>
  <si>
    <t>FG0722</t>
  </si>
  <si>
    <t>PCBA AB BLDC FF GMHVI7-L</t>
  </si>
  <si>
    <t>NOS</t>
  </si>
  <si>
    <t>ZFG1</t>
  </si>
  <si>
    <t>FG0011</t>
  </si>
  <si>
    <t>RV</t>
  </si>
  <si>
    <t>Billing doc.transfer</t>
  </si>
  <si>
    <t>FIG027</t>
  </si>
  <si>
    <t>GV5 MCF Smart(Flamingo)6Blue LED-EA12701</t>
  </si>
  <si>
    <t>FIG002</t>
  </si>
  <si>
    <t>GV5.1.1 STM32C0 EA18601</t>
  </si>
  <si>
    <t>FG0010</t>
  </si>
  <si>
    <t>FIG003</t>
  </si>
  <si>
    <t>GV5.1.1 STM32C0 EA16901</t>
  </si>
  <si>
    <t>FIG023</t>
  </si>
  <si>
    <t>GV5 1.4M STM32 0.1 6 LED Blue- EA18501</t>
  </si>
  <si>
    <t>A244801</t>
  </si>
  <si>
    <t>Wound Stator Jackal 1.2M</t>
  </si>
  <si>
    <t>ZSFG</t>
  </si>
  <si>
    <t>SF0013</t>
  </si>
  <si>
    <t>FG0721</t>
  </si>
  <si>
    <t>PCBA AB BLDC DC GMVI6-L</t>
  </si>
  <si>
    <t>FIG001</t>
  </si>
  <si>
    <t>PCBA GV5 1.2M STM32 0.1 6 LED Blue</t>
  </si>
  <si>
    <t>A1X1022</t>
  </si>
  <si>
    <t>Wound Stator GV5 1.2M</t>
  </si>
  <si>
    <t>FIG028</t>
  </si>
  <si>
    <t>GV5.1_STM32_C0_6BlueLED_Jackel-EA24201</t>
  </si>
  <si>
    <t>FIG020</t>
  </si>
  <si>
    <t>GV5.1_STM32C0 SINGLE LED 1200 28WEA20801</t>
  </si>
  <si>
    <t>FIG022</t>
  </si>
  <si>
    <t>GV5 0.9M STM32 0.1 6 LED Blue- EA18401</t>
  </si>
  <si>
    <t>ZROH</t>
  </si>
  <si>
    <t>RM0002</t>
  </si>
  <si>
    <t>RM0012</t>
  </si>
  <si>
    <t>FIG026</t>
  </si>
  <si>
    <t>GV5.1_STM32C0_6White LED_1200Al-EA24501 </t>
  </si>
  <si>
    <t>Grand Total</t>
  </si>
  <si>
    <t>A001</t>
  </si>
  <si>
    <t>A002</t>
  </si>
  <si>
    <t>AS0001</t>
  </si>
  <si>
    <t>AS0002</t>
  </si>
  <si>
    <t>AS0003</t>
  </si>
  <si>
    <t>AS0004</t>
  </si>
  <si>
    <t>AS0005</t>
  </si>
  <si>
    <t>AS0006</t>
  </si>
  <si>
    <t>AS0007</t>
  </si>
  <si>
    <t>AS0008</t>
  </si>
  <si>
    <t>AS0009</t>
  </si>
  <si>
    <t>AS0010</t>
  </si>
  <si>
    <t>AS0011</t>
  </si>
  <si>
    <t>AS0012</t>
  </si>
  <si>
    <t>AS0013</t>
  </si>
  <si>
    <t>AS0014</t>
  </si>
  <si>
    <t>AS0015</t>
  </si>
  <si>
    <t>AS0016</t>
  </si>
  <si>
    <t>AS0017</t>
  </si>
  <si>
    <t>AS0018</t>
  </si>
  <si>
    <t>AS0019</t>
  </si>
  <si>
    <t>AS0020</t>
  </si>
  <si>
    <t>AS0021</t>
  </si>
  <si>
    <t>AS0022</t>
  </si>
  <si>
    <t>AS0023</t>
  </si>
  <si>
    <t>AS0024</t>
  </si>
  <si>
    <t>AS0025</t>
  </si>
  <si>
    <t>AS0026</t>
  </si>
  <si>
    <t>AS0027</t>
  </si>
  <si>
    <t>AS0028</t>
  </si>
  <si>
    <t>R&amp;D Plant &amp;Machinery</t>
  </si>
  <si>
    <t>AS0029</t>
  </si>
  <si>
    <t>Other Intengi.Assets</t>
  </si>
  <si>
    <t>AS0030</t>
  </si>
  <si>
    <t>AS0031</t>
  </si>
  <si>
    <t>AS0032</t>
  </si>
  <si>
    <t>AS0033</t>
  </si>
  <si>
    <t>AS0034</t>
  </si>
  <si>
    <t>AS0035</t>
  </si>
  <si>
    <t>AS0036</t>
  </si>
  <si>
    <t>Therm/BarcodePrinter</t>
  </si>
  <si>
    <t>AS0037</t>
  </si>
  <si>
    <t>AS0038</t>
  </si>
  <si>
    <t>AS0039</t>
  </si>
  <si>
    <t>Other Plant&amp;Machine.</t>
  </si>
  <si>
    <t>AS0040</t>
  </si>
  <si>
    <t>AS0050</t>
  </si>
  <si>
    <t>AS0060</t>
  </si>
  <si>
    <t>AS0070</t>
  </si>
  <si>
    <t>AS0080</t>
  </si>
  <si>
    <t>Comp Soft. &amp; web dev</t>
  </si>
  <si>
    <t>AS0120</t>
  </si>
  <si>
    <t>Electrical Installat</t>
  </si>
  <si>
    <t>AS0130</t>
  </si>
  <si>
    <t>Product dev &amp; design</t>
  </si>
  <si>
    <t>AS0140</t>
  </si>
  <si>
    <t>AS0150</t>
  </si>
  <si>
    <t>AS0160</t>
  </si>
  <si>
    <t>B001</t>
  </si>
  <si>
    <t>B002</t>
  </si>
  <si>
    <t>CN0001</t>
  </si>
  <si>
    <t>CN0002</t>
  </si>
  <si>
    <t>CN0003</t>
  </si>
  <si>
    <t>CN0004</t>
  </si>
  <si>
    <t>CN0005</t>
  </si>
  <si>
    <t>CN0006</t>
  </si>
  <si>
    <t>CN0007</t>
  </si>
  <si>
    <t>CN0008</t>
  </si>
  <si>
    <t>CS0001</t>
  </si>
  <si>
    <t>Industrial Chemicals</t>
  </si>
  <si>
    <t>CS0002</t>
  </si>
  <si>
    <t>Lubricants &amp; Greases</t>
  </si>
  <si>
    <t>CS0003</t>
  </si>
  <si>
    <t>CS0004</t>
  </si>
  <si>
    <t>CS0005</t>
  </si>
  <si>
    <t>Electronics consumab</t>
  </si>
  <si>
    <t>CS0006</t>
  </si>
  <si>
    <t>E001</t>
  </si>
  <si>
    <t>E002</t>
  </si>
  <si>
    <t>E003</t>
  </si>
  <si>
    <t>E004</t>
  </si>
  <si>
    <t>F00001</t>
  </si>
  <si>
    <t>F00002</t>
  </si>
  <si>
    <t>F00003</t>
  </si>
  <si>
    <t>F00004</t>
  </si>
  <si>
    <t>F00005</t>
  </si>
  <si>
    <t>F00006</t>
  </si>
  <si>
    <t>F00007</t>
  </si>
  <si>
    <t>F00008</t>
  </si>
  <si>
    <t>F00009</t>
  </si>
  <si>
    <t>F00010</t>
  </si>
  <si>
    <t>F00011</t>
  </si>
  <si>
    <t>F00012</t>
  </si>
  <si>
    <t>F00013</t>
  </si>
  <si>
    <t>F00014</t>
  </si>
  <si>
    <t>F00015</t>
  </si>
  <si>
    <t>FG0001</t>
  </si>
  <si>
    <t>Finished Goods - GV2</t>
  </si>
  <si>
    <t>FG0002</t>
  </si>
  <si>
    <t>Finished Goods - GV3</t>
  </si>
  <si>
    <t>FG0003</t>
  </si>
  <si>
    <t>Finished Goods - GV4</t>
  </si>
  <si>
    <t>FG0004</t>
  </si>
  <si>
    <t>Finished Goods - GV5</t>
  </si>
  <si>
    <t>FG0005</t>
  </si>
  <si>
    <t>FG0006</t>
  </si>
  <si>
    <t>Finished Goods - Exh</t>
  </si>
  <si>
    <t>FG0007</t>
  </si>
  <si>
    <t>Finished Goods - Sma</t>
  </si>
  <si>
    <t>FG0008</t>
  </si>
  <si>
    <t>Finished Goods - TRe</t>
  </si>
  <si>
    <t>FG0009</t>
  </si>
  <si>
    <t>Finished Goods - TPW</t>
  </si>
  <si>
    <t>L001</t>
  </si>
  <si>
    <t>L002</t>
  </si>
  <si>
    <t>L003</t>
  </si>
  <si>
    <t>L004</t>
  </si>
  <si>
    <t>L005</t>
  </si>
  <si>
    <t>L006</t>
  </si>
  <si>
    <t>L007</t>
  </si>
  <si>
    <t>L008</t>
  </si>
  <si>
    <t>MS0001</t>
  </si>
  <si>
    <t>Electrical component</t>
  </si>
  <si>
    <t>MS0002</t>
  </si>
  <si>
    <t>Mechanical Component</t>
  </si>
  <si>
    <t>MS0003</t>
  </si>
  <si>
    <t>MS0004</t>
  </si>
  <si>
    <t>P000</t>
  </si>
  <si>
    <t>P001</t>
  </si>
  <si>
    <t>P002</t>
  </si>
  <si>
    <t>P003</t>
  </si>
  <si>
    <t>PK0001</t>
  </si>
  <si>
    <t>PK0002</t>
  </si>
  <si>
    <t>PK0003</t>
  </si>
  <si>
    <t>PK0004</t>
  </si>
  <si>
    <t>PK0005</t>
  </si>
  <si>
    <t>PK0006</t>
  </si>
  <si>
    <t>PK0007</t>
  </si>
  <si>
    <t>PK0008</t>
  </si>
  <si>
    <t>PK0009</t>
  </si>
  <si>
    <t>Plastic film and wra</t>
  </si>
  <si>
    <t>PK0010</t>
  </si>
  <si>
    <t>PK0011</t>
  </si>
  <si>
    <t>Packaging Accessorie</t>
  </si>
  <si>
    <t>RM0001</t>
  </si>
  <si>
    <t>RM0003</t>
  </si>
  <si>
    <t>RM-Eletro-Consumable</t>
  </si>
  <si>
    <t>RM0004</t>
  </si>
  <si>
    <t>RM0005</t>
  </si>
  <si>
    <t>RM0006</t>
  </si>
  <si>
    <t>RM0007</t>
  </si>
  <si>
    <t>RM0008</t>
  </si>
  <si>
    <t>RM-Eletro-Transistor</t>
  </si>
  <si>
    <t>RM0009</t>
  </si>
  <si>
    <t>RM-Mech. Accessories</t>
  </si>
  <si>
    <t>RM0010</t>
  </si>
  <si>
    <t>RM-Mech. Consumables</t>
  </si>
  <si>
    <t>RM0011</t>
  </si>
  <si>
    <t>RM0013</t>
  </si>
  <si>
    <t>RM0014</t>
  </si>
  <si>
    <t>RM0015</t>
  </si>
  <si>
    <t>RM0016</t>
  </si>
  <si>
    <t>RM0017</t>
  </si>
  <si>
    <t>RM0018</t>
  </si>
  <si>
    <t>RM0019</t>
  </si>
  <si>
    <t>RM0020</t>
  </si>
  <si>
    <t>RM0021</t>
  </si>
  <si>
    <t>RM0022</t>
  </si>
  <si>
    <t>RM0023</t>
  </si>
  <si>
    <t>RM0024</t>
  </si>
  <si>
    <t>RM0025</t>
  </si>
  <si>
    <t>RM0026</t>
  </si>
  <si>
    <t>RM0027</t>
  </si>
  <si>
    <t>RM0028</t>
  </si>
  <si>
    <t>RM0029</t>
  </si>
  <si>
    <t>RM0030</t>
  </si>
  <si>
    <t>RM0031</t>
  </si>
  <si>
    <t>RM0032</t>
  </si>
  <si>
    <t>RM-Mech-Shaft/Downro</t>
  </si>
  <si>
    <t>RT0001</t>
  </si>
  <si>
    <t>RT0002</t>
  </si>
  <si>
    <t>RT0003</t>
  </si>
  <si>
    <t>RT0004</t>
  </si>
  <si>
    <t>SCR001</t>
  </si>
  <si>
    <t>SCR002</t>
  </si>
  <si>
    <t>SCR003</t>
  </si>
  <si>
    <t>SCR004</t>
  </si>
  <si>
    <t>SCR005</t>
  </si>
  <si>
    <t>SER001</t>
  </si>
  <si>
    <t>SER002</t>
  </si>
  <si>
    <t>SER003</t>
  </si>
  <si>
    <t>SER004</t>
  </si>
  <si>
    <t>SER005</t>
  </si>
  <si>
    <t>SER006</t>
  </si>
  <si>
    <t>SER007</t>
  </si>
  <si>
    <t>Manpower Wel-Factory</t>
  </si>
  <si>
    <t>SER008</t>
  </si>
  <si>
    <t>Marketing&amp;Brand.Exp.</t>
  </si>
  <si>
    <t>SER009</t>
  </si>
  <si>
    <t>Other Admin Expenses</t>
  </si>
  <si>
    <t>SER010</t>
  </si>
  <si>
    <t>SER011</t>
  </si>
  <si>
    <t>SER012</t>
  </si>
  <si>
    <t>SER013</t>
  </si>
  <si>
    <t>SER014</t>
  </si>
  <si>
    <t>SER015</t>
  </si>
  <si>
    <t>SER016</t>
  </si>
  <si>
    <t>SER017</t>
  </si>
  <si>
    <t>SER018</t>
  </si>
  <si>
    <t>SER414</t>
  </si>
  <si>
    <t>SER421</t>
  </si>
  <si>
    <t>SER423</t>
  </si>
  <si>
    <t>SER432</t>
  </si>
  <si>
    <t>SER433</t>
  </si>
  <si>
    <t>Manpower Welfare - F</t>
  </si>
  <si>
    <t>SER434</t>
  </si>
  <si>
    <t>SER441</t>
  </si>
  <si>
    <t>Scheme, Discount and</t>
  </si>
  <si>
    <t>SER443</t>
  </si>
  <si>
    <t>SER444</t>
  </si>
  <si>
    <t>Logistic and Warehou</t>
  </si>
  <si>
    <t>SER451</t>
  </si>
  <si>
    <t>SER461</t>
  </si>
  <si>
    <t>SER462</t>
  </si>
  <si>
    <t>SER463</t>
  </si>
  <si>
    <t>SER464</t>
  </si>
  <si>
    <t>SER465</t>
  </si>
  <si>
    <t>Marketing and Brandi</t>
  </si>
  <si>
    <t>SER466</t>
  </si>
  <si>
    <t>SER467</t>
  </si>
  <si>
    <t>SER469</t>
  </si>
  <si>
    <t>SER470</t>
  </si>
  <si>
    <t>SF0001</t>
  </si>
  <si>
    <t>SF0002</t>
  </si>
  <si>
    <t>SF0003</t>
  </si>
  <si>
    <t>SF0004</t>
  </si>
  <si>
    <t>SF0005</t>
  </si>
  <si>
    <t>SF0006</t>
  </si>
  <si>
    <t>SF0007</t>
  </si>
  <si>
    <t>SF0008</t>
  </si>
  <si>
    <t>SF0009</t>
  </si>
  <si>
    <t>SF0010</t>
  </si>
  <si>
    <t>SF0011</t>
  </si>
  <si>
    <t>Sub Ass.-Electro PCB</t>
  </si>
  <si>
    <t>SF0012</t>
  </si>
  <si>
    <t>Sub Ass.-Mech Stator</t>
  </si>
  <si>
    <t>SF0014</t>
  </si>
  <si>
    <t>SF0015</t>
  </si>
  <si>
    <t>SF0016</t>
  </si>
  <si>
    <t>TRex-RM-Mech. Asmbly</t>
  </si>
  <si>
    <t>SF0017</t>
  </si>
  <si>
    <t>SF0018</t>
  </si>
  <si>
    <t>SF0019</t>
  </si>
  <si>
    <t>SF0020</t>
  </si>
  <si>
    <t>SF0021</t>
  </si>
  <si>
    <t>SF0022</t>
  </si>
  <si>
    <t>SF0023</t>
  </si>
  <si>
    <t>SF0024</t>
  </si>
  <si>
    <t>SF0025</t>
  </si>
  <si>
    <t>SF0026</t>
  </si>
  <si>
    <t>SF0027</t>
  </si>
  <si>
    <t>TM0001</t>
  </si>
  <si>
    <t>Trading Materials- R</t>
  </si>
  <si>
    <t>TM0002</t>
  </si>
  <si>
    <t>Trading Materials- F</t>
  </si>
  <si>
    <t>YBFA01</t>
  </si>
  <si>
    <t>YBFA02</t>
  </si>
  <si>
    <t>YBFA03</t>
  </si>
  <si>
    <t>YBFA04</t>
  </si>
  <si>
    <t>YBFA05</t>
  </si>
  <si>
    <t>YBFA06</t>
  </si>
  <si>
    <t>YBFA07</t>
  </si>
  <si>
    <t>YBFA08</t>
  </si>
  <si>
    <t>YBFA09</t>
  </si>
  <si>
    <t>YBFA10</t>
  </si>
  <si>
    <t>YBFA11</t>
  </si>
  <si>
    <t>YBFA12</t>
  </si>
  <si>
    <t>YBMM00</t>
  </si>
  <si>
    <t>YBMM01</t>
  </si>
  <si>
    <t>YBPM01</t>
  </si>
  <si>
    <t>YBPM02</t>
  </si>
  <si>
    <t>(All)</t>
  </si>
  <si>
    <t>Material type Descr</t>
  </si>
  <si>
    <t>Material Group Descrip</t>
  </si>
  <si>
    <t>Finished Goods</t>
  </si>
  <si>
    <t>Semi-Finished Goods</t>
  </si>
  <si>
    <t>Raw Material</t>
  </si>
  <si>
    <t>Sum of Net Value</t>
  </si>
  <si>
    <t>Last Day billing</t>
  </si>
  <si>
    <t>Gross Margin</t>
  </si>
  <si>
    <t>GM %</t>
  </si>
  <si>
    <t>Month</t>
  </si>
  <si>
    <t>PGI per unit</t>
  </si>
  <si>
    <t>Labour cost per unit</t>
  </si>
  <si>
    <t>Other Conversion cost pu</t>
  </si>
  <si>
    <t>Material Desc</t>
  </si>
  <si>
    <t>CONSUMABLES COST</t>
  </si>
  <si>
    <t>LABOUR COST</t>
  </si>
  <si>
    <t>PLANT OH COST</t>
  </si>
  <si>
    <t>STAFF COST</t>
  </si>
  <si>
    <t>FG0723</t>
  </si>
  <si>
    <t>PCBA AB BLDC FF GMHVI7-L1</t>
  </si>
  <si>
    <t>FG0724</t>
  </si>
  <si>
    <t>PCBA AB BLDC FF GMHVI10-L1</t>
  </si>
  <si>
    <t>FIG0019</t>
  </si>
  <si>
    <t>Jar Sensor PCBA Maple EA12201</t>
  </si>
  <si>
    <t>FIG004</t>
  </si>
  <si>
    <t>PCB Hall Sensor EA07101 MG</t>
  </si>
  <si>
    <t>FIG005</t>
  </si>
  <si>
    <t>PCB Driver EA06301 MG1.1</t>
  </si>
  <si>
    <t>FIG006</t>
  </si>
  <si>
    <t>PCB Interface EA06401 MG1.1</t>
  </si>
  <si>
    <t>FIG008</t>
  </si>
  <si>
    <t>PCBA Maple V01 EA11101</t>
  </si>
  <si>
    <t>FIG010</t>
  </si>
  <si>
    <t>PCBA Cocoa V00 EA19301</t>
  </si>
  <si>
    <t>FIG011</t>
  </si>
  <si>
    <t>HE Sensor Holder Assembly A119908</t>
  </si>
  <si>
    <t>FIG031</t>
  </si>
  <si>
    <t>AC- IDU-PCB HARNESS ASSEMBLY-A175601</t>
  </si>
  <si>
    <t>FIG032</t>
  </si>
  <si>
    <t>AC-ODU-PCB HARNESS ASSEMBLY-A175701</t>
  </si>
  <si>
    <t>FIG035</t>
  </si>
  <si>
    <t>PCBA_Maple 110V(EA22001)_P01</t>
  </si>
  <si>
    <t>FIG038</t>
  </si>
  <si>
    <t>ESP &amp; DIGITAL PCB SUBASSEMBLY_EA08501</t>
  </si>
  <si>
    <t>FIG040</t>
  </si>
  <si>
    <t>Jaguar Power PCBA 1V5_EA19501</t>
  </si>
  <si>
    <t>FIG041</t>
  </si>
  <si>
    <t>Jaguar Digital PCB(DRV10987)_EA07401</t>
  </si>
  <si>
    <t>FIG042</t>
  </si>
  <si>
    <t>Jaguar ESP PCB_EA07301</t>
  </si>
  <si>
    <t>SFG001</t>
  </si>
  <si>
    <t>SFG_GV5.1.1_STM32C0_EA12301</t>
  </si>
  <si>
    <t>SFG002</t>
  </si>
  <si>
    <t>SFG_GV5.1.1_STM32C0_EA18601</t>
  </si>
  <si>
    <t>SFG003</t>
  </si>
  <si>
    <t>SFG_GV5.1.1_STM32C0_EA16901</t>
  </si>
  <si>
    <t>SFG008</t>
  </si>
  <si>
    <t>SFG_GOD_REF_EA11201</t>
  </si>
  <si>
    <t>SFG009</t>
  </si>
  <si>
    <t>SFG_MG_Hall Sensor PCB_EA07101</t>
  </si>
  <si>
    <t>SFG010</t>
  </si>
  <si>
    <t>SFG_MG1.1_Driver PCB_EA06301</t>
  </si>
  <si>
    <t>SFG011</t>
  </si>
  <si>
    <t>SFG_MG1.1_Interface PCB_EA06401</t>
  </si>
  <si>
    <t>SFG012</t>
  </si>
  <si>
    <t>SFG_MG_Maple PCB _V01-EA11101</t>
  </si>
  <si>
    <t>SFG013</t>
  </si>
  <si>
    <t>SFG_Mapple_Jar Sensor -EA12201</t>
  </si>
  <si>
    <t>SFG015</t>
  </si>
  <si>
    <t>SFG_MG_COCOA PCBA_V00-EA19301</t>
  </si>
  <si>
    <t>SFG016</t>
  </si>
  <si>
    <t>SFG_HE Sensor Holder Assembly-A119908</t>
  </si>
  <si>
    <t>SFG024</t>
  </si>
  <si>
    <t>SFG_GV5.1_STM32C0 1 LED 1.2 28W -EA20801</t>
  </si>
  <si>
    <t>SFG026</t>
  </si>
  <si>
    <t>SFG_GV5 0.9M STM32 0.1 6 LED BlueEA18401</t>
  </si>
  <si>
    <t>SFG027</t>
  </si>
  <si>
    <t>SFG_GV5 1.4M STM32 0.1 6 LED BlueEA18501</t>
  </si>
  <si>
    <t>SFG030</t>
  </si>
  <si>
    <t>SFG_GV5.1_STM32C0_6White LED Al-EA24501 </t>
  </si>
  <si>
    <t>SFG031</t>
  </si>
  <si>
    <t>SFG_GV5 MCF Smart(Flamingo) 6Blue LED</t>
  </si>
  <si>
    <t>SFG032</t>
  </si>
  <si>
    <t>SFG_GV5.1_STM32_C0_6BlueLED_Jackel</t>
  </si>
  <si>
    <t>SFG035</t>
  </si>
  <si>
    <t>SFG036</t>
  </si>
  <si>
    <t>SFG039</t>
  </si>
  <si>
    <t>SFG_PCBA_Maple 110V(EA22001)_P01</t>
  </si>
  <si>
    <t>SFG044</t>
  </si>
  <si>
    <t>SFG_Jaguar Power PCBA 1V5_EA19501</t>
  </si>
  <si>
    <t>SFG045</t>
  </si>
  <si>
    <t>SFG_Jaguar Digital PCB(DRV10987)EA07401</t>
  </si>
  <si>
    <t>SFG046</t>
  </si>
  <si>
    <t>SFG_ Jaguar ESP PCB_EA07301</t>
  </si>
  <si>
    <t>Check</t>
  </si>
  <si>
    <t>A119906</t>
  </si>
  <si>
    <t>HE Sensor Holder Maple</t>
  </si>
  <si>
    <t>A169501</t>
  </si>
  <si>
    <t>Mini BLDC Box</t>
  </si>
  <si>
    <t>A203001</t>
  </si>
  <si>
    <t>Mini BLDC Box Cap Assembly</t>
  </si>
  <si>
    <t>E00000417</t>
  </si>
  <si>
    <t>PCB_E00000417,Jaguar_PWR/35U/75.5X74mm</t>
  </si>
  <si>
    <t>E00000435</t>
  </si>
  <si>
    <t>GV5.1 STM32 G0/C0 1V9 Bare PCB</t>
  </si>
  <si>
    <t>E00000441</t>
  </si>
  <si>
    <t>PCB_Flemingo_MCF_EA12701/35U/83X87mm</t>
  </si>
  <si>
    <t>E00000445</t>
  </si>
  <si>
    <t>IC/SMD/Vtg Reg/ADJ/0.8 -28Vo/SOT23-6</t>
  </si>
  <si>
    <t>E00000479</t>
  </si>
  <si>
    <t>CAP/SMD/10uF/16VDC/±10%/0805/X7R</t>
  </si>
  <si>
    <t>E00000480</t>
  </si>
  <si>
    <t>CAP/SMD/4.7uF/50VDC/±10%/1206/X7R</t>
  </si>
  <si>
    <t>E00000543</t>
  </si>
  <si>
    <t>CAP/SMD/10nF/16V/±10%/0805/X7R</t>
  </si>
  <si>
    <t>E00000544</t>
  </si>
  <si>
    <t>Heat Sink THT 22x15mm/18.5mm/A216001</t>
  </si>
  <si>
    <t>BOM Cost</t>
  </si>
  <si>
    <t>Date of Dashboard</t>
  </si>
  <si>
    <t>Product</t>
  </si>
  <si>
    <t>Qty</t>
  </si>
  <si>
    <t>Sales</t>
  </si>
  <si>
    <t>COGS</t>
  </si>
  <si>
    <t>Margin</t>
  </si>
  <si>
    <t>Margin %</t>
  </si>
  <si>
    <t>PCB- CF</t>
  </si>
  <si>
    <t>Total</t>
  </si>
  <si>
    <t>Other conversion cost</t>
  </si>
  <si>
    <t>BOM Cost2</t>
  </si>
  <si>
    <t>Check2</t>
  </si>
  <si>
    <t>Sum of Other conversion cost</t>
  </si>
  <si>
    <t>BOM cost</t>
  </si>
  <si>
    <t>Labour Cost</t>
  </si>
  <si>
    <t>Other Conv Cost</t>
  </si>
  <si>
    <t>Particulars</t>
  </si>
  <si>
    <t>PCB-Ref</t>
  </si>
  <si>
    <t>From Daily</t>
  </si>
  <si>
    <t>From Monthly</t>
  </si>
  <si>
    <t>Sum of BOM Cost2</t>
  </si>
  <si>
    <t>YTM - April-25</t>
  </si>
  <si>
    <t>PCB - Ref</t>
  </si>
  <si>
    <t>PCB - CF</t>
  </si>
  <si>
    <t/>
  </si>
  <si>
    <t>Atomberg Technologies Private Limit</t>
  </si>
  <si>
    <t>Stator - CF</t>
  </si>
  <si>
    <t>AIPL SALES DB</t>
  </si>
  <si>
    <t xml:space="preserve">Rent &amp; White Collar employees Salary doesn't form part of Other Conversion Cost </t>
  </si>
  <si>
    <t>FG0012</t>
  </si>
  <si>
    <t>FG0013</t>
  </si>
  <si>
    <t>FG0014</t>
  </si>
  <si>
    <t>SF0028</t>
  </si>
  <si>
    <t>SF0029</t>
  </si>
  <si>
    <t>SF0030</t>
  </si>
  <si>
    <t>PCB - MG</t>
  </si>
  <si>
    <t xml:space="preserve">Rent &amp; White Collar employees Salary doesn't form part of Other Conversion Cost 
Sales of NPI not included </t>
  </si>
  <si>
    <t>FIG044</t>
  </si>
  <si>
    <t>GV5 1.4M STM32 0.1 1 LED White_EA18201</t>
  </si>
  <si>
    <t>FIG045</t>
  </si>
  <si>
    <t>GV5.1 STM32C0 Single LED 900 28W_EA20901</t>
  </si>
  <si>
    <t>Sum of Labour Cost</t>
  </si>
  <si>
    <t>A202801</t>
  </si>
  <si>
    <t>Stator Core Pack GV5 50C400 Grade</t>
  </si>
  <si>
    <t>Sales rate</t>
  </si>
  <si>
    <t xml:space="preserve">Sales </t>
  </si>
  <si>
    <t>Maple</t>
  </si>
  <si>
    <t>Cocoa</t>
  </si>
  <si>
    <t>MG1.1</t>
  </si>
  <si>
    <t>Driver</t>
  </si>
  <si>
    <t>Interface</t>
  </si>
  <si>
    <t>Sensor</t>
  </si>
  <si>
    <t>Price pu</t>
  </si>
  <si>
    <t>COGS pu</t>
  </si>
  <si>
    <t>SAP COGS</t>
  </si>
  <si>
    <t>BOM pu</t>
  </si>
  <si>
    <t>Nimesh</t>
  </si>
  <si>
    <t>SAP BOM</t>
  </si>
  <si>
    <t>MG 1.1</t>
  </si>
  <si>
    <t>BOM p.u - Nimesh</t>
  </si>
  <si>
    <t>BOM - Standard</t>
  </si>
  <si>
    <t>BOM - SAP</t>
  </si>
  <si>
    <t>Billing Document</t>
  </si>
  <si>
    <t>ASP</t>
  </si>
  <si>
    <t>SFG048</t>
  </si>
  <si>
    <t>SFG_GV5 1.4MSTM32 0.1 1 LED WhiteEA18201</t>
  </si>
  <si>
    <t>SFG049</t>
  </si>
  <si>
    <t>SFG_GV5.1 STM32C0 (1) LED 900 28WEA20901</t>
  </si>
  <si>
    <t>YTM - May-25</t>
  </si>
  <si>
    <t>PGI pu</t>
  </si>
  <si>
    <t>GM pu</t>
  </si>
  <si>
    <t>Sales ('000)</t>
  </si>
  <si>
    <t>COGS ('000)</t>
  </si>
  <si>
    <t>BOM cost ('000)</t>
  </si>
  <si>
    <t>Labour Cost ('000)</t>
  </si>
  <si>
    <t>Other Conv Cost ('000)</t>
  </si>
  <si>
    <t>Margin ('000)</t>
  </si>
  <si>
    <t>A242501</t>
  </si>
  <si>
    <t>BLDC ALUMINIUM STATOR ASSEMBLY</t>
  </si>
  <si>
    <t>A242601</t>
  </si>
  <si>
    <t>BLDC COPPER STATOR ASSEMBLY_</t>
  </si>
  <si>
    <t>A239101</t>
  </si>
  <si>
    <t>ROTOR ASSY- COPPER</t>
  </si>
  <si>
    <t>A218001</t>
  </si>
  <si>
    <t>ROTOR ASSY- REF</t>
  </si>
  <si>
    <t xml:space="preserve">COGS </t>
  </si>
  <si>
    <t xml:space="preserve">BOM cost </t>
  </si>
  <si>
    <t xml:space="preserve">Labour Cost </t>
  </si>
  <si>
    <t xml:space="preserve">Other Conv Cost </t>
  </si>
  <si>
    <t xml:space="preserve">Margin </t>
  </si>
  <si>
    <t>PCB
Ref</t>
  </si>
  <si>
    <t>PCB MG</t>
  </si>
  <si>
    <t>Stator CF</t>
  </si>
  <si>
    <t>Rotor Ref</t>
  </si>
  <si>
    <t>PCB
 CF</t>
  </si>
  <si>
    <t>PCB
 MG</t>
  </si>
  <si>
    <r>
      <t xml:space="preserve">Qty </t>
    </r>
    <r>
      <rPr>
        <b/>
        <i/>
        <sz val="8"/>
        <color theme="1"/>
        <rFont val="Calibri"/>
        <family val="2"/>
        <scheme val="minor"/>
      </rPr>
      <t>(In Units)</t>
    </r>
  </si>
  <si>
    <r>
      <t xml:space="preserve">Product
</t>
    </r>
    <r>
      <rPr>
        <b/>
        <sz val="8"/>
        <color theme="1"/>
        <rFont val="Calibri"/>
        <family val="2"/>
        <scheme val="minor"/>
      </rPr>
      <t>(INR in '000)</t>
    </r>
  </si>
  <si>
    <t>PCB
MG</t>
  </si>
  <si>
    <t>PCB 
MG</t>
  </si>
  <si>
    <t>A259001</t>
  </si>
  <si>
    <t>BLDC ALUMINIUM STATOR ASSY_ 200T</t>
  </si>
  <si>
    <t>A261401</t>
  </si>
  <si>
    <t>BLDC COPPER STATOR ASSY_200T</t>
  </si>
  <si>
    <t>SFG042</t>
  </si>
  <si>
    <t>SFG_ESP&amp; DIGITAL PCB SUBASSEMBLY_EA08501</t>
  </si>
  <si>
    <t>PGI COST</t>
  </si>
  <si>
    <t>Sum of PGI COST</t>
  </si>
  <si>
    <t>MTD - June-25</t>
  </si>
  <si>
    <t>MIS Quantity</t>
  </si>
  <si>
    <t>Sum of MIS Quantity</t>
  </si>
  <si>
    <t>FIG015</t>
  </si>
  <si>
    <t>PCBA Saber Digi Drv+Stm32 EA11401</t>
  </si>
  <si>
    <t>YTM - June-25</t>
  </si>
  <si>
    <t>FIG039</t>
  </si>
  <si>
    <t>FIG025</t>
  </si>
  <si>
    <t>AT_HVF_POWER_EA24301</t>
  </si>
  <si>
    <t>FIG029</t>
  </si>
  <si>
    <t>PCB_Studio_Motor_EA21401</t>
  </si>
  <si>
    <t>FIG030</t>
  </si>
  <si>
    <t>PCB_Efficio_Motor_EA21301</t>
  </si>
  <si>
    <t>SFG014</t>
  </si>
  <si>
    <t>SFG_Mapple_Speedsensor -EA12101</t>
  </si>
  <si>
    <t>SFG020</t>
  </si>
  <si>
    <t>SFG_Sabar DIGI DRV+STM32 PCB-EA11401</t>
  </si>
  <si>
    <t>SFG021</t>
  </si>
  <si>
    <t>SFG_Saber ESP   -EA20001</t>
  </si>
  <si>
    <t>SFG022</t>
  </si>
  <si>
    <t>SFG_Sabar/Rhino Power -EA19401</t>
  </si>
  <si>
    <t>SFG023</t>
  </si>
  <si>
    <t>SFG_Saber smart Digital -EA19801</t>
  </si>
  <si>
    <t>SFG029</t>
  </si>
  <si>
    <t>SFG_ AT_HVF_POWER_EA24301</t>
  </si>
  <si>
    <t>SFG033</t>
  </si>
  <si>
    <t>SFG_ PCB_Studio_Motor_EA21401</t>
  </si>
  <si>
    <t>SFG034</t>
  </si>
  <si>
    <t>SFG_PCB_Efficio_Motor_EA21301</t>
  </si>
  <si>
    <t>FG0931</t>
  </si>
  <si>
    <t>FG-AC-ODU-MOTOR ASSY.-BL B AL 5W 00 06</t>
  </si>
  <si>
    <t>ODU
AC</t>
  </si>
  <si>
    <t>JAGUAR/SABER MOTOR CONNECTOR PCB-EA07901</t>
  </si>
  <si>
    <t>A036501</t>
  </si>
  <si>
    <t>Stator Winding GV5 0.9M</t>
  </si>
  <si>
    <t>A036502</t>
  </si>
  <si>
    <t>Stator Winding GV5 0.6M</t>
  </si>
  <si>
    <t>A036503</t>
  </si>
  <si>
    <t>Stator Winding GV5 1.4M</t>
  </si>
  <si>
    <t>A111901</t>
  </si>
  <si>
    <t>AC-ODU-WOUND STATOR WITH LASER WELDING</t>
  </si>
  <si>
    <t>A128801</t>
  </si>
  <si>
    <t>AC-ODU-BMC STATOR</t>
  </si>
  <si>
    <t>A152301</t>
  </si>
  <si>
    <t>AC-ODU-FRONT BEARING COVER ASSEMBLY</t>
  </si>
  <si>
    <t>A171701</t>
  </si>
  <si>
    <t>AC-ODU-STATOR,BB COVER &amp; TERMINAL SUPP.</t>
  </si>
  <si>
    <t>A175601</t>
  </si>
  <si>
    <t>AC- IDU-PCB HARNESS ASSEMBLY_A175601</t>
  </si>
  <si>
    <t>A175701</t>
  </si>
  <si>
    <t>AC-ODU-PCB HARNESS ASSEMBLY_A175701</t>
  </si>
  <si>
    <t>A236301</t>
  </si>
  <si>
    <t>AC- IDU-PCB HARNESS ASSEMBLY_A236301</t>
  </si>
  <si>
    <t>A237201</t>
  </si>
  <si>
    <t>AC-ODU-PCB HARNESS ASSEMBLY_A237201</t>
  </si>
  <si>
    <t>A266901</t>
  </si>
  <si>
    <t>AC- IDU-PCB HARNESS ASSEMBLY_A266901</t>
  </si>
  <si>
    <t>A275801</t>
  </si>
  <si>
    <t>AC-ODU-PCB HARNESS ASSEMBLY_A275801</t>
  </si>
  <si>
    <t>A293301</t>
  </si>
  <si>
    <t>AC- IDU-PCB HARNESS ASSEMBLY_A293301</t>
  </si>
  <si>
    <t>A294701</t>
  </si>
  <si>
    <t>AC- IDU-PCB HARNESS ASSEMBLY_A294701</t>
  </si>
  <si>
    <t>A294801</t>
  </si>
  <si>
    <t>AC- IDU-PCB HARNESS ASSEMBLY_A294801</t>
  </si>
  <si>
    <t>FIG016</t>
  </si>
  <si>
    <t>PCBAÂ ESP Saber EA20001</t>
  </si>
  <si>
    <t>FIG017</t>
  </si>
  <si>
    <t>PCBA Power Saber/Rhino EA19401</t>
  </si>
  <si>
    <t>FIG018</t>
  </si>
  <si>
    <t>PCBA Digital Smart Saber EA19801</t>
  </si>
  <si>
    <t>FIG021</t>
  </si>
  <si>
    <t>GV5 0.6M STM32 0.1 6 LED Blue -EA18301</t>
  </si>
  <si>
    <t>FIG036</t>
  </si>
  <si>
    <t>Refrigerator_Himalaya_PCB_EA19601</t>
  </si>
  <si>
    <t>FIG037</t>
  </si>
  <si>
    <t>Sabar/Rhino Smart Integrated _EA20701</t>
  </si>
  <si>
    <t>FIG051</t>
  </si>
  <si>
    <t>Aris Underlight 41W Impala _EA17601 </t>
  </si>
  <si>
    <t>FIG054</t>
  </si>
  <si>
    <t>FG_Antilope_MCF_EA26601</t>
  </si>
  <si>
    <t>FIG055</t>
  </si>
  <si>
    <t>FG_GV4.1_REG_EA09501</t>
  </si>
  <si>
    <t>SFG025</t>
  </si>
  <si>
    <t>SFG_GV5 0.6M STM32 0.1 6 LED BlueEA18301</t>
  </si>
  <si>
    <t>SFG028</t>
  </si>
  <si>
    <t>SFG_HV_Fan-Motor_Driver_IPM_EA20201</t>
  </si>
  <si>
    <t>AC- IDU-PCB HARNESS ASSEMBLY-EA12501</t>
  </si>
  <si>
    <t>AC-ODU-PCB HARNESS ASSEMBLY-EA11301</t>
  </si>
  <si>
    <t>SFG040</t>
  </si>
  <si>
    <t>SFG_Refrigerator_Himalaya_PCB_EA19601</t>
  </si>
  <si>
    <t>SFG055</t>
  </si>
  <si>
    <t>SFG_Aris Underlight 41W ImpalaEA17601 </t>
  </si>
  <si>
    <t>SFG058</t>
  </si>
  <si>
    <t>SFG_Antilope_MCF_EA26601</t>
  </si>
  <si>
    <t>SFG059</t>
  </si>
  <si>
    <t>SFG_GV4.1_REG_EA09501</t>
  </si>
  <si>
    <t>3271236398</t>
  </si>
  <si>
    <t>01</t>
  </si>
  <si>
    <t>3271236218</t>
  </si>
  <si>
    <t>3271236223</t>
  </si>
  <si>
    <t>3271236396</t>
  </si>
  <si>
    <t>3271236217</t>
  </si>
  <si>
    <t>3271236395</t>
  </si>
  <si>
    <t>3271236219</t>
  </si>
  <si>
    <t>3277048698</t>
  </si>
  <si>
    <t>3277048699</t>
  </si>
  <si>
    <t>3271236126</t>
  </si>
  <si>
    <t>3271235809</t>
  </si>
  <si>
    <t>3271235772</t>
  </si>
  <si>
    <t>3271236122</t>
  </si>
  <si>
    <t>3271235818</t>
  </si>
  <si>
    <t>3271236127</t>
  </si>
  <si>
    <t>3271235900</t>
  </si>
  <si>
    <t>3271235795</t>
  </si>
  <si>
    <t>3271235808</t>
  </si>
  <si>
    <t>3271236151</t>
  </si>
  <si>
    <t>3271235666</t>
  </si>
  <si>
    <t>3271235457</t>
  </si>
  <si>
    <t>3271235684</t>
  </si>
  <si>
    <t>3271235759</t>
  </si>
  <si>
    <t>3271235678</t>
  </si>
  <si>
    <t>3271235651</t>
  </si>
  <si>
    <t>3271236549</t>
  </si>
  <si>
    <t>3271236553</t>
  </si>
  <si>
    <t>3271236411</t>
  </si>
  <si>
    <t>3271236535</t>
  </si>
  <si>
    <t>3277048801</t>
  </si>
  <si>
    <t>Sum of Total Value</t>
  </si>
  <si>
    <t>FG0015</t>
  </si>
  <si>
    <t>FG-PCB-WP</t>
  </si>
  <si>
    <t>PCB
 WP</t>
  </si>
  <si>
    <t>FG0958</t>
  </si>
  <si>
    <t>AB BLDC PCBA CONV GMHVI7-L1</t>
  </si>
  <si>
    <t>FIG056</t>
  </si>
  <si>
    <t>FG_Water Purifier Digital MB_EA19201</t>
  </si>
  <si>
    <t>FIG057</t>
  </si>
  <si>
    <t>FG_Water Purifier Power Board_EA22301</t>
  </si>
  <si>
    <t>MTD - July-25</t>
  </si>
  <si>
    <t xml:space="preserve">  April25</t>
  </si>
  <si>
    <t xml:space="preserve">  May25</t>
  </si>
  <si>
    <t xml:space="preserve">  June25</t>
  </si>
  <si>
    <t xml:space="preserve">  July25</t>
  </si>
  <si>
    <t>A111101</t>
  </si>
  <si>
    <t>AC-IDU-ROTOR COREPACK &amp; MAGNET ASSEMBLY</t>
  </si>
  <si>
    <t>A112801</t>
  </si>
  <si>
    <t>BMC Stator AC IDU</t>
  </si>
  <si>
    <t>A136501</t>
  </si>
  <si>
    <t>AC-ODU-ROTOR COREPACK &amp; MAGNET ASSEMBLY</t>
  </si>
  <si>
    <t>A139201</t>
  </si>
  <si>
    <t>AC-IDU-STATOR,BB COVER &amp; TERMINAL SUPP.</t>
  </si>
  <si>
    <t>A184301</t>
  </si>
  <si>
    <t>Rotor_Subassembly_Efficio</t>
  </si>
  <si>
    <t>A233501</t>
  </si>
  <si>
    <t>Stator_Winding_Assembly_6"</t>
  </si>
  <si>
    <t>A233601</t>
  </si>
  <si>
    <t>Stator_Wound_With_PCB_6"</t>
  </si>
  <si>
    <t>A233701</t>
  </si>
  <si>
    <t>Stator_Assembly_6"</t>
  </si>
  <si>
    <t>A233801</t>
  </si>
  <si>
    <t>6"_Efficio_Motor</t>
  </si>
  <si>
    <t>E00000292</t>
  </si>
  <si>
    <t>RES/SMD/150K/0.125W/±1%/0805</t>
  </si>
  <si>
    <t>E00000577</t>
  </si>
  <si>
    <t>PCB_WP_Power/35U/66mm x 82mm</t>
  </si>
  <si>
    <t>FG0860</t>
  </si>
  <si>
    <t>Exhaust_Motor_Studio_6"_7W</t>
  </si>
  <si>
    <t>FG0865</t>
  </si>
  <si>
    <t>Exhaust_Motor_Efficio_6"_13W</t>
  </si>
  <si>
    <t>FG0866</t>
  </si>
  <si>
    <t>Exhaust_Motor_Efficio_8"_20W</t>
  </si>
  <si>
    <t>FG0869</t>
  </si>
  <si>
    <t>Exhaust_Motor_Efficio_10"_22W</t>
  </si>
  <si>
    <t>FG0879</t>
  </si>
  <si>
    <t>FG-AC-ODU-MOTOR ASSY.-BL B AL 5W 00 01</t>
  </si>
  <si>
    <t>FG0928</t>
  </si>
  <si>
    <t>FG-AC-IDU-MOTOR ASSY-BL A  AL 5W 00 01</t>
  </si>
  <si>
    <t>FG0929</t>
  </si>
  <si>
    <t>FG-AC-IDU-MOTOR ASSY-BL A AL 5W 00 02</t>
  </si>
  <si>
    <t>FG0938</t>
  </si>
  <si>
    <t>FG-AC-IDU-MOTOR ASSY-BL A  AL 5W 00 03</t>
  </si>
  <si>
    <t>FG0939</t>
  </si>
  <si>
    <t>FG-AC-IDU-MOTOR ASSY-BL A  AL 5W 00 04</t>
  </si>
  <si>
    <t>FG0940</t>
  </si>
  <si>
    <t>FG-AC-ODU-MOTOR ASSY.-BL B AL 5W 00 02</t>
  </si>
  <si>
    <t>FG0941</t>
  </si>
  <si>
    <t>FG-AC-IDU-MOTOR ASSY-BL A  AL 5W 00 09</t>
  </si>
  <si>
    <t>FIG024</t>
  </si>
  <si>
    <t>HV_Fan-Motor_Driver_IPM_EA20201</t>
  </si>
  <si>
    <t>FIG053</t>
  </si>
  <si>
    <t>ODU_Motherboard_P4.PrjPcb_EA20301</t>
  </si>
  <si>
    <t>FIG058</t>
  </si>
  <si>
    <t>IDU Main Board EA21101</t>
  </si>
  <si>
    <t>FIG059</t>
  </si>
  <si>
    <t>FG_GV5.1_ Reboot STM32 6 W LED_900mm_EA2</t>
  </si>
  <si>
    <t>SFG057</t>
  </si>
  <si>
    <t>SFG_ODU_Motherboard_P4.PrjPcb_EA20301</t>
  </si>
  <si>
    <t>SFG060</t>
  </si>
  <si>
    <t>SFG_Water Purifier Digital MB_EA19201</t>
  </si>
  <si>
    <t>SFG061</t>
  </si>
  <si>
    <t>SFG_Water Purifier Power Board_EA22301</t>
  </si>
  <si>
    <t>SFG062</t>
  </si>
  <si>
    <t>SFG IDU Main Board EA21101</t>
  </si>
  <si>
    <t>SFG063</t>
  </si>
  <si>
    <t>SFG_GV5.1_ Reboot STM32 6 W LED_900mm_EA</t>
  </si>
  <si>
    <t>Rotor CF</t>
  </si>
  <si>
    <t>Rotor
 CF</t>
  </si>
  <si>
    <t>MTD - Aug-25</t>
  </si>
  <si>
    <t>Rotor
 Ref</t>
  </si>
  <si>
    <t>FG0023</t>
  </si>
  <si>
    <t>SF0045</t>
  </si>
  <si>
    <t>SF0056</t>
  </si>
  <si>
    <t>FG0024</t>
  </si>
  <si>
    <t>Weighing Machine</t>
  </si>
  <si>
    <t>Vehicles</t>
  </si>
  <si>
    <t>UPS</t>
  </si>
  <si>
    <t>Unvaluated Materials</t>
  </si>
  <si>
    <t>TV</t>
  </si>
  <si>
    <t>Trolley</t>
  </si>
  <si>
    <t>TRex Electro PCB</t>
  </si>
  <si>
    <t>Travelling Expenses</t>
  </si>
  <si>
    <t>Travel Expenses misc</t>
  </si>
  <si>
    <t>Trading Materials</t>
  </si>
  <si>
    <t>Trademark</t>
  </si>
  <si>
    <t>TPW</t>
  </si>
  <si>
    <t>Tools &amp; Jigs</t>
  </si>
  <si>
    <t>Telephone</t>
  </si>
  <si>
    <t>Table</t>
  </si>
  <si>
    <t>Sub Ass.-Service</t>
  </si>
  <si>
    <t>Sub Ass.-Mech Rotor</t>
  </si>
  <si>
    <t>Storage Rack</t>
  </si>
  <si>
    <t>B133</t>
  </si>
  <si>
    <t>Stator W Purifier</t>
  </si>
  <si>
    <t>B132</t>
  </si>
  <si>
    <t>Stator Ref Comp</t>
  </si>
  <si>
    <t>B131</t>
  </si>
  <si>
    <t>Stator Ref</t>
  </si>
  <si>
    <t>B130</t>
  </si>
  <si>
    <t>Stator Ped Fan</t>
  </si>
  <si>
    <t>B129</t>
  </si>
  <si>
    <t>Stator MG</t>
  </si>
  <si>
    <t>B128</t>
  </si>
  <si>
    <t>Stator HVF</t>
  </si>
  <si>
    <t>B127</t>
  </si>
  <si>
    <t>Stator Exh Fan</t>
  </si>
  <si>
    <t>B126</t>
  </si>
  <si>
    <t>Stator C Fan</t>
  </si>
  <si>
    <t>B125</t>
  </si>
  <si>
    <t>Stator AC ODU</t>
  </si>
  <si>
    <t>B124</t>
  </si>
  <si>
    <t>Stator AC IDU</t>
  </si>
  <si>
    <t>B123</t>
  </si>
  <si>
    <t>Stator AC Comp</t>
  </si>
  <si>
    <t>Stationary</t>
  </si>
  <si>
    <t>Staff Welfare</t>
  </si>
  <si>
    <t>Spare parts services</t>
  </si>
  <si>
    <t>Spare parts</t>
  </si>
  <si>
    <t>Spare</t>
  </si>
  <si>
    <t>Software</t>
  </si>
  <si>
    <t>Smart Lock</t>
  </si>
  <si>
    <t>Slow Juicer</t>
  </si>
  <si>
    <t>SF0079</t>
  </si>
  <si>
    <t>SFG-WPurfr StatorBMC</t>
  </si>
  <si>
    <t>SF0078</t>
  </si>
  <si>
    <t>SFG-WPurfr Stator</t>
  </si>
  <si>
    <t>SF0077</t>
  </si>
  <si>
    <t>SFG-WPurfr Rotor</t>
  </si>
  <si>
    <t>SF0054</t>
  </si>
  <si>
    <t>SFG-Ref StatorBMC</t>
  </si>
  <si>
    <t>SFG-Ref Stator</t>
  </si>
  <si>
    <t>SF0055</t>
  </si>
  <si>
    <t>SFG-Ref Rotor</t>
  </si>
  <si>
    <t>SF0076</t>
  </si>
  <si>
    <t>SFG-Ref Comp Str BMC</t>
  </si>
  <si>
    <t>SF0075</t>
  </si>
  <si>
    <t>SFG-Ref Comp Stator</t>
  </si>
  <si>
    <t>SF0074</t>
  </si>
  <si>
    <t>SFG-Ref Comp Rotor</t>
  </si>
  <si>
    <t>SF0073</t>
  </si>
  <si>
    <t>SFG-Ped StatorBMC</t>
  </si>
  <si>
    <t>SF0072</t>
  </si>
  <si>
    <t>SFG-Ped Stator</t>
  </si>
  <si>
    <t>SF0071</t>
  </si>
  <si>
    <t>SFG-Ped Rotor</t>
  </si>
  <si>
    <t>SF0031</t>
  </si>
  <si>
    <t>SFG-PCB-WP</t>
  </si>
  <si>
    <t>SFG-PCB-Ref</t>
  </si>
  <si>
    <t>SF0070</t>
  </si>
  <si>
    <t>SFG-PCB-Ped</t>
  </si>
  <si>
    <t>SF0069</t>
  </si>
  <si>
    <t>SFG-PCB-MG Sensor</t>
  </si>
  <si>
    <t>SF0068</t>
  </si>
  <si>
    <t>SFG-PCB-MG Interface</t>
  </si>
  <si>
    <t>SFG-PCB-MG</t>
  </si>
  <si>
    <t>SF0059</t>
  </si>
  <si>
    <t>SFG-PCB-HVF         </t>
  </si>
  <si>
    <t>SF0058</t>
  </si>
  <si>
    <t>SFG-PCB-Exh.</t>
  </si>
  <si>
    <t>SFG-PCB-CF</t>
  </si>
  <si>
    <t>SFG-PCB-AC-ODU</t>
  </si>
  <si>
    <t>SFG-PCB-AC-IDU</t>
  </si>
  <si>
    <t>SF0057</t>
  </si>
  <si>
    <t>SFG-PCB-AC Comp</t>
  </si>
  <si>
    <t>SF0051</t>
  </si>
  <si>
    <t>SFG-MG StatorBMC</t>
  </si>
  <si>
    <t>SF0053</t>
  </si>
  <si>
    <t>SFG-MG Stator</t>
  </si>
  <si>
    <t>SF0052</t>
  </si>
  <si>
    <t>SFG-MG Rotor</t>
  </si>
  <si>
    <t>SF0050</t>
  </si>
  <si>
    <t>SFG-IDU Rotor</t>
  </si>
  <si>
    <t>SF0067</t>
  </si>
  <si>
    <t>SFG-HVF StatorBMC</t>
  </si>
  <si>
    <t>SF0066</t>
  </si>
  <si>
    <t>SFG-HVF Stator</t>
  </si>
  <si>
    <t>SF0065</t>
  </si>
  <si>
    <t>SFG-HVF Rotor</t>
  </si>
  <si>
    <t>SF0044</t>
  </si>
  <si>
    <t>SFG-GV5 StatorBMC</t>
  </si>
  <si>
    <t>SFG-GV5 Stator</t>
  </si>
  <si>
    <t>SF0049</t>
  </si>
  <si>
    <t>SFG-GV5 Rotor</t>
  </si>
  <si>
    <t>SF0042</t>
  </si>
  <si>
    <t>SFG-GV4 StatorBMC</t>
  </si>
  <si>
    <t>SF0043</t>
  </si>
  <si>
    <t>SFG-GV4 Stator</t>
  </si>
  <si>
    <t>SF0048</t>
  </si>
  <si>
    <t>SFG-Exhaut Rotor</t>
  </si>
  <si>
    <t>SF0081</t>
  </si>
  <si>
    <t>SFG-ExhaustStatorBMC</t>
  </si>
  <si>
    <t>SF0080</t>
  </si>
  <si>
    <t>SFG-Exhaust Stator</t>
  </si>
  <si>
    <t>SF0082</t>
  </si>
  <si>
    <t>SFG-Exhaust Rotor</t>
  </si>
  <si>
    <t>SF0046</t>
  </si>
  <si>
    <t>SFG-Exh. StatorBMC</t>
  </si>
  <si>
    <t>SF0047</t>
  </si>
  <si>
    <t>SFG-Exh. Stator</t>
  </si>
  <si>
    <t>SF0064</t>
  </si>
  <si>
    <t>SFG-C Fan GV4 Rotor</t>
  </si>
  <si>
    <t>SF0040</t>
  </si>
  <si>
    <t>SFG-AC Cmp StatorBMC</t>
  </si>
  <si>
    <t>SF0041</t>
  </si>
  <si>
    <t>SFG-AC Cmp Rotor</t>
  </si>
  <si>
    <t>SF0039</t>
  </si>
  <si>
    <t>SFG-AC Cmp</t>
  </si>
  <si>
    <t>SF0032</t>
  </si>
  <si>
    <t>SFG- ODU Stator</t>
  </si>
  <si>
    <t>SF0034</t>
  </si>
  <si>
    <t>SFG- ODU Rotor</t>
  </si>
  <si>
    <t>SF0033</t>
  </si>
  <si>
    <t>SFG- ODU BMC Stator</t>
  </si>
  <si>
    <t>SF0035</t>
  </si>
  <si>
    <t>SFG- IDU Stator</t>
  </si>
  <si>
    <t>SF0037</t>
  </si>
  <si>
    <t>SFG- IDU Rotor</t>
  </si>
  <si>
    <t>SF0036</t>
  </si>
  <si>
    <t>SFG- IDU BMC Stator</t>
  </si>
  <si>
    <t>SF Painted Body</t>
  </si>
  <si>
    <t>SF Painted Blade</t>
  </si>
  <si>
    <t>Services</t>
  </si>
  <si>
    <t>Service Scrap</t>
  </si>
  <si>
    <t>Service Cost</t>
  </si>
  <si>
    <t>Service</t>
  </si>
  <si>
    <t>Scrap Material</t>
  </si>
  <si>
    <t>Scrap E-Waste</t>
  </si>
  <si>
    <t>Scrap Copper</t>
  </si>
  <si>
    <t>Scrap Asset</t>
  </si>
  <si>
    <t>Scrap</t>
  </si>
  <si>
    <t>Scheme,Disc &amp; Comi.</t>
  </si>
  <si>
    <t>Scanner</t>
  </si>
  <si>
    <t>Router</t>
  </si>
  <si>
    <t>RM-Paint Chemical</t>
  </si>
  <si>
    <t>RM-Obsolete</t>
  </si>
  <si>
    <t>RM-Non Regular</t>
  </si>
  <si>
    <t>RM-Mech. Rubber</t>
  </si>
  <si>
    <t>RM-Mech. Plastics</t>
  </si>
  <si>
    <t>RM-Mech. Packaging</t>
  </si>
  <si>
    <t>RM-Mech. Metal</t>
  </si>
  <si>
    <t>RM-Mech. Hardware</t>
  </si>
  <si>
    <t>RM-Mech. Fastners</t>
  </si>
  <si>
    <t>RM-Mech. Exhaust</t>
  </si>
  <si>
    <t>RM-Mech. Blade</t>
  </si>
  <si>
    <t>RM-Mech. Assembly</t>
  </si>
  <si>
    <t>RM-Mech-Stator</t>
  </si>
  <si>
    <t>RM-Mech-Rotor</t>
  </si>
  <si>
    <t>RM-Mech-Raw Body</t>
  </si>
  <si>
    <t>RM-Mech-Raw Blade</t>
  </si>
  <si>
    <t>RM-Mech-Magnets</t>
  </si>
  <si>
    <t>RM-Mech-Fabrication</t>
  </si>
  <si>
    <t>RM-Mech-Copper</t>
  </si>
  <si>
    <t>RM-Mech Body</t>
  </si>
  <si>
    <t>RM-Eletro-Resistor</t>
  </si>
  <si>
    <t>RM-Eletro-PCB</t>
  </si>
  <si>
    <t>RM-Eletro-Magnetics</t>
  </si>
  <si>
    <t>RM-Eletro-IC</t>
  </si>
  <si>
    <t>RM-Eletro-Diodes</t>
  </si>
  <si>
    <t>RM-Eletro-Connecter</t>
  </si>
  <si>
    <t>RM-Eletro-Capacitor</t>
  </si>
  <si>
    <t>Right to use asset</t>
  </si>
  <si>
    <t>Returnable Packaging</t>
  </si>
  <si>
    <t>Rent- Plant</t>
  </si>
  <si>
    <t>Rent Others</t>
  </si>
  <si>
    <t>A57</t>
  </si>
  <si>
    <t>Ref</t>
  </si>
  <si>
    <t>Real Estate (Land)</t>
  </si>
  <si>
    <t>Raw Materials</t>
  </si>
  <si>
    <t>R&amp;D Expenses</t>
  </si>
  <si>
    <t>Professional Fees</t>
  </si>
  <si>
    <t>Printer</t>
  </si>
  <si>
    <t>Printed Box</t>
  </si>
  <si>
    <t>PPE Equipment</t>
  </si>
  <si>
    <t>Plastic PP Box</t>
  </si>
  <si>
    <t>Plastic Crate</t>
  </si>
  <si>
    <t>Plastic Bag</t>
  </si>
  <si>
    <t>Plant &amp; Machinery</t>
  </si>
  <si>
    <t>Periodic Service</t>
  </si>
  <si>
    <t>B122</t>
  </si>
  <si>
    <t>PCB-WP</t>
  </si>
  <si>
    <t>B121</t>
  </si>
  <si>
    <t>PCB-Ref Comp</t>
  </si>
  <si>
    <t>B120</t>
  </si>
  <si>
    <t>PCB-Ped</t>
  </si>
  <si>
    <t>B119</t>
  </si>
  <si>
    <t>PCB-MG (o)</t>
  </si>
  <si>
    <t>B118</t>
  </si>
  <si>
    <t>PCB-MG</t>
  </si>
  <si>
    <t>B117</t>
  </si>
  <si>
    <t>PCB-HVF</t>
  </si>
  <si>
    <t>B116</t>
  </si>
  <si>
    <t>PCB-AC-ODU</t>
  </si>
  <si>
    <t>B115</t>
  </si>
  <si>
    <t>PCB-AC-IDU</t>
  </si>
  <si>
    <t>B114</t>
  </si>
  <si>
    <t>PCB Ref</t>
  </si>
  <si>
    <t>B113</t>
  </si>
  <si>
    <t>PCB Exhaust</t>
  </si>
  <si>
    <t>B112</t>
  </si>
  <si>
    <t>PCB CF</t>
  </si>
  <si>
    <t>B111</t>
  </si>
  <si>
    <t>PCB AC Comp</t>
  </si>
  <si>
    <t>Paintshop Component</t>
  </si>
  <si>
    <t>Packaging Sticker</t>
  </si>
  <si>
    <t>Others</t>
  </si>
  <si>
    <t>Other Sales Cost</t>
  </si>
  <si>
    <t>Other Office Equip.</t>
  </si>
  <si>
    <t>Other Intangibles</t>
  </si>
  <si>
    <t>Other Furniture</t>
  </si>
  <si>
    <t>Other Factory Admin</t>
  </si>
  <si>
    <t>One Time Credit</t>
  </si>
  <si>
    <t>On Account Utilized</t>
  </si>
  <si>
    <t>On Account Billed</t>
  </si>
  <si>
    <t>Office Supplies</t>
  </si>
  <si>
    <t>Office Equipment</t>
  </si>
  <si>
    <t>Non-Sto Mat. w.o ID</t>
  </si>
  <si>
    <t>Non-Sto Mat. w. ID</t>
  </si>
  <si>
    <t>Mould/Cavity/Die</t>
  </si>
  <si>
    <t>B110</t>
  </si>
  <si>
    <t>Motor-Ref Comp</t>
  </si>
  <si>
    <t>SF0063</t>
  </si>
  <si>
    <t>FG0019</t>
  </si>
  <si>
    <t>Motor-Ref</t>
  </si>
  <si>
    <t>SF0038</t>
  </si>
  <si>
    <t>Motor-Exh.</t>
  </si>
  <si>
    <t>B109</t>
  </si>
  <si>
    <t>Motor-AC Comp</t>
  </si>
  <si>
    <t>FG0018</t>
  </si>
  <si>
    <t>B108</t>
  </si>
  <si>
    <t>Motor Ref</t>
  </si>
  <si>
    <t>B107</t>
  </si>
  <si>
    <t>Motor Exh Fan</t>
  </si>
  <si>
    <t>B106</t>
  </si>
  <si>
    <t>Motor - W.Purifier</t>
  </si>
  <si>
    <t>SF0062</t>
  </si>
  <si>
    <t>Motor - TRex</t>
  </si>
  <si>
    <t>SF0061</t>
  </si>
  <si>
    <t>Motor - Pedestal</t>
  </si>
  <si>
    <t>B105</t>
  </si>
  <si>
    <t>Motor - Ped Fan</t>
  </si>
  <si>
    <t>B104</t>
  </si>
  <si>
    <t>Motor - ODU</t>
  </si>
  <si>
    <t>B103</t>
  </si>
  <si>
    <t>Motor - MG</t>
  </si>
  <si>
    <t>B102</t>
  </si>
  <si>
    <t>Motor - IDU</t>
  </si>
  <si>
    <t>B101</t>
  </si>
  <si>
    <t>Motor - HVF</t>
  </si>
  <si>
    <t>SF0060</t>
  </si>
  <si>
    <t>Motor - GV5</t>
  </si>
  <si>
    <t>Motor - GV4</t>
  </si>
  <si>
    <t>Motor - GV3</t>
  </si>
  <si>
    <t>Motor - GV2</t>
  </si>
  <si>
    <t>B100</t>
  </si>
  <si>
    <t>Motor  C Fan</t>
  </si>
  <si>
    <t>Monitor</t>
  </si>
  <si>
    <t>Mobile</t>
  </si>
  <si>
    <t>Mixer grinder</t>
  </si>
  <si>
    <t>Misc</t>
  </si>
  <si>
    <t>MG-Service - Asmbly</t>
  </si>
  <si>
    <t>MG-RM-Mech. Asmbly</t>
  </si>
  <si>
    <t>A59</t>
  </si>
  <si>
    <t>MG Sensor</t>
  </si>
  <si>
    <t>A55</t>
  </si>
  <si>
    <t>MG Interface</t>
  </si>
  <si>
    <t>MG Electro PCB</t>
  </si>
  <si>
    <t>A54</t>
  </si>
  <si>
    <t>MG Driver</t>
  </si>
  <si>
    <t>Metal Bins</t>
  </si>
  <si>
    <t>Material group 2</t>
  </si>
  <si>
    <t>Material group 1</t>
  </si>
  <si>
    <t>Master Box</t>
  </si>
  <si>
    <t>Marketing Materials</t>
  </si>
  <si>
    <t>Machinery Equipment</t>
  </si>
  <si>
    <t>Low Value Assets</t>
  </si>
  <si>
    <t>Logistic &amp; WH Cost</t>
  </si>
  <si>
    <t>Locker</t>
  </si>
  <si>
    <t>Licenses</t>
  </si>
  <si>
    <t>Leasehold imprvmnts</t>
  </si>
  <si>
    <t>Leasehold Improvemen</t>
  </si>
  <si>
    <t>Leasehold Improve.</t>
  </si>
  <si>
    <t>Laptop</t>
  </si>
  <si>
    <t>Land Improvements</t>
  </si>
  <si>
    <t>Label &amp; manual</t>
  </si>
  <si>
    <t>A60</t>
  </si>
  <si>
    <t>Jar Sensor</t>
  </si>
  <si>
    <t>HR Supplies</t>
  </si>
  <si>
    <t>Hob</t>
  </si>
  <si>
    <t>A58</t>
  </si>
  <si>
    <t>HE Sensor</t>
  </si>
  <si>
    <t>Hazardous waste</t>
  </si>
  <si>
    <t>Hardware</t>
  </si>
  <si>
    <t>Hand Pallet Truck</t>
  </si>
  <si>
    <t>Ground Transp.</t>
  </si>
  <si>
    <t>Furniture &amp; Fixture</t>
  </si>
  <si>
    <t>Food and Beverages</t>
  </si>
  <si>
    <t>A52</t>
  </si>
  <si>
    <t>Flamingo</t>
  </si>
  <si>
    <t>Fixtures Fittings</t>
  </si>
  <si>
    <t>Fire Extinguisher</t>
  </si>
  <si>
    <t>Finished Goods - MG</t>
  </si>
  <si>
    <t>FG0026</t>
  </si>
  <si>
    <t>FG-PCB-Ref Comp</t>
  </si>
  <si>
    <t>FG-PCB-Ref</t>
  </si>
  <si>
    <t>FG0025</t>
  </si>
  <si>
    <t>FG-PCB-Ped</t>
  </si>
  <si>
    <t>FG-PCB-MG Sensor</t>
  </si>
  <si>
    <t>FG-PCB-MG Interface</t>
  </si>
  <si>
    <t>FG-PCB-MG</t>
  </si>
  <si>
    <t>FG0020</t>
  </si>
  <si>
    <t>FG-PCB-HVF     </t>
  </si>
  <si>
    <t>FG0022</t>
  </si>
  <si>
    <t>FG-PCB-Exhaust</t>
  </si>
  <si>
    <t>FG-PCB-CF</t>
  </si>
  <si>
    <t>FG-PCB-AC-ODU</t>
  </si>
  <si>
    <t>FG-PCB-AC-IDU</t>
  </si>
  <si>
    <t>FG0021</t>
  </si>
  <si>
    <t>FG-PCB-AC Comp</t>
  </si>
  <si>
    <t>FG0027</t>
  </si>
  <si>
    <t>FG-Motor-Exhaust</t>
  </si>
  <si>
    <t>FG0016</t>
  </si>
  <si>
    <t>FG - Motor - ODU</t>
  </si>
  <si>
    <t>FG0017</t>
  </si>
  <si>
    <t>FG - Motor - IDU</t>
  </si>
  <si>
    <t>Fasteners</t>
  </si>
  <si>
    <t>A53</t>
  </si>
  <si>
    <t>Fan Single LED</t>
  </si>
  <si>
    <t>A51</t>
  </si>
  <si>
    <t>Fan 6 LED</t>
  </si>
  <si>
    <t>Fan</t>
  </si>
  <si>
    <t>Expenses</t>
  </si>
  <si>
    <t>Exhaust</t>
  </si>
  <si>
    <t>EPS</t>
  </si>
  <si>
    <t>EPE</t>
  </si>
  <si>
    <t>EMS components</t>
  </si>
  <si>
    <t>Electricity- Plant</t>
  </si>
  <si>
    <t>Elect. Installation</t>
  </si>
  <si>
    <t>Dummy - Fan GV5</t>
  </si>
  <si>
    <t>Dummy - Fan GV4</t>
  </si>
  <si>
    <t>Dummy - Fan GV3</t>
  </si>
  <si>
    <t>Dummy - Fan GV2</t>
  </si>
  <si>
    <t>Dummy - Fan Exhaust</t>
  </si>
  <si>
    <t>Direct Labour Cost</t>
  </si>
  <si>
    <t>Desktop</t>
  </si>
  <si>
    <t>Custom Duty</t>
  </si>
  <si>
    <t>Cupboard</t>
  </si>
  <si>
    <t>Corrugated sheets</t>
  </si>
  <si>
    <t>Corrugated Box</t>
  </si>
  <si>
    <t>Copyrights</t>
  </si>
  <si>
    <t>Copper Spools</t>
  </si>
  <si>
    <t>Contract Type</t>
  </si>
  <si>
    <t>Computer Software</t>
  </si>
  <si>
    <t>Computer Hardware</t>
  </si>
  <si>
    <t>Computer and server</t>
  </si>
  <si>
    <t>Computer Accessory</t>
  </si>
  <si>
    <t>Commission Charges</t>
  </si>
  <si>
    <t>A56</t>
  </si>
  <si>
    <t>COCOA Driver</t>
  </si>
  <si>
    <t>Cloud Revenue</t>
  </si>
  <si>
    <t>Cleaning Supplies</t>
  </si>
  <si>
    <t>Chimney</t>
  </si>
  <si>
    <t>Chair</t>
  </si>
  <si>
    <t>Ceiling Fan</t>
  </si>
  <si>
    <t>CCTV</t>
  </si>
  <si>
    <t>Carriage Inwards</t>
  </si>
  <si>
    <t>Cabinet</t>
  </si>
  <si>
    <t>Buildings</t>
  </si>
  <si>
    <t>BOPP Tape</t>
  </si>
  <si>
    <t>Blender</t>
  </si>
  <si>
    <t>Barcode Scanner</t>
  </si>
  <si>
    <t>Airfare</t>
  </si>
  <si>
    <t>Air Cooler</t>
  </si>
  <si>
    <t>Air Conditioner</t>
  </si>
  <si>
    <t>Admin Item</t>
  </si>
  <si>
    <t>Adhesive &amp; Glue</t>
  </si>
  <si>
    <t>Accommodation</t>
  </si>
  <si>
    <t>Accessories</t>
  </si>
  <si>
    <t>Material Family</t>
  </si>
  <si>
    <t>FIG063</t>
  </si>
  <si>
    <t>GV5 MCF Flamingo 6Blu LED 1400mm EA23001</t>
  </si>
  <si>
    <t>Sum of Billed Quantity</t>
  </si>
  <si>
    <t>FIG062</t>
  </si>
  <si>
    <t>GV5 MCF Flamingo 6Blue LED 900mm-EA22901</t>
  </si>
  <si>
    <t>FIG061</t>
  </si>
  <si>
    <t>GV5 MCF Flamingo 6Blue LED 600mm-EA22801</t>
  </si>
  <si>
    <t>A169701</t>
  </si>
  <si>
    <t>Mini BLDC Box Cover</t>
  </si>
  <si>
    <t>FG1000</t>
  </si>
  <si>
    <t>PCBA AB BLDC FF Regalis GMHVI9-L1</t>
  </si>
  <si>
    <t>FIG007</t>
  </si>
  <si>
    <t>V1 I10 Plus CU PWM</t>
  </si>
  <si>
    <t>FIG060</t>
  </si>
  <si>
    <t>FG_BLE module PCBA BOM_Bluebird_EA27601</t>
  </si>
  <si>
    <t>FIG064</t>
  </si>
  <si>
    <t>Jagaur ESP 900mm PCBA EA26701</t>
  </si>
  <si>
    <t>FIG065</t>
  </si>
  <si>
    <t>Jagaur ESP_DIG Integrated 900mm EA26801</t>
  </si>
  <si>
    <t>SFG064</t>
  </si>
  <si>
    <t>SFG_BLE module PCBA BOM_Bluebird_EA27601</t>
  </si>
  <si>
    <t>SFG065</t>
  </si>
  <si>
    <t>SFG MCF Flamingo 6Blue LED 600mm-EA22801</t>
  </si>
  <si>
    <t>SFG066</t>
  </si>
  <si>
    <t>SFG MCF Flamingo 6Blue LED 900mm-EA22901</t>
  </si>
  <si>
    <t>SFG067</t>
  </si>
  <si>
    <t>SFG MCF Flamingo 6Blu LED 1400mm EA23001</t>
  </si>
  <si>
    <t>SFG068</t>
  </si>
  <si>
    <t>SFG PCBA AB BLDC FF Regalis GMHVI9-L1</t>
  </si>
  <si>
    <t>SFG069</t>
  </si>
  <si>
    <t>SFG Jagaur ESP 900mm PCBA EA26701</t>
  </si>
  <si>
    <t>Column1</t>
  </si>
  <si>
    <t>MTD - Sep-25</t>
  </si>
  <si>
    <t>KAYNES TECHNOLOGY INDIA LIMITED</t>
  </si>
  <si>
    <t>E00000476</t>
  </si>
  <si>
    <t>RES/TH/100K/0.25W/±5%/Axial Lead</t>
  </si>
  <si>
    <t>E00000109</t>
  </si>
  <si>
    <t>CAP/Alum/TH/1500uF/35V/±20%/5hrs/13X21mm</t>
  </si>
  <si>
    <t>E00000151</t>
  </si>
  <si>
    <t>RES/SMD/5K6/0.1W/±1%/0603</t>
  </si>
  <si>
    <t>E00000106</t>
  </si>
  <si>
    <t>Heat Sink THT 22x15mm</t>
  </si>
  <si>
    <t>E00000572</t>
  </si>
  <si>
    <t>PCB_WP_Dig/35U/134.115mmx132.541mm</t>
  </si>
  <si>
    <t>E00000309</t>
  </si>
  <si>
    <t>CAP/MPP Film/TH/0.22uF/630Vdc/±5%/P=10mm</t>
  </si>
  <si>
    <t>E00000560</t>
  </si>
  <si>
    <t>RES/SMD/0R50/1W/±1%/2512</t>
  </si>
  <si>
    <t>E00000830</t>
  </si>
  <si>
    <t>Wireharness/24V Input/3P/Female/250mm</t>
  </si>
  <si>
    <t>E00000017</t>
  </si>
  <si>
    <t>CAP/Alum/TH/47uF/63V/±20%/5Khrs/6.3X12mm</t>
  </si>
  <si>
    <t>E00000397</t>
  </si>
  <si>
    <t>LED/SMD/35mcd/Green/2V/130deg/20mA/0805</t>
  </si>
  <si>
    <t>E00000661</t>
  </si>
  <si>
    <t>Transformer/EE20/10 pin bobbin/221.3uH</t>
  </si>
  <si>
    <t>E00000656</t>
  </si>
  <si>
    <t>CAP/MPP Film/TH/68nF/630Vdc/±5%/P=10mm</t>
  </si>
  <si>
    <t>E00000556</t>
  </si>
  <si>
    <t>LED/SMD/140mcd/Red-Yellow/2.4V/20mA/0603</t>
  </si>
  <si>
    <t>E00000657</t>
  </si>
  <si>
    <t>CAP/TH/1nF/1KV/±20%/P=5mm,Disc/Y5U</t>
  </si>
  <si>
    <t>E00000165</t>
  </si>
  <si>
    <t>RES/SMD/10K/0.125W/±1%/0805</t>
  </si>
  <si>
    <t>E00000016</t>
  </si>
  <si>
    <t>CAP/Alum/TH/10uF/63V/±20%/5Khrs/5X12mm</t>
  </si>
  <si>
    <t>E00000492</t>
  </si>
  <si>
    <t>CAP/SMD/100pF/16VDC/±5%/0603/C0G</t>
  </si>
  <si>
    <t>E00000173</t>
  </si>
  <si>
    <t>CAP/SMD/4.7uF/16V/±10%/0805/X7R</t>
  </si>
  <si>
    <t>E00000487</t>
  </si>
  <si>
    <t>EE25 transformer/352uH/10pin bobbin</t>
  </si>
  <si>
    <t>E00000829</t>
  </si>
  <si>
    <t>Wireharness/UV Choke/4P/Female/150mm</t>
  </si>
  <si>
    <t>E00000555</t>
  </si>
  <si>
    <t>LED/SMD/350mcd/Ice Blue/2.8V/5mA/0603</t>
  </si>
  <si>
    <t>E00000425</t>
  </si>
  <si>
    <t>CAP/SMD/33pF/16VDC/±5%/0603/C0G</t>
  </si>
  <si>
    <t>E00000662</t>
  </si>
  <si>
    <t>Transformer/EE16/10 pin bobbin/2.1mH</t>
  </si>
  <si>
    <t>E00000119</t>
  </si>
  <si>
    <t>RES/SMD/0R50/0.250W/±1%/1206</t>
  </si>
  <si>
    <t>E00000549</t>
  </si>
  <si>
    <t>LED/SMD/RGB/5Vtyp./130°/12mA/SMD-4</t>
  </si>
  <si>
    <t>E00000548</t>
  </si>
  <si>
    <t>DIO/SCHOTTKY/SMD/40V/1A//SOD-123F</t>
  </si>
  <si>
    <t>E00000489</t>
  </si>
  <si>
    <t>CAP/SMD/10nF/16VDC/±10%/0603/X7R</t>
  </si>
  <si>
    <t>E00000420</t>
  </si>
  <si>
    <t>CAP/SMD/1nF/16VDC/±10%/0603/X7R</t>
  </si>
  <si>
    <t>E00000488</t>
  </si>
  <si>
    <t>CAP/SMD/1uF/16VDC/±10%/0603/X7R</t>
  </si>
  <si>
    <t>E00000721</t>
  </si>
  <si>
    <t>CAP/Alum/TH/100uF/50V/±20%/7Khrs/8X11.5</t>
  </si>
  <si>
    <t>E00000546</t>
  </si>
  <si>
    <t>CAP/SMD/2.2nF/16VDC/±10%/0805/X7R</t>
  </si>
  <si>
    <t>E00000559</t>
  </si>
  <si>
    <t>RES/SMD/510E/0.1W/±1%/0603</t>
  </si>
  <si>
    <t>E00000503</t>
  </si>
  <si>
    <t>RES/SMD/33E/0.1W/±1%/0603</t>
  </si>
  <si>
    <t>E00000029</t>
  </si>
  <si>
    <t>DIO/GEN/SMD/100V/215mA/380mW/SOD-123F</t>
  </si>
  <si>
    <t>E00000564</t>
  </si>
  <si>
    <t>IC/SMD/LDO/Fixed/4.7-15Vi/3.3Vo/TO-252-3</t>
  </si>
  <si>
    <t>E00000568</t>
  </si>
  <si>
    <t>IC/SMD/OPAMP, 4-Ch/2.7-5.5V/SOIC-14</t>
  </si>
  <si>
    <t>E00000565</t>
  </si>
  <si>
    <t>IC/SMD/Vtg Reg/Fixed/-Vi/SOT-23-5</t>
  </si>
  <si>
    <t>E00000563</t>
  </si>
  <si>
    <t>IC/SMD/Vtg Reg/ADJ/4.5-36V/SOT-23-6</t>
  </si>
  <si>
    <t>E00000406</t>
  </si>
  <si>
    <t>RES/SMD/2K2/0.1W/±1%/0603</t>
  </si>
  <si>
    <t>GODREJ &amp; BOYCE MFG. CO. LTD  MOHALI</t>
  </si>
  <si>
    <t>Droppage Cost</t>
  </si>
  <si>
    <t>Droppage per unit</t>
  </si>
  <si>
    <t>SUNITI ELECTRICALS</t>
  </si>
  <si>
    <t>GODREJ &amp; BOYCE MFG. CO. LTD Shirwal</t>
  </si>
  <si>
    <t>E00000281</t>
  </si>
  <si>
    <t>CAP/TH/2.2nF/1KV/±20%/P=5mm,Disc/Z5V/Y5V</t>
  </si>
  <si>
    <t>E00000831</t>
  </si>
  <si>
    <t>Wireharness/AC Input PWR/2P/Male/150mm</t>
  </si>
  <si>
    <t>E00000484</t>
  </si>
  <si>
    <t>MOSFET/TH/N-channel/800V/18A/0.25Ωmax./T</t>
  </si>
  <si>
    <t>E00000318</t>
  </si>
  <si>
    <t>RES/TH/3M6/1W/±5%/Axial Lead</t>
  </si>
  <si>
    <t>E00000566</t>
  </si>
  <si>
    <t>C/TH/Hall Snsr,Analog/3-5.5V/TO-92-3</t>
  </si>
  <si>
    <t>E00000569</t>
  </si>
  <si>
    <t>IC/SMD/Counter/Up/3-18V/SOIC-16</t>
  </si>
  <si>
    <t>E00000570</t>
  </si>
  <si>
    <t>IC/SMD/OPAMP, 4-Ch/1.8-5.5V/SOIC-14</t>
  </si>
  <si>
    <t>E00000328</t>
  </si>
  <si>
    <t>CAP/Alum/SMD/47uF/35V/±20%//4Khr/6.3X6mm</t>
  </si>
  <si>
    <t>E00000419</t>
  </si>
  <si>
    <t>CAP/SMD/100nF/16VDC/±10%/0603/X7R</t>
  </si>
  <si>
    <t>E00000483</t>
  </si>
  <si>
    <t>DIO/GEN/SMD/1000V/2A/SMA(DO-214AC)</t>
  </si>
  <si>
    <t>E00000651</t>
  </si>
  <si>
    <t>CAP/SMD/100nF/16VDC/±10%/0805/X7R</t>
  </si>
  <si>
    <t>E00000162</t>
  </si>
  <si>
    <t>RES/SMD/1M/0.1W/±1%/0603</t>
  </si>
  <si>
    <t>E00000561</t>
  </si>
  <si>
    <t>RES/SMD/47E/0.5W/±1%/1206</t>
  </si>
  <si>
    <t>E00000663</t>
  </si>
  <si>
    <t>MOSFET/SMD/N-ch/80V/24A/12.3mΩ/SOP-8</t>
  </si>
  <si>
    <t>E00000554</t>
  </si>
  <si>
    <t>Ferrite Bead/1Kohm/±25%/1 line/0805/1.5A</t>
  </si>
  <si>
    <t>E00000562</t>
  </si>
  <si>
    <t>RES/SMD/470E/0.1W/±1%/0603</t>
  </si>
  <si>
    <t>E00000571</t>
  </si>
  <si>
    <t>IC/SMD/LED Driver TM1650/SOP16</t>
  </si>
  <si>
    <t>E00000578</t>
  </si>
  <si>
    <t>CAP/SMD/100nF/25VDC/±10%/0805/X7R</t>
  </si>
  <si>
    <t>E00000146</t>
  </si>
  <si>
    <t>RES/SMD/9K1/0.1W/±1%/0603</t>
  </si>
  <si>
    <t>E00000161</t>
  </si>
  <si>
    <t>RES/SMD/68K/0.1W/±1%/0603</t>
  </si>
  <si>
    <t>E00000486</t>
  </si>
  <si>
    <t>RES/SMD/75E/0.25W/±1%/1206</t>
  </si>
  <si>
    <t>E00000312</t>
  </si>
  <si>
    <t>RES/SMD/0E/1W/±5%/2512</t>
  </si>
  <si>
    <t>E00000557</t>
  </si>
  <si>
    <t>MOSFET/SMD/N-ch/60V/3A/80mOhm/SOT23-3</t>
  </si>
  <si>
    <t>E00000150</t>
  </si>
  <si>
    <t>RES/SMD/1K/0.1W/±1%/0603</t>
  </si>
  <si>
    <t>E00000383</t>
  </si>
  <si>
    <t>CAP/SMD/100pF/50VDC/±5%/0805/C0G</t>
  </si>
  <si>
    <t>E00000402</t>
  </si>
  <si>
    <t>RES/SMD/1K/0.125W/±1%/0805</t>
  </si>
  <si>
    <t>E00000558</t>
  </si>
  <si>
    <t>RES/SMD/510E/0.125W/±1%/0805</t>
  </si>
  <si>
    <t>E00000153</t>
  </si>
  <si>
    <t>RES/SMD/33E/0.125W/±1%/0805</t>
  </si>
  <si>
    <t>E00000248</t>
  </si>
  <si>
    <t>RES/SMD/6.8K/0.125W/±1%/0805</t>
  </si>
  <si>
    <t>E00000384</t>
  </si>
  <si>
    <t>CAP/ELE/SMD/100uF/35V/±20%/5Khrs/8X10mm</t>
  </si>
  <si>
    <t>E00000087</t>
  </si>
  <si>
    <t>E00000297</t>
  </si>
  <si>
    <t>RES/TH/0E/Jumper/AXI</t>
  </si>
  <si>
    <t>E00000597</t>
  </si>
  <si>
    <t>DIO/TH/Array CommonK/200V/2X10A/TO-220-3</t>
  </si>
  <si>
    <t>E00000314</t>
  </si>
  <si>
    <t>RES/SMD/1K8/0.125W/±1%/0805</t>
  </si>
  <si>
    <t>E00000097</t>
  </si>
  <si>
    <t>RES/SMD/10K/0.1W/±1%/0603</t>
  </si>
  <si>
    <t>E00000176</t>
  </si>
  <si>
    <t>RES/SMD/100K/0.1W/±1%/0603</t>
  </si>
  <si>
    <t>E00000295</t>
  </si>
  <si>
    <t>RES/SMD/3K/0.1W/±1%/0603</t>
  </si>
  <si>
    <t>E00000660</t>
  </si>
  <si>
    <t>RES/SMD/91K/0.125W/±1%/0805</t>
  </si>
  <si>
    <t>E00000922</t>
  </si>
  <si>
    <t>LED spacer/2 pins/5mmX5mm/Black</t>
  </si>
  <si>
    <t>Hinjewadi RnD</t>
  </si>
  <si>
    <t>INYANTRA TECHNOLOGIES PRIVATE LIMIT</t>
  </si>
  <si>
    <t>E00000336</t>
  </si>
  <si>
    <t>PCB_EA07301,Jaguar_ESP/35U/26X20.5mm</t>
  </si>
  <si>
    <t>E00000434</t>
  </si>
  <si>
    <t>PCB_Saber_Smart Dig/70U/55mm x 55mm</t>
  </si>
  <si>
    <t>E00000652</t>
  </si>
  <si>
    <t>CAP/ELE/SMD/330uF/50V/±20%//2Khrs/10X10</t>
  </si>
  <si>
    <t>E00000550</t>
  </si>
  <si>
    <t>CONN/SMD/Header Vertical/3P/1R/2.5mm</t>
  </si>
  <si>
    <t>E00000567</t>
  </si>
  <si>
    <t>IC/SMD/ESP32-S3-MINI Mod.Wifi BT/3V-3.6V</t>
  </si>
  <si>
    <t>E00000552</t>
  </si>
  <si>
    <t>CONN/SMD/Header Vertical/14P/1R/1.5mm</t>
  </si>
  <si>
    <t>E00000551</t>
  </si>
  <si>
    <t>CONN/SMD/Header Vertical/15P/1R/1.5mm</t>
  </si>
  <si>
    <t>E00000553</t>
  </si>
  <si>
    <t>IND/SMD/10 µH/2.5A/±20%/6mm x 6mm</t>
  </si>
  <si>
    <t>E00001023</t>
  </si>
  <si>
    <t>E00001024</t>
  </si>
  <si>
    <t>GDT/TH/Axial lead/350V/20KA/8.10mm dia.</t>
  </si>
  <si>
    <t>Pune MWH</t>
  </si>
  <si>
    <t>E00000197</t>
  </si>
  <si>
    <t>IC/SMD/OP-AMP, 2 circuits/3V-30V/SOIC-8</t>
  </si>
  <si>
    <t>E00000324</t>
  </si>
  <si>
    <t>WireHarness/2pin/A107201/100mm</t>
  </si>
  <si>
    <t>E00000219</t>
  </si>
  <si>
    <t>CONN/TH/Therminal block/3P/1R/5.08mm</t>
  </si>
  <si>
    <t>E00000061</t>
  </si>
  <si>
    <t>RES/TH/200K/2W/±5%/</t>
  </si>
  <si>
    <t>E00000127</t>
  </si>
  <si>
    <t>CAP/Alum/TH/100uF/35V/±20%/5Khr/6.3X12mm</t>
  </si>
  <si>
    <t>E00000194</t>
  </si>
  <si>
    <t>CAP/MPP Film/TH/0.1uF/630Vdc/±5%/P=15mm</t>
  </si>
  <si>
    <t>E00000205</t>
  </si>
  <si>
    <t>RES/SMD/0.22E/1W/±1%/2512</t>
  </si>
  <si>
    <t>E00000198</t>
  </si>
  <si>
    <t>IC/SMD/PFCcontroller,CrM/10.2-20V/SOIC-8</t>
  </si>
  <si>
    <t>E00000004</t>
  </si>
  <si>
    <t>CAP/SMD/2.2nF/50VDC/±10%/0805/C0G/X7R</t>
  </si>
  <si>
    <t>E00000211</t>
  </si>
  <si>
    <t>RES/SMD/3K3/0.125W/±1%/0805</t>
  </si>
  <si>
    <t>E00000212</t>
  </si>
  <si>
    <t>RES/SMD/56K/0.125W/±1%/0805</t>
  </si>
  <si>
    <t>E00000200</t>
  </si>
  <si>
    <t>Transfomer/TH/EE28/10 pin bobbin/560uH</t>
  </si>
  <si>
    <t>E00000036</t>
  </si>
  <si>
    <t>IC/SMD/MCU,STM8S003F3/2.95-5.5V/TSSOP-20</t>
  </si>
  <si>
    <t>E00000277</t>
  </si>
  <si>
    <t>RES/SMD/100K/0.125W/±1%/0805</t>
  </si>
  <si>
    <t>E00000031</t>
  </si>
  <si>
    <t>DIO/GEN/SMD/1000V/1A//SMA(DO-214AC)</t>
  </si>
  <si>
    <t>E00000069</t>
  </si>
  <si>
    <t>Wire/Red PVC/0.5Sqmm/Single Core/1.1KV</t>
  </si>
  <si>
    <t>E00000070</t>
  </si>
  <si>
    <t>Wire/Black PVC/0.5Sqmm/Single Core/1.1KV</t>
  </si>
  <si>
    <t>E00000005</t>
  </si>
  <si>
    <t>CAP/TH/2.2nF/3KV/±20%/P=5mm,Disc/Z5V/Y5V</t>
  </si>
  <si>
    <t>E00000001</t>
  </si>
  <si>
    <t>CONN/SMD/Push-in CAGE/3P/1R/Female/4mm</t>
  </si>
  <si>
    <t>E00000040</t>
  </si>
  <si>
    <t>MOV/TH/620V/385Vac/505Vdc/10KA/14mm</t>
  </si>
  <si>
    <t>E00000041</t>
  </si>
  <si>
    <t>Fuse Resistor/THT/10ohm/2W/pitch=5mm</t>
  </si>
  <si>
    <t>E00000374</t>
  </si>
  <si>
    <t>MOSFET/TH/N-channel/900V/8A/1.3Ω/TO-220</t>
  </si>
  <si>
    <t>E00000009</t>
  </si>
  <si>
    <t>CAP/SMD/4.7uF/50V/±10%/0805/X7R</t>
  </si>
  <si>
    <t>E00000032</t>
  </si>
  <si>
    <t>DIO/Bridge Rect/SMD/1KV/2A/1-PH//4-SMD</t>
  </si>
  <si>
    <t>E00000264</t>
  </si>
  <si>
    <t>CAP/Alum/TH/10uF/63V/±20%/2Khrs/5X11mm</t>
  </si>
  <si>
    <t>E00000265</t>
  </si>
  <si>
    <t>CAP/Alum/TH/47uF/63V/±20%/2Khrs/6.3X12mm</t>
  </si>
  <si>
    <t>E00000371</t>
  </si>
  <si>
    <t>CAP/Alum/TH/1000uF/35V/±20%/7Khr/13X17mm</t>
  </si>
  <si>
    <t>E00000043</t>
  </si>
  <si>
    <t>RES/SMD/ 1E/1W/±1%/2512</t>
  </si>
  <si>
    <t>E00000035</t>
  </si>
  <si>
    <t>IC/SMD/AC i/p Photocoupler,5KVrms/4-SMD</t>
  </si>
  <si>
    <t>E00000037</t>
  </si>
  <si>
    <t>IC/SMD/LED DRV OFFL,TRIAC/18Vmax/SOIC-8</t>
  </si>
  <si>
    <t>E00000012</t>
  </si>
  <si>
    <t>CAP/SMD/10uF/50VDC/±10%/1206/X7R</t>
  </si>
  <si>
    <t>E00000105</t>
  </si>
  <si>
    <t>Wireharness/Green wire w lug/1.1KV/200mm</t>
  </si>
  <si>
    <t>A302701</t>
  </si>
  <si>
    <t>GV5 Wound Stator 0.9M (1.5MM Magnet)</t>
  </si>
  <si>
    <t>FIG066</t>
  </si>
  <si>
    <t>FG Impala LED 900mm PCBA EA23301</t>
  </si>
  <si>
    <t>FIG070</t>
  </si>
  <si>
    <t>Saber Digi+ESP Integrated 900mm EA23701</t>
  </si>
  <si>
    <t>FIG069</t>
  </si>
  <si>
    <t>FG Saber ESP PCBA 900 EA23501</t>
  </si>
  <si>
    <t>Sales p.u</t>
  </si>
  <si>
    <t>COGS  p.u</t>
  </si>
  <si>
    <t>BOM cost p.u</t>
  </si>
  <si>
    <t>Labour Cost p.u</t>
  </si>
  <si>
    <t>Other Conv Cost p.u</t>
  </si>
  <si>
    <t>Material Margin</t>
  </si>
  <si>
    <t>Material Margin %</t>
  </si>
  <si>
    <t>MTD - Oct-25</t>
  </si>
  <si>
    <t>Stator
CF</t>
  </si>
  <si>
    <t>DROPPAGE COST</t>
  </si>
  <si>
    <t>A184001</t>
  </si>
  <si>
    <t>Stator_assembly_Efficio_8"</t>
  </si>
  <si>
    <t>A184002</t>
  </si>
  <si>
    <t>Stator_Assembly_Efficio_10"</t>
  </si>
  <si>
    <t>A184401</t>
  </si>
  <si>
    <t>Efficio_8"_motor_assembly</t>
  </si>
  <si>
    <t>A184402</t>
  </si>
  <si>
    <t>Efficio_10"_motor_assembly</t>
  </si>
  <si>
    <t>A187201</t>
  </si>
  <si>
    <t>Stator_Winding_Assembly_8"</t>
  </si>
  <si>
    <t>A188901</t>
  </si>
  <si>
    <t>Rotor_subassembly_Studio</t>
  </si>
  <si>
    <t>A189001</t>
  </si>
  <si>
    <t>Stator_subassembly_Studio</t>
  </si>
  <si>
    <t>A203801</t>
  </si>
  <si>
    <t>Stator_Wound_with_PCB_Efficio</t>
  </si>
  <si>
    <t>A203901</t>
  </si>
  <si>
    <t>Stator Wound with PCB</t>
  </si>
  <si>
    <t>A233502</t>
  </si>
  <si>
    <t>Stator_Winding_Assembly_10"</t>
  </si>
  <si>
    <t>A233602</t>
  </si>
  <si>
    <t>Stator_Wound_With_PCB_10"</t>
  </si>
  <si>
    <t>A283004</t>
  </si>
  <si>
    <t>Wound Stator GV5 1.2M New</t>
  </si>
  <si>
    <t>PCB_WP_Power/35U/ 76mmx108mm</t>
  </si>
  <si>
    <t>FIG067</t>
  </si>
  <si>
    <t>FG Saber ESP 600mm PCBA EA23401</t>
  </si>
  <si>
    <t>FIG068</t>
  </si>
  <si>
    <t>Saber Digi+ESP Integrated 600mm EA23601</t>
  </si>
  <si>
    <t>FIG071</t>
  </si>
  <si>
    <t>FG Saber ESP PCBA 1400mm EA24401</t>
  </si>
  <si>
    <t>FIG072</t>
  </si>
  <si>
    <t>Saber Digi+ESP Integrated 1400mm EA23801</t>
  </si>
  <si>
    <t>SFG070</t>
  </si>
  <si>
    <t> SFG Impala LED 900mm PCBA EA23301</t>
  </si>
  <si>
    <t>SFG071</t>
  </si>
  <si>
    <t>SFG Saber ESP 600mm PCBA EA23401</t>
  </si>
  <si>
    <t>SFG072</t>
  </si>
  <si>
    <t>SFG Saber ESP PCBA 900 EA23501</t>
  </si>
  <si>
    <t>SFG073</t>
  </si>
  <si>
    <t>SFG Saber ESP PCBA 1400mm EA24401</t>
  </si>
  <si>
    <t>Motor
AC</t>
  </si>
  <si>
    <t>Motor AC</t>
  </si>
  <si>
    <t>Average of ASP</t>
  </si>
  <si>
    <t>E00000329</t>
  </si>
  <si>
    <t>CAP/Alum/SMD/100uF/35V/±20%/4Khr/6.3X8mm</t>
  </si>
  <si>
    <t>E00000331</t>
  </si>
  <si>
    <t>RES/SMD/22K/0.063W/±1%/0402</t>
  </si>
  <si>
    <t>E00000332</t>
  </si>
  <si>
    <t>RES/SMD/100K/0.063W/±1%/0402</t>
  </si>
  <si>
    <t>Rotor
Ref</t>
  </si>
  <si>
    <t>E00000090</t>
  </si>
  <si>
    <t>IC/SMD/BLDC motor DRV/4.5V-45V/24-HTSSOP</t>
  </si>
  <si>
    <t>A202701</t>
  </si>
  <si>
    <t>Wound Stator GV5 Al Winding 1.2M</t>
  </si>
  <si>
    <t>PGI Remarks</t>
  </si>
  <si>
    <t>A189401</t>
  </si>
  <si>
    <t>Amplivar Terminal CPC 62304-2</t>
  </si>
  <si>
    <t>A200701</t>
  </si>
  <si>
    <t>Aluminium Wire 23 SWG DC F Class</t>
  </si>
  <si>
    <t>A287801</t>
  </si>
  <si>
    <t>TPW 400HS, 450NS STATOR ASSY</t>
  </si>
  <si>
    <t>A287901</t>
  </si>
  <si>
    <t>TPW BLDC ALUMINIUM WINDING</t>
  </si>
  <si>
    <t>A290101</t>
  </si>
  <si>
    <t>TPW ROTOR ASSY</t>
  </si>
  <si>
    <t>A290501</t>
  </si>
  <si>
    <t>Motor Assembly Hyena Black</t>
  </si>
  <si>
    <t>A290701</t>
  </si>
  <si>
    <t>Rotor And Shaft Assembly Hyena</t>
  </si>
  <si>
    <t>A303301</t>
  </si>
  <si>
    <t>Rotor And Shaft Assembly RACOON</t>
  </si>
  <si>
    <t>FIG073</t>
  </si>
  <si>
    <t>FG_Walrus Interface EA19701</t>
  </si>
  <si>
    <t>FIG074</t>
  </si>
  <si>
    <t>FG T-Rex Swing_Interface_EA18701</t>
  </si>
  <si>
    <t>FIG075</t>
  </si>
  <si>
    <t>FG T-rex &amp; Walrus MCF Driver EA25701</t>
  </si>
  <si>
    <t>FIG076</t>
  </si>
  <si>
    <t>FG GV5.1 Reboot STM32 6LED 1.4M EA25301</t>
  </si>
  <si>
    <t>SFG074</t>
  </si>
  <si>
    <t>SFG_Saber smart Integrated -EA20701</t>
  </si>
  <si>
    <t>SFG075</t>
  </si>
  <si>
    <t>SFG_Saber smart Integrated 600mm-EA23601</t>
  </si>
  <si>
    <t>SFG076</t>
  </si>
  <si>
    <t>SFG_Saber smart Integrated 900mm-EA23701</t>
  </si>
  <si>
    <t>SFG077</t>
  </si>
  <si>
    <t>SFG_Saber smart Integrate 1400mm-EA23801</t>
  </si>
  <si>
    <t>SFG078</t>
  </si>
  <si>
    <t>SFG_Jaugar DIG Integrated EA08501</t>
  </si>
  <si>
    <t>SFG079</t>
  </si>
  <si>
    <t>SFG_Jaugar DIG Integrated 900mm EA26801</t>
  </si>
  <si>
    <t>SFG080</t>
  </si>
  <si>
    <t>SFG_Walrus Interface EA19701</t>
  </si>
  <si>
    <t>SFG081</t>
  </si>
  <si>
    <t>SFG T-Rex Swing_Interface_EA18701</t>
  </si>
  <si>
    <t>SFG082</t>
  </si>
  <si>
    <t>SFG T-rex &amp; Walrus MCF Driver EA25701</t>
  </si>
  <si>
    <t>SFG083</t>
  </si>
  <si>
    <t>SFG GV5.1 Reboot STM32 6LED 1.4M EA25301</t>
  </si>
  <si>
    <t>Sales DB</t>
  </si>
  <si>
    <t>E00000313</t>
  </si>
  <si>
    <t>RES/SMD/0.27E/1W/±1%/2512</t>
  </si>
  <si>
    <t>E00000323</t>
  </si>
  <si>
    <t>IC/SMD/LED Driver with PFC,iW3627/SOT23</t>
  </si>
  <si>
    <t>E00000330</t>
  </si>
  <si>
    <t>IC/SMD/DC-DC buck/ADJ/2A/4.5-36V/SOT23-3</t>
  </si>
  <si>
    <t>E00000117</t>
  </si>
  <si>
    <t>MOV/TH/1.5K-1.8KV/1KVac/4.5KA/14mm</t>
  </si>
  <si>
    <t>E00000091</t>
  </si>
  <si>
    <t>IC/SMD/RF TXRX Module Wifi BT/3V-3.6V/</t>
  </si>
  <si>
    <t>E00000006</t>
  </si>
  <si>
    <t>CAP/TH/4.7nF/1KV/±20%/P=5mm,Disc/Z5V/Y5V</t>
  </si>
  <si>
    <t>E00000078</t>
  </si>
  <si>
    <t>RES/SMD/30K/0.125W/±1%/0805</t>
  </si>
  <si>
    <t>E00000291</t>
  </si>
  <si>
    <t>RES/SMD/27K/0.125W/±1%/0805</t>
  </si>
  <si>
    <t>E00000094</t>
  </si>
  <si>
    <t>Screw/with washer/M3/dia 6.70 +-0.5</t>
  </si>
  <si>
    <t>E00000270</t>
  </si>
  <si>
    <t>MOV/TH/V/395Vac/510Vdc/10KA/14mm</t>
  </si>
  <si>
    <t>E00000228</t>
  </si>
  <si>
    <t>RES/SMD/1K2/0.125W/±1%/0805</t>
  </si>
  <si>
    <t>E00000229</t>
  </si>
  <si>
    <t>RES/SMD/18K/0.125W/±1%/0805</t>
  </si>
  <si>
    <t>E00000320</t>
  </si>
  <si>
    <t>RES/SMD/10K/0.250W/±1%/1206</t>
  </si>
  <si>
    <t>E00000316</t>
  </si>
  <si>
    <t>RES/SMD/1R/0.125W/±1%/0805</t>
  </si>
  <si>
    <t>E00000155</t>
  </si>
  <si>
    <t>RES/SMD/2K2/0.125W/±1%/0805</t>
  </si>
  <si>
    <t>E00000011</t>
  </si>
  <si>
    <t>E00000013</t>
  </si>
  <si>
    <t>CAP/SMD/10nF/50VDC/±10%/0603/C0G</t>
  </si>
  <si>
    <t>E00000315</t>
  </si>
  <si>
    <t>RES/SMD/20K/0.125W/±1%/0805</t>
  </si>
  <si>
    <t>E00000607</t>
  </si>
  <si>
    <t>CAP/Alum/TH/1000uF/35V/±20%/5Khr/13X17mm</t>
  </si>
  <si>
    <t>E00000478</t>
  </si>
  <si>
    <t>DIO/THT/Array Common K/200V/10A/TO-220-3</t>
  </si>
  <si>
    <t>E00000613</t>
  </si>
  <si>
    <t>RES/SMD/4.7K/0.0625W/±1%/0402</t>
  </si>
  <si>
    <t>E00000473</t>
  </si>
  <si>
    <t>RES/SMD/39R/0.25W/±1%/1206</t>
  </si>
  <si>
    <t>E00000449</t>
  </si>
  <si>
    <t>MOV/TH/680V/420Vac/560Vdc/6KA/10mm</t>
  </si>
  <si>
    <t>November-25</t>
  </si>
  <si>
    <t>MTD - Nov-25</t>
  </si>
  <si>
    <t>SYRMA SGS TECHNOLOGY LIMITED</t>
  </si>
  <si>
    <t>RONCH POLYMERS PRIVATE LIMITED</t>
  </si>
  <si>
    <t>PCB</t>
  </si>
  <si>
    <t>Motor</t>
  </si>
  <si>
    <t>Extenral</t>
  </si>
  <si>
    <t>Internal</t>
  </si>
  <si>
    <t>(INR in '000)</t>
  </si>
  <si>
    <t>Internal Revenue</t>
  </si>
  <si>
    <t>External Revenue</t>
  </si>
  <si>
    <t>Particuars</t>
  </si>
  <si>
    <t>Value</t>
  </si>
  <si>
    <t>Total
Motor</t>
  </si>
  <si>
    <t>Total
PCB</t>
  </si>
  <si>
    <t>CF (S)</t>
  </si>
  <si>
    <t>AC (M)</t>
  </si>
  <si>
    <t>Ref (S)</t>
  </si>
  <si>
    <t xml:space="preserve"> CF</t>
  </si>
  <si>
    <t xml:space="preserve"> MG</t>
  </si>
  <si>
    <t>WP</t>
  </si>
  <si>
    <t>MG</t>
  </si>
  <si>
    <t>E00000027</t>
  </si>
  <si>
    <t>LED/TH/6000mcd/White/3.1V/30°/20mA/</t>
  </si>
  <si>
    <t>E00000278</t>
  </si>
  <si>
    <t>PCB_GV5.1_STM32C0/G0)/35U/83X87mm</t>
  </si>
  <si>
    <t>E00000042</t>
  </si>
  <si>
    <t>Heat sink for Q2/Heat Sink THT 19.5x15mm</t>
  </si>
  <si>
    <t>E00000378</t>
  </si>
  <si>
    <t>E00000394</t>
  </si>
  <si>
    <t>DIO/TVS/ 3.3V/10A/9.5Vc @10A/100W/SOD323</t>
  </si>
  <si>
    <t>E00000664</t>
  </si>
  <si>
    <t>IC/SMD/Ballast Controller/600V/3.2mA</t>
  </si>
  <si>
    <t>Qty (In Units)</t>
  </si>
  <si>
    <t>-</t>
  </si>
  <si>
    <t>HIMTEJ INDIA PRIVATE LIMITED</t>
  </si>
  <si>
    <t>A197201</t>
  </si>
  <si>
    <t>STATOR STACK REF. ALUMINIUM (ID 50.8)</t>
  </si>
  <si>
    <t>A198201</t>
  </si>
  <si>
    <t>ROTOR STACK REF ALUMINIUM (OD 49.8)</t>
  </si>
  <si>
    <t>E00000049</t>
  </si>
  <si>
    <t>E00000024</t>
  </si>
  <si>
    <t>DIO/ZEN/SMD/18V/250mA/375mW/SOD-123F</t>
  </si>
  <si>
    <t>E00000065</t>
  </si>
  <si>
    <t>Transistor/SMD/NPN/40V/600mA/SOT-23-3</t>
  </si>
  <si>
    <t>E00000066</t>
  </si>
  <si>
    <t>Transistor/SMD/PNP/65V/100mA/SOT-23-3</t>
  </si>
  <si>
    <t>E00000474</t>
  </si>
  <si>
    <t>Transistor/SMD/NPN BIAS/50V/0.8mA/S-Mini</t>
  </si>
  <si>
    <t>E00000376</t>
  </si>
  <si>
    <t>DIO/ZEN/SMD/3.3V/250mA/375mW/SOD-123F</t>
  </si>
  <si>
    <t>FGT001</t>
  </si>
  <si>
    <t>Stator &amp; Rotor Integrated Tooling</t>
  </si>
  <si>
    <t>ZCTL</t>
  </si>
  <si>
    <t>F00016</t>
  </si>
  <si>
    <t>#N/A</t>
  </si>
  <si>
    <t>FIG082</t>
  </si>
  <si>
    <t>FG PCBA Antilope MCF 900mm EA28101</t>
  </si>
  <si>
    <t>E00000025</t>
  </si>
  <si>
    <t>DIO/ZEN/SMD/22V/250mA/375mW/SOD-123F</t>
  </si>
  <si>
    <t>E00000653</t>
  </si>
  <si>
    <t>CAP/MPP Film/TH/5.6nF/1.6KVdc/±5%/P=15mm</t>
  </si>
  <si>
    <t>Ref (R)</t>
  </si>
  <si>
    <t>External</t>
  </si>
  <si>
    <t>FIG077</t>
  </si>
  <si>
    <t>FG GV5.1 STM32 6 LED 600mm EA28701</t>
  </si>
  <si>
    <t>FIG078</t>
  </si>
  <si>
    <t>FG RACOON HV TPW POWER P05 EA26901</t>
  </si>
  <si>
    <t>FIG080</t>
  </si>
  <si>
    <t>FG RACOON HV TPW (TP) INTERFACE EA28401</t>
  </si>
  <si>
    <t>A354601</t>
  </si>
  <si>
    <t>22 SWG DC200 ALUMINIUM</t>
  </si>
  <si>
    <t>E00000326</t>
  </si>
  <si>
    <t>CONN/THT/Header Vertical/10P/2R/2mm</t>
  </si>
  <si>
    <t>A354201</t>
  </si>
  <si>
    <t>MAGNET- NDFEB-20X10X2</t>
  </si>
  <si>
    <t>A354301</t>
  </si>
  <si>
    <t>UNMAGNETIZED MAGNET N35 (20x10x2)</t>
  </si>
  <si>
    <t>A196501</t>
  </si>
  <si>
    <t>MAGNET</t>
  </si>
  <si>
    <t>3271314474</t>
  </si>
  <si>
    <t>3271314491</t>
  </si>
  <si>
    <t>3271314434</t>
  </si>
  <si>
    <t>3271314433</t>
  </si>
  <si>
    <t>3271314885</t>
  </si>
  <si>
    <t>3271314490</t>
  </si>
  <si>
    <t>3271314888</t>
  </si>
  <si>
    <t>3277066527</t>
  </si>
  <si>
    <t>3277066529</t>
  </si>
  <si>
    <t>3277066531</t>
  </si>
  <si>
    <t>3277066532</t>
  </si>
  <si>
    <t>3277066540</t>
  </si>
  <si>
    <t>3277066541</t>
  </si>
  <si>
    <t>3277066545</t>
  </si>
  <si>
    <t>3271314216</t>
  </si>
  <si>
    <t>3271314233</t>
  </si>
  <si>
    <t>3271314137</t>
  </si>
  <si>
    <t>3271314134</t>
  </si>
  <si>
    <t>3271314432</t>
  </si>
  <si>
    <t>3271314240</t>
  </si>
  <si>
    <t>3271313811</t>
  </si>
  <si>
    <t>3271314132</t>
  </si>
  <si>
    <t>3271313812</t>
  </si>
  <si>
    <t>3271313847</t>
  </si>
  <si>
    <t>3271313833</t>
  </si>
  <si>
    <t>3271313813</t>
  </si>
  <si>
    <t>3271314110</t>
  </si>
  <si>
    <t>3271314109</t>
  </si>
  <si>
    <t>3271313809</t>
  </si>
  <si>
    <t>3271313734</t>
  </si>
  <si>
    <t>3271313576</t>
  </si>
  <si>
    <t>3271313733</t>
  </si>
  <si>
    <t>3271313578</t>
  </si>
  <si>
    <t>3271313810</t>
  </si>
  <si>
    <t>3271313592</t>
  </si>
  <si>
    <t>3271313394</t>
  </si>
  <si>
    <t>3271313584</t>
  </si>
  <si>
    <t>3271313393</t>
  </si>
  <si>
    <t>3271313392</t>
  </si>
  <si>
    <t>3271313346</t>
  </si>
  <si>
    <t>3271313161</t>
  </si>
  <si>
    <t>3271313153</t>
  </si>
  <si>
    <t>3271313280</t>
  </si>
  <si>
    <t>3271312727</t>
  </si>
  <si>
    <t>3271313390</t>
  </si>
  <si>
    <t>3271313389</t>
  </si>
  <si>
    <t>3271312746</t>
  </si>
  <si>
    <t>06</t>
  </si>
  <si>
    <t>3271312345</t>
  </si>
  <si>
    <t>3271312344</t>
  </si>
  <si>
    <t>3271312449</t>
  </si>
  <si>
    <t>3271312722</t>
  </si>
  <si>
    <t>3271312302</t>
  </si>
  <si>
    <t>3271312348</t>
  </si>
  <si>
    <t>3271312723</t>
  </si>
  <si>
    <t>3271312350</t>
  </si>
  <si>
    <t>3271312721</t>
  </si>
  <si>
    <t>3271312473</t>
  </si>
  <si>
    <t>3271312678</t>
  </si>
  <si>
    <t>3271311726</t>
  </si>
  <si>
    <t>3271311725</t>
  </si>
  <si>
    <t>3271312301</t>
  </si>
  <si>
    <t>3271311646</t>
  </si>
  <si>
    <t>3271311723</t>
  </si>
  <si>
    <t>3271311651</t>
  </si>
  <si>
    <t>3271311728</t>
  </si>
  <si>
    <t>3271311821</t>
  </si>
  <si>
    <t>3271311645</t>
  </si>
  <si>
    <t>3271311547</t>
  </si>
  <si>
    <t>3271311277</t>
  </si>
  <si>
    <t>3271311275</t>
  </si>
  <si>
    <t>3271311642</t>
  </si>
  <si>
    <t>3271311243</t>
  </si>
  <si>
    <t>3271311591</t>
  </si>
  <si>
    <t>3271311276</t>
  </si>
  <si>
    <t>3271311643</t>
  </si>
  <si>
    <t>3271311548</t>
  </si>
  <si>
    <t>3271311549</t>
  </si>
  <si>
    <t>3271311012</t>
  </si>
  <si>
    <t>3271311011</t>
  </si>
  <si>
    <t>3271310990</t>
  </si>
  <si>
    <t>3271311242</t>
  </si>
  <si>
    <t>3271311226</t>
  </si>
  <si>
    <t>3271311231</t>
  </si>
  <si>
    <t>03</t>
  </si>
  <si>
    <t>3271310515</t>
  </si>
  <si>
    <t>3271310552</t>
  </si>
  <si>
    <t>3271310989</t>
  </si>
  <si>
    <t>3271310622</t>
  </si>
  <si>
    <t>3271310349</t>
  </si>
  <si>
    <t>3271310351</t>
  </si>
  <si>
    <t>3271310352</t>
  </si>
  <si>
    <t>3271310197</t>
  </si>
  <si>
    <t>3271310306</t>
  </si>
  <si>
    <t>3271310196</t>
  </si>
  <si>
    <t>3271310353</t>
  </si>
  <si>
    <t>3271310304</t>
  </si>
  <si>
    <t>3271309823</t>
  </si>
  <si>
    <t>3271309812</t>
  </si>
  <si>
    <t>3271309794</t>
  </si>
  <si>
    <t>3271309806</t>
  </si>
  <si>
    <t>3271309795</t>
  </si>
  <si>
    <t>3271309841</t>
  </si>
  <si>
    <t>3271309796</t>
  </si>
  <si>
    <t>3271309822</t>
  </si>
  <si>
    <t>3271309797</t>
  </si>
  <si>
    <t>3271309819</t>
  </si>
  <si>
    <t>3271309830</t>
  </si>
  <si>
    <t>3271309854</t>
  </si>
  <si>
    <t>3271309458</t>
  </si>
  <si>
    <t>3271309212</t>
  </si>
  <si>
    <t>3271309209</t>
  </si>
  <si>
    <t>3271309793</t>
  </si>
  <si>
    <t>3271309454</t>
  </si>
  <si>
    <t>3271309335</t>
  </si>
  <si>
    <t>3271309333</t>
  </si>
  <si>
    <t>3271309208</t>
  </si>
  <si>
    <t>3271309218</t>
  </si>
  <si>
    <t>3271308840</t>
  </si>
  <si>
    <t>3271308833</t>
  </si>
  <si>
    <t>3271308811</t>
  </si>
  <si>
    <t>3271308832</t>
  </si>
  <si>
    <t>3271308812</t>
  </si>
  <si>
    <t>3271308841</t>
  </si>
  <si>
    <t>3271308824</t>
  </si>
  <si>
    <t>3277064280</t>
  </si>
  <si>
    <t>3271308439</t>
  </si>
  <si>
    <t>3271308684</t>
  </si>
  <si>
    <t>3271308424</t>
  </si>
  <si>
    <t>3271308732</t>
  </si>
  <si>
    <t>3271308810</t>
  </si>
  <si>
    <t>3271308687</t>
  </si>
  <si>
    <t>3271308423</t>
  </si>
  <si>
    <t>3271308737</t>
  </si>
  <si>
    <t>3271308794</t>
  </si>
  <si>
    <t>3271308164</t>
  </si>
  <si>
    <t>3271308126</t>
  </si>
  <si>
    <t>3271308159</t>
  </si>
  <si>
    <t>3271308117</t>
  </si>
  <si>
    <t>3271308121</t>
  </si>
  <si>
    <t>3271308143</t>
  </si>
  <si>
    <t>3271308358</t>
  </si>
  <si>
    <t>3277064031</t>
  </si>
  <si>
    <t>3271307942</t>
  </si>
  <si>
    <t>3271307847</t>
  </si>
  <si>
    <t>3271307930</t>
  </si>
  <si>
    <t>3271307845</t>
  </si>
  <si>
    <t>3271307939</t>
  </si>
  <si>
    <t>3271307846</t>
  </si>
  <si>
    <t>3271308116</t>
  </si>
  <si>
    <t>3271307929</t>
  </si>
  <si>
    <t>3271307848</t>
  </si>
  <si>
    <t>3271307946</t>
  </si>
  <si>
    <t>3277063954</t>
  </si>
  <si>
    <t>3271307567</t>
  </si>
  <si>
    <t>3271307570</t>
  </si>
  <si>
    <t>3271307573</t>
  </si>
  <si>
    <t>3271307841</t>
  </si>
  <si>
    <t>3271307568</t>
  </si>
  <si>
    <t>3271307565</t>
  </si>
  <si>
    <t>3271307569</t>
  </si>
  <si>
    <t>3271307566</t>
  </si>
  <si>
    <t>3271307572</t>
  </si>
  <si>
    <t>3271307844</t>
  </si>
  <si>
    <t>3271307842</t>
  </si>
  <si>
    <t>3271307554</t>
  </si>
  <si>
    <t>3271307541</t>
  </si>
  <si>
    <t>3271307124</t>
  </si>
  <si>
    <t>3271307001</t>
  </si>
  <si>
    <t>3271307029</t>
  </si>
  <si>
    <t>3271307540</t>
  </si>
  <si>
    <t>3271307000</t>
  </si>
  <si>
    <t>3271307555</t>
  </si>
  <si>
    <t>3271307020</t>
  </si>
  <si>
    <t>3271306675</t>
  </si>
  <si>
    <t>3271306603</t>
  </si>
  <si>
    <t>3271306998</t>
  </si>
  <si>
    <t>3271306604</t>
  </si>
  <si>
    <t>3271306594</t>
  </si>
  <si>
    <t>3271306999</t>
  </si>
  <si>
    <t>3271306602</t>
  </si>
  <si>
    <t>3271306593</t>
  </si>
  <si>
    <t>3271306674</t>
  </si>
  <si>
    <t>3271306662</t>
  </si>
  <si>
    <t>3271314894</t>
  </si>
  <si>
    <t>3271314893</t>
  </si>
  <si>
    <t>3271314929</t>
  </si>
  <si>
    <t>3271314937</t>
  </si>
  <si>
    <t>3271315285</t>
  </si>
  <si>
    <t>3271315283</t>
  </si>
  <si>
    <t>3271314943</t>
  </si>
  <si>
    <t>E00000333</t>
  </si>
  <si>
    <t>Misc/Thermal Pad_Jaguar/2mm thickness</t>
  </si>
  <si>
    <t>3277066759</t>
  </si>
  <si>
    <t>3271315340</t>
  </si>
  <si>
    <t>3271315292</t>
  </si>
  <si>
    <t>3271315336</t>
  </si>
  <si>
    <t>3271315289</t>
  </si>
  <si>
    <t>3271315427</t>
  </si>
  <si>
    <t>3271315424</t>
  </si>
  <si>
    <t>FIG084</t>
  </si>
  <si>
    <t>PCBA GV5.1 STM32 6Blue LED 650mm EA27901</t>
  </si>
  <si>
    <t>3271315302</t>
  </si>
  <si>
    <t>3271315803</t>
  </si>
  <si>
    <t>3271315682</t>
  </si>
  <si>
    <t>3271315800</t>
  </si>
  <si>
    <t>3271315685</t>
  </si>
  <si>
    <t>3271315666</t>
  </si>
  <si>
    <t>3271316044</t>
  </si>
  <si>
    <t>3277067099</t>
  </si>
  <si>
    <t>3277067089</t>
  </si>
  <si>
    <t>3277067090</t>
  </si>
  <si>
    <t>3277067091</t>
  </si>
  <si>
    <t>3277067092</t>
  </si>
  <si>
    <t>3277067093</t>
  </si>
  <si>
    <t>3277067094</t>
  </si>
  <si>
    <t>3277067095</t>
  </si>
  <si>
    <t>3277067096</t>
  </si>
  <si>
    <t>3277067098</t>
  </si>
  <si>
    <t>3277067101</t>
  </si>
  <si>
    <t>3277067126</t>
  </si>
  <si>
    <t>3277067136</t>
  </si>
  <si>
    <t>3277067137</t>
  </si>
  <si>
    <t>3277067139</t>
  </si>
  <si>
    <t>3277067142</t>
  </si>
  <si>
    <t>3271316537</t>
  </si>
  <si>
    <t>3271316534</t>
  </si>
  <si>
    <t>3271316602</t>
  </si>
  <si>
    <t>3271316494</t>
  </si>
  <si>
    <t>3271316601</t>
  </si>
  <si>
    <t>3271316746</t>
  </si>
  <si>
    <t>3271316205</t>
  </si>
  <si>
    <t>3271316144</t>
  </si>
  <si>
    <t>3271316320</t>
  </si>
  <si>
    <t>3271316291</t>
  </si>
  <si>
    <t>3271316101</t>
  </si>
  <si>
    <t>3271316297</t>
  </si>
  <si>
    <t>3271316170</t>
  </si>
  <si>
    <t>3271316491</t>
  </si>
  <si>
    <t>3271316319</t>
  </si>
  <si>
    <t>E00000033</t>
  </si>
  <si>
    <t>IC/SMD/BLDC Motor DRV/8V-28V/24-HTSSOP</t>
  </si>
  <si>
    <t>Revenue</t>
  </si>
  <si>
    <t>EMS Related Party revenue</t>
  </si>
  <si>
    <t>Motors External Revenue</t>
  </si>
  <si>
    <t>EMS External Revenue</t>
  </si>
  <si>
    <t>Cost of Goods Sold</t>
  </si>
  <si>
    <t>Cost of Goods - EMS Related Party</t>
  </si>
  <si>
    <t>Cost of Goods - Motors External</t>
  </si>
  <si>
    <t>Cost of Goods - EMS External</t>
  </si>
  <si>
    <t>Internal Stator</t>
  </si>
  <si>
    <t>Stator related Party Revenue</t>
  </si>
  <si>
    <t>Cost of Goods - Stator Related Party</t>
  </si>
  <si>
    <t>Motor related Party Revenue</t>
  </si>
  <si>
    <t>Cost of Goods - Motor Related Party</t>
  </si>
  <si>
    <t>Total STAFF COST</t>
  </si>
  <si>
    <t>Total PLANT OH COST</t>
  </si>
  <si>
    <t>Total CONSUMABLES COST</t>
  </si>
  <si>
    <t>Stator - Fan</t>
  </si>
  <si>
    <t>Stator - Ref</t>
  </si>
  <si>
    <t>Rotor - Ref</t>
  </si>
  <si>
    <t>%</t>
  </si>
  <si>
    <t>Quantity</t>
  </si>
  <si>
    <t>Conversion Cost</t>
  </si>
  <si>
    <t>Other cost</t>
  </si>
  <si>
    <t>Staff</t>
  </si>
  <si>
    <t>Plant OH</t>
  </si>
  <si>
    <t>Consumable</t>
  </si>
  <si>
    <t>Droppage</t>
  </si>
  <si>
    <t>Sum of BOM Cost22</t>
  </si>
  <si>
    <t>Sum of Labour Cost2</t>
  </si>
  <si>
    <t>Sum of Total STAFF COST</t>
  </si>
  <si>
    <t>Sum of Total PLANT OH COST</t>
  </si>
  <si>
    <t>Sum of Total CONSUMABLES COST</t>
  </si>
  <si>
    <t>Sum of Droppage Cost2</t>
  </si>
  <si>
    <t xml:space="preserve"> Billed Quantity</t>
  </si>
  <si>
    <t xml:space="preserve"> Net Value</t>
  </si>
  <si>
    <t xml:space="preserve"> BOM Cost22</t>
  </si>
  <si>
    <t xml:space="preserve"> Labour Cost2</t>
  </si>
  <si>
    <t xml:space="preserve"> Total STAFF COST</t>
  </si>
  <si>
    <t xml:space="preserve"> Total PLANT OH COST</t>
  </si>
  <si>
    <t xml:space="preserve"> Total CONSUMABLES COST</t>
  </si>
  <si>
    <t xml:space="preserve"> Droppage Cost2</t>
  </si>
  <si>
    <t>COGS per unit</t>
  </si>
  <si>
    <t>COGS COST</t>
  </si>
  <si>
    <t xml:space="preserve">Sales GL </t>
  </si>
  <si>
    <t>Sales GL  Description</t>
  </si>
  <si>
    <t>COGS GL</t>
  </si>
  <si>
    <t>COGS GL Description</t>
  </si>
  <si>
    <t>SALES DOM-ACCE-MFG</t>
  </si>
  <si>
    <t>COGS RM-PCB</t>
  </si>
  <si>
    <t>COGS-FG PCB</t>
  </si>
  <si>
    <t>COGS SFG-Stator</t>
  </si>
  <si>
    <t>Sales Dom PCB</t>
  </si>
  <si>
    <t>Sales Domestic Motor</t>
  </si>
  <si>
    <t>MG1</t>
  </si>
  <si>
    <t>MG1 Description</t>
  </si>
  <si>
    <t>MG2</t>
  </si>
  <si>
    <t>MG2 Description</t>
  </si>
  <si>
    <t>G30</t>
  </si>
  <si>
    <t>Ref PCB</t>
  </si>
  <si>
    <t>A64</t>
  </si>
  <si>
    <t>Motor GV5 Fan</t>
  </si>
  <si>
    <t>G10</t>
  </si>
  <si>
    <t>GV 5 Stator</t>
  </si>
  <si>
    <t>G02</t>
  </si>
  <si>
    <t>Aris UL PCB</t>
  </si>
  <si>
    <t>G09</t>
  </si>
  <si>
    <t>Flamingo PCB</t>
  </si>
  <si>
    <t>G37</t>
  </si>
  <si>
    <t>STM 32-6 LED Blue PCB</t>
  </si>
  <si>
    <t>G33</t>
  </si>
  <si>
    <t>Saber PCB</t>
  </si>
  <si>
    <t>G17</t>
  </si>
  <si>
    <t>Jaguar PCB</t>
  </si>
  <si>
    <t>PCB Ped</t>
  </si>
  <si>
    <t>G29</t>
  </si>
  <si>
    <t>Pedestal PCB</t>
  </si>
  <si>
    <t>G38</t>
  </si>
  <si>
    <t>STM 32-Single LED PCB</t>
  </si>
  <si>
    <t>Family</t>
  </si>
  <si>
    <t>Products</t>
  </si>
  <si>
    <t>Sales in Nov</t>
  </si>
  <si>
    <t>Qty Sold</t>
  </si>
  <si>
    <t>Sales Value</t>
  </si>
  <si>
    <t>Mixer</t>
  </si>
  <si>
    <t xml:space="preserve">Exhaust </t>
  </si>
  <si>
    <t>Wp</t>
  </si>
  <si>
    <t>FG001</t>
  </si>
  <si>
    <t>FG002</t>
  </si>
  <si>
    <t>Code</t>
  </si>
  <si>
    <t>FG003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</si>
</sst>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.0%"/>
    <numFmt numFmtId="166" formatCode="_ * #,##0_ ;_ * \-#,##0_ ;_ * &quot;-&quot;??_ ;_ @_ "/>
    <numFmt numFmtId="167" formatCode="0.000%"/>
    <numFmt numFmtId="168" formatCode="0.0"/>
    <numFmt numFmtId="169" formatCode="#,##0.0"/>
    <numFmt numFmtId="170" formatCode="_ * #,##0.0_ ;_ * \-#,##0.0_ ;_ * &quot;-&quot;??_ ;_ @_ "/>
    <numFmt numFmtId="171" formatCode="#,##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9"/>
      <color rgb="FF7030A0"/>
      <name val="Calibri"/>
      <family val="2"/>
      <scheme val="minor"/>
    </font>
    <font>
      <i/>
      <sz val="9"/>
      <color rgb="FF7030A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pivotButton="1"/>
    <xf numFmtId="0" fontId="0" fillId="3" borderId="1" xfId="0" applyFill="1" applyBorder="1" applyAlignment="1">
      <alignment vertical="top"/>
    </xf>
    <xf numFmtId="3" fontId="0" fillId="0" borderId="0" xfId="0" applyNumberFormat="1"/>
    <xf numFmtId="4" fontId="0" fillId="0" borderId="0" xfId="0" applyNumberFormat="1"/>
    <xf numFmtId="1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5" fontId="0" fillId="0" borderId="0" xfId="1" applyNumberFormat="1" applyFont="1" applyAlignment="1">
      <alignment vertical="top"/>
    </xf>
    <xf numFmtId="164" fontId="0" fillId="0" borderId="0" xfId="2" applyFont="1" applyAlignment="1">
      <alignment vertical="top"/>
    </xf>
    <xf numFmtId="14" fontId="2" fillId="5" borderId="0" xfId="0" applyNumberFormat="1" applyFont="1" applyFill="1"/>
    <xf numFmtId="14" fontId="2" fillId="6" borderId="3" xfId="0" applyNumberFormat="1" applyFont="1" applyFill="1" applyBorder="1" applyAlignment="1">
      <alignment horizontal="center" vertical="center"/>
    </xf>
    <xf numFmtId="164" fontId="0" fillId="0" borderId="0" xfId="0" applyNumberFormat="1"/>
    <xf numFmtId="9" fontId="0" fillId="0" borderId="0" xfId="1" applyFont="1"/>
    <xf numFmtId="166" fontId="0" fillId="0" borderId="0" xfId="0" applyNumberFormat="1"/>
    <xf numFmtId="166" fontId="0" fillId="0" borderId="7" xfId="2" applyNumberFormat="1" applyFont="1" applyBorder="1"/>
    <xf numFmtId="166" fontId="0" fillId="0" borderId="10" xfId="2" applyNumberFormat="1" applyFont="1" applyBorder="1"/>
    <xf numFmtId="166" fontId="0" fillId="0" borderId="6" xfId="2" applyNumberFormat="1" applyFont="1" applyBorder="1"/>
    <xf numFmtId="166" fontId="0" fillId="0" borderId="1" xfId="2" applyNumberFormat="1" applyFont="1" applyBorder="1"/>
    <xf numFmtId="166" fontId="0" fillId="0" borderId="17" xfId="2" applyNumberFormat="1" applyFont="1" applyBorder="1"/>
    <xf numFmtId="166" fontId="0" fillId="0" borderId="19" xfId="2" applyNumberFormat="1" applyFont="1" applyBorder="1"/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166" fontId="0" fillId="0" borderId="25" xfId="2" applyNumberFormat="1" applyFont="1" applyBorder="1"/>
    <xf numFmtId="166" fontId="0" fillId="0" borderId="26" xfId="2" applyNumberFormat="1" applyFont="1" applyBorder="1"/>
    <xf numFmtId="166" fontId="0" fillId="0" borderId="27" xfId="2" applyNumberFormat="1" applyFont="1" applyBorder="1"/>
    <xf numFmtId="166" fontId="0" fillId="0" borderId="16" xfId="2" applyNumberFormat="1" applyFont="1" applyBorder="1"/>
    <xf numFmtId="166" fontId="0" fillId="0" borderId="9" xfId="2" applyNumberFormat="1" applyFont="1" applyBorder="1"/>
    <xf numFmtId="166" fontId="0" fillId="0" borderId="18" xfId="2" applyNumberFormat="1" applyFont="1" applyBorder="1"/>
    <xf numFmtId="166" fontId="2" fillId="7" borderId="8" xfId="0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166" fontId="2" fillId="7" borderId="14" xfId="0" applyNumberFormat="1" applyFont="1" applyFill="1" applyBorder="1" applyAlignment="1">
      <alignment horizontal="center"/>
    </xf>
    <xf numFmtId="166" fontId="2" fillId="7" borderId="15" xfId="0" applyNumberFormat="1" applyFont="1" applyFill="1" applyBorder="1" applyAlignment="1">
      <alignment horizontal="center"/>
    </xf>
    <xf numFmtId="166" fontId="2" fillId="7" borderId="24" xfId="0" applyNumberFormat="1" applyFont="1" applyFill="1" applyBorder="1" applyAlignment="1">
      <alignment horizontal="center"/>
    </xf>
    <xf numFmtId="9" fontId="3" fillId="7" borderId="23" xfId="1" applyFont="1" applyFill="1" applyBorder="1" applyAlignment="1">
      <alignment horizontal="left"/>
    </xf>
    <xf numFmtId="9" fontId="3" fillId="7" borderId="11" xfId="1" applyFont="1" applyFill="1" applyBorder="1" applyAlignment="1">
      <alignment horizontal="center"/>
    </xf>
    <xf numFmtId="9" fontId="3" fillId="7" borderId="12" xfId="1" applyFont="1" applyFill="1" applyBorder="1" applyAlignment="1">
      <alignment horizontal="center"/>
    </xf>
    <xf numFmtId="9" fontId="3" fillId="7" borderId="13" xfId="1" applyFont="1" applyFill="1" applyBorder="1" applyAlignment="1">
      <alignment horizontal="center"/>
    </xf>
    <xf numFmtId="9" fontId="3" fillId="7" borderId="28" xfId="1" applyFont="1" applyFill="1" applyBorder="1" applyAlignment="1">
      <alignment horizontal="center"/>
    </xf>
    <xf numFmtId="9" fontId="3" fillId="7" borderId="29" xfId="1" applyFont="1" applyFill="1" applyBorder="1" applyAlignment="1">
      <alignment horizontal="left"/>
    </xf>
    <xf numFmtId="9" fontId="3" fillId="7" borderId="30" xfId="1" applyFont="1" applyFill="1" applyBorder="1" applyAlignment="1">
      <alignment horizontal="center"/>
    </xf>
    <xf numFmtId="9" fontId="3" fillId="7" borderId="31" xfId="1" applyFont="1" applyFill="1" applyBorder="1" applyAlignment="1">
      <alignment horizontal="center"/>
    </xf>
    <xf numFmtId="9" fontId="3" fillId="7" borderId="32" xfId="1" applyFont="1" applyFill="1" applyBorder="1" applyAlignment="1">
      <alignment horizontal="center"/>
    </xf>
    <xf numFmtId="9" fontId="3" fillId="7" borderId="33" xfId="1" applyFont="1" applyFill="1" applyBorder="1" applyAlignment="1">
      <alignment horizontal="center"/>
    </xf>
    <xf numFmtId="166" fontId="0" fillId="0" borderId="0" xfId="2" applyNumberFormat="1" applyFont="1" applyAlignment="1">
      <alignment vertical="top"/>
    </xf>
    <xf numFmtId="166" fontId="0" fillId="3" borderId="1" xfId="0" applyNumberFormat="1" applyFill="1" applyBorder="1" applyAlignment="1">
      <alignment vertical="top"/>
    </xf>
    <xf numFmtId="166" fontId="2" fillId="7" borderId="36" xfId="0" applyNumberFormat="1" applyFont="1" applyFill="1" applyBorder="1" applyAlignment="1">
      <alignment horizontal="center"/>
    </xf>
    <xf numFmtId="166" fontId="0" fillId="0" borderId="37" xfId="2" applyNumberFormat="1" applyFont="1" applyBorder="1"/>
    <xf numFmtId="166" fontId="0" fillId="0" borderId="38" xfId="2" applyNumberFormat="1" applyFont="1" applyBorder="1"/>
    <xf numFmtId="9" fontId="3" fillId="7" borderId="39" xfId="1" applyFont="1" applyFill="1" applyBorder="1" applyAlignment="1">
      <alignment horizontal="center"/>
    </xf>
    <xf numFmtId="166" fontId="0" fillId="0" borderId="35" xfId="2" applyNumberFormat="1" applyFont="1" applyBorder="1"/>
    <xf numFmtId="166" fontId="0" fillId="0" borderId="0" xfId="2" applyNumberFormat="1" applyFont="1" applyBorder="1"/>
    <xf numFmtId="9" fontId="3" fillId="7" borderId="3" xfId="1" applyFont="1" applyFill="1" applyBorder="1" applyAlignment="1">
      <alignment horizontal="left"/>
    </xf>
    <xf numFmtId="9" fontId="3" fillId="7" borderId="8" xfId="1" applyFont="1" applyFill="1" applyBorder="1" applyAlignment="1">
      <alignment horizontal="center"/>
    </xf>
    <xf numFmtId="9" fontId="3" fillId="7" borderId="14" xfId="1" applyFont="1" applyFill="1" applyBorder="1" applyAlignment="1">
      <alignment horizontal="center"/>
    </xf>
    <xf numFmtId="9" fontId="3" fillId="7" borderId="15" xfId="1" applyFont="1" applyFill="1" applyBorder="1" applyAlignment="1">
      <alignment horizontal="center"/>
    </xf>
    <xf numFmtId="9" fontId="3" fillId="7" borderId="24" xfId="1" applyFont="1" applyFill="1" applyBorder="1" applyAlignment="1">
      <alignment horizontal="center"/>
    </xf>
    <xf numFmtId="9" fontId="3" fillId="7" borderId="36" xfId="1" applyFont="1" applyFill="1" applyBorder="1" applyAlignment="1">
      <alignment horizontal="center"/>
    </xf>
    <xf numFmtId="0" fontId="0" fillId="2" borderId="34" xfId="0" applyFill="1" applyBorder="1" applyAlignment="1">
      <alignment vertical="top"/>
    </xf>
    <xf numFmtId="0" fontId="0" fillId="2" borderId="34" xfId="0" applyFill="1" applyBorder="1" applyAlignment="1">
      <alignment vertical="top" wrapText="1"/>
    </xf>
    <xf numFmtId="166" fontId="2" fillId="7" borderId="34" xfId="0" applyNumberFormat="1" applyFont="1" applyFill="1" applyBorder="1" applyAlignment="1">
      <alignment horizontal="left"/>
    </xf>
    <xf numFmtId="167" fontId="3" fillId="7" borderId="15" xfId="1" applyNumberFormat="1" applyFont="1" applyFill="1" applyBorder="1" applyAlignment="1">
      <alignment horizontal="center"/>
    </xf>
    <xf numFmtId="4" fontId="0" fillId="4" borderId="43" xfId="0" applyNumberFormat="1" applyFill="1" applyBorder="1" applyAlignment="1">
      <alignment horizontal="right" vertical="top"/>
    </xf>
    <xf numFmtId="4" fontId="0" fillId="0" borderId="43" xfId="0" applyNumberFormat="1" applyBorder="1" applyAlignment="1">
      <alignment horizontal="right" vertical="top"/>
    </xf>
    <xf numFmtId="0" fontId="0" fillId="4" borderId="43" xfId="0" applyFill="1" applyBorder="1" applyAlignment="1">
      <alignment vertical="top"/>
    </xf>
    <xf numFmtId="0" fontId="0" fillId="0" borderId="43" xfId="0" applyBorder="1" applyAlignment="1">
      <alignment vertical="top"/>
    </xf>
    <xf numFmtId="3" fontId="0" fillId="4" borderId="43" xfId="0" applyNumberFormat="1" applyFill="1" applyBorder="1" applyAlignment="1">
      <alignment horizontal="right" vertical="top"/>
    </xf>
    <xf numFmtId="3" fontId="0" fillId="0" borderId="43" xfId="0" applyNumberFormat="1" applyBorder="1" applyAlignment="1">
      <alignment horizontal="right" vertical="top"/>
    </xf>
    <xf numFmtId="164" fontId="0" fillId="0" borderId="0" xfId="2" applyFont="1"/>
    <xf numFmtId="0" fontId="2" fillId="0" borderId="0" xfId="0" applyFont="1"/>
    <xf numFmtId="0" fontId="2" fillId="0" borderId="0" xfId="0" applyFont="1" applyAlignment="1">
      <alignment horizontal="center"/>
    </xf>
    <xf numFmtId="168" fontId="0" fillId="0" borderId="0" xfId="0" applyNumberFormat="1"/>
    <xf numFmtId="0" fontId="5" fillId="0" borderId="44" xfId="0" applyFont="1" applyBorder="1" applyAlignment="1">
      <alignment horizontal="left"/>
    </xf>
    <xf numFmtId="166" fontId="6" fillId="0" borderId="45" xfId="2" applyNumberFormat="1" applyFont="1" applyBorder="1"/>
    <xf numFmtId="166" fontId="6" fillId="0" borderId="46" xfId="2" applyNumberFormat="1" applyFont="1" applyBorder="1"/>
    <xf numFmtId="166" fontId="6" fillId="0" borderId="47" xfId="2" applyNumberFormat="1" applyFont="1" applyBorder="1"/>
    <xf numFmtId="166" fontId="6" fillId="0" borderId="48" xfId="2" applyNumberFormat="1" applyFont="1" applyBorder="1"/>
    <xf numFmtId="166" fontId="6" fillId="0" borderId="49" xfId="2" applyNumberFormat="1" applyFont="1" applyBorder="1"/>
    <xf numFmtId="166" fontId="0" fillId="0" borderId="12" xfId="2" applyNumberFormat="1" applyFont="1" applyBorder="1"/>
    <xf numFmtId="0" fontId="0" fillId="0" borderId="0" xfId="0" applyAlignment="1">
      <alignment wrapText="1"/>
    </xf>
    <xf numFmtId="166" fontId="6" fillId="0" borderId="45" xfId="2" applyNumberFormat="1" applyFont="1" applyBorder="1" applyAlignment="1">
      <alignment wrapText="1"/>
    </xf>
    <xf numFmtId="166" fontId="6" fillId="0" borderId="46" xfId="2" applyNumberFormat="1" applyFont="1" applyBorder="1" applyAlignment="1">
      <alignment wrapText="1"/>
    </xf>
    <xf numFmtId="166" fontId="6" fillId="0" borderId="47" xfId="2" applyNumberFormat="1" applyFont="1" applyBorder="1" applyAlignment="1">
      <alignment wrapText="1"/>
    </xf>
    <xf numFmtId="166" fontId="6" fillId="0" borderId="48" xfId="2" applyNumberFormat="1" applyFont="1" applyBorder="1" applyAlignment="1">
      <alignment wrapText="1"/>
    </xf>
    <xf numFmtId="166" fontId="6" fillId="0" borderId="49" xfId="2" applyNumberFormat="1" applyFont="1" applyBorder="1" applyAlignment="1">
      <alignment wrapText="1"/>
    </xf>
    <xf numFmtId="166" fontId="0" fillId="0" borderId="9" xfId="2" applyNumberFormat="1" applyFont="1" applyBorder="1" applyAlignment="1">
      <alignment wrapText="1"/>
    </xf>
    <xf numFmtId="166" fontId="0" fillId="0" borderId="7" xfId="2" applyNumberFormat="1" applyFont="1" applyBorder="1" applyAlignment="1">
      <alignment wrapText="1"/>
    </xf>
    <xf numFmtId="166" fontId="0" fillId="0" borderId="10" xfId="2" applyNumberFormat="1" applyFont="1" applyBorder="1" applyAlignment="1">
      <alignment wrapText="1"/>
    </xf>
    <xf numFmtId="166" fontId="0" fillId="0" borderId="26" xfId="2" applyNumberFormat="1" applyFont="1" applyBorder="1" applyAlignment="1">
      <alignment wrapText="1"/>
    </xf>
    <xf numFmtId="166" fontId="0" fillId="0" borderId="37" xfId="2" applyNumberFormat="1" applyFont="1" applyBorder="1" applyAlignment="1">
      <alignment wrapText="1"/>
    </xf>
    <xf numFmtId="166" fontId="0" fillId="0" borderId="18" xfId="2" applyNumberFormat="1" applyFont="1" applyBorder="1" applyAlignment="1">
      <alignment wrapText="1"/>
    </xf>
    <xf numFmtId="166" fontId="0" fillId="0" borderId="1" xfId="2" applyNumberFormat="1" applyFont="1" applyBorder="1" applyAlignment="1">
      <alignment wrapText="1"/>
    </xf>
    <xf numFmtId="166" fontId="0" fillId="0" borderId="19" xfId="2" applyNumberFormat="1" applyFont="1" applyBorder="1" applyAlignment="1">
      <alignment wrapText="1"/>
    </xf>
    <xf numFmtId="166" fontId="0" fillId="0" borderId="27" xfId="2" applyNumberFormat="1" applyFont="1" applyBorder="1" applyAlignment="1">
      <alignment wrapText="1"/>
    </xf>
    <xf numFmtId="166" fontId="0" fillId="0" borderId="38" xfId="2" applyNumberFormat="1" applyFont="1" applyBorder="1" applyAlignment="1">
      <alignment wrapText="1"/>
    </xf>
    <xf numFmtId="166" fontId="0" fillId="0" borderId="12" xfId="2" applyNumberFormat="1" applyFont="1" applyBorder="1" applyAlignment="1">
      <alignment wrapText="1"/>
    </xf>
    <xf numFmtId="166" fontId="0" fillId="0" borderId="0" xfId="2" applyNumberFormat="1" applyFont="1" applyBorder="1" applyAlignment="1">
      <alignment wrapText="1"/>
    </xf>
    <xf numFmtId="9" fontId="3" fillId="7" borderId="8" xfId="1" applyFont="1" applyFill="1" applyBorder="1" applyAlignment="1">
      <alignment horizontal="center" wrapText="1"/>
    </xf>
    <xf numFmtId="9" fontId="3" fillId="7" borderId="14" xfId="1" applyFont="1" applyFill="1" applyBorder="1" applyAlignment="1">
      <alignment horizontal="center" wrapText="1"/>
    </xf>
    <xf numFmtId="9" fontId="3" fillId="7" borderId="15" xfId="1" applyFont="1" applyFill="1" applyBorder="1" applyAlignment="1">
      <alignment horizontal="center" wrapText="1"/>
    </xf>
    <xf numFmtId="9" fontId="3" fillId="7" borderId="24" xfId="1" applyFont="1" applyFill="1" applyBorder="1" applyAlignment="1">
      <alignment horizontal="center" wrapText="1"/>
    </xf>
    <xf numFmtId="9" fontId="3" fillId="7" borderId="36" xfId="1" applyFont="1" applyFill="1" applyBorder="1" applyAlignment="1">
      <alignment horizontal="center" wrapText="1"/>
    </xf>
    <xf numFmtId="168" fontId="0" fillId="0" borderId="0" xfId="0" applyNumberFormat="1" applyAlignment="1">
      <alignment wrapText="1"/>
    </xf>
    <xf numFmtId="166" fontId="2" fillId="7" borderId="8" xfId="0" applyNumberFormat="1" applyFont="1" applyFill="1" applyBorder="1" applyAlignment="1">
      <alignment horizontal="center" vertical="center" wrapText="1"/>
    </xf>
    <xf numFmtId="166" fontId="2" fillId="7" borderId="14" xfId="0" applyNumberFormat="1" applyFont="1" applyFill="1" applyBorder="1" applyAlignment="1">
      <alignment horizontal="center" vertical="center" wrapText="1"/>
    </xf>
    <xf numFmtId="166" fontId="2" fillId="7" borderId="36" xfId="0" applyNumberFormat="1" applyFont="1" applyFill="1" applyBorder="1" applyAlignment="1">
      <alignment horizontal="center" vertical="center" wrapText="1"/>
    </xf>
    <xf numFmtId="166" fontId="2" fillId="7" borderId="15" xfId="0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5" fillId="0" borderId="52" xfId="0" applyFont="1" applyBorder="1" applyAlignment="1">
      <alignment horizontal="left"/>
    </xf>
    <xf numFmtId="0" fontId="2" fillId="0" borderId="53" xfId="0" applyFont="1" applyBorder="1" applyAlignment="1">
      <alignment horizontal="left"/>
    </xf>
    <xf numFmtId="0" fontId="2" fillId="0" borderId="54" xfId="0" applyFont="1" applyBorder="1" applyAlignment="1">
      <alignment horizontal="left"/>
    </xf>
    <xf numFmtId="9" fontId="3" fillId="7" borderId="50" xfId="1" applyFont="1" applyFill="1" applyBorder="1" applyAlignment="1">
      <alignment horizontal="left"/>
    </xf>
    <xf numFmtId="3" fontId="0" fillId="0" borderId="0" xfId="0" applyNumberFormat="1" applyAlignment="1">
      <alignment vertical="top"/>
    </xf>
    <xf numFmtId="0" fontId="2" fillId="0" borderId="55" xfId="0" applyFont="1" applyBorder="1" applyAlignment="1">
      <alignment horizontal="left"/>
    </xf>
    <xf numFmtId="0" fontId="0" fillId="2" borderId="1" xfId="0" applyFill="1" applyBorder="1" applyAlignment="1">
      <alignment vertical="top"/>
    </xf>
    <xf numFmtId="9" fontId="0" fillId="0" borderId="0" xfId="2" applyNumberFormat="1" applyFont="1" applyAlignment="1">
      <alignment vertical="top"/>
    </xf>
    <xf numFmtId="9" fontId="0" fillId="0" borderId="0" xfId="0" applyNumberFormat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43" xfId="0" applyNumberFormat="1" applyBorder="1" applyAlignment="1">
      <alignment horizontal="right" vertical="top"/>
    </xf>
    <xf numFmtId="0" fontId="0" fillId="0" borderId="0" xfId="0" applyAlignment="1">
      <alignment horizontal="center"/>
    </xf>
    <xf numFmtId="166" fontId="0" fillId="3" borderId="1" xfId="2" applyNumberFormat="1" applyFont="1" applyFill="1" applyBorder="1" applyAlignment="1">
      <alignment vertical="top"/>
    </xf>
    <xf numFmtId="166" fontId="2" fillId="6" borderId="40" xfId="0" applyNumberFormat="1" applyFont="1" applyFill="1" applyBorder="1" applyAlignment="1">
      <alignment horizontal="center" vertical="center"/>
    </xf>
    <xf numFmtId="14" fontId="2" fillId="6" borderId="40" xfId="0" applyNumberFormat="1" applyFont="1" applyFill="1" applyBorder="1" applyAlignment="1">
      <alignment horizontal="center" vertical="center"/>
    </xf>
    <xf numFmtId="166" fontId="2" fillId="6" borderId="50" xfId="0" applyNumberFormat="1" applyFont="1" applyFill="1" applyBorder="1" applyAlignment="1">
      <alignment horizontal="center" vertical="center"/>
    </xf>
    <xf numFmtId="166" fontId="2" fillId="6" borderId="51" xfId="0" applyNumberFormat="1" applyFont="1" applyFill="1" applyBorder="1" applyAlignment="1">
      <alignment horizontal="center" vertical="center"/>
    </xf>
    <xf numFmtId="0" fontId="2" fillId="7" borderId="50" xfId="0" applyFont="1" applyFill="1" applyBorder="1" applyAlignment="1">
      <alignment horizontal="center"/>
    </xf>
    <xf numFmtId="166" fontId="2" fillId="7" borderId="56" xfId="0" applyNumberFormat="1" applyFont="1" applyFill="1" applyBorder="1" applyAlignment="1">
      <alignment horizontal="center" vertical="center" wrapText="1"/>
    </xf>
    <xf numFmtId="166" fontId="2" fillId="7" borderId="57" xfId="0" applyNumberFormat="1" applyFont="1" applyFill="1" applyBorder="1" applyAlignment="1">
      <alignment horizontal="center" vertical="center" wrapText="1"/>
    </xf>
    <xf numFmtId="166" fontId="2" fillId="7" borderId="50" xfId="0" applyNumberFormat="1" applyFont="1" applyFill="1" applyBorder="1" applyAlignment="1">
      <alignment horizontal="center" vertical="center" wrapText="1"/>
    </xf>
    <xf numFmtId="166" fontId="6" fillId="0" borderId="58" xfId="2" applyNumberFormat="1" applyFont="1" applyBorder="1"/>
    <xf numFmtId="166" fontId="6" fillId="0" borderId="59" xfId="2" applyNumberFormat="1" applyFont="1" applyBorder="1"/>
    <xf numFmtId="166" fontId="0" fillId="0" borderId="53" xfId="0" applyNumberFormat="1" applyBorder="1"/>
    <xf numFmtId="166" fontId="0" fillId="0" borderId="60" xfId="2" applyNumberFormat="1" applyFont="1" applyBorder="1"/>
    <xf numFmtId="166" fontId="0" fillId="0" borderId="61" xfId="2" applyNumberFormat="1" applyFont="1" applyBorder="1"/>
    <xf numFmtId="166" fontId="0" fillId="0" borderId="54" xfId="0" applyNumberFormat="1" applyBorder="1"/>
    <xf numFmtId="9" fontId="3" fillId="7" borderId="56" xfId="1" applyFont="1" applyFill="1" applyBorder="1" applyAlignment="1">
      <alignment horizontal="center"/>
    </xf>
    <xf numFmtId="9" fontId="3" fillId="7" borderId="42" xfId="1" applyFont="1" applyFill="1" applyBorder="1" applyAlignment="1">
      <alignment horizontal="center"/>
    </xf>
    <xf numFmtId="164" fontId="0" fillId="0" borderId="37" xfId="2" applyFont="1" applyBorder="1"/>
    <xf numFmtId="170" fontId="0" fillId="0" borderId="37" xfId="2" applyNumberFormat="1" applyFont="1" applyBorder="1"/>
    <xf numFmtId="170" fontId="6" fillId="0" borderId="46" xfId="2" applyNumberFormat="1" applyFont="1" applyBorder="1"/>
    <xf numFmtId="170" fontId="0" fillId="0" borderId="38" xfId="2" applyNumberFormat="1" applyFont="1" applyBorder="1"/>
    <xf numFmtId="170" fontId="0" fillId="0" borderId="12" xfId="2" applyNumberFormat="1" applyFont="1" applyBorder="1"/>
    <xf numFmtId="0" fontId="2" fillId="8" borderId="0" xfId="0" applyFont="1" applyFill="1"/>
    <xf numFmtId="0" fontId="2" fillId="9" borderId="0" xfId="0" applyFont="1" applyFill="1"/>
    <xf numFmtId="164" fontId="2" fillId="0" borderId="0" xfId="2" applyFont="1"/>
    <xf numFmtId="170" fontId="6" fillId="0" borderId="45" xfId="2" applyNumberFormat="1" applyFont="1" applyBorder="1"/>
    <xf numFmtId="170" fontId="0" fillId="0" borderId="9" xfId="2" applyNumberFormat="1" applyFont="1" applyBorder="1"/>
    <xf numFmtId="170" fontId="0" fillId="0" borderId="18" xfId="2" applyNumberFormat="1" applyFont="1" applyBorder="1"/>
    <xf numFmtId="164" fontId="9" fillId="2" borderId="62" xfId="2" applyFont="1" applyFill="1" applyBorder="1" applyAlignment="1">
      <alignment vertical="top"/>
    </xf>
    <xf numFmtId="0" fontId="9" fillId="2" borderId="62" xfId="0" applyFont="1" applyFill="1" applyBorder="1" applyAlignment="1">
      <alignment vertical="top"/>
    </xf>
    <xf numFmtId="0" fontId="2" fillId="0" borderId="23" xfId="0" applyFont="1" applyBorder="1" applyAlignment="1">
      <alignment horizontal="left"/>
    </xf>
    <xf numFmtId="166" fontId="0" fillId="0" borderId="34" xfId="2" applyNumberFormat="1" applyFont="1" applyBorder="1"/>
    <xf numFmtId="166" fontId="6" fillId="0" borderId="63" xfId="2" applyNumberFormat="1" applyFont="1" applyBorder="1"/>
    <xf numFmtId="170" fontId="6" fillId="0" borderId="63" xfId="2" applyNumberFormat="1" applyFont="1" applyBorder="1"/>
    <xf numFmtId="0" fontId="5" fillId="0" borderId="64" xfId="0" applyFont="1" applyBorder="1" applyAlignment="1">
      <alignment horizontal="left"/>
    </xf>
    <xf numFmtId="166" fontId="6" fillId="0" borderId="65" xfId="2" applyNumberFormat="1" applyFont="1" applyBorder="1"/>
    <xf numFmtId="166" fontId="6" fillId="0" borderId="66" xfId="2" applyNumberFormat="1" applyFont="1" applyBorder="1"/>
    <xf numFmtId="166" fontId="6" fillId="0" borderId="67" xfId="2" applyNumberFormat="1" applyFont="1" applyBorder="1"/>
    <xf numFmtId="166" fontId="6" fillId="0" borderId="68" xfId="2" applyNumberFormat="1" applyFont="1" applyBorder="1"/>
    <xf numFmtId="170" fontId="6" fillId="0" borderId="66" xfId="2" applyNumberFormat="1" applyFont="1" applyBorder="1"/>
    <xf numFmtId="166" fontId="6" fillId="0" borderId="70" xfId="2" applyNumberFormat="1" applyFont="1" applyBorder="1"/>
    <xf numFmtId="9" fontId="0" fillId="0" borderId="11" xfId="1" applyFont="1" applyBorder="1"/>
    <xf numFmtId="9" fontId="0" fillId="0" borderId="12" xfId="1" applyFont="1" applyBorder="1"/>
    <xf numFmtId="9" fontId="0" fillId="0" borderId="13" xfId="1" applyFont="1" applyBorder="1"/>
    <xf numFmtId="9" fontId="0" fillId="0" borderId="28" xfId="1" applyFont="1" applyBorder="1"/>
    <xf numFmtId="9" fontId="0" fillId="0" borderId="69" xfId="1" applyFont="1" applyBorder="1"/>
    <xf numFmtId="14" fontId="0" fillId="0" borderId="0" xfId="0" applyNumberFormat="1"/>
    <xf numFmtId="0" fontId="10" fillId="4" borderId="2" xfId="0" applyFont="1" applyFill="1" applyBorder="1" applyAlignment="1">
      <alignment vertical="top"/>
    </xf>
    <xf numFmtId="0" fontId="10" fillId="4" borderId="2" xfId="0" applyFont="1" applyFill="1" applyBorder="1"/>
    <xf numFmtId="0" fontId="10" fillId="0" borderId="0" xfId="0" applyFont="1"/>
    <xf numFmtId="0" fontId="10" fillId="0" borderId="2" xfId="0" applyFont="1" applyBorder="1"/>
    <xf numFmtId="9" fontId="3" fillId="7" borderId="57" xfId="1" applyFont="1" applyFill="1" applyBorder="1" applyAlignment="1">
      <alignment horizontal="center"/>
    </xf>
    <xf numFmtId="9" fontId="3" fillId="7" borderId="71" xfId="1" applyFont="1" applyFill="1" applyBorder="1" applyAlignment="1">
      <alignment horizontal="center"/>
    </xf>
    <xf numFmtId="9" fontId="3" fillId="7" borderId="72" xfId="1" applyFont="1" applyFill="1" applyBorder="1" applyAlignment="1">
      <alignment horizontal="center"/>
    </xf>
    <xf numFmtId="0" fontId="11" fillId="0" borderId="50" xfId="0" applyFont="1" applyBorder="1" applyAlignment="1">
      <alignment horizontal="left"/>
    </xf>
    <xf numFmtId="1" fontId="12" fillId="0" borderId="57" xfId="2" applyNumberFormat="1" applyFont="1" applyBorder="1" applyAlignment="1">
      <alignment horizontal="center" vertical="center"/>
    </xf>
    <xf numFmtId="1" fontId="12" fillId="0" borderId="71" xfId="2" applyNumberFormat="1" applyFont="1" applyBorder="1" applyAlignment="1">
      <alignment horizontal="center" vertical="center"/>
    </xf>
    <xf numFmtId="1" fontId="12" fillId="0" borderId="56" xfId="2" applyNumberFormat="1" applyFont="1" applyBorder="1" applyAlignment="1">
      <alignment horizontal="center" vertical="center"/>
    </xf>
    <xf numFmtId="1" fontId="12" fillId="0" borderId="72" xfId="2" applyNumberFormat="1" applyFont="1" applyBorder="1" applyAlignment="1">
      <alignment horizontal="center" vertical="center"/>
    </xf>
    <xf numFmtId="9" fontId="3" fillId="7" borderId="41" xfId="1" applyFont="1" applyFill="1" applyBorder="1" applyAlignment="1">
      <alignment horizontal="center"/>
    </xf>
    <xf numFmtId="1" fontId="12" fillId="0" borderId="41" xfId="2" applyNumberFormat="1" applyFont="1" applyBorder="1" applyAlignment="1">
      <alignment horizontal="center" vertical="center"/>
    </xf>
    <xf numFmtId="0" fontId="2" fillId="0" borderId="51" xfId="0" applyFont="1" applyBorder="1"/>
    <xf numFmtId="0" fontId="0" fillId="0" borderId="53" xfId="0" applyBorder="1" applyAlignment="1">
      <alignment horizontal="left" indent="1"/>
    </xf>
    <xf numFmtId="0" fontId="0" fillId="0" borderId="53" xfId="0" applyBorder="1"/>
    <xf numFmtId="0" fontId="2" fillId="0" borderId="53" xfId="0" applyFont="1" applyBorder="1"/>
    <xf numFmtId="166" fontId="0" fillId="0" borderId="55" xfId="0" applyNumberFormat="1" applyBorder="1"/>
    <xf numFmtId="164" fontId="0" fillId="0" borderId="55" xfId="0" applyNumberFormat="1" applyBorder="1"/>
    <xf numFmtId="0" fontId="2" fillId="0" borderId="50" xfId="0" applyFont="1" applyBorder="1" applyAlignment="1">
      <alignment horizontal="left"/>
    </xf>
    <xf numFmtId="166" fontId="0" fillId="0" borderId="50" xfId="0" applyNumberFormat="1" applyBorder="1"/>
    <xf numFmtId="164" fontId="0" fillId="0" borderId="50" xfId="0" applyNumberFormat="1" applyBorder="1"/>
    <xf numFmtId="166" fontId="6" fillId="0" borderId="63" xfId="2" applyNumberFormat="1" applyFont="1" applyBorder="1" applyAlignment="1">
      <alignment horizontal="right" vertical="center"/>
    </xf>
    <xf numFmtId="166" fontId="6" fillId="0" borderId="74" xfId="2" applyNumberFormat="1" applyFont="1" applyBorder="1" applyAlignment="1">
      <alignment horizontal="right" vertical="center"/>
    </xf>
    <xf numFmtId="166" fontId="6" fillId="0" borderId="75" xfId="2" applyNumberFormat="1" applyFont="1" applyBorder="1" applyAlignment="1">
      <alignment horizontal="right" vertical="center"/>
    </xf>
    <xf numFmtId="166" fontId="6" fillId="0" borderId="58" xfId="2" applyNumberFormat="1" applyFont="1" applyBorder="1" applyAlignment="1">
      <alignment horizontal="right" vertical="center"/>
    </xf>
    <xf numFmtId="166" fontId="6" fillId="0" borderId="76" xfId="2" applyNumberFormat="1" applyFont="1" applyBorder="1" applyAlignment="1">
      <alignment horizontal="right" vertical="center"/>
    </xf>
    <xf numFmtId="166" fontId="0" fillId="0" borderId="7" xfId="2" applyNumberFormat="1" applyFont="1" applyBorder="1" applyAlignment="1">
      <alignment horizontal="right" vertical="center"/>
    </xf>
    <xf numFmtId="166" fontId="0" fillId="0" borderId="9" xfId="2" applyNumberFormat="1" applyFont="1" applyBorder="1" applyAlignment="1">
      <alignment horizontal="right" vertical="center"/>
    </xf>
    <xf numFmtId="166" fontId="0" fillId="0" borderId="0" xfId="2" applyNumberFormat="1" applyFont="1" applyBorder="1" applyAlignment="1">
      <alignment horizontal="right" vertical="center"/>
    </xf>
    <xf numFmtId="166" fontId="0" fillId="0" borderId="26" xfId="2" applyNumberFormat="1" applyFont="1" applyBorder="1" applyAlignment="1">
      <alignment horizontal="right" vertical="center"/>
    </xf>
    <xf numFmtId="166" fontId="0" fillId="0" borderId="37" xfId="2" applyNumberFormat="1" applyFont="1" applyBorder="1" applyAlignment="1">
      <alignment horizontal="right" vertical="center"/>
    </xf>
    <xf numFmtId="166" fontId="0" fillId="0" borderId="1" xfId="2" applyNumberFormat="1" applyFont="1" applyBorder="1" applyAlignment="1">
      <alignment horizontal="right" vertical="center"/>
    </xf>
    <xf numFmtId="166" fontId="0" fillId="0" borderId="18" xfId="2" applyNumberFormat="1" applyFont="1" applyBorder="1" applyAlignment="1">
      <alignment horizontal="right" vertical="center"/>
    </xf>
    <xf numFmtId="166" fontId="0" fillId="0" borderId="73" xfId="2" applyNumberFormat="1" applyFont="1" applyBorder="1" applyAlignment="1">
      <alignment horizontal="right" vertical="center"/>
    </xf>
    <xf numFmtId="166" fontId="0" fillId="0" borderId="27" xfId="2" applyNumberFormat="1" applyFont="1" applyBorder="1" applyAlignment="1">
      <alignment horizontal="right" vertical="center"/>
    </xf>
    <xf numFmtId="166" fontId="0" fillId="0" borderId="38" xfId="2" applyNumberFormat="1" applyFont="1" applyBorder="1" applyAlignment="1">
      <alignment horizontal="right" vertical="center"/>
    </xf>
    <xf numFmtId="166" fontId="6" fillId="0" borderId="59" xfId="2" applyNumberFormat="1" applyFont="1" applyBorder="1" applyAlignment="1">
      <alignment horizontal="right" vertical="center"/>
    </xf>
    <xf numFmtId="166" fontId="0" fillId="0" borderId="60" xfId="2" applyNumberFormat="1" applyFont="1" applyBorder="1" applyAlignment="1">
      <alignment horizontal="right" vertical="center"/>
    </xf>
    <xf numFmtId="166" fontId="0" fillId="0" borderId="61" xfId="2" applyNumberFormat="1" applyFont="1" applyBorder="1" applyAlignment="1">
      <alignment horizontal="right" vertical="center"/>
    </xf>
    <xf numFmtId="1" fontId="12" fillId="0" borderId="42" xfId="2" applyNumberFormat="1" applyFont="1" applyBorder="1" applyAlignment="1">
      <alignment horizontal="center" vertical="center"/>
    </xf>
    <xf numFmtId="166" fontId="2" fillId="7" borderId="77" xfId="0" applyNumberFormat="1" applyFont="1" applyFill="1" applyBorder="1" applyAlignment="1">
      <alignment horizontal="center" vertical="center"/>
    </xf>
    <xf numFmtId="166" fontId="2" fillId="7" borderId="78" xfId="0" applyNumberFormat="1" applyFont="1" applyFill="1" applyBorder="1" applyAlignment="1">
      <alignment horizontal="center" vertical="center" wrapText="1"/>
    </xf>
    <xf numFmtId="166" fontId="6" fillId="0" borderId="64" xfId="2" applyNumberFormat="1" applyFont="1" applyBorder="1" applyAlignment="1">
      <alignment horizontal="right" vertical="center"/>
    </xf>
    <xf numFmtId="166" fontId="0" fillId="0" borderId="53" xfId="2" applyNumberFormat="1" applyFont="1" applyBorder="1" applyAlignment="1">
      <alignment horizontal="right" vertical="center"/>
    </xf>
    <xf numFmtId="166" fontId="0" fillId="0" borderId="54" xfId="2" applyNumberFormat="1" applyFont="1" applyBorder="1" applyAlignment="1">
      <alignment horizontal="right" vertical="center"/>
    </xf>
    <xf numFmtId="9" fontId="3" fillId="7" borderId="50" xfId="1" applyFont="1" applyFill="1" applyBorder="1" applyAlignment="1">
      <alignment horizontal="center"/>
    </xf>
    <xf numFmtId="1" fontId="12" fillId="0" borderId="50" xfId="2" applyNumberFormat="1" applyFont="1" applyBorder="1" applyAlignment="1">
      <alignment horizontal="center" vertical="center"/>
    </xf>
    <xf numFmtId="166" fontId="0" fillId="0" borderId="28" xfId="2" applyNumberFormat="1" applyFont="1" applyBorder="1" applyAlignment="1">
      <alignment horizontal="right" vertical="center"/>
    </xf>
    <xf numFmtId="166" fontId="6" fillId="0" borderId="81" xfId="2" applyNumberFormat="1" applyFont="1" applyBorder="1" applyAlignment="1">
      <alignment horizontal="right" vertical="center"/>
    </xf>
    <xf numFmtId="166" fontId="0" fillId="0" borderId="21" xfId="2" applyNumberFormat="1" applyFont="1" applyBorder="1" applyAlignment="1">
      <alignment horizontal="right" vertical="center"/>
    </xf>
    <xf numFmtId="166" fontId="0" fillId="0" borderId="22" xfId="2" applyNumberFormat="1" applyFont="1" applyBorder="1" applyAlignment="1">
      <alignment horizontal="right" vertical="center"/>
    </xf>
    <xf numFmtId="1" fontId="12" fillId="0" borderId="40" xfId="2" applyNumberFormat="1" applyFont="1" applyBorder="1" applyAlignment="1">
      <alignment horizontal="center" vertical="center"/>
    </xf>
    <xf numFmtId="166" fontId="6" fillId="0" borderId="82" xfId="2" applyNumberFormat="1" applyFont="1" applyBorder="1" applyAlignment="1">
      <alignment horizontal="right" vertical="center"/>
    </xf>
    <xf numFmtId="166" fontId="2" fillId="7" borderId="79" xfId="0" applyNumberFormat="1" applyFont="1" applyFill="1" applyBorder="1" applyAlignment="1">
      <alignment horizontal="center" vertical="center"/>
    </xf>
    <xf numFmtId="166" fontId="2" fillId="7" borderId="80" xfId="0" applyNumberFormat="1" applyFont="1" applyFill="1" applyBorder="1" applyAlignment="1">
      <alignment horizontal="center" vertical="center" wrapText="1"/>
    </xf>
    <xf numFmtId="166" fontId="2" fillId="7" borderId="83" xfId="0" applyNumberFormat="1" applyFont="1" applyFill="1" applyBorder="1" applyAlignment="1">
      <alignment horizontal="center" vertical="center"/>
    </xf>
    <xf numFmtId="166" fontId="2" fillId="7" borderId="84" xfId="0" applyNumberFormat="1" applyFont="1" applyFill="1" applyBorder="1" applyAlignment="1">
      <alignment horizontal="center" vertical="center" wrapText="1"/>
    </xf>
    <xf numFmtId="0" fontId="0" fillId="0" borderId="55" xfId="0" applyBorder="1"/>
    <xf numFmtId="166" fontId="2" fillId="0" borderId="51" xfId="0" applyNumberFormat="1" applyFont="1" applyBorder="1"/>
    <xf numFmtId="166" fontId="2" fillId="7" borderId="51" xfId="0" applyNumberFormat="1" applyFont="1" applyFill="1" applyBorder="1" applyAlignment="1">
      <alignment horizontal="center" vertical="center" wrapText="1"/>
    </xf>
    <xf numFmtId="166" fontId="2" fillId="7" borderId="55" xfId="0" applyNumberFormat="1" applyFont="1" applyFill="1" applyBorder="1" applyAlignment="1">
      <alignment horizontal="center" vertical="center" wrapText="1"/>
    </xf>
    <xf numFmtId="15" fontId="2" fillId="7" borderId="3" xfId="0" applyNumberFormat="1" applyFont="1" applyFill="1" applyBorder="1" applyAlignment="1">
      <alignment horizontal="center" vertical="center"/>
    </xf>
    <xf numFmtId="15" fontId="2" fillId="7" borderId="4" xfId="0" applyNumberFormat="1" applyFont="1" applyFill="1" applyBorder="1" applyAlignment="1">
      <alignment horizontal="center" vertical="center"/>
    </xf>
    <xf numFmtId="0" fontId="14" fillId="0" borderId="0" xfId="0" applyFont="1"/>
    <xf numFmtId="0" fontId="14" fillId="0" borderId="2" xfId="0" applyFont="1" applyBorder="1"/>
    <xf numFmtId="166" fontId="6" fillId="0" borderId="65" xfId="2" applyNumberFormat="1" applyFont="1" applyBorder="1" applyAlignment="1">
      <alignment horizontal="right" vertical="center"/>
    </xf>
    <xf numFmtId="166" fontId="0" fillId="0" borderId="10" xfId="2" applyNumberFormat="1" applyFont="1" applyBorder="1" applyAlignment="1">
      <alignment horizontal="right" vertical="center"/>
    </xf>
    <xf numFmtId="166" fontId="0" fillId="0" borderId="19" xfId="2" applyNumberFormat="1" applyFont="1" applyBorder="1" applyAlignment="1">
      <alignment horizontal="right" vertical="center"/>
    </xf>
    <xf numFmtId="9" fontId="3" fillId="7" borderId="40" xfId="1" applyFont="1" applyFill="1" applyBorder="1" applyAlignment="1">
      <alignment horizontal="center"/>
    </xf>
    <xf numFmtId="9" fontId="3" fillId="7" borderId="86" xfId="1" applyFont="1" applyFill="1" applyBorder="1" applyAlignment="1">
      <alignment horizontal="center"/>
    </xf>
    <xf numFmtId="1" fontId="12" fillId="0" borderId="86" xfId="2" applyNumberFormat="1" applyFont="1" applyBorder="1" applyAlignment="1">
      <alignment horizontal="center" vertical="center"/>
    </xf>
    <xf numFmtId="166" fontId="0" fillId="0" borderId="87" xfId="2" applyNumberFormat="1" applyFont="1" applyBorder="1" applyAlignment="1">
      <alignment horizontal="right" vertical="center"/>
    </xf>
    <xf numFmtId="166" fontId="6" fillId="0" borderId="88" xfId="2" applyNumberFormat="1" applyFont="1" applyBorder="1" applyAlignment="1">
      <alignment horizontal="right" vertical="center"/>
    </xf>
    <xf numFmtId="166" fontId="0" fillId="0" borderId="11" xfId="2" applyNumberFormat="1" applyFont="1" applyBorder="1" applyAlignment="1">
      <alignment horizontal="right" vertical="center"/>
    </xf>
    <xf numFmtId="166" fontId="0" fillId="0" borderId="55" xfId="2" applyNumberFormat="1" applyFont="1" applyBorder="1" applyAlignment="1">
      <alignment horizontal="right" vertical="center"/>
    </xf>
    <xf numFmtId="166" fontId="6" fillId="0" borderId="66" xfId="2" applyNumberFormat="1" applyFont="1" applyBorder="1" applyAlignment="1">
      <alignment horizontal="right" vertical="center"/>
    </xf>
    <xf numFmtId="166" fontId="6" fillId="0" borderId="70" xfId="2" applyNumberFormat="1" applyFont="1" applyBorder="1" applyAlignment="1">
      <alignment horizontal="right" vertical="center"/>
    </xf>
    <xf numFmtId="166" fontId="2" fillId="7" borderId="90" xfId="0" applyNumberFormat="1" applyFont="1" applyFill="1" applyBorder="1" applyAlignment="1">
      <alignment horizontal="center" vertical="center" wrapText="1"/>
    </xf>
    <xf numFmtId="166" fontId="6" fillId="0" borderId="68" xfId="2" applyNumberFormat="1" applyFont="1" applyBorder="1" applyAlignment="1">
      <alignment horizontal="right" vertical="center"/>
    </xf>
    <xf numFmtId="14" fontId="0" fillId="0" borderId="0" xfId="0" applyNumberFormat="1" applyAlignment="1">
      <alignment horizontal="left"/>
    </xf>
    <xf numFmtId="0" fontId="0" fillId="4" borderId="92" xfId="0" applyFill="1" applyBorder="1" applyAlignment="1">
      <alignment vertical="top"/>
    </xf>
    <xf numFmtId="14" fontId="0" fillId="4" borderId="35" xfId="0" applyNumberFormat="1" applyFill="1" applyBorder="1" applyAlignment="1">
      <alignment horizontal="right" vertical="top"/>
    </xf>
    <xf numFmtId="0" fontId="0" fillId="4" borderId="35" xfId="0" applyFill="1" applyBorder="1" applyAlignment="1">
      <alignment vertical="top"/>
    </xf>
    <xf numFmtId="3" fontId="0" fillId="4" borderId="35" xfId="0" applyNumberFormat="1" applyFill="1" applyBorder="1" applyAlignment="1">
      <alignment horizontal="right" vertical="top"/>
    </xf>
    <xf numFmtId="4" fontId="0" fillId="4" borderId="35" xfId="0" applyNumberFormat="1" applyFill="1" applyBorder="1" applyAlignment="1">
      <alignment horizontal="right" vertical="top"/>
    </xf>
    <xf numFmtId="4" fontId="0" fillId="4" borderId="35" xfId="0" applyNumberFormat="1" applyFill="1" applyBorder="1" applyAlignment="1">
      <alignment vertical="top"/>
    </xf>
    <xf numFmtId="165" fontId="0" fillId="4" borderId="35" xfId="1" applyNumberFormat="1" applyFont="1" applyFill="1" applyBorder="1" applyAlignment="1">
      <alignment vertical="top"/>
    </xf>
    <xf numFmtId="164" fontId="0" fillId="4" borderId="35" xfId="2" applyFont="1" applyFill="1" applyBorder="1" applyAlignment="1">
      <alignment vertical="top"/>
    </xf>
    <xf numFmtId="166" fontId="0" fillId="4" borderId="35" xfId="2" applyNumberFormat="1" applyFont="1" applyFill="1" applyBorder="1" applyAlignment="1">
      <alignment vertical="top"/>
    </xf>
    <xf numFmtId="0" fontId="0" fillId="0" borderId="93" xfId="0" applyBorder="1" applyAlignment="1">
      <alignment vertical="top"/>
    </xf>
    <xf numFmtId="14" fontId="0" fillId="0" borderId="94" xfId="0" applyNumberFormat="1" applyBorder="1" applyAlignment="1">
      <alignment horizontal="right" vertical="top"/>
    </xf>
    <xf numFmtId="0" fontId="0" fillId="0" borderId="94" xfId="0" applyBorder="1" applyAlignment="1">
      <alignment vertical="top"/>
    </xf>
    <xf numFmtId="3" fontId="0" fillId="0" borderId="94" xfId="0" applyNumberFormat="1" applyBorder="1" applyAlignment="1">
      <alignment horizontal="right" vertical="top"/>
    </xf>
    <xf numFmtId="4" fontId="0" fillId="0" borderId="94" xfId="0" applyNumberFormat="1" applyBorder="1" applyAlignment="1">
      <alignment horizontal="right" vertical="top"/>
    </xf>
    <xf numFmtId="4" fontId="0" fillId="0" borderId="94" xfId="0" applyNumberFormat="1" applyBorder="1" applyAlignment="1">
      <alignment vertical="top"/>
    </xf>
    <xf numFmtId="165" fontId="0" fillId="0" borderId="94" xfId="1" applyNumberFormat="1" applyFont="1" applyBorder="1" applyAlignment="1">
      <alignment vertical="top"/>
    </xf>
    <xf numFmtId="164" fontId="0" fillId="0" borderId="94" xfId="2" applyFont="1" applyBorder="1" applyAlignment="1">
      <alignment vertical="top"/>
    </xf>
    <xf numFmtId="166" fontId="0" fillId="0" borderId="94" xfId="2" applyNumberFormat="1" applyFont="1" applyBorder="1" applyAlignment="1">
      <alignment vertical="top"/>
    </xf>
    <xf numFmtId="0" fontId="0" fillId="4" borderId="93" xfId="0" applyFill="1" applyBorder="1" applyAlignment="1">
      <alignment vertical="top"/>
    </xf>
    <xf numFmtId="14" fontId="0" fillId="4" borderId="94" xfId="0" applyNumberFormat="1" applyFill="1" applyBorder="1" applyAlignment="1">
      <alignment horizontal="right" vertical="top"/>
    </xf>
    <xf numFmtId="0" fontId="0" fillId="4" borderId="94" xfId="0" applyFill="1" applyBorder="1" applyAlignment="1">
      <alignment vertical="top"/>
    </xf>
    <xf numFmtId="3" fontId="0" fillId="4" borderId="94" xfId="0" applyNumberFormat="1" applyFill="1" applyBorder="1" applyAlignment="1">
      <alignment horizontal="right" vertical="top"/>
    </xf>
    <xf numFmtId="4" fontId="0" fillId="4" borderId="94" xfId="0" applyNumberFormat="1" applyFill="1" applyBorder="1" applyAlignment="1">
      <alignment horizontal="right" vertical="top"/>
    </xf>
    <xf numFmtId="4" fontId="0" fillId="4" borderId="94" xfId="0" applyNumberFormat="1" applyFill="1" applyBorder="1" applyAlignment="1">
      <alignment vertical="top"/>
    </xf>
    <xf numFmtId="165" fontId="0" fillId="4" borderId="94" xfId="1" applyNumberFormat="1" applyFont="1" applyFill="1" applyBorder="1" applyAlignment="1">
      <alignment vertical="top"/>
    </xf>
    <xf numFmtId="164" fontId="0" fillId="4" borderId="94" xfId="2" applyFont="1" applyFill="1" applyBorder="1" applyAlignment="1">
      <alignment vertical="top"/>
    </xf>
    <xf numFmtId="166" fontId="0" fillId="4" borderId="94" xfId="2" applyNumberFormat="1" applyFont="1" applyFill="1" applyBorder="1" applyAlignment="1">
      <alignment vertical="top"/>
    </xf>
    <xf numFmtId="169" fontId="0" fillId="0" borderId="94" xfId="0" applyNumberFormat="1" applyBorder="1" applyAlignment="1">
      <alignment horizontal="right" vertical="top"/>
    </xf>
    <xf numFmtId="169" fontId="0" fillId="4" borderId="94" xfId="0" applyNumberFormat="1" applyFill="1" applyBorder="1" applyAlignment="1">
      <alignment horizontal="right" vertical="top"/>
    </xf>
    <xf numFmtId="171" fontId="0" fillId="0" borderId="94" xfId="0" applyNumberFormat="1" applyBorder="1" applyAlignment="1">
      <alignment horizontal="right" vertical="top"/>
    </xf>
    <xf numFmtId="0" fontId="0" fillId="4" borderId="91" xfId="0" applyFill="1" applyBorder="1" applyAlignment="1">
      <alignment vertical="top"/>
    </xf>
    <xf numFmtId="14" fontId="0" fillId="4" borderId="43" xfId="0" applyNumberFormat="1" applyFill="1" applyBorder="1" applyAlignment="1">
      <alignment horizontal="right" vertical="top"/>
    </xf>
    <xf numFmtId="4" fontId="0" fillId="4" borderId="43" xfId="0" applyNumberFormat="1" applyFill="1" applyBorder="1" applyAlignment="1">
      <alignment vertical="top"/>
    </xf>
    <xf numFmtId="165" fontId="0" fillId="4" borderId="43" xfId="1" applyNumberFormat="1" applyFont="1" applyFill="1" applyBorder="1" applyAlignment="1">
      <alignment vertical="top"/>
    </xf>
    <xf numFmtId="164" fontId="0" fillId="4" borderId="43" xfId="2" applyFont="1" applyFill="1" applyBorder="1" applyAlignment="1">
      <alignment vertical="top"/>
    </xf>
    <xf numFmtId="166" fontId="0" fillId="4" borderId="43" xfId="2" applyNumberFormat="1" applyFont="1" applyFill="1" applyBorder="1" applyAlignment="1">
      <alignment vertical="top"/>
    </xf>
    <xf numFmtId="0" fontId="2" fillId="0" borderId="57" xfId="0" applyFont="1" applyBorder="1" applyAlignment="1">
      <alignment horizontal="center" vertical="center"/>
    </xf>
    <xf numFmtId="165" fontId="15" fillId="0" borderId="56" xfId="0" applyNumberFormat="1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165" fontId="15" fillId="0" borderId="72" xfId="0" applyNumberFormat="1" applyFont="1" applyBorder="1" applyAlignment="1">
      <alignment horizontal="center" vertical="center"/>
    </xf>
    <xf numFmtId="165" fontId="15" fillId="0" borderId="71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166" fontId="2" fillId="0" borderId="71" xfId="2" applyNumberFormat="1" applyFont="1" applyBorder="1" applyAlignment="1">
      <alignment horizontal="center" vertical="center"/>
    </xf>
    <xf numFmtId="0" fontId="2" fillId="13" borderId="86" xfId="0" applyFont="1" applyFill="1" applyBorder="1" applyAlignment="1">
      <alignment horizontal="center" vertical="center"/>
    </xf>
    <xf numFmtId="165" fontId="15" fillId="0" borderId="42" xfId="0" applyNumberFormat="1" applyFont="1" applyBorder="1" applyAlignment="1">
      <alignment horizontal="center" vertical="center"/>
    </xf>
    <xf numFmtId="166" fontId="0" fillId="0" borderId="51" xfId="2" applyNumberFormat="1" applyFont="1" applyBorder="1"/>
    <xf numFmtId="165" fontId="15" fillId="0" borderId="51" xfId="2" applyNumberFormat="1" applyFont="1" applyFill="1" applyBorder="1" applyAlignment="1">
      <alignment horizontal="center" vertical="center"/>
    </xf>
    <xf numFmtId="165" fontId="15" fillId="0" borderId="3" xfId="2" applyNumberFormat="1" applyFont="1" applyFill="1" applyBorder="1" applyAlignment="1">
      <alignment horizontal="center" vertical="center"/>
    </xf>
    <xf numFmtId="166" fontId="2" fillId="0" borderId="53" xfId="2" applyNumberFormat="1" applyFont="1" applyBorder="1"/>
    <xf numFmtId="165" fontId="15" fillId="0" borderId="53" xfId="2" applyNumberFormat="1" applyFont="1" applyFill="1" applyBorder="1" applyAlignment="1">
      <alignment horizontal="center" vertical="center"/>
    </xf>
    <xf numFmtId="165" fontId="15" fillId="0" borderId="21" xfId="2" applyNumberFormat="1" applyFont="1" applyFill="1" applyBorder="1" applyAlignment="1">
      <alignment horizontal="center" vertical="center"/>
    </xf>
    <xf numFmtId="166" fontId="2" fillId="0" borderId="21" xfId="0" applyNumberFormat="1" applyFont="1" applyBorder="1" applyAlignment="1">
      <alignment vertical="top"/>
    </xf>
    <xf numFmtId="165" fontId="15" fillId="0" borderId="53" xfId="1" applyNumberFormat="1" applyFont="1" applyFill="1" applyBorder="1" applyAlignment="1">
      <alignment horizontal="center" vertical="center"/>
    </xf>
    <xf numFmtId="165" fontId="15" fillId="0" borderId="21" xfId="1" applyNumberFormat="1" applyFont="1" applyFill="1" applyBorder="1" applyAlignment="1">
      <alignment horizontal="center" vertical="center"/>
    </xf>
    <xf numFmtId="166" fontId="2" fillId="0" borderId="53" xfId="0" applyNumberFormat="1" applyFont="1" applyBorder="1" applyAlignment="1">
      <alignment vertical="top"/>
    </xf>
    <xf numFmtId="166" fontId="0" fillId="0" borderId="96" xfId="2" applyNumberFormat="1" applyFont="1" applyBorder="1"/>
    <xf numFmtId="165" fontId="16" fillId="0" borderId="96" xfId="1" applyNumberFormat="1" applyFont="1" applyFill="1" applyBorder="1" applyAlignment="1">
      <alignment horizontal="center" vertical="center"/>
    </xf>
    <xf numFmtId="166" fontId="0" fillId="0" borderId="97" xfId="2" applyNumberFormat="1" applyFont="1" applyBorder="1"/>
    <xf numFmtId="165" fontId="16" fillId="0" borderId="98" xfId="1" applyNumberFormat="1" applyFont="1" applyFill="1" applyBorder="1" applyAlignment="1">
      <alignment horizontal="center" vertical="center"/>
    </xf>
    <xf numFmtId="165" fontId="16" fillId="0" borderId="53" xfId="1" applyNumberFormat="1" applyFont="1" applyFill="1" applyBorder="1" applyAlignment="1">
      <alignment horizontal="center" vertical="center"/>
    </xf>
    <xf numFmtId="165" fontId="16" fillId="0" borderId="21" xfId="1" applyNumberFormat="1" applyFont="1" applyFill="1" applyBorder="1" applyAlignment="1">
      <alignment horizontal="center" vertical="center"/>
    </xf>
    <xf numFmtId="166" fontId="0" fillId="0" borderId="53" xfId="2" applyNumberFormat="1" applyFont="1" applyBorder="1"/>
    <xf numFmtId="166" fontId="2" fillId="0" borderId="0" xfId="2" applyNumberFormat="1" applyFont="1" applyBorder="1"/>
    <xf numFmtId="166" fontId="17" fillId="0" borderId="53" xfId="2" applyNumberFormat="1" applyFont="1" applyBorder="1" applyAlignment="1">
      <alignment vertical="top"/>
    </xf>
    <xf numFmtId="166" fontId="17" fillId="0" borderId="55" xfId="2" applyNumberFormat="1" applyFont="1" applyBorder="1" applyAlignment="1">
      <alignment vertical="top"/>
    </xf>
    <xf numFmtId="165" fontId="15" fillId="0" borderId="55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6" fontId="18" fillId="0" borderId="50" xfId="0" applyNumberFormat="1" applyFont="1" applyBorder="1" applyAlignment="1">
      <alignment vertical="top"/>
    </xf>
    <xf numFmtId="165" fontId="15" fillId="0" borderId="50" xfId="1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6" fillId="0" borderId="0" xfId="2" applyNumberFormat="1" applyFont="1" applyFill="1" applyBorder="1" applyAlignment="1">
      <alignment horizontal="right" vertical="center"/>
    </xf>
    <xf numFmtId="166" fontId="0" fillId="0" borderId="0" xfId="2" applyNumberFormat="1" applyFont="1" applyFill="1" applyBorder="1" applyAlignment="1">
      <alignment horizontal="right" vertical="center"/>
    </xf>
    <xf numFmtId="9" fontId="3" fillId="0" borderId="0" xfId="1" applyFont="1" applyFill="1" applyBorder="1" applyAlignment="1">
      <alignment horizontal="center"/>
    </xf>
    <xf numFmtId="1" fontId="12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6" fontId="2" fillId="0" borderId="0" xfId="0" applyNumberFormat="1" applyFont="1" applyAlignment="1">
      <alignment vertical="top"/>
    </xf>
    <xf numFmtId="166" fontId="0" fillId="0" borderId="21" xfId="2" applyNumberFormat="1" applyFont="1" applyBorder="1"/>
    <xf numFmtId="0" fontId="2" fillId="12" borderId="40" xfId="0" applyFont="1" applyFill="1" applyBorder="1" applyAlignment="1">
      <alignment horizontal="center"/>
    </xf>
    <xf numFmtId="0" fontId="2" fillId="0" borderId="40" xfId="0" applyFont="1" applyBorder="1" applyAlignment="1">
      <alignment horizontal="center" vertical="top"/>
    </xf>
    <xf numFmtId="0" fontId="19" fillId="0" borderId="51" xfId="0" applyFont="1" applyBorder="1" applyAlignment="1">
      <alignment horizontal="left" vertical="top"/>
    </xf>
    <xf numFmtId="0" fontId="18" fillId="0" borderId="53" xfId="0" applyFont="1" applyBorder="1" applyAlignment="1">
      <alignment horizontal="left" vertical="top"/>
    </xf>
    <xf numFmtId="0" fontId="19" fillId="0" borderId="96" xfId="0" applyFont="1" applyBorder="1" applyAlignment="1">
      <alignment horizontal="left" vertical="top" indent="1"/>
    </xf>
    <xf numFmtId="0" fontId="19" fillId="0" borderId="53" xfId="0" applyFont="1" applyBorder="1" applyAlignment="1">
      <alignment horizontal="left" vertical="top" indent="1"/>
    </xf>
    <xf numFmtId="0" fontId="18" fillId="0" borderId="53" xfId="0" applyFont="1" applyBorder="1" applyAlignment="1">
      <alignment horizontal="left" vertical="top" indent="1"/>
    </xf>
    <xf numFmtId="0" fontId="20" fillId="0" borderId="99" xfId="0" applyFont="1" applyBorder="1" applyAlignment="1">
      <alignment horizontal="left" indent="2"/>
    </xf>
    <xf numFmtId="0" fontId="18" fillId="0" borderId="50" xfId="0" applyFont="1" applyBorder="1" applyAlignment="1">
      <alignment vertical="top"/>
    </xf>
    <xf numFmtId="0" fontId="0" fillId="0" borderId="100" xfId="0" applyBorder="1"/>
    <xf numFmtId="0" fontId="0" fillId="0" borderId="7" xfId="0" applyBorder="1"/>
    <xf numFmtId="164" fontId="0" fillId="0" borderId="7" xfId="2" applyFont="1" applyBorder="1"/>
    <xf numFmtId="0" fontId="0" fillId="0" borderId="1" xfId="0" applyBorder="1"/>
    <xf numFmtId="164" fontId="0" fillId="0" borderId="1" xfId="2" applyFont="1" applyBorder="1"/>
    <xf numFmtId="0" fontId="2" fillId="4" borderId="34" xfId="0" applyFont="1" applyFill="1" applyBorder="1" applyAlignment="1">
      <alignment horizontal="center"/>
    </xf>
    <xf numFmtId="164" fontId="2" fillId="4" borderId="34" xfId="2" applyFont="1" applyFill="1" applyBorder="1" applyAlignment="1">
      <alignment horizontal="center"/>
    </xf>
    <xf numFmtId="0" fontId="9" fillId="2" borderId="62" xfId="0" applyFont="1" applyFill="1" applyBorder="1" applyAlignment="1">
      <alignment horizontal="center" vertical="center"/>
    </xf>
    <xf numFmtId="0" fontId="9" fillId="2" borderId="62" xfId="0" applyFont="1" applyFill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/>
    </xf>
    <xf numFmtId="0" fontId="9" fillId="10" borderId="62" xfId="0" applyFont="1" applyFill="1" applyBorder="1" applyAlignment="1">
      <alignment horizontal="center" vertical="center"/>
    </xf>
    <xf numFmtId="164" fontId="21" fillId="2" borderId="95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4" borderId="35" xfId="2" applyNumberFormat="1" applyFont="1" applyFill="1" applyBorder="1" applyAlignment="1">
      <alignment vertical="top"/>
    </xf>
    <xf numFmtId="1" fontId="0" fillId="0" borderId="94" xfId="2" applyNumberFormat="1" applyFont="1" applyBorder="1" applyAlignment="1">
      <alignment vertical="top"/>
    </xf>
    <xf numFmtId="1" fontId="0" fillId="4" borderId="94" xfId="2" applyNumberFormat="1" applyFont="1" applyFill="1" applyBorder="1" applyAlignment="1">
      <alignment vertical="top"/>
    </xf>
    <xf numFmtId="15" fontId="2" fillId="6" borderId="3" xfId="0" applyNumberFormat="1" applyFont="1" applyFill="1" applyBorder="1" applyAlignment="1">
      <alignment horizontal="center" vertical="center"/>
    </xf>
    <xf numFmtId="15" fontId="2" fillId="6" borderId="4" xfId="0" applyNumberFormat="1" applyFont="1" applyFill="1" applyBorder="1" applyAlignment="1">
      <alignment horizontal="center" vertical="center"/>
    </xf>
    <xf numFmtId="15" fontId="2" fillId="6" borderId="5" xfId="0" applyNumberFormat="1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horizontal="center" vertical="center"/>
    </xf>
    <xf numFmtId="166" fontId="2" fillId="6" borderId="4" xfId="0" applyNumberFormat="1" applyFont="1" applyFill="1" applyBorder="1" applyAlignment="1">
      <alignment horizontal="center" vertical="center"/>
    </xf>
    <xf numFmtId="166" fontId="2" fillId="6" borderId="5" xfId="0" applyNumberFormat="1" applyFont="1" applyFill="1" applyBorder="1" applyAlignment="1">
      <alignment horizontal="center" vertical="center"/>
    </xf>
    <xf numFmtId="0" fontId="4" fillId="0" borderId="4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166" fontId="2" fillId="6" borderId="40" xfId="0" applyNumberFormat="1" applyFont="1" applyFill="1" applyBorder="1" applyAlignment="1">
      <alignment horizontal="center" vertical="center"/>
    </xf>
    <xf numFmtId="166" fontId="2" fillId="6" borderId="41" xfId="0" applyNumberFormat="1" applyFont="1" applyFill="1" applyBorder="1" applyAlignment="1">
      <alignment horizontal="center" vertical="center"/>
    </xf>
    <xf numFmtId="166" fontId="2" fillId="6" borderId="42" xfId="0" applyNumberFormat="1" applyFont="1" applyFill="1" applyBorder="1" applyAlignment="1">
      <alignment horizontal="center" vertical="center"/>
    </xf>
    <xf numFmtId="15" fontId="2" fillId="6" borderId="40" xfId="0" applyNumberFormat="1" applyFont="1" applyFill="1" applyBorder="1" applyAlignment="1">
      <alignment horizontal="center" vertical="center"/>
    </xf>
    <xf numFmtId="15" fontId="2" fillId="6" borderId="41" xfId="0" applyNumberFormat="1" applyFont="1" applyFill="1" applyBorder="1" applyAlignment="1">
      <alignment horizontal="center" vertical="center"/>
    </xf>
    <xf numFmtId="15" fontId="2" fillId="6" borderId="42" xfId="0" applyNumberFormat="1" applyFont="1" applyFill="1" applyBorder="1" applyAlignment="1">
      <alignment horizontal="center" vertical="center"/>
    </xf>
    <xf numFmtId="0" fontId="4" fillId="0" borderId="40" xfId="0" applyFont="1" applyBorder="1" applyAlignment="1">
      <alignment horizontal="left" vertical="center"/>
    </xf>
    <xf numFmtId="15" fontId="2" fillId="6" borderId="3" xfId="0" applyNumberFormat="1" applyFont="1" applyFill="1" applyBorder="1" applyAlignment="1">
      <alignment horizontal="center" vertical="center" wrapText="1"/>
    </xf>
    <xf numFmtId="15" fontId="2" fillId="6" borderId="4" xfId="0" applyNumberFormat="1" applyFont="1" applyFill="1" applyBorder="1" applyAlignment="1">
      <alignment horizontal="center" vertical="center" wrapText="1"/>
    </xf>
    <xf numFmtId="15" fontId="2" fillId="6" borderId="5" xfId="0" applyNumberFormat="1" applyFont="1" applyFill="1" applyBorder="1" applyAlignment="1">
      <alignment horizontal="center" vertical="center" wrapText="1"/>
    </xf>
    <xf numFmtId="166" fontId="2" fillId="6" borderId="3" xfId="0" applyNumberFormat="1" applyFont="1" applyFill="1" applyBorder="1" applyAlignment="1">
      <alignment horizontal="center" vertical="center" wrapText="1"/>
    </xf>
    <xf numFmtId="166" fontId="2" fillId="6" borderId="4" xfId="0" applyNumberFormat="1" applyFont="1" applyFill="1" applyBorder="1" applyAlignment="1">
      <alignment horizontal="center" vertical="center" wrapText="1"/>
    </xf>
    <xf numFmtId="166" fontId="2" fillId="6" borderId="5" xfId="0" applyNumberFormat="1" applyFont="1" applyFill="1" applyBorder="1" applyAlignment="1">
      <alignment horizontal="center" vertical="center" wrapText="1"/>
    </xf>
    <xf numFmtId="17" fontId="2" fillId="12" borderId="40" xfId="0" quotePrefix="1" applyNumberFormat="1" applyFont="1" applyFill="1" applyBorder="1" applyAlignment="1">
      <alignment horizontal="center"/>
    </xf>
    <xf numFmtId="17" fontId="2" fillId="12" borderId="41" xfId="0" quotePrefix="1" applyNumberFormat="1" applyFont="1" applyFill="1" applyBorder="1" applyAlignment="1">
      <alignment horizontal="center"/>
    </xf>
    <xf numFmtId="17" fontId="2" fillId="12" borderId="42" xfId="0" quotePrefix="1" applyNumberFormat="1" applyFont="1" applyFill="1" applyBorder="1" applyAlignment="1">
      <alignment horizontal="center"/>
    </xf>
    <xf numFmtId="166" fontId="2" fillId="11" borderId="40" xfId="0" applyNumberFormat="1" applyFont="1" applyFill="1" applyBorder="1" applyAlignment="1">
      <alignment horizontal="center"/>
    </xf>
    <xf numFmtId="166" fontId="2" fillId="11" borderId="41" xfId="0" applyNumberFormat="1" applyFont="1" applyFill="1" applyBorder="1" applyAlignment="1">
      <alignment horizontal="center"/>
    </xf>
    <xf numFmtId="166" fontId="2" fillId="11" borderId="42" xfId="0" applyNumberFormat="1" applyFont="1" applyFill="1" applyBorder="1" applyAlignment="1">
      <alignment horizontal="center"/>
    </xf>
    <xf numFmtId="166" fontId="2" fillId="11" borderId="51" xfId="0" applyNumberFormat="1" applyFont="1" applyFill="1" applyBorder="1" applyAlignment="1">
      <alignment horizontal="center" vertical="center"/>
    </xf>
    <xf numFmtId="166" fontId="2" fillId="11" borderId="53" xfId="0" applyNumberFormat="1" applyFont="1" applyFill="1" applyBorder="1" applyAlignment="1">
      <alignment horizontal="center" vertical="center"/>
    </xf>
    <xf numFmtId="166" fontId="2" fillId="11" borderId="55" xfId="0" applyNumberFormat="1" applyFont="1" applyFill="1" applyBorder="1" applyAlignment="1">
      <alignment horizontal="center" vertical="center"/>
    </xf>
    <xf numFmtId="0" fontId="13" fillId="7" borderId="53" xfId="0" applyFont="1" applyFill="1" applyBorder="1" applyAlignment="1">
      <alignment horizontal="center" vertical="top"/>
    </xf>
    <xf numFmtId="0" fontId="13" fillId="7" borderId="54" xfId="0" applyFont="1" applyFill="1" applyBorder="1" applyAlignment="1">
      <alignment horizontal="center" vertical="top"/>
    </xf>
    <xf numFmtId="166" fontId="2" fillId="7" borderId="79" xfId="0" applyNumberFormat="1" applyFont="1" applyFill="1" applyBorder="1" applyAlignment="1">
      <alignment horizontal="center" vertical="center"/>
    </xf>
    <xf numFmtId="166" fontId="2" fillId="7" borderId="85" xfId="0" applyNumberFormat="1" applyFont="1" applyFill="1" applyBorder="1" applyAlignment="1">
      <alignment horizontal="center" vertical="center"/>
    </xf>
    <xf numFmtId="166" fontId="2" fillId="7" borderId="83" xfId="0" applyNumberFormat="1" applyFont="1" applyFill="1" applyBorder="1" applyAlignment="1">
      <alignment horizontal="center" vertical="center"/>
    </xf>
    <xf numFmtId="166" fontId="2" fillId="7" borderId="51" xfId="0" applyNumberFormat="1" applyFont="1" applyFill="1" applyBorder="1" applyAlignment="1">
      <alignment horizontal="center" vertical="center" wrapText="1"/>
    </xf>
    <xf numFmtId="166" fontId="2" fillId="7" borderId="55" xfId="0" applyNumberFormat="1" applyFont="1" applyFill="1" applyBorder="1" applyAlignment="1">
      <alignment horizontal="center" vertical="center" wrapText="1"/>
    </xf>
    <xf numFmtId="166" fontId="2" fillId="7" borderId="5" xfId="0" applyNumberFormat="1" applyFont="1" applyFill="1" applyBorder="1" applyAlignment="1">
      <alignment horizontal="center" vertical="center" wrapText="1"/>
    </xf>
    <xf numFmtId="166" fontId="2" fillId="7" borderId="89" xfId="0" applyNumberFormat="1" applyFont="1" applyFill="1" applyBorder="1" applyAlignment="1">
      <alignment horizontal="center" vertical="center" wrapText="1"/>
    </xf>
    <xf numFmtId="166" fontId="2" fillId="11" borderId="50" xfId="0" applyNumberFormat="1" applyFont="1" applyFill="1" applyBorder="1" applyAlignment="1">
      <alignment horizontal="center"/>
    </xf>
    <xf numFmtId="166" fontId="2" fillId="11" borderId="50" xfId="0" applyNumberFormat="1" applyFont="1" applyFill="1" applyBorder="1" applyAlignment="1">
      <alignment horizontal="center" vertical="center"/>
    </xf>
    <xf numFmtId="166" fontId="2" fillId="7" borderId="77" xfId="0" applyNumberFormat="1" applyFont="1" applyFill="1" applyBorder="1" applyAlignment="1">
      <alignment horizontal="center" vertical="center" wrapText="1"/>
    </xf>
    <xf numFmtId="166" fontId="2" fillId="7" borderId="78" xfId="0" applyNumberFormat="1" applyFont="1" applyFill="1" applyBorder="1" applyAlignment="1">
      <alignment horizontal="center" vertical="center"/>
    </xf>
    <xf numFmtId="166" fontId="2" fillId="7" borderId="3" xfId="0" applyNumberFormat="1" applyFont="1" applyFill="1" applyBorder="1" applyAlignment="1">
      <alignment horizontal="center" vertical="center"/>
    </xf>
    <xf numFmtId="166" fontId="2" fillId="7" borderId="5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top"/>
    </xf>
    <xf numFmtId="0" fontId="0" fillId="4" borderId="0" xfId="0" applyFill="1" applyBorder="1" applyAlignment="1">
      <alignment vertical="top"/>
    </xf>
    <xf numFmtId="0" fontId="0" fillId="0" borderId="34" xfId="0" applyBorder="1"/>
    <xf numFmtId="3" fontId="0" fillId="0" borderId="34" xfId="0" applyNumberFormat="1" applyBorder="1"/>
  </cellXfs>
  <cellStyles count="3">
    <cellStyle name="Comma" xfId="2" builtinId="3"/>
    <cellStyle name="Normal" xfId="0" builtinId="0"/>
    <cellStyle name="Percent" xfId="1" builtinId="5"/>
  </cellStyles>
  <dxfs count="85">
    <dxf>
      <numFmt numFmtId="0" formatCode="General"/>
      <alignment horizontal="general" vertical="top" textRotation="0" wrapText="0" indent="0" justifyLastLine="0" shrinkToFit="0" readingOrder="0"/>
    </dxf>
    <dxf>
      <numFmt numFmtId="13" formatCode="0%"/>
      <alignment horizontal="general" vertical="top" textRotation="0" wrapText="0" indent="0" justifyLastLine="0" shrinkToFit="0" readingOrder="0"/>
    </dxf>
    <dxf>
      <numFmt numFmtId="166" formatCode="_ * #,##0_ ;_ * \-#,##0_ ;_ * &quot;-&quot;??_ ;_ @_ "/>
      <alignment horizontal="general" vertical="top" textRotation="0" wrapText="0" indent="0" justifyLastLine="0" shrinkToFit="0" readingOrder="0"/>
    </dxf>
    <dxf>
      <numFmt numFmtId="164" formatCode="_ * #,##0.00_ ;_ * \-#,##0.00_ ;_ * &quot;-&quot;??_ ;_ @_ 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.00_ ;_ * \-#,##0.00_ ;_ * &quot;-&quot;??_ ;_ @_ 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* #,##0_ ;_ * \-#,##0_ ;_ * &quot;-&quot;??_ ;_ @_ "/>
      <alignment horizontal="general" vertical="top" textRotation="0" wrapText="0" indent="0" justifyLastLine="0" shrinkToFit="0" readingOrder="0"/>
    </dxf>
    <dxf>
      <numFmt numFmtId="166" formatCode="_ * #,##0_ ;_ * \-#,##0_ ;_ * &quot;-&quot;??_ ;_ @_ "/>
      <alignment horizontal="general" vertical="top" textRotation="0" wrapText="0" indent="0" justifyLastLine="0" shrinkToFit="0" readingOrder="0"/>
    </dxf>
    <dxf>
      <numFmt numFmtId="164" formatCode="_ * #,##0.00_ ;_ * \-#,##0.00_ ;_ * &quot;-&quot;??_ ;_ @_ 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.00_ ;_ * \-#,##0.00_ ;_ * &quot;-&quot;??_ ;_ @_ "/>
      <alignment horizontal="general" vertical="top" textRotation="0" wrapText="0" indent="0" justifyLastLine="0" shrinkToFit="0" readingOrder="0"/>
    </dxf>
    <dxf>
      <numFmt numFmtId="164" formatCode="_ * #,##0.00_ ;_ * \-#,##0.00_ ;_ * &quot;-&quot;??_ ;_ @_ "/>
      <alignment horizontal="general" vertical="top" textRotation="0" wrapText="0" indent="0" justifyLastLine="0" shrinkToFit="0" readingOrder="0"/>
    </dxf>
    <dxf>
      <numFmt numFmtId="164" formatCode="_ * #,##0.00_ ;_ * \-#,##0.00_ ;_ * &quot;-&quot;??_ ;_ @_ "/>
      <alignment horizontal="general" vertical="top" textRotation="0" wrapText="0" indent="0" justifyLastLine="0" shrinkToFit="0" readingOrder="0"/>
    </dxf>
    <dxf>
      <numFmt numFmtId="164" formatCode="_ * #,##0.00_ ;_ * \-#,##0.00_ ;_ * &quot;-&quot;??_ ;_ @_ "/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0.0%"/>
      <alignment horizontal="general" vertical="top" textRotation="0" wrapText="0" indent="0" justifyLastLine="0" shrinkToFit="0" readingOrder="0"/>
    </dxf>
    <dxf>
      <numFmt numFmtId="4" formatCode="#,##0.00"/>
      <alignment horizontal="general" vertical="top" textRotation="0" wrapText="0" indent="0" justifyLastLine="0" shrinkToFit="0" readingOrder="0"/>
    </dxf>
    <dxf>
      <numFmt numFmtId="172" formatCode="dd/mm/yyyy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4" formatCode="#,##0.00"/>
      <alignment horizontal="right" vertical="top" textRotation="0" wrapText="0" indent="0" justifyLastLine="0" shrinkToFit="0" readingOrder="0"/>
    </dxf>
    <dxf>
      <numFmt numFmtId="172" formatCode="dd/mm/yyyy"/>
      <alignment horizontal="right" vertical="top" textRotation="0" wrapText="0" indent="0" justifyLastLine="0" shrinkToFit="0" readingOrder="0"/>
    </dxf>
    <dxf>
      <numFmt numFmtId="3" formatCode="#,##0"/>
      <alignment horizontal="right" vertical="top" textRotation="0" wrapText="0" indent="0" justifyLastLine="0" shrinkToFit="0" readingOrder="0"/>
    </dxf>
    <dxf>
      <numFmt numFmtId="3" formatCode="#,##0"/>
      <alignment horizontal="right" vertical="top" textRotation="0" wrapText="0" indent="0" justifyLastLine="0" shrinkToFit="0" readingOrder="0"/>
    </dxf>
    <dxf>
      <numFmt numFmtId="4" formatCode="#,##0.00"/>
      <alignment horizontal="right" vertical="top" textRotation="0" wrapText="0" indent="0" justifyLastLine="0" shrinkToFit="0" readingOrder="0"/>
    </dxf>
    <dxf>
      <numFmt numFmtId="3" formatCode="#,##0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72" formatCode="dd/mm/yyyy"/>
      <alignment horizontal="general" vertical="top" textRotation="0" wrapText="0" indent="0" justifyLastLine="0" shrinkToFit="0" readingOrder="0"/>
    </dxf>
    <dxf>
      <numFmt numFmtId="172" formatCode="dd/mm/yyyy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rgb="FF000000"/>
        </bottom>
      </border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  <alignment horizontal="general" vertical="top" textRotation="0" wrapText="0" indent="0" justifyLastLine="0" shrinkToFit="0" readingOrder="0"/>
    </dxf>
    <dxf>
      <numFmt numFmtId="166" formatCode="_ * #,##0_ ;_ * \-#,##0_ ;_ * &quot;-&quot;??_ ;_ @_ 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* #,##0_ ;_ * \-#,##0_ ;_ * &quot;-&quot;??_ ;_ @_ "/>
      <alignment horizontal="general" vertical="top" textRotation="0" wrapText="0" indent="0" justifyLastLine="0" shrinkToFit="0" readingOrder="0"/>
    </dxf>
    <dxf>
      <numFmt numFmtId="166" formatCode="_ * #,##0_ ;_ * \-#,##0_ ;_ * &quot;-&quot;??_ ;_ @_ "/>
      <alignment horizontal="general" vertical="top" textRotation="0" wrapText="0" indent="0" justifyLastLine="0" shrinkToFit="0" readingOrder="0"/>
    </dxf>
    <dxf>
      <numFmt numFmtId="164" formatCode="_ * #,##0.00_ ;_ * \-#,##0.00_ ;_ * &quot;-&quot;??_ ;_ @_ "/>
      <alignment horizontal="general" vertical="top" textRotation="0" wrapText="0" indent="0" justifyLastLine="0" shrinkToFit="0" readingOrder="0"/>
    </dxf>
    <dxf>
      <numFmt numFmtId="164" formatCode="_ * #,##0.00_ ;_ * \-#,##0.00_ ;_ * &quot;-&quot;??_ ;_ @_ "/>
      <alignment horizontal="general" vertical="top" textRotation="0" wrapText="0" indent="0" justifyLastLine="0" shrinkToFit="0" readingOrder="0"/>
    </dxf>
    <dxf>
      <numFmt numFmtId="164" formatCode="_ * #,##0.00_ ;_ * \-#,##0.00_ ;_ * &quot;-&quot;??_ ;_ @_ "/>
      <alignment horizontal="general" vertical="top" textRotation="0" wrapText="0" indent="0" justifyLastLine="0" shrinkToFit="0" readingOrder="0"/>
    </dxf>
    <dxf>
      <numFmt numFmtId="164" formatCode="_ * #,##0.00_ ;_ * \-#,##0.00_ ;_ * &quot;-&quot;??_ ;_ @_ "/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0.0%"/>
      <alignment horizontal="general" vertical="top" textRotation="0" wrapText="0" indent="0" justifyLastLine="0" shrinkToFit="0" readingOrder="0"/>
    </dxf>
    <dxf>
      <numFmt numFmtId="4" formatCode="#,##0.00"/>
      <alignment horizontal="general" vertical="top" textRotation="0" wrapText="0" indent="0" justifyLastLine="0" shrinkToFit="0" readingOrder="0"/>
    </dxf>
    <dxf>
      <numFmt numFmtId="172" formatCode="dd/mm/yyyy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4" formatCode="#,##0.00"/>
      <alignment horizontal="right" vertical="top" textRotation="0" wrapText="0" indent="0" justifyLastLine="0" shrinkToFit="0" readingOrder="0"/>
    </dxf>
    <dxf>
      <numFmt numFmtId="172" formatCode="dd/mm/yyyy"/>
      <alignment horizontal="right" vertical="top" textRotation="0" wrapText="0" indent="0" justifyLastLine="0" shrinkToFit="0" readingOrder="0"/>
    </dxf>
    <dxf>
      <numFmt numFmtId="3" formatCode="#,##0"/>
      <alignment horizontal="right" vertical="top" textRotation="0" wrapText="0" indent="0" justifyLastLine="0" shrinkToFit="0" readingOrder="0"/>
    </dxf>
    <dxf>
      <numFmt numFmtId="3" formatCode="#,##0"/>
      <alignment horizontal="right" vertical="top" textRotation="0" wrapText="0" indent="0" justifyLastLine="0" shrinkToFit="0" readingOrder="0"/>
    </dxf>
    <dxf>
      <numFmt numFmtId="4" formatCode="#,##0.00"/>
      <alignment horizontal="right" vertical="top" textRotation="0" wrapText="0" indent="0" justifyLastLine="0" shrinkToFit="0" readingOrder="0"/>
    </dxf>
    <dxf>
      <numFmt numFmtId="3" formatCode="#,##0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72" formatCode="dd/mm/yyyy"/>
      <alignment horizontal="general" vertical="top" textRotation="0" wrapText="0" indent="0" justifyLastLine="0" shrinkToFit="0" readingOrder="0"/>
    </dxf>
    <dxf>
      <numFmt numFmtId="172" formatCode="dd/mm/yyyy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rgb="FF000000"/>
        </bottom>
      </border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zaan Mansur Mangave" refreshedDate="45992.51905949074" createdVersion="8" refreshedVersion="8" minRefreshableVersion="3" recordCount="471" xr:uid="{220E3E6F-4336-4E87-808D-DAE95B9C1E6A}">
  <cacheSource type="worksheet">
    <worksheetSource name="Sales"/>
  </cacheSource>
  <cacheFields count="41">
    <cacheField name="Customer Name" numFmtId="0">
      <sharedItems containsBlank="1" count="13">
        <s v="GODREJ &amp; BOYCE MFG. CO. LTD Shirwal"/>
        <s v="Atomberg Technologies Private Limit"/>
        <s v="SUNITI ELECTRICALS"/>
        <s v="GODREJ &amp; BOYCE MFG. CO. LTD  MOHALI"/>
        <s v="INYANTRA TECHNOLOGIES PRIVATE LIMIT"/>
        <s v="HIMTEJ INDIA PRIVATE LIMITED"/>
        <s v="KAYNES TECHNOLOGY INDIA LIMITED"/>
        <s v="SYRMA SGS TECHNOLOGY LIMITED"/>
        <s v="Hinjewadi RnD"/>
        <s v="RONCH POLYMERS PRIVATE LIMITED"/>
        <m u="1"/>
        <s v="SRUJAN ELECTRICALS" u="1"/>
        <s v="Pune MWH" u="1"/>
      </sharedItems>
    </cacheField>
    <cacheField name="Posting Date" numFmtId="14">
      <sharedItems containsSemiMixedTypes="0" containsNonDate="0" containsDate="1" containsString="0" minDate="2025-11-01T00:00:00" maxDate="2025-11-30T00:00:00"/>
    </cacheField>
    <cacheField name="Billing Document" numFmtId="0">
      <sharedItems/>
    </cacheField>
    <cacheField name="Material" numFmtId="0">
      <sharedItems containsBlank="1" count="147">
        <s v="FG0958"/>
        <s v="FG0721"/>
        <s v="A1X1022"/>
        <s v="FIG051"/>
        <s v="FIG027"/>
        <s v="FIG001"/>
        <s v="FIG023"/>
        <s v="FIG022"/>
        <s v="FIG038"/>
        <s v="FIG040"/>
        <s v="FIG078"/>
        <s v="FIG028"/>
        <s v="FIG084"/>
        <s v="E00000033"/>
        <s v="FIG039"/>
        <s v="FIG062"/>
        <s v="FIG037"/>
        <s v="FIG054"/>
        <s v="A244801"/>
        <s v="E00000326"/>
        <s v="FIG063"/>
        <s v="FIG065"/>
        <s v="FIG080"/>
        <s v="E00000333"/>
        <s v="A302701"/>
        <s v="FIG006"/>
        <s v="FIG008"/>
        <s v="FIG010"/>
        <s v="FIG061"/>
        <s v="A354601"/>
        <s v="A354201"/>
        <s v="A354301"/>
        <s v="A196501"/>
        <s v="A202701"/>
        <s v="FIG077"/>
        <s v="A036501"/>
        <s v="A197201"/>
        <s v="A198201"/>
        <s v="FIG082"/>
        <s v="E00000024"/>
        <s v="A239101"/>
        <s v="A242601"/>
        <s v="E00000066"/>
        <s v="E00000025"/>
        <s v="E00000029"/>
        <s v="E00000037"/>
        <s v="E00000483"/>
        <s v="E00000551"/>
        <s v="E00000552"/>
        <s v="E00000561"/>
        <s v="E00000653"/>
        <s v="E00000829"/>
        <s v="E00000830"/>
        <s v="E00000831"/>
        <s v="FIG073"/>
        <s v="FIG074"/>
        <s v="FIG075"/>
        <s v="E00000474"/>
        <s v="FIG035"/>
        <s v="FIG057"/>
        <s v="FIG045"/>
        <s v="E00000005"/>
        <s v="E00000006"/>
        <s v="E00000009"/>
        <s v="E00000011"/>
        <s v="E00000013"/>
        <s v="E00000078"/>
        <s v="E00000091"/>
        <s v="E00000094"/>
        <s v="E00000153"/>
        <s v="E00000155"/>
        <s v="E00000228"/>
        <s v="E00000229"/>
        <s v="E00000270"/>
        <s v="E00000291"/>
        <s v="E00000313"/>
        <s v="E00000314"/>
        <s v="E00000315"/>
        <s v="E00000316"/>
        <s v="E00000320"/>
        <s v="E00000329"/>
        <s v="E00000449"/>
        <s v="E00000476"/>
        <s v="E00000478"/>
        <s v="E00000049"/>
        <s v="E00000065"/>
        <s v="E00000376"/>
        <s v="FGT001"/>
        <s v="E00000027"/>
        <s v="E00000105"/>
        <s v="E00000278"/>
        <s v="E00000042"/>
        <s v="E00000378"/>
        <s v="E00000031"/>
        <s v="E00000312"/>
        <s v="E00000394"/>
        <s v="E00000419"/>
        <s v="E00000420"/>
        <s v="E00000564"/>
        <s v="E00000571"/>
        <s v="E00000664"/>
        <s v="FIG020"/>
        <s v="FIG021"/>
        <s v="FIG005"/>
        <s v="E00000323"/>
        <s v="E00000330"/>
        <s v="E00000001"/>
        <s v="E00000117"/>
        <s v="E00000336"/>
        <s v="E00000434"/>
        <s v="E00000417"/>
        <s v="E00000328"/>
        <s v="E00000248"/>
        <s v="E00000331"/>
        <s v="E00000332"/>
        <s v="E00000607"/>
        <s v="E00000613"/>
        <s v="E00000473"/>
        <s v="E00000090"/>
        <m u="1"/>
        <s v="FIG004" u="1"/>
        <s v="FG1000" u="1"/>
        <s v="FIG011" u="1"/>
        <s v="A318401" u="1"/>
        <s v="E00000206" u="1"/>
        <s v="FIG070" u="1"/>
        <s v="E00000196" u="1"/>
        <s v="E00000202" u="1"/>
        <s v="E00000194" u="1"/>
        <s v="E00000197" u="1"/>
        <s v="E00000069" u="1"/>
        <s v="E00000070" u="1"/>
        <s v="E00000212" u="1"/>
        <s v="A218001" u="1"/>
        <s v="A259001" u="1"/>
        <s v="E00000150" u="1"/>
        <s v="E00000041" u="1"/>
        <s v="E00000264" u="1"/>
        <s v="E00000265" u="1"/>
        <s v="E00000030" u="1"/>
        <s v="E00000040" u="1"/>
        <s v="A250201" u="1"/>
        <s v="FG0931" u="1"/>
        <s v="FG0929" u="1"/>
        <s v="A216101" u="1"/>
        <s v="A139401" u="1"/>
        <s v="A139501" u="1"/>
      </sharedItems>
    </cacheField>
    <cacheField name="Material Description" numFmtId="0">
      <sharedItems containsBlank="1" count="247">
        <s v="AB BLDC PCBA CONV GMHVI7-L1"/>
        <s v="PCBA AB BLDC DC GMVI6-L"/>
        <s v="Wound Stator GV5 1.2M"/>
        <s v="Aris Underlight 41W Impala _EA17601 "/>
        <s v="GV5 MCF Smart(Flamingo)6Blue LED-EA12701"/>
        <s v="PCBA GV5 1.2M STM32 0.1 6 LED Blue"/>
        <s v="GV5 1.4M STM32 0.1 6 LED Blue- EA18501"/>
        <s v="GV5 0.9M STM32 0.1 6 LED Blue- EA18401"/>
        <s v="ESP &amp; DIGITAL PCB SUBASSEMBLY_EA08501"/>
        <s v="Jaguar Power PCBA 1V5_EA19501"/>
        <s v="FG RACOON HV TPW POWER P05 EA26901"/>
        <s v="GV5.1_STM32_C0_6BlueLED_Jackel-EA24201"/>
        <s v="PCBA GV5.1 STM32 6Blue LED 650mm EA27901"/>
        <s v="IC/SMD/BLDC Motor DRV/8V-28V/24-HTSSOP"/>
        <s v="JAGUAR/SABER MOTOR CONNECTOR PCB-EA07901"/>
        <s v="GV5 MCF Flamingo 6Blue LED 900mm-EA22901"/>
        <s v="Sabar/Rhino Smart Integrated _EA20701"/>
        <s v="FG_Antilope_MCF_EA26601"/>
        <s v="Wound Stator Jackal 1.2M"/>
        <s v="CONN/THT/Header Vertical/10P/2R/2mm"/>
        <s v="GV5 MCF Flamingo 6Blu LED 1400mm EA23001"/>
        <s v="Jagaur ESP_DIG Integrated 900mm EA26801"/>
        <s v="FG RACOON HV TPW (TP) INTERFACE EA28401"/>
        <s v="Misc/Thermal Pad_Jaguar/2mm thickness"/>
        <s v="GV5 Wound Stator 0.9M (1.5MM Magnet)"/>
        <s v="PCB Interface EA06401 MG1.1"/>
        <s v="PCBA Maple V01 EA11101"/>
        <s v="PCBA Cocoa V00 EA19301"/>
        <s v="GV5 MCF Flamingo 6Blue LED 600mm-EA22801"/>
        <s v="22 SWG DC200 ALUMINIUM"/>
        <s v="MAGNET- NDFEB-20X10X2"/>
        <s v="UNMAGNETIZED MAGNET N35 (20x10x2)"/>
        <s v="MAGNET"/>
        <s v="Wound Stator GV5 Al Winding 1.2M"/>
        <s v="FG GV5.1 STM32 6 LED 600mm EA28701"/>
        <s v="Stator Winding GV5 0.9M"/>
        <s v="STATOR STACK REF. ALUMINIUM (ID 50.8)"/>
        <s v="ROTOR STACK REF ALUMINIUM (OD 49.8)"/>
        <s v="FG PCBA Antilope MCF 900mm EA28101"/>
        <s v="DIO/ZEN/SMD/18V/250mA/375mW/SOD-123F"/>
        <s v="ROTOR ASSY- COPPER"/>
        <s v="BLDC COPPER STATOR ASSEMBLY_"/>
        <s v="Transistor/SMD/PNP/65V/100mA/SOT-23-3"/>
        <s v="DIO/ZEN/SMD/22V/250mA/375mW/SOD-123F"/>
        <s v="DIO/GEN/SMD/100V/215mA/380mW/SOD-123F"/>
        <s v="IC/SMD/LED DRV OFFL,TRIAC/18Vmax/SOIC-8"/>
        <s v="DIO/GEN/SMD/1000V/2A/SMA(DO-214AC)"/>
        <s v="CONN/SMD/Header Vertical/15P/1R/1.5mm"/>
        <s v="CONN/SMD/Header Vertical/14P/1R/1.5mm"/>
        <s v="RES/SMD/47E/0.5W/±1%/1206"/>
        <s v="CAP/MPP Film/TH/5.6nF/1.6KVdc/±5%/P=15mm"/>
        <s v="Wireharness/UV Choke/4P/Female/150mm"/>
        <s v="Wireharness/24V Input/3P/Female/250mm"/>
        <s v="Wireharness/AC Input PWR/2P/Male/150mm"/>
        <s v="FG_Walrus Interface EA19701"/>
        <s v="FG T-Rex Swing_Interface_EA18701"/>
        <s v="FG T-rex &amp; Walrus MCF Driver EA25701"/>
        <s v="Transistor/SMD/NPN BIAS/50V/0.8mA/S-Mini"/>
        <s v="PCBA_Maple 110V(EA22001)_P01"/>
        <s v="FG_Water Purifier Power Board_EA22301"/>
        <s v="GV5.1 STM32C0 Single LED 900 28W_EA20901"/>
        <s v="CAP/TH/2.2nF/3KV/±20%/P=5mm,Disc/Z5V/Y5V"/>
        <s v="CAP/TH/4.7nF/1KV/±20%/P=5mm,Disc/Z5V/Y5V"/>
        <s v="CAP/SMD/4.7uF/50V/±10%/0805/X7R"/>
        <s v="CAP/SMD/4.7uF/50VDC/±10%/1206/X7R"/>
        <s v="CAP/SMD/10nF/50VDC/±10%/0603/C0G"/>
        <s v="RES/SMD/30K/0.125W/±1%/0805"/>
        <s v="IC/SMD/RF TXRX Module Wifi BT/3V-3.6V/"/>
        <s v="Screw/with washer/M3/dia 6.70 +-0.5"/>
        <s v="RES/SMD/33E/0.125W/±1%/0805"/>
        <s v="RES/SMD/2K2/0.125W/±1%/0805"/>
        <s v="RES/SMD/1K2/0.125W/±1%/0805"/>
        <s v="RES/SMD/18K/0.125W/±1%/0805"/>
        <s v="MOV/TH/V/395Vac/510Vdc/10KA/14mm"/>
        <s v="RES/SMD/27K/0.125W/±1%/0805"/>
        <s v="RES/SMD/0.27E/1W/±1%/2512"/>
        <s v="RES/SMD/1K8/0.125W/±1%/0805"/>
        <s v="RES/SMD/20K/0.125W/±1%/0805"/>
        <s v="RES/SMD/1R/0.125W/±1%/0805"/>
        <s v="RES/SMD/10K/0.250W/±1%/1206"/>
        <s v="CAP/Alum/SMD/100uF/35V/±20%/4Khr/6.3X8mm"/>
        <s v="MOV/TH/680V/420Vac/560Vdc/6KA/10mm"/>
        <s v="RES/TH/100K/0.25W/±5%/Axial Lead"/>
        <s v="DIO/THT/Array Common K/200V/10A/TO-220-3"/>
        <s v="RES/SMD/4.7K/0.0625W/±1%/0402"/>
        <s v="Transistor/SMD/NPN/40V/600mA/SOT-23-3"/>
        <s v="DIO/ZEN/SMD/3.3V/250mA/375mW/SOD-123F"/>
        <s v="Stator &amp; Rotor Integrated Tooling"/>
        <s v="LED/TH/6000mcd/White/3.1V/30°/20mA/"/>
        <s v="Wireharness/Green wire w lug/1.1KV/200mm"/>
        <s v="PCB_GV5.1_STM32C0/G0)/35U/83X87mm"/>
        <s v="Heat sink for Q2/Heat Sink THT 19.5x15mm"/>
        <s v="DIO/GEN/SMD/1000V/1A//SMA(DO-214AC)"/>
        <s v="RES/SMD/0E/1W/±5%/2512"/>
        <s v="DIO/TVS/ 3.3V/10A/9.5Vc @10A/100W/SOD323"/>
        <s v="CAP/SMD/100nF/16VDC/±10%/0603/X7R"/>
        <s v="CAP/SMD/1nF/16VDC/±10%/0603/X7R"/>
        <s v="IC/SMD/LDO/Fixed/4.7-15Vi/3.3Vo/TO-252-3"/>
        <s v="IC/SMD/LED Driver TM1650/SOP16"/>
        <s v="IC/SMD/Ballast Controller/600V/3.2mA"/>
        <s v="GV5.1_STM32C0 SINGLE LED 1200 28WEA20801"/>
        <s v="GV5 0.6M STM32 0.1 6 LED Blue -EA18301"/>
        <s v="PCB Driver EA06301 MG1.1"/>
        <s v="IC/SMD/LED Driver with PFC,iW3627/SOT23"/>
        <s v="IC/SMD/DC-DC buck/ADJ/2A/4.5-36V/SOT23-3"/>
        <s v="CONN/SMD/Push-in CAGE/3P/1R/Female/4mm"/>
        <s v="MOV/TH/1.5K-1.8KV/1KVac/4.5KA/14mm"/>
        <s v="PCB_EA07301,Jaguar_ESP/35U/26X20.5mm"/>
        <s v="PCB_Saber_Smart Dig/70U/55mm x 55mm"/>
        <s v="PCB_E00000417,Jaguar_PWR/35U/75.5X74mm"/>
        <s v="CAP/Alum/SMD/47uF/35V/±20%//4Khr/6.3X6mm"/>
        <s v="RES/SMD/6.8K/0.125W/±1%/0805"/>
        <s v="RES/SMD/22K/0.063W/±1%/0402"/>
        <s v="RES/SMD/100K/0.063W/±1%/0402"/>
        <s v="CAP/Alum/TH/1000uF/35V/±20%/5Khr/13X17mm"/>
        <s v="RES/SMD/39R/0.25W/±1%/1206"/>
        <s v="IC/SMD/BLDC motor DRV/4.5V-45V/24-HTSSOP"/>
        <m u="1"/>
        <s v="PCB Hall Sensor EA07101 MG" u="1"/>
        <s v="PCBA AB BLDC FF Regalis GMHVI9-L1" u="1"/>
        <s v="HE Sensor Holder Assembly A119908" u="1"/>
        <s v="WIRE-23.5 SWG COPPER,PU-CLASS F" u="1"/>
        <s v="RES/SMD/0.1E/1W/±1%/2512" u="1"/>
        <s v="Saber Digi+ESP Integrated 900mm EA23701" u="1"/>
        <s v="DIO/Bridge Rect/THT/1KV/2A/1-PH//4-KBP" u="1"/>
        <s v="IND/TH/47uH/±10%/6mmX8mm" u="1"/>
        <s v="CAP/MPP Film/TH/0.1uF/630Vdc/±5%/P=15mm" u="1"/>
        <s v="IC/SMD/OP-AMP, 2 circuits/3V-30V/SOIC-8" u="1"/>
        <s v="Wire/Red PVC/0.5Sqmm/Single Core/1.1KV" u="1"/>
        <s v="Wire/Black PVC/0.5Sqmm/Single Core/1.1KV" u="1"/>
        <s v="RES/SMD/56K/0.125W/±1%/0805" u="1"/>
        <s v="ROTOR ASSY- REF" u="1"/>
        <s v="BLDC ALUMINIUM STATOR ASSY_ 200T" u="1"/>
        <s v="RES/SMD/1K/0.1W/±1%/0603" u="1"/>
        <s v="Fuse Resistor/THT/10ohm/2W/pitch=5mm" u="1"/>
        <s v="CAP/Alum/TH/10uF/63V/±20%/2Khrs/5X11mm" u="1"/>
        <s v="CAP/Alum/TH/47uF/63V/±20%/2Khrs/6.3X12mm" u="1"/>
        <s v="DIO/GEN/SMD/200V/10A//DPAK" u="1"/>
        <s v="MOV/TH/620V/385Vac/505Vdc/10KA/14mm" u="1"/>
        <s v="Enamelled Aluminium Wire 20 SWG" u="1"/>
        <s v="FG-AC-ODU-MOTOR ASSY.-BL B AL 5W 00 06" u="1"/>
        <s v="FG-AC-IDU-MOTOR ASSY-BL A AL 5W 00 02" u="1"/>
        <s v="AC-IDU- MOTOR SUPPORT BUSH-GODREJ" u="1"/>
        <s v="BB Cover Terminal" u="1"/>
        <s v="Stator Terminal R,Y,B, Earth" u="1"/>
        <s v="GDT/TH/Axial lead/350V/20KA/8.10mm dia." u="1"/>
        <s v="LED/SMD/350mcd/Ice Blue/2.8V/5mA/0603" u="1"/>
        <s v="RES/SMD/33E/0.1W/±1%/0603" u="1"/>
        <s v="LED/SMD/RGB/5Vtyp./130°/12mA/SMD-4" u="1"/>
        <s v="CAP/SMD/33pF/16VDC/±5%/0603/C0G" u="1"/>
        <s v="RES/SMD/510E/0.1W/±1%/0603" u="1"/>
        <s v="RES/SMD/4.7K/0.125W/±1%/0805" u="1"/>
        <s v="MOSFET/SMD/N-ch/60V/3A/80mOhm/SOT23-3" u="1"/>
        <s v="RES/SMD/2K2/0.1W/±1%/0603" u="1"/>
        <s v="CAP/SMD/4.7uF/16V/±10%/0805/X7R" u="1"/>
        <s v="RES/SMD/100K/0.1W/±1%/0603" u="1"/>
        <s v="LED/SMD/140mcd/Red-Yellow/2.4V/20mA/0603" u="1"/>
        <s v="RES/SMD/510E/0.125W/±1%/0805" u="1"/>
        <s v="CAP/Alum/TH/1500uF/35V/±20%/5hrs/13X21mm" u="1"/>
        <s v="DIO/SCHOTTKY/SMD/40V/1A//SOD-123F" u="1"/>
        <s v="RES/SMD/1M/0.1W/±1%/0603" u="1"/>
        <s v="RES/Fusible/THT/4.7ohm/3W/P=5mm/6KVsurge" u="1"/>
        <s v="RES/SMD/3K/0.1W/±1%/0603" u="1"/>
        <s v="Heat Sink THT 22x15mm" u="1"/>
        <s v="RES/SMD/220E/0.1W/±1%/0603" u="1"/>
        <s v="IC/SMD/Vtg Reg/ADJ/4.5-36V/SOT-23-6" u="1"/>
        <s v="CAP/SMD/10nF/16VDC/±10%/0603/X7R" u="1"/>
        <s v="Ferrite Bead/1Kohm/±25%/1 line/0805/1.5A" u="1"/>
        <s v="CAP/SMD/100pF/50VDC/±5%/0603/C0G" u="1"/>
        <s v="CAP/Alum/TH/47uF/63V/±20%/5Khrs/6.3X12mm" u="1"/>
        <s v="RES/SMD/22E/0.125W/±1%/0805" u="1"/>
        <s v="RES/SMD/0R50/0.250W/±1%/1206" u="1"/>
        <s v="RES/SMD/9K1/0.1W/±1%/0603" u="1"/>
        <s v="RES/SMD/5K6/0.1W/±1%/0603" u="1"/>
        <s v="RES/SMD/68K/0.1W/±1%/0603" u="1"/>
        <s v="RES/SMD/10K/0.125W/±1%/0805" u="1"/>
        <s v="CAP/TH/2.2nF/1KV/±20%/P=5mm,Disc/Z5V/Y5V" u="1"/>
        <s v="CAP/MPP Film/TH/0.22uF/630Vdc/±5%/P=10mm" u="1"/>
        <s v="RES/TH/3M6/1W/±5%/Axial Lead" u="1"/>
        <s v="RES/TH/0E/0.25W/±5%/Axial Lead" u="1"/>
        <s v="CAP/SMD/100pF/50VDC/±5%/0805/C0G" u="1"/>
        <s v="CAP/ELE/SMD/100uF/35V/±20%/5Khrs/8X10mm" u="1"/>
        <s v="LED/SMD/35mcd/Green/2V/130deg/20mA/0805" u="1"/>
        <s v="RES/SMD/1K/0.125W/±1%/0805" u="1"/>
        <s v="MOSFET/TH/N-channel/800V/18A/0.25Ωmax./T" u="1"/>
        <s v="RES/SMD/75E/0.25W/±1%/1206" u="1"/>
        <s v="RES/SMD/0R50/1W/±1%/2512" u="1"/>
        <s v="IC/SMD/Vtg Reg/Fixed/-Vi/SOT-23-5" u="1"/>
        <s v="IC/SMD/ESP32-S3-MINI Mod.Wifi BT/3V-3.6V" u="1"/>
        <s v="IC/SMD/OPAMP, 4-Ch/2.7-5.5V/SOIC-14" u="1"/>
        <s v="IC/SMD/Counter/Up/3-18V/SOIC-16" u="1"/>
        <s v="IC/SMD/OPAMP, 4-Ch/1.8-5.5V/SOIC-14" u="1"/>
        <s v="PCB_WP_Dig/35U/134.115mmx132.541mm" u="1"/>
        <s v="CAP/SMD/100nF/16VDC/±10%/0805/X7R" u="1"/>
        <s v="CAP/ELE/SMD/330uF/50V/±20%//2Khrs/10X10" u="1"/>
        <s v="CAP/MPP Film/TH/68nF/630Vdc/±5%/P=10mm" u="1"/>
        <s v="CAP/TH/1nF/1KV/±20%/P=5mm,Disc/Y5U" u="1"/>
        <s v="RES/SMD/91K/0.125W/±1%/0805" u="1"/>
        <s v="MOSFET/SMD/N-ch/80V/24A/12.3mΩ/SOP-8" u="1"/>
        <s v="CAP/Alum/TH/100uF/50V/±20%/7Khrs/8X11.5" u="1"/>
        <s v="LED spacer/2 pins/5mmX5mm/Black" u="1"/>
        <s v="DIO/TH/Array CommonK/200V/2X10A/TO-220-3" u="1"/>
        <s v="RES/TH/0E/Jumper/AXI" u="1"/>
        <s v="EE25 transformer/352uH/10pin bobbin" u="1"/>
        <s v="Transformer/EE16/10 pin bobbin/2.1mH" u="1"/>
        <s v="Transformer/EE20/10 pin bobbin/221.3uH" u="1"/>
        <s v="CAP/Alum/TH/10uF/63V/±20%/5Khrs/5X12mm" u="1"/>
        <s v="RES/TH/200K/2W/±5%/" u="1"/>
        <s v="PCB_WP_Power/35U/ 76mmx108mm" u="1"/>
        <s v="CAP/SMD/100nF/25VDC/±10%/0805/X7R" u="1"/>
        <s v="IND/SMD/10 µH/2.5A/±20%/6mm x 6mm" u="1"/>
        <s v="CONN/SMD/Header Vertical/3P/1R/2.5mm" u="1"/>
        <s v="RES/SMD/470E/0.1W/±1%/0603" u="1"/>
        <s v="C/TH/Hall Snsr,Analog/3-5.5V/TO-92-3" u="1"/>
        <s v="FG_GV5.1_ Reboot STM32 6 W LED_900mm_EA2" u="1"/>
        <s v="RES/SMD/0.22E/1W/±1%/2512" u="1"/>
        <s v="RES/SMD/3K3/0.125W/±1%/0805" u="1"/>
        <s v="MOSFET/TH/N-channel/900V/8A/1.3Ω/TO-220" u="1"/>
        <s v="DIO/Bridge Rect/SMD/1KV/2A/1-PH//4-SMD" u="1"/>
        <s v="CAP/Alum/TH/1000uF/35V/±20%/7Khr/13X17mm" u="1"/>
        <s v="RES/SMD/ 1E/1W/±1%/2512" u="1"/>
        <s v="IC/SMD/AC i/p Photocoupler,5KVrms/4-SMD" u="1"/>
        <s v="CAP/SMD/10uF/50VDC/±10%/1206/X7R" u="1"/>
        <s v="WireHarness/2pin/A107201/100mm" u="1"/>
        <s v="CONN/TH/Therminal block/3P/1R/5.08mm" u="1"/>
        <s v="CAP/Alum/TH/100uF/35V/±20%/5Khr/6.3X12mm" u="1"/>
        <s v="IC/SMD/PFCcontroller,CrM/10.2-20V/SOIC-8" u="1"/>
        <s v="CAP/SMD/2.2nF/50VDC/±10%/0805/C0G/X7R" u="1"/>
        <s v="Transfomer/TH/EE28/10 pin bobbin/560uH" u="1"/>
        <s v="IC/SMD/MCU,STM8S003F3/2.95-5.5V/TSSOP-20" u="1"/>
        <s v="RES/SMD/100K/0.125W/±1%/0805" u="1"/>
        <s v="CAP/SMD/10uF/16VDC/±10%/0805/X7R" u="1"/>
        <s v="RES/SMD/10K/0.1W/±1%/0603" u="1"/>
        <s v="GV5.1.1 STM32C0 EA16901" u="1"/>
        <s v="GV5 1.4M STM32 0.1 1 LED White_EA18201" u="1"/>
        <s v="CAP/SMD/100pF/16VDC/±5%/0603/C0G" u="1"/>
        <s v="CAP/SMD/1uF/16VDC/±10%/0603/X7R" u="1"/>
        <s v="CAP/SMD/2.2nF/16VDC/±10%/0805/X7R" u="1"/>
        <s v="PCB_WP_Power/35U/66mm x 82mm" u="1"/>
        <s v="GV5.1.1 STM32C0 EA18601" u="1"/>
        <s v="IC/SMD/MCU,STM32C011F6P7/2-3.6V/TSSOP-20" u="1"/>
        <s v="/LED spacer/2 pins/5mmX5mm/" u="1"/>
        <s v="RES/TH/68K/2W/±5%/Axial Lead/1550" u="1"/>
        <s v="IC/SMD/Hall Snsr,Analog/3.3-5.5V/TO-92-3" u="1"/>
        <s v="Magnet GV5 NdFeB 11x10x2mm" u="1"/>
        <s v="Magnet GV5 NdFeB 16x10x2mm" u="1"/>
        <s v="MAGNET- NDFEB-16X10X1.5" u="1"/>
      </sharedItems>
    </cacheField>
    <cacheField name="Sales Unit" numFmtId="0">
      <sharedItems/>
    </cacheField>
    <cacheField name="Material type" numFmtId="0">
      <sharedItems/>
    </cacheField>
    <cacheField name="Material Group" numFmtId="0">
      <sharedItems/>
    </cacheField>
    <cacheField name="Actual delivery qty" numFmtId="0">
      <sharedItems containsSemiMixedTypes="0" containsString="0" containsNumber="1" minValue="-1135" maxValue="306000"/>
    </cacheField>
    <cacheField name="PGI Amount" numFmtId="0">
      <sharedItems containsSemiMixedTypes="0" containsString="0" containsNumber="1" minValue="-478266.3" maxValue="2306850"/>
    </cacheField>
    <cacheField name="PGI Quantity" numFmtId="0">
      <sharedItems containsSemiMixedTypes="0" containsString="0" containsNumber="1" minValue="-1135" maxValue="306000"/>
    </cacheField>
    <cacheField name="Billed Quantity" numFmtId="0">
      <sharedItems containsSemiMixedTypes="0" containsString="0" containsNumber="1" minValue="-1135" maxValue="306000"/>
    </cacheField>
    <cacheField name="Billing Date" numFmtId="14">
      <sharedItems containsSemiMixedTypes="0" containsNonDate="0" containsDate="1" containsString="0" minDate="2024-10-17T00:00:00" maxDate="2025-11-30T00:00:00" count="284">
        <d v="2025-11-29T00:00:00"/>
        <d v="2025-11-28T00:00:00"/>
        <d v="2025-11-27T00:00:00"/>
        <d v="2025-11-26T00:00:00"/>
        <d v="2025-11-25T00:00:00"/>
        <d v="2025-11-24T00:00:00"/>
        <d v="2025-11-22T00:00:00"/>
        <d v="2025-11-21T00:00:00"/>
        <d v="2025-11-20T00:00:00"/>
        <d v="2025-11-19T00:00:00"/>
        <d v="2025-11-18T00:00:00"/>
        <d v="2025-11-17T00:00:00"/>
        <d v="2025-11-16T00:00:00"/>
        <d v="2025-11-15T00:00:00"/>
        <d v="2025-11-14T00:00:00"/>
        <d v="2025-11-13T00:00:00"/>
        <d v="2025-11-12T00:00:00"/>
        <d v="2025-11-11T00:00:00"/>
        <d v="2025-11-10T00:00:00"/>
        <d v="2025-11-08T00:00:00"/>
        <d v="2025-11-07T00:00:00"/>
        <d v="2025-11-06T00:00:00"/>
        <d v="2025-11-05T00:00:00"/>
        <d v="2025-11-04T00:00:00"/>
        <d v="2025-11-03T00:00:00"/>
        <d v="2025-11-01T00:00:00"/>
        <d v="2025-10-30T00:00:00" u="1"/>
        <d v="2025-10-29T00:00:00" u="1"/>
        <d v="2025-10-28T00:00:00" u="1"/>
        <d v="2025-10-27T00:00:00" u="1"/>
        <d v="2025-10-25T00:00:00" u="1"/>
        <d v="2025-10-24T00:00:00" u="1"/>
        <d v="2025-10-20T00:00:00" u="1"/>
        <d v="2025-10-19T00:00:00" u="1"/>
        <d v="2025-10-18T00:00:00" u="1"/>
        <d v="2025-10-17T00:00:00" u="1"/>
        <d v="2025-10-16T00:00:00" u="1"/>
        <d v="2025-10-15T00:00:00" u="1"/>
        <d v="2025-10-14T00:00:00" u="1"/>
        <d v="2025-10-13T00:00:00" u="1"/>
        <d v="2025-10-11T00:00:00" u="1"/>
        <d v="2025-10-10T00:00:00" u="1"/>
        <d v="2025-10-09T00:00:00" u="1"/>
        <d v="2025-10-08T00:00:00" u="1"/>
        <d v="2025-10-07T00:00:00" u="1"/>
        <d v="2025-10-06T00:00:00" u="1"/>
        <d v="2025-10-03T00:00:00" u="1"/>
        <d v="2025-10-01T00:00:00" u="1"/>
        <d v="2025-09-30T00:00:00" u="1"/>
        <d v="2025-09-29T00:00:00" u="1"/>
        <d v="2025-09-27T00:00:00" u="1"/>
        <d v="2025-09-26T00:00:00" u="1"/>
        <d v="2025-09-25T00:00:00" u="1"/>
        <d v="2025-09-24T00:00:00" u="1"/>
        <d v="2025-09-23T00:00:00" u="1"/>
        <d v="2025-09-22T00:00:00" u="1"/>
        <d v="2025-09-20T00:00:00" u="1"/>
        <d v="2025-09-19T00:00:00" u="1"/>
        <d v="2025-09-18T00:00:00" u="1"/>
        <d v="2025-09-17T00:00:00" u="1"/>
        <d v="2025-09-16T00:00:00" u="1"/>
        <d v="2025-09-15T00:00:00" u="1"/>
        <d v="2025-09-13T00:00:00" u="1"/>
        <d v="2025-09-12T00:00:00" u="1"/>
        <d v="2025-09-11T00:00:00" u="1"/>
        <d v="2025-09-10T00:00:00" u="1"/>
        <d v="2025-09-09T00:00:00" u="1"/>
        <d v="2025-09-08T00:00:00" u="1"/>
        <d v="2025-09-06T00:00:00" u="1"/>
        <d v="2025-09-05T00:00:00" u="1"/>
        <d v="2025-09-04T00:00:00" u="1"/>
        <d v="2025-09-03T00:00:00" u="1"/>
        <d v="2025-09-02T00:00:00" u="1"/>
        <d v="2025-09-01T00:00:00" u="1"/>
        <d v="2025-08-31T00:00:00" u="1"/>
        <d v="2025-08-30T00:00:00" u="1"/>
        <d v="2025-08-29T00:00:00" u="1"/>
        <d v="2025-08-28T00:00:00" u="1"/>
        <d v="2025-08-26T00:00:00" u="1"/>
        <d v="2025-08-25T00:00:00" u="1"/>
        <d v="2025-08-23T00:00:00" u="1"/>
        <d v="2025-08-22T00:00:00" u="1"/>
        <d v="2025-08-21T00:00:00" u="1"/>
        <d v="2025-08-20T00:00:00" u="1"/>
        <d v="2025-08-19T00:00:00" u="1"/>
        <d v="2025-08-18T00:00:00" u="1"/>
        <d v="2025-08-17T00:00:00" u="1"/>
        <d v="2025-08-14T00:00:00" u="1"/>
        <d v="2025-08-13T00:00:00" u="1"/>
        <d v="2025-08-12T00:00:00" u="1"/>
        <d v="2025-08-11T00:00:00" u="1"/>
        <d v="2025-08-08T00:00:00" u="1"/>
        <d v="2025-08-07T00:00:00" u="1"/>
        <d v="2025-08-06T00:00:00" u="1"/>
        <d v="2025-08-05T00:00:00" u="1"/>
        <d v="2025-08-04T00:00:00" u="1"/>
        <d v="2025-08-02T00:00:00" u="1"/>
        <d v="2025-08-01T00:00:00" u="1"/>
        <d v="2025-07-31T00:00:00" u="1"/>
        <d v="2025-07-30T00:00:00" u="1"/>
        <d v="2025-07-29T00:00:00" u="1"/>
        <d v="2025-07-28T00:00:00" u="1"/>
        <d v="2025-07-26T00:00:00" u="1"/>
        <d v="2025-07-25T00:00:00" u="1"/>
        <d v="2025-07-24T00:00:00" u="1"/>
        <d v="2025-07-23T00:00:00" u="1"/>
        <d v="2025-07-22T00:00:00" u="1"/>
        <d v="2025-07-21T00:00:00" u="1"/>
        <d v="2025-07-19T00:00:00" u="1"/>
        <d v="2025-07-18T00:00:00" u="1"/>
        <d v="2025-07-17T00:00:00" u="1"/>
        <d v="2025-07-16T00:00:00" u="1"/>
        <d v="2025-07-15T00:00:00" u="1"/>
        <d v="2025-07-14T00:00:00" u="1"/>
        <d v="2025-07-12T00:00:00" u="1"/>
        <d v="2025-07-11T00:00:00" u="1"/>
        <d v="2025-07-10T00:00:00" u="1"/>
        <d v="2025-07-09T00:00:00" u="1"/>
        <d v="2025-07-08T00:00:00" u="1"/>
        <d v="2025-07-07T00:00:00" u="1"/>
        <d v="2025-07-05T00:00:00" u="1"/>
        <d v="2025-07-04T00:00:00" u="1"/>
        <d v="2025-07-03T00:00:00" u="1"/>
        <d v="2025-07-02T00:00:00" u="1"/>
        <d v="2025-07-01T00:00:00" u="1"/>
        <d v="2025-06-30T00:00:00" u="1"/>
        <d v="2025-06-28T00:00:00" u="1"/>
        <d v="2025-06-27T00:00:00" u="1"/>
        <d v="2025-06-26T00:00:00" u="1"/>
        <d v="2025-06-25T00:00:00" u="1"/>
        <d v="2025-06-24T00:00:00" u="1"/>
        <d v="2025-06-23T00:00:00" u="1"/>
        <d v="2025-06-21T00:00:00" u="1"/>
        <d v="2025-06-20T00:00:00" u="1"/>
        <d v="2025-06-19T00:00:00" u="1"/>
        <d v="2025-06-18T00:00:00" u="1"/>
        <d v="2025-06-17T00:00:00" u="1"/>
        <d v="2025-06-16T00:00:00" u="1"/>
        <d v="2025-06-14T00:00:00" u="1"/>
        <d v="2025-06-13T00:00:00" u="1"/>
        <d v="2025-06-12T00:00:00" u="1"/>
        <d v="2025-06-11T00:00:00" u="1"/>
        <d v="2025-06-10T00:00:00" u="1"/>
        <d v="2025-06-09T00:00:00" u="1"/>
        <d v="2025-06-07T00:00:00" u="1"/>
        <d v="2025-06-06T00:00:00" u="1"/>
        <d v="2025-06-05T00:00:00" u="1"/>
        <d v="2025-06-04T00:00:00" u="1"/>
        <d v="2025-06-03T00:00:00" u="1"/>
        <d v="2025-06-02T00:00:00" u="1"/>
        <d v="2025-05-31T00:00:00" u="1"/>
        <d v="2025-05-30T00:00:00" u="1"/>
        <d v="2025-05-29T00:00:00" u="1"/>
        <d v="2025-05-28T00:00:00" u="1"/>
        <d v="2025-05-27T00:00:00" u="1"/>
        <d v="2025-05-26T00:00:00" u="1"/>
        <d v="2025-05-24T00:00:00" u="1"/>
        <d v="2025-05-23T00:00:00" u="1"/>
        <d v="2025-05-22T00:00:00" u="1"/>
        <d v="2025-05-21T00:00:00" u="1"/>
        <d v="2025-05-20T00:00:00" u="1"/>
        <d v="2025-05-19T00:00:00" u="1"/>
        <d v="2025-05-17T00:00:00" u="1"/>
        <d v="2025-05-16T00:00:00" u="1"/>
        <d v="2025-05-15T00:00:00" u="1"/>
        <d v="2025-05-14T00:00:00" u="1"/>
        <d v="2025-05-13T00:00:00" u="1"/>
        <d v="2025-05-12T00:00:00" u="1"/>
        <d v="2025-05-11T00:00:00" u="1"/>
        <d v="2025-05-10T00:00:00" u="1"/>
        <d v="2025-05-09T00:00:00" u="1"/>
        <d v="2025-05-08T00:00:00" u="1"/>
        <d v="2025-05-07T00:00:00" u="1"/>
        <d v="2025-05-06T00:00:00" u="1"/>
        <d v="2025-05-05T00:00:00" u="1"/>
        <d v="2025-05-03T00:00:00" u="1"/>
        <d v="2025-05-02T00:00:00" u="1"/>
        <d v="2025-04-30T00:00:00" u="1"/>
        <d v="2025-04-29T00:00:00" u="1"/>
        <d v="2025-04-28T00:00:00" u="1"/>
        <d v="2025-04-26T00:00:00" u="1"/>
        <d v="2025-04-25T00:00:00" u="1"/>
        <d v="2025-04-24T00:00:00" u="1"/>
        <d v="2025-04-23T00:00:00" u="1"/>
        <d v="2025-04-22T00:00:00" u="1"/>
        <d v="2025-04-21T00:00:00" u="1"/>
        <d v="2025-04-19T00:00:00" u="1"/>
        <d v="2025-04-18T00:00:00" u="1"/>
        <d v="2025-04-17T00:00:00" u="1"/>
        <d v="2025-04-16T00:00:00" u="1"/>
        <d v="2025-04-15T00:00:00" u="1"/>
        <d v="2025-04-14T00:00:00" u="1"/>
        <d v="2025-04-12T00:00:00" u="1"/>
        <d v="2025-04-11T00:00:00" u="1"/>
        <d v="2025-04-10T00:00:00" u="1"/>
        <d v="2025-04-09T00:00:00" u="1"/>
        <d v="2025-04-08T00:00:00" u="1"/>
        <d v="2025-04-07T00:00:00" u="1"/>
        <d v="2025-04-05T00:00:00" u="1"/>
        <d v="2025-04-04T00:00:00" u="1"/>
        <d v="2025-04-03T00:00:00" u="1"/>
        <d v="2025-04-02T00:00:00" u="1"/>
        <d v="2025-03-31T00:00:00" u="1"/>
        <d v="2025-03-29T00:00:00" u="1"/>
        <d v="2025-03-28T00:00:00" u="1"/>
        <d v="2025-03-27T00:00:00" u="1"/>
        <d v="2025-03-26T00:00:00" u="1"/>
        <d v="2025-03-25T00:00:00" u="1"/>
        <d v="2025-03-24T00:00:00" u="1"/>
        <d v="2025-03-22T00:00:00" u="1"/>
        <d v="2025-03-21T00:00:00" u="1"/>
        <d v="2025-03-20T00:00:00" u="1"/>
        <d v="2025-03-19T00:00:00" u="1"/>
        <d v="2025-03-18T00:00:00" u="1"/>
        <d v="2025-03-15T00:00:00" u="1"/>
        <d v="2025-03-13T00:00:00" u="1"/>
        <d v="2025-03-11T00:00:00" u="1"/>
        <d v="2025-03-10T00:00:00" u="1"/>
        <d v="2025-03-08T00:00:00" u="1"/>
        <d v="2025-03-06T00:00:00" u="1"/>
        <d v="2025-03-04T00:00:00" u="1"/>
        <d v="2025-03-01T00:00:00" u="1"/>
        <d v="2025-02-28T00:00:00" u="1"/>
        <d v="2025-02-27T00:00:00" u="1"/>
        <d v="2025-02-25T00:00:00" u="1"/>
        <d v="2025-02-21T00:00:00" u="1"/>
        <d v="2025-02-20T00:00:00" u="1"/>
        <d v="2025-02-19T00:00:00" u="1"/>
        <d v="2025-02-18T00:00:00" u="1"/>
        <d v="2025-02-17T00:00:00" u="1"/>
        <d v="2025-02-15T00:00:00" u="1"/>
        <d v="2025-02-12T00:00:00" u="1"/>
        <d v="2025-02-11T00:00:00" u="1"/>
        <d v="2025-02-08T00:00:00" u="1"/>
        <d v="2025-02-07T00:00:00" u="1"/>
        <d v="2025-02-06T00:00:00" u="1"/>
        <d v="2025-02-05T00:00:00" u="1"/>
        <d v="2025-02-04T00:00:00" u="1"/>
        <d v="2025-02-03T00:00:00" u="1"/>
        <d v="2025-01-31T00:00:00" u="1"/>
        <d v="2025-01-30T00:00:00" u="1"/>
        <d v="2025-01-29T00:00:00" u="1"/>
        <d v="2025-01-28T00:00:00" u="1"/>
        <d v="2025-01-27T00:00:00" u="1"/>
        <d v="2025-01-25T00:00:00" u="1"/>
        <d v="2025-01-24T00:00:00" u="1"/>
        <d v="2025-01-23T00:00:00" u="1"/>
        <d v="2025-01-22T00:00:00" u="1"/>
        <d v="2025-01-21T00:00:00" u="1"/>
        <d v="2025-01-20T00:00:00" u="1"/>
        <d v="2025-01-17T00:00:00" u="1"/>
        <d v="2025-01-15T00:00:00" u="1"/>
        <d v="2025-01-11T00:00:00" u="1"/>
        <d v="2025-01-10T00:00:00" u="1"/>
        <d v="2025-01-09T00:00:00" u="1"/>
        <d v="2025-01-06T00:00:00" u="1"/>
        <d v="2024-12-31T00:00:00" u="1"/>
        <d v="2024-12-28T00:00:00" u="1"/>
        <d v="2024-12-27T00:00:00" u="1"/>
        <d v="2024-12-25T00:00:00" u="1"/>
        <d v="2024-12-19T00:00:00" u="1"/>
        <d v="2024-12-18T00:00:00" u="1"/>
        <d v="2024-12-17T00:00:00" u="1"/>
        <d v="2024-12-16T00:00:00" u="1"/>
        <d v="2024-12-14T00:00:00" u="1"/>
        <d v="2024-12-12T00:00:00" u="1"/>
        <d v="2024-12-11T00:00:00" u="1"/>
        <d v="2024-12-09T00:00:00" u="1"/>
        <d v="2024-12-07T00:00:00" u="1"/>
        <d v="2024-12-06T00:00:00" u="1"/>
        <d v="2024-12-04T00:00:00" u="1"/>
        <d v="2024-12-02T00:00:00" u="1"/>
        <d v="2024-11-28T00:00:00" u="1"/>
        <d v="2024-11-26T00:00:00" u="1"/>
        <d v="2024-11-25T00:00:00" u="1"/>
        <d v="2024-11-22T00:00:00" u="1"/>
        <d v="2024-11-21T00:00:00" u="1"/>
        <d v="2024-11-16T00:00:00" u="1"/>
        <d v="2024-11-15T00:00:00" u="1"/>
        <d v="2024-11-14T00:00:00" u="1"/>
        <d v="2024-11-09T00:00:00" u="1"/>
        <d v="2024-11-06T00:00:00" u="1"/>
        <d v="2024-10-28T00:00:00" u="1"/>
        <d v="2024-10-17T00:00:00" u="1"/>
      </sharedItems>
    </cacheField>
    <cacheField name="Net Value" numFmtId="0">
      <sharedItems containsSemiMixedTypes="0" containsString="0" containsNumber="1" minValue="-548386.6" maxValue="5000000"/>
    </cacheField>
    <cacheField name="Document Type" numFmtId="0">
      <sharedItems/>
    </cacheField>
    <cacheField name="Description" numFmtId="0">
      <sharedItems/>
    </cacheField>
    <cacheField name="Acct Assmt Grp Cust." numFmtId="0">
      <sharedItems/>
    </cacheField>
    <cacheField name="Material type Descr" numFmtId="0">
      <sharedItems containsBlank="1" count="5">
        <s v="Finished Goods"/>
        <s v="Semi-Finished Goods"/>
        <s v="Raw Material"/>
        <e v="#N/A"/>
        <m u="1"/>
      </sharedItems>
    </cacheField>
    <cacheField name="Material Group Descrip" numFmtId="0">
      <sharedItems count="30">
        <s v="FG-PCB-Ref"/>
        <s v="SFG-GV5 Stator"/>
        <s v="FG-PCB-CF"/>
        <s v="FG-PCB-Ped"/>
        <s v="RM-Eletro-IC"/>
        <s v="RM-Eletro-Connecter"/>
        <s v="Raw Materials"/>
        <s v="Sub Ass.-Mech Stator"/>
        <s v="FG-PCB-MG Interface"/>
        <s v="FG-PCB-MG"/>
        <s v="RM-Mech. Metal"/>
        <s v="RM-Mech-Magnets"/>
        <s v="RM-Mech-Rotor"/>
        <s v="RM-Eletro-Diodes"/>
        <s v="SFG-Ref Rotor"/>
        <s v="SFG-Ref Stator"/>
        <s v="RM-Eletro-Transistor"/>
        <s v="RM-Mech. Accessories"/>
        <s v="FG-PCB-WP"/>
        <s v="RM-Eletro-Capacitor"/>
        <s v="RM-Eletro-Resistor"/>
        <e v="#N/A"/>
        <s v="RM-Eletro-PCB"/>
        <s v="RM-Mech-Stator" u="1"/>
        <s v="FG-PCB-MG Sensor" u="1"/>
        <s v="Sub Ass.-Mech Rotor" u="1"/>
        <s v="FG - Motor - ODU" u="1"/>
        <s v="FG - Motor - IDU" u="1"/>
        <s v="RM-Mech. Rubber" u="1"/>
        <s v="RM-Mech. Plastics" u="1"/>
      </sharedItems>
    </cacheField>
    <cacheField name="Material Family" numFmtId="0">
      <sharedItems count="12">
        <s v="FG-PCB-Ref"/>
        <s v="Sub Ass.-Mech Stator"/>
        <s v="FG-PCB-CF"/>
        <s v="FG-PCB-Ped"/>
        <s v="Raw Material"/>
        <s v="FG-PCB-MG"/>
        <s v="SFG-Ref Rotor"/>
        <s v="SFG-Ref Stator"/>
        <s v="FG-PCB-WP"/>
        <e v="#N/A"/>
        <s v="Sub Ass.-Mech Rotor" u="1"/>
        <s v="FG - Motor - IDU" u="1"/>
      </sharedItems>
    </cacheField>
    <cacheField name="Last Day billing" numFmtId="14">
      <sharedItems containsBlank="1" count="3">
        <b v="0"/>
        <b v="1" u="1"/>
        <m u="1"/>
      </sharedItems>
    </cacheField>
    <cacheField name="Gross Margin" numFmtId="4">
      <sharedItems containsSemiMixedTypes="0" containsString="0" containsNumber="1" minValue="-69825.200000000244" maxValue="5000000"/>
    </cacheField>
    <cacheField name="GM %" numFmtId="165">
      <sharedItems containsSemiMixedTypes="0" containsString="0" containsNumber="1" minValue="-0.4511854951185495" maxValue="1"/>
    </cacheField>
    <cacheField name="Month" numFmtId="0">
      <sharedItems containsBlank="1" count="16">
        <s v="November-25"/>
        <s v="January-00" u="1"/>
        <s v="October-25" u="1"/>
        <s v="September-25" u="1"/>
        <s v="August-25" u="1"/>
        <m u="1"/>
        <s v="July-25" u="1"/>
        <s v="June-25" u="1"/>
        <s v="May-25" u="1"/>
        <s v="April-25" u="1"/>
        <s v="March-25" u="1"/>
        <s v="February-25" u="1"/>
        <s v="January-25" u="1"/>
        <s v="December-24" u="1"/>
        <s v="November-24" u="1"/>
        <s v="October-24" u="1"/>
      </sharedItems>
    </cacheField>
    <cacheField name="ASP" numFmtId="0">
      <sharedItems containsSemiMixedTypes="0" containsString="0" containsNumber="1" minValue="0" maxValue="5000000" count="270">
        <n v="659.3"/>
        <n v="656.31"/>
        <n v="162.94"/>
        <n v="728.56"/>
        <n v="483.15999999999997"/>
        <n v="341.07"/>
        <n v="341.07000000000005"/>
        <n v="355.02"/>
        <n v="355.02000000000004"/>
        <n v="221.85"/>
        <n v="221.85000000000002"/>
        <n v="974.84"/>
        <n v="65.22"/>
        <n v="14.34"/>
        <n v="483.16"/>
        <n v="230.41"/>
        <n v="358.28999999999996"/>
        <n v="365.88"/>
        <n v="358.29"/>
        <n v="495"/>
        <n v="728.56000000000006"/>
        <n v="207.76"/>
        <n v="659.31"/>
        <n v="363.56"/>
        <n v="7.6499999999999995"/>
        <n v="120.84"/>
        <n v="5.9"/>
        <n v="150.22"/>
        <n v="101.24"/>
        <n v="314.08999999999997"/>
        <n v="309.37"/>
        <n v="475"/>
        <n v="7.65"/>
        <n v="6.07"/>
        <n v="5.24"/>
        <n v="162.94000000000003"/>
        <n v="127.37"/>
        <n v="346.71999999999997"/>
        <n v="132.39000000000001"/>
        <n v="136.41"/>
        <n v="42.24"/>
        <n v="314.09000000000003"/>
        <n v="0.67"/>
        <n v="127.36999999999999"/>
        <n v="163.4"/>
        <n v="621"/>
        <n v="0.46"/>
        <n v="0.66"/>
        <n v="0.5"/>
        <n v="9.18"/>
        <n v="1.94"/>
        <n v="14.14"/>
        <n v="12.57"/>
        <n v="0.43"/>
        <n v="6.02"/>
        <n v="13.26"/>
        <n v="6.63"/>
        <n v="6.17"/>
        <n v="100"/>
        <n v="126"/>
        <n v="540"/>
        <n v="3.04"/>
        <n v="132.38999999999999"/>
        <n v="498.58"/>
        <n v="224.53"/>
        <n v="415.9"/>
        <n v="339.79"/>
        <n v="0.91"/>
        <n v="0.37"/>
        <n v="0.63"/>
        <n v="1.66"/>
        <n v="0.06"/>
        <n v="97.92"/>
        <n v="0.48"/>
        <n v="7"/>
        <n v="1.95"/>
        <n v="7.0000000000000007E-2"/>
        <n v="0.09"/>
        <n v="10.4"/>
        <n v="5"/>
        <n v="7.84"/>
        <n v="0.02"/>
        <n v="5000000"/>
        <n v="339.78999999999996"/>
        <n v="2.6"/>
        <n v="2.75"/>
        <n v="29.92"/>
        <n v="3.75"/>
        <n v="0.56000000000000005"/>
        <n v="0.54"/>
        <n v="0.92"/>
        <n v="2.79"/>
        <n v="0.11"/>
        <n v="0.13"/>
        <n v="10.07"/>
        <n v="4.12"/>
        <n v="53.07"/>
        <n v="566.88"/>
        <n v="862.24"/>
        <n v="207.76000000000002"/>
        <n v="352.16"/>
        <n v="10.46"/>
        <n v="12.24"/>
        <n v="10.55"/>
        <n v="5.69"/>
        <n v="4.04"/>
        <n v="28.12"/>
        <n v="34.5"/>
        <n v="7.28"/>
        <n v="4.4800000000000004"/>
        <n v="0.1"/>
        <n v="65.349999999999994"/>
        <n v="0" u="1"/>
        <n v="27.75" u="1"/>
        <n v="363.55999999999995" u="1"/>
        <n v="669.92000000000007" u="1"/>
        <n v="862.2399999999999" u="1"/>
        <n v="101.24000000000001" u="1"/>
        <n v="224.52999999999997" u="1"/>
        <n v="26.32" u="1"/>
        <n v="977.54000958313361" u="1"/>
        <n v="8.66" u="1"/>
        <n v="63.98" u="1"/>
        <n v="4.2" u="1"/>
        <n v="1.7" u="1"/>
        <n v="1.25" u="1"/>
        <n v="2.23" u="1"/>
        <n v="1.67" u="1"/>
        <n v="135.46" u="1"/>
        <n v="265.52999999999997" u="1"/>
        <n v="365.88000000000005" u="1"/>
        <n v="24.78" u="1"/>
        <n v="3.26" u="1"/>
        <n v="7.38" u="1"/>
        <n v="0.03" u="1"/>
        <n v="1" u="1"/>
        <n v="0.8" u="1"/>
        <n v="1.45" u="1"/>
        <n v="6.86" u="1"/>
        <n v="8.89" u="1"/>
        <n v="7.85" u="1"/>
        <n v="449.09992570579493" u="1"/>
        <n v="718" u="1"/>
        <n v="230.41000000000003" u="1"/>
        <n v="498.58000000000004" u="1"/>
        <n v="365.87999999999994" u="1"/>
        <n v="9.7100000000000009" u="1"/>
        <n v="0.6" u="1"/>
        <n v="1.8" u="1"/>
        <n v="0.15" u="1"/>
        <n v="2.4500000000000002" u="1"/>
        <n v="1.02" u="1"/>
        <n v="2.1" u="1"/>
        <n v="7.45" u="1"/>
        <n v="1.24" u="1"/>
        <n v="4.18" u="1"/>
        <n v="3.83" u="1"/>
        <n v="12.35" u="1"/>
        <n v="0.12" u="1"/>
        <n v="1.56" u="1"/>
        <n v="63.972000000000001" u="1"/>
        <n v="63.787999999999997" u="1"/>
        <n v="1.1000000000000001" u="1"/>
        <n v="0.47" u="1"/>
        <n v="0.61" u="1"/>
        <n v="0.41" u="1"/>
        <n v="2.5499999999999998" u="1"/>
        <n v="1.1200000000000001" u="1"/>
        <n v="0.28000000000000003" u="1"/>
        <n v="8.69" u="1"/>
        <n v="0.31" u="1"/>
        <n v="5.67" u="1"/>
        <n v="1.49" u="1"/>
        <n v="30.35" u="1"/>
        <n v="3" u="1"/>
        <n v="11.71" u="1"/>
        <n v="162.44" u="1"/>
        <n v="5.03" u="1"/>
        <n v="7.14" u="1"/>
        <n v="78.33" u="1"/>
        <n v="0.3" u="1"/>
        <n v="9.24" u="1"/>
        <n v="1.48" u="1"/>
        <n v="0.51" u="1"/>
        <n v="13.63" u="1"/>
        <n v="2.14" u="1"/>
        <n v="0.33" u="1"/>
        <n v="11.9" u="1"/>
        <n v="0.21" u="1"/>
        <n v="30.86" u="1"/>
        <n v="7.75" u="1"/>
        <n v="17.75" u="1"/>
        <n v="0.73" u="1"/>
        <n v="1.63" u="1"/>
        <n v="27.2" u="1"/>
        <n v="0.26" u="1"/>
        <n v="8.4" u="1"/>
        <n v="15.3" u="1"/>
        <n v="9.61" u="1"/>
        <n v="4.0434000000000001" u="1"/>
        <n v="28.128" u="1"/>
        <n v="31.907700250626565" u="1"/>
        <n v="356.16" u="1"/>
        <n v="725.95" u="1"/>
        <n v="362.13" u="1"/>
        <n v="365.15999999999997" u="1"/>
        <n v="0.49" u="1"/>
        <n v="230.40999999999997" u="1"/>
        <n v="26.319999999999997" u="1"/>
        <n v="400" u="1"/>
        <n v="309.36999999999995" u="1"/>
        <n v="0.88" u="1"/>
        <n v="17" u="1"/>
        <n v="1.78" u="1"/>
        <n v="3.95" u="1"/>
        <n v="1.6" u="1"/>
        <n v="3.2" u="1"/>
        <n v="9.0500000000000007" u="1"/>
        <n v="862.24000000000012" u="1"/>
        <n v="365.16" u="1"/>
        <n v="354.29" u="1"/>
        <n v="2.12" u="1"/>
        <n v="5.31" u="1"/>
        <n v="6.6" u="1"/>
        <n v="7.3" u="1"/>
        <n v="12.31" u="1"/>
        <n v="27.14" u="1"/>
        <n v="14.59" u="1"/>
        <n v="0.72" u="1"/>
        <n v="354.28999999999996" u="1"/>
        <n v="30.5" u="1"/>
        <n v="158.02000000000001" u="1"/>
        <n v="8.5" u="1"/>
        <n v="2.37" u="1"/>
        <n v="12.44" u="1"/>
        <n v="28.91" u="1"/>
        <n v="923.92000000000007" u="1"/>
        <n v="31.907699999999998" u="1"/>
        <n v="4" u="1"/>
        <n v="3.48" u="1"/>
        <n v="2.1800000000000002" u="1"/>
        <n v="0.77" u="1"/>
        <n v="2.35" u="1"/>
        <n v="4.1500000000000004" u="1"/>
        <n v="99.57" u="1"/>
        <n v="69.12" u="1"/>
        <n v="2.74" u="1"/>
        <n v="0.22" u="1"/>
        <n v="158.59" u="1"/>
        <n v="978" u="1"/>
        <n v="659.31000000000006" u="1"/>
        <n v="362.13000000000005" u="1"/>
        <n v="352.15999999999997" u="1"/>
        <n v="0.68" u="1"/>
        <n v="9.2100000000000009" u="1"/>
        <n v="17.8" u="1"/>
        <n v="64.14" u="1"/>
        <n v="3.82" u="1"/>
        <n v="9.2200000000000006" u="1"/>
        <n v="2.54" u="1"/>
        <n v="3.56" u="1"/>
        <n v="6.28" u="1"/>
        <n v="4.8899999999999997" u="1"/>
        <n v="135.45999999999998" u="1"/>
        <n v="7.25" u="1"/>
        <n v="7.7" u="1"/>
        <n v="18.2" u="1"/>
        <n v="14.33" u="1"/>
        <n v="356.15999999999997" u="1"/>
        <n v="360" u="1"/>
      </sharedItems>
    </cacheField>
    <cacheField name="MIS Quantity" numFmtId="3">
      <sharedItems containsMixedTypes="1" containsNumber="1" minValue="-1135" maxValue="306000"/>
    </cacheField>
    <cacheField name="PGI per unit" numFmtId="164">
      <sharedItems containsSemiMixedTypes="0" containsString="0" containsNumber="1" minValue="0" maxValue="696.91999999999973"/>
    </cacheField>
    <cacheField name="BOM Cost" numFmtId="164">
      <sharedItems containsSemiMixedTypes="0" containsString="0" containsNumber="1" minValue="0" maxValue="623.88999999999965"/>
    </cacheField>
    <cacheField name="Labour cost per unit" numFmtId="164">
      <sharedItems containsSemiMixedTypes="0" containsString="0" containsNumber="1" minValue="0" maxValue="58.8"/>
    </cacheField>
    <cacheField name="Droppage per unit" numFmtId="164">
      <sharedItems containsSemiMixedTypes="0" containsString="0" containsNumber="1" minValue="0" maxValue="0.43"/>
    </cacheField>
    <cacheField name="Other Conversion cost pu" numFmtId="164">
      <sharedItems containsSemiMixedTypes="0" containsString="0" containsNumber="1" minValue="0" maxValue="67.819999999999993"/>
    </cacheField>
    <cacheField name="Check" numFmtId="166">
      <sharedItems containsSemiMixedTypes="0" containsString="0" containsNumber="1" minValue="-1.1324274851176597E-14" maxValue="0.42999999999996419"/>
    </cacheField>
    <cacheField name="PGI COST" numFmtId="166">
      <sharedItems containsSemiMixedTypes="0" containsString="0" containsNumber="1" minValue="-478561.39999999973" maxValue="2308050"/>
    </cacheField>
    <cacheField name="BOM Cost2" numFmtId="164">
      <sharedItems containsSemiMixedTypes="0" containsString="0" containsNumber="1" minValue="-423377.69999999978" maxValue="2007950.0000000002"/>
    </cacheField>
    <cacheField name="Labour Cost" numFmtId="164">
      <sharedItems containsSemiMixedTypes="0" containsString="0" containsNumber="1" minValue="-24970" maxValue="141600"/>
    </cacheField>
    <cacheField name="Droppage Cost" numFmtId="164">
      <sharedItems containsSemiMixedTypes="0" containsString="0" containsNumber="1" minValue="-295.10000000000002" maxValue="1200"/>
    </cacheField>
    <cacheField name="Other conversion cost" numFmtId="164">
      <sharedItems containsSemiMixedTypes="0" containsString="0" containsNumber="1" minValue="-29918.6" maxValue="157300"/>
    </cacheField>
    <cacheField name="Check2" numFmtId="166">
      <sharedItems containsSemiMixedTypes="0" containsString="0" containsNumber="1" minValue="-4.4900000000161526" maxValue="1919351.16"/>
    </cacheField>
    <cacheField name="Margin" numFmtId="9">
      <sharedItems containsSemiMixedTypes="0" containsString="0" containsNumber="1" minValue="-0.45118549511854944" maxValue="1"/>
    </cacheField>
    <cacheField name="Column1" numFmtId="164">
      <sharedItems containsSemiMixedTypes="0" containsString="0" containsNumber="1" minValue="0.02" maxValue="696.9"/>
    </cacheField>
    <cacheField name="Check 3" numFmtId="166">
      <sharedItems containsSemiMixedTypes="0" containsString="0" containsNumber="1" minValue="-295.09999999995489" maxValue="1199.99999999976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zaan Mansur Mangave" refreshedDate="45995.630357175927" createdVersion="8" refreshedVersion="8" minRefreshableVersion="3" recordCount="471" xr:uid="{C574EB63-5CE7-4727-9336-7683D868E907}">
  <cacheSource type="worksheet">
    <worksheetSource ref="A1:AM472" sheet="MIS Working 1"/>
  </cacheSource>
  <cacheFields count="51">
    <cacheField name="Customer Name" numFmtId="0">
      <sharedItems/>
    </cacheField>
    <cacheField name="Posting Date" numFmtId="14">
      <sharedItems containsSemiMixedTypes="0" containsNonDate="0" containsDate="1" containsString="0" minDate="2025-11-01T00:00:00" maxDate="2025-11-30T00:00:00"/>
    </cacheField>
    <cacheField name="Billing Document" numFmtId="0">
      <sharedItems/>
    </cacheField>
    <cacheField name="Material" numFmtId="0">
      <sharedItems count="119">
        <s v="FG0958"/>
        <s v="FG0721"/>
        <s v="A1X1022"/>
        <s v="FIG051"/>
        <s v="FIG027"/>
        <s v="FIG001"/>
        <s v="FIG023"/>
        <s v="FIG022"/>
        <s v="FIG038"/>
        <s v="FIG040"/>
        <s v="FIG078"/>
        <s v="FIG028"/>
        <s v="FIG084"/>
        <s v="E00000033"/>
        <s v="FIG039"/>
        <s v="FIG062"/>
        <s v="FIG037"/>
        <s v="FIG054"/>
        <s v="A244801"/>
        <s v="E00000326"/>
        <s v="FIG063"/>
        <s v="FIG065"/>
        <s v="FIG080"/>
        <s v="E00000333"/>
        <s v="A302701"/>
        <s v="FIG006"/>
        <s v="FIG008"/>
        <s v="FIG010"/>
        <s v="FIG061"/>
        <s v="A354601"/>
        <s v="A354201"/>
        <s v="A354301"/>
        <s v="A196501"/>
        <s v="A202701"/>
        <s v="FIG077"/>
        <s v="A036501"/>
        <s v="A197201"/>
        <s v="A198201"/>
        <s v="FIG082"/>
        <s v="E00000024"/>
        <s v="A239101"/>
        <s v="A242601"/>
        <s v="E00000066"/>
        <s v="E00000025"/>
        <s v="E00000029"/>
        <s v="E00000037"/>
        <s v="E00000483"/>
        <s v="E00000551"/>
        <s v="E00000552"/>
        <s v="E00000561"/>
        <s v="E00000653"/>
        <s v="E00000829"/>
        <s v="E00000830"/>
        <s v="E00000831"/>
        <s v="FIG073"/>
        <s v="FIG074"/>
        <s v="FIG075"/>
        <s v="E00000474"/>
        <s v="FIG035"/>
        <s v="FIG057"/>
        <s v="FIG045"/>
        <s v="E00000005"/>
        <s v="E00000006"/>
        <s v="E00000009"/>
        <s v="E00000011"/>
        <s v="E00000013"/>
        <s v="E00000078"/>
        <s v="E00000091"/>
        <s v="E00000094"/>
        <s v="E00000153"/>
        <s v="E00000155"/>
        <s v="E00000228"/>
        <s v="E00000229"/>
        <s v="E00000270"/>
        <s v="E00000291"/>
        <s v="E00000313"/>
        <s v="E00000314"/>
        <s v="E00000315"/>
        <s v="E00000316"/>
        <s v="E00000320"/>
        <s v="E00000329"/>
        <s v="E00000449"/>
        <s v="E00000476"/>
        <s v="E00000478"/>
        <s v="E00000049"/>
        <s v="E00000065"/>
        <s v="E00000376"/>
        <s v="FGT001"/>
        <s v="E00000027"/>
        <s v="E00000105"/>
        <s v="E00000278"/>
        <s v="E00000042"/>
        <s v="E00000378"/>
        <s v="E00000031"/>
        <s v="E00000312"/>
        <s v="E00000394"/>
        <s v="E00000419"/>
        <s v="E00000420"/>
        <s v="E00000564"/>
        <s v="E00000571"/>
        <s v="E00000664"/>
        <s v="FIG020"/>
        <s v="FIG021"/>
        <s v="FIG005"/>
        <s v="E00000323"/>
        <s v="E00000330"/>
        <s v="E00000001"/>
        <s v="E00000117"/>
        <s v="E00000336"/>
        <s v="E00000434"/>
        <s v="E00000417"/>
        <s v="E00000328"/>
        <s v="E00000248"/>
        <s v="E00000331"/>
        <s v="E00000332"/>
        <s v="E00000607"/>
        <s v="E00000613"/>
        <s v="E00000473"/>
        <s v="E00000090"/>
      </sharedItems>
    </cacheField>
    <cacheField name="Material Description" numFmtId="0">
      <sharedItems count="117">
        <s v="AB BLDC PCBA CONV GMHVI7-L1"/>
        <s v="PCBA AB BLDC DC GMVI6-L"/>
        <s v="Wound Stator GV5 1.2M"/>
        <s v="Aris Underlight 41W Impala _EA17601 "/>
        <s v="GV5 MCF Smart(Flamingo)6Blue LED-EA12701"/>
        <s v="PCBA GV5 1.2M STM32 0.1 6 LED Blue"/>
        <s v="GV5 1.4M STM32 0.1 6 LED Blue- EA18501"/>
        <s v="GV5 0.9M STM32 0.1 6 LED Blue- EA18401"/>
        <s v="ESP &amp; DIGITAL PCB SUBASSEMBLY_EA08501"/>
        <s v="Jaguar Power PCBA 1V5_EA19501"/>
        <s v="FG RACOON HV TPW POWER P05 EA26901"/>
        <s v="GV5.1_STM32_C0_6BlueLED_Jackel-EA24201"/>
        <s v="PCBA GV5.1 STM32 6Blue LED 650mm EA27901"/>
        <s v="IC/SMD/BLDC Motor DRV/8V-28V/24-HTSSOP"/>
        <s v="JAGUAR/SABER MOTOR CONNECTOR PCB-EA07901"/>
        <s v="GV5 MCF Flamingo 6Blue LED 900mm-EA22901"/>
        <s v="Sabar/Rhino Smart Integrated _EA20701"/>
        <s v="FG_Antilope_MCF_EA26601"/>
        <s v="Wound Stator Jackal 1.2M"/>
        <s v="CONN/THT/Header Vertical/10P/2R/2mm"/>
        <s v="GV5 MCF Flamingo 6Blu LED 1400mm EA23001"/>
        <s v="Jagaur ESP_DIG Integrated 900mm EA26801"/>
        <s v="FG RACOON HV TPW (TP) INTERFACE EA28401"/>
        <s v="Misc/Thermal Pad_Jaguar/2mm thickness"/>
        <s v="GV5 Wound Stator 0.9M (1.5MM Magnet)"/>
        <s v="PCB Interface EA06401 MG1.1"/>
        <s v="PCBA Maple V01 EA11101"/>
        <s v="PCBA Cocoa V00 EA19301"/>
        <s v="GV5 MCF Flamingo 6Blue LED 600mm-EA22801"/>
        <s v="22 SWG DC200 ALUMINIUM"/>
        <s v="MAGNET- NDFEB-20X10X2"/>
        <s v="UNMAGNETIZED MAGNET N35 (20x10x2)"/>
        <s v="MAGNET"/>
        <s v="Wound Stator GV5 Al Winding 1.2M"/>
        <s v="FG GV5.1 STM32 6 LED 600mm EA28701"/>
        <s v="Stator Winding GV5 0.9M"/>
        <s v="STATOR STACK REF. ALUMINIUM (ID 50.8)"/>
        <s v="ROTOR STACK REF ALUMINIUM (OD 49.8)"/>
        <s v="FG PCBA Antilope MCF 900mm EA28101"/>
        <s v="DIO/ZEN/SMD/18V/250mA/375mW/SOD-123F"/>
        <s v="ROTOR ASSY- COPPER"/>
        <s v="BLDC COPPER STATOR ASSEMBLY_"/>
        <s v="Transistor/SMD/PNP/65V/100mA/SOT-23-3"/>
        <s v="DIO/ZEN/SMD/22V/250mA/375mW/SOD-123F"/>
        <s v="DIO/GEN/SMD/100V/215mA/380mW/SOD-123F"/>
        <s v="IC/SMD/LED DRV OFFL,TRIAC/18Vmax/SOIC-8"/>
        <s v="DIO/GEN/SMD/1000V/2A/SMA(DO-214AC)"/>
        <s v="CONN/SMD/Header Vertical/15P/1R/1.5mm"/>
        <s v="CONN/SMD/Header Vertical/14P/1R/1.5mm"/>
        <s v="RES/SMD/47E/0.5W/±1%/1206"/>
        <s v="CAP/MPP Film/TH/5.6nF/1.6KVdc/±5%/P=15mm"/>
        <s v="Wireharness/UV Choke/4P/Female/150mm"/>
        <s v="Wireharness/24V Input/3P/Female/250mm"/>
        <s v="Wireharness/AC Input PWR/2P/Male/150mm"/>
        <s v="FG_Walrus Interface EA19701"/>
        <s v="FG T-Rex Swing_Interface_EA18701"/>
        <s v="FG T-rex &amp; Walrus MCF Driver EA25701"/>
        <s v="Transistor/SMD/NPN BIAS/50V/0.8mA/S-Mini"/>
        <s v="PCBA_Maple 110V(EA22001)_P01"/>
        <s v="FG_Water Purifier Power Board_EA22301"/>
        <s v="GV5.1 STM32C0 Single LED 900 28W_EA20901"/>
        <s v="CAP/TH/2.2nF/3KV/±20%/P=5mm,Disc/Z5V/Y5V"/>
        <s v="CAP/TH/4.7nF/1KV/±20%/P=5mm,Disc/Z5V/Y5V"/>
        <s v="CAP/SMD/4.7uF/50V/±10%/0805/X7R"/>
        <s v="CAP/SMD/4.7uF/50VDC/±10%/1206/X7R"/>
        <s v="CAP/SMD/10nF/50VDC/±10%/0603/C0G"/>
        <s v="RES/SMD/30K/0.125W/±1%/0805"/>
        <s v="IC/SMD/RF TXRX Module Wifi BT/3V-3.6V/"/>
        <s v="Screw/with washer/M3/dia 6.70 +-0.5"/>
        <s v="RES/SMD/33E/0.125W/±1%/0805"/>
        <s v="RES/SMD/2K2/0.125W/±1%/0805"/>
        <s v="RES/SMD/1K2/0.125W/±1%/0805"/>
        <s v="RES/SMD/18K/0.125W/±1%/0805"/>
        <s v="MOV/TH/V/395Vac/510Vdc/10KA/14mm"/>
        <s v="RES/SMD/27K/0.125W/±1%/0805"/>
        <s v="RES/SMD/0.27E/1W/±1%/2512"/>
        <s v="RES/SMD/1K8/0.125W/±1%/0805"/>
        <s v="RES/SMD/20K/0.125W/±1%/0805"/>
        <s v="RES/SMD/1R/0.125W/±1%/0805"/>
        <s v="RES/SMD/10K/0.250W/±1%/1206"/>
        <s v="CAP/Alum/SMD/100uF/35V/±20%/4Khr/6.3X8mm"/>
        <s v="MOV/TH/680V/420Vac/560Vdc/6KA/10mm"/>
        <s v="RES/TH/100K/0.25W/±5%/Axial Lead"/>
        <s v="DIO/THT/Array Common K/200V/10A/TO-220-3"/>
        <s v="RES/SMD/4.7K/0.0625W/±1%/0402"/>
        <s v="Transistor/SMD/NPN/40V/600mA/SOT-23-3"/>
        <s v="DIO/ZEN/SMD/3.3V/250mA/375mW/SOD-123F"/>
        <s v="Stator &amp; Rotor Integrated Tooling"/>
        <s v="LED/TH/6000mcd/White/3.1V/30°/20mA/"/>
        <s v="Wireharness/Green wire w lug/1.1KV/200mm"/>
        <s v="PCB_GV5.1_STM32C0/G0)/35U/83X87mm"/>
        <s v="Heat sink for Q2/Heat Sink THT 19.5x15mm"/>
        <s v="DIO/GEN/SMD/1000V/1A//SMA(DO-214AC)"/>
        <s v="RES/SMD/0E/1W/±5%/2512"/>
        <s v="DIO/TVS/ 3.3V/10A/9.5Vc @10A/100W/SOD323"/>
        <s v="CAP/SMD/100nF/16VDC/±10%/0603/X7R"/>
        <s v="CAP/SMD/1nF/16VDC/±10%/0603/X7R"/>
        <s v="IC/SMD/LDO/Fixed/4.7-15Vi/3.3Vo/TO-252-3"/>
        <s v="IC/SMD/LED Driver TM1650/SOP16"/>
        <s v="IC/SMD/Ballast Controller/600V/3.2mA"/>
        <s v="GV5.1_STM32C0 SINGLE LED 1200 28WEA20801"/>
        <s v="GV5 0.6M STM32 0.1 6 LED Blue -EA18301"/>
        <s v="PCB Driver EA06301 MG1.1"/>
        <s v="IC/SMD/LED Driver with PFC,iW3627/SOT23"/>
        <s v="IC/SMD/DC-DC buck/ADJ/2A/4.5-36V/SOT23-3"/>
        <s v="CONN/SMD/Push-in CAGE/3P/1R/Female/4mm"/>
        <s v="MOV/TH/1.5K-1.8KV/1KVac/4.5KA/14mm"/>
        <s v="PCB_EA07301,Jaguar_ESP/35U/26X20.5mm"/>
        <s v="PCB_Saber_Smart Dig/70U/55mm x 55mm"/>
        <s v="PCB_E00000417,Jaguar_PWR/35U/75.5X74mm"/>
        <s v="CAP/Alum/SMD/47uF/35V/±20%//4Khr/6.3X6mm"/>
        <s v="RES/SMD/6.8K/0.125W/±1%/0805"/>
        <s v="RES/SMD/22K/0.063W/±1%/0402"/>
        <s v="RES/SMD/100K/0.063W/±1%/0402"/>
        <s v="CAP/Alum/TH/1000uF/35V/±20%/5Khr/13X17mm"/>
        <s v="RES/SMD/39R/0.25W/±1%/1206"/>
        <s v="IC/SMD/BLDC motor DRV/4.5V-45V/24-HTSSOP"/>
      </sharedItems>
    </cacheField>
    <cacheField name="Sales Unit" numFmtId="0">
      <sharedItems/>
    </cacheField>
    <cacheField name="Material type" numFmtId="0">
      <sharedItems/>
    </cacheField>
    <cacheField name="Material Group" numFmtId="0">
      <sharedItems/>
    </cacheField>
    <cacheField name="Actual delivery qty" numFmtId="0">
      <sharedItems containsSemiMixedTypes="0" containsString="0" containsNumber="1" minValue="-1135" maxValue="306000"/>
    </cacheField>
    <cacheField name="PGI Amount" numFmtId="0">
      <sharedItems containsSemiMixedTypes="0" containsString="0" containsNumber="1" minValue="-478266.3" maxValue="2306850"/>
    </cacheField>
    <cacheField name="PGI Quantity" numFmtId="0">
      <sharedItems containsSemiMixedTypes="0" containsString="0" containsNumber="1" minValue="-1135" maxValue="306000"/>
    </cacheField>
    <cacheField name="Billed Quantity" numFmtId="0">
      <sharedItems containsSemiMixedTypes="0" containsString="0" containsNumber="1" minValue="-1135" maxValue="306000"/>
    </cacheField>
    <cacheField name="Billing Date" numFmtId="14">
      <sharedItems containsSemiMixedTypes="0" containsNonDate="0" containsDate="1" containsString="0" minDate="2025-11-01T00:00:00" maxDate="2025-11-30T00:00:00"/>
    </cacheField>
    <cacheField name="Net Value" numFmtId="0">
      <sharedItems containsSemiMixedTypes="0" containsString="0" containsNumber="1" minValue="-548386.6" maxValue="5000000"/>
    </cacheField>
    <cacheField name="Document Type" numFmtId="0">
      <sharedItems/>
    </cacheField>
    <cacheField name="Description" numFmtId="0">
      <sharedItems/>
    </cacheField>
    <cacheField name="Acct Assmt Grp Cust." numFmtId="0">
      <sharedItems/>
    </cacheField>
    <cacheField name="Material type Descr" numFmtId="0">
      <sharedItems/>
    </cacheField>
    <cacheField name="Material Group Descrip" numFmtId="0">
      <sharedItems/>
    </cacheField>
    <cacheField name="Material Family" numFmtId="0">
      <sharedItems/>
    </cacheField>
    <cacheField name="Last Day billing" numFmtId="14">
      <sharedItems/>
    </cacheField>
    <cacheField name="Gross Margin" numFmtId="4">
      <sharedItems containsSemiMixedTypes="0" containsString="0" containsNumber="1" minValue="-69825.200000000244" maxValue="5000000"/>
    </cacheField>
    <cacheField name="GM %" numFmtId="165">
      <sharedItems containsSemiMixedTypes="0" containsString="0" containsNumber="1" minValue="-0.4511854951185495" maxValue="1"/>
    </cacheField>
    <cacheField name="Month" numFmtId="0">
      <sharedItems/>
    </cacheField>
    <cacheField name="ASP" numFmtId="0">
      <sharedItems containsSemiMixedTypes="0" containsString="0" containsNumber="1" minValue="0.02" maxValue="5000000"/>
    </cacheField>
    <cacheField name="MIS Quantity" numFmtId="3">
      <sharedItems containsMixedTypes="1" containsNumber="1" minValue="-1135" maxValue="306000"/>
    </cacheField>
    <cacheField name="PGI per unit" numFmtId="164">
      <sharedItems containsSemiMixedTypes="0" containsString="0" containsNumber="1" minValue="0" maxValue="696.91999999999973"/>
    </cacheField>
    <cacheField name="BOM Cost" numFmtId="164">
      <sharedItems containsSemiMixedTypes="0" containsString="0" containsNumber="1" minValue="0" maxValue="623.88999999999965"/>
    </cacheField>
    <cacheField name="Labour cost per unit" numFmtId="164">
      <sharedItems containsSemiMixedTypes="0" containsString="0" containsNumber="1" minValue="0" maxValue="58.8"/>
    </cacheField>
    <cacheField name="Droppage per unit" numFmtId="164">
      <sharedItems containsSemiMixedTypes="0" containsString="0" containsNumber="1" minValue="0" maxValue="0.43"/>
    </cacheField>
    <cacheField name="Other Conversion cost pu" numFmtId="164">
      <sharedItems containsSemiMixedTypes="0" containsString="0" containsNumber="1" minValue="0" maxValue="67.819999999999993"/>
    </cacheField>
    <cacheField name="Check" numFmtId="166">
      <sharedItems containsSemiMixedTypes="0" containsString="0" containsNumber="1" minValue="-1.1324274851176597E-14" maxValue="0.42999999999996419"/>
    </cacheField>
    <cacheField name="PGI COST" numFmtId="166">
      <sharedItems containsSemiMixedTypes="0" containsString="0" containsNumber="1" minValue="-478561.39999999973" maxValue="2308050"/>
    </cacheField>
    <cacheField name="BOM Cost2" numFmtId="164">
      <sharedItems containsSemiMixedTypes="0" containsString="0" containsNumber="1" minValue="-423377.69999999978" maxValue="2007950.0000000002"/>
    </cacheField>
    <cacheField name="Labour Cost" numFmtId="164">
      <sharedItems containsSemiMixedTypes="0" containsString="0" containsNumber="1" minValue="-24970" maxValue="141600"/>
    </cacheField>
    <cacheField name="Droppage Cost" numFmtId="164">
      <sharedItems containsSemiMixedTypes="0" containsString="0" containsNumber="1" minValue="-295.10000000000002" maxValue="1200"/>
    </cacheField>
    <cacheField name="Other conversion cost" numFmtId="164">
      <sharedItems containsSemiMixedTypes="0" containsString="0" containsNumber="1" minValue="-29918.6" maxValue="157300"/>
    </cacheField>
    <cacheField name="Check2" numFmtId="166">
      <sharedItems containsSemiMixedTypes="0" containsString="0" containsNumber="1" minValue="-4.4900000000161526" maxValue="1919351.16"/>
    </cacheField>
    <cacheField name="Margin" numFmtId="9">
      <sharedItems containsSemiMixedTypes="0" containsString="0" containsNumber="1" minValue="-0.45118549511854944" maxValue="1"/>
    </cacheField>
    <cacheField name="Column1" numFmtId="164">
      <sharedItems containsSemiMixedTypes="0" containsString="0" containsNumber="1" minValue="0.02" maxValue="696.9"/>
    </cacheField>
    <cacheField name="Check 3" numFmtId="166">
      <sharedItems containsSemiMixedTypes="0" containsString="0" containsNumber="1" minValue="-295.09999999995489" maxValue="1199.9999999997672"/>
    </cacheField>
    <cacheField name="STAFF COST" numFmtId="164">
      <sharedItems containsSemiMixedTypes="0" containsString="0" containsNumber="1" minValue="0" maxValue="4.8099999999999996"/>
    </cacheField>
    <cacheField name="PLANT OH COST" numFmtId="164">
      <sharedItems containsSemiMixedTypes="0" containsString="0" containsNumber="1" minValue="0" maxValue="42.739999999999995"/>
    </cacheField>
    <cacheField name="CONSUMABLES COST" numFmtId="164">
      <sharedItems containsSemiMixedTypes="0" containsString="0" containsNumber="1" minValue="0" maxValue="20.68"/>
    </cacheField>
    <cacheField name="BOM Cost22" numFmtId="164">
      <sharedItems containsSemiMixedTypes="0" containsString="0" containsNumber="1" minValue="-478266.3" maxValue="2306850"/>
    </cacheField>
    <cacheField name="Labour Cost2" numFmtId="164">
      <sharedItems containsSemiMixedTypes="0" containsString="0" containsNumber="1" minValue="-24970" maxValue="141600"/>
    </cacheField>
    <cacheField name="Total STAFF COST" numFmtId="164">
      <sharedItems containsSemiMixedTypes="0" containsString="0" containsNumber="1" minValue="-2043" maxValue="11600"/>
    </cacheField>
    <cacheField name="Total PLANT OH COST" numFmtId="164">
      <sharedItems containsSemiMixedTypes="0" containsString="0" containsNumber="1" minValue="-18148.650000000001" maxValue="102950"/>
    </cacheField>
    <cacheField name="Total CONSUMABLES COST" numFmtId="164">
      <sharedItems containsSemiMixedTypes="0" containsString="0" containsNumber="1" minValue="-9431.85" maxValue="41550"/>
    </cacheField>
    <cacheField name="Droppage Cost2" numFmtId="164">
      <sharedItems containsSemiMixedTypes="0" containsString="0" containsNumber="1" minValue="-295.10000000000002" maxValue="1200"/>
    </cacheField>
    <cacheField name="Diff" numFmtId="16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1">
  <r>
    <x v="0"/>
    <d v="2025-11-29T00:00:00"/>
    <s v="3271316537"/>
    <x v="0"/>
    <x v="0"/>
    <s v="NOS"/>
    <s v="ZFG1"/>
    <s v="FG0011"/>
    <n v="1000"/>
    <n v="464890"/>
    <n v="1000"/>
    <n v="1000"/>
    <x v="0"/>
    <n v="659300"/>
    <s v="RV"/>
    <s v="Billing doc.transfer"/>
    <s v="01"/>
    <x v="0"/>
    <x v="0"/>
    <x v="0"/>
    <x v="0"/>
    <n v="194169.99999999994"/>
    <n v="0.29450932807523122"/>
    <x v="0"/>
    <x v="0"/>
    <n v="1000"/>
    <n v="464.8900000000001"/>
    <n v="405.11000000000007"/>
    <n v="28.32"/>
    <n v="0.24"/>
    <n v="31.22"/>
    <n v="0.24000000000003041"/>
    <n v="465130.00000000006"/>
    <n v="405110.00000000006"/>
    <n v="28320"/>
    <n v="240"/>
    <n v="31460"/>
    <n v="-5.8207660913467407E-11"/>
    <n v="0.29450932807523122"/>
    <n v="464.89"/>
    <n v="240"/>
  </r>
  <r>
    <x v="0"/>
    <d v="2025-11-29T00:00:00"/>
    <s v="3271316534"/>
    <x v="1"/>
    <x v="1"/>
    <s v="NOS"/>
    <s v="ZFG1"/>
    <s v="FG0011"/>
    <n v="1500"/>
    <n v="692055"/>
    <n v="1500"/>
    <n v="1500"/>
    <x v="0"/>
    <n v="984465"/>
    <s v="RV"/>
    <s v="Billing doc.transfer"/>
    <s v="01"/>
    <x v="0"/>
    <x v="0"/>
    <x v="0"/>
    <x v="0"/>
    <n v="292050"/>
    <n v="0.29665859121451754"/>
    <x v="0"/>
    <x v="1"/>
    <n v="1500"/>
    <n v="461.37"/>
    <n v="401.59000000000003"/>
    <n v="28.32"/>
    <n v="0.24"/>
    <n v="31.22"/>
    <n v="0.23999999999997357"/>
    <n v="692415"/>
    <n v="602385"/>
    <n v="42480"/>
    <n v="360"/>
    <n v="47190"/>
    <n v="0"/>
    <n v="0.29665859121451754"/>
    <n v="461.37"/>
    <n v="360"/>
  </r>
  <r>
    <x v="1"/>
    <d v="2025-11-29T00:00:00"/>
    <s v="3271316602"/>
    <x v="2"/>
    <x v="2"/>
    <s v="NOS"/>
    <s v="ZSFG"/>
    <s v="SF0045"/>
    <n v="2872"/>
    <n v="424108.24"/>
    <n v="2872"/>
    <n v="2872"/>
    <x v="0"/>
    <n v="467963.68"/>
    <s v="RV"/>
    <s v="Billing doc.transfer"/>
    <s v="01"/>
    <x v="1"/>
    <x v="1"/>
    <x v="1"/>
    <x v="0"/>
    <n v="43855.440000000061"/>
    <n v="9.3715478090094645E-2"/>
    <x v="0"/>
    <x v="2"/>
    <n v="2872"/>
    <n v="147.66999999999996"/>
    <n v="144.21999999999997"/>
    <n v="1.5"/>
    <n v="0"/>
    <n v="1.95"/>
    <n v="-1.1324274851176597E-14"/>
    <n v="424108.23999999993"/>
    <n v="414199.83999999991"/>
    <n v="4308"/>
    <n v="0"/>
    <n v="5600.4"/>
    <n v="8.1854523159563541E-11"/>
    <n v="9.3715478090094617E-2"/>
    <n v="147.66999999999999"/>
    <n v="2.3646862246096134E-11"/>
  </r>
  <r>
    <x v="1"/>
    <d v="2025-11-29T00:00:00"/>
    <s v="3271316494"/>
    <x v="3"/>
    <x v="3"/>
    <s v="NOS"/>
    <s v="ZFG1"/>
    <s v="FG0010"/>
    <n v="213"/>
    <n v="137391.39000000001"/>
    <n v="213"/>
    <n v="213"/>
    <x v="0"/>
    <n v="155183.28"/>
    <s v="RV"/>
    <s v="Billing doc.transfer"/>
    <s v="01"/>
    <x v="0"/>
    <x v="2"/>
    <x v="2"/>
    <x v="0"/>
    <n v="17700.300000000076"/>
    <n v="0.11406061271549406"/>
    <x v="0"/>
    <x v="3"/>
    <n v="213"/>
    <n v="645.02999999999963"/>
    <n v="582.23999999999967"/>
    <n v="29.88"/>
    <n v="0.43"/>
    <n v="32.480000000000004"/>
    <n v="0.42999999999996419"/>
    <n v="137482.97999999992"/>
    <n v="124017.11999999992"/>
    <n v="6364.44"/>
    <n v="91.59"/>
    <n v="7009.8300000000008"/>
    <n v="9.0949470177292824E-11"/>
    <n v="0.11406061271549406"/>
    <n v="645.03000000000009"/>
    <n v="91.590000000000146"/>
  </r>
  <r>
    <x v="1"/>
    <d v="2025-11-29T00:00:00"/>
    <s v="3271316601"/>
    <x v="4"/>
    <x v="4"/>
    <s v="NOS"/>
    <s v="ZFG1"/>
    <s v="FG0010"/>
    <n v="1185"/>
    <n v="499370.85"/>
    <n v="1185"/>
    <n v="1185"/>
    <x v="0"/>
    <n v="572544.6"/>
    <s v="RV"/>
    <s v="Billing doc.transfer"/>
    <s v="01"/>
    <x v="0"/>
    <x v="2"/>
    <x v="2"/>
    <x v="0"/>
    <n v="72865.650000000198"/>
    <n v="0.12726632999420517"/>
    <x v="0"/>
    <x v="4"/>
    <n v="1185"/>
    <n v="421.40999999999985"/>
    <n v="373.04999999999984"/>
    <n v="22"/>
    <n v="0.26"/>
    <n v="26.1"/>
    <n v="0.26000000000001222"/>
    <n v="499678.94999999978"/>
    <n v="442064.24999999983"/>
    <n v="26070"/>
    <n v="308.10000000000002"/>
    <n v="31236.6"/>
    <n v="1.5279510989785194E-10"/>
    <n v="0.12726632999420517"/>
    <n v="421.40999999999997"/>
    <n v="308.09999999995489"/>
  </r>
  <r>
    <x v="1"/>
    <d v="2025-11-29T00:00:00"/>
    <s v="3271316601"/>
    <x v="5"/>
    <x v="5"/>
    <s v="NOS"/>
    <s v="ZFG1"/>
    <s v="FG0010"/>
    <n v="2970"/>
    <n v="971576.1"/>
    <n v="2970"/>
    <n v="2970"/>
    <x v="0"/>
    <n v="1012977.9"/>
    <s v="RV"/>
    <s v="Billing doc.transfer"/>
    <s v="01"/>
    <x v="0"/>
    <x v="2"/>
    <x v="2"/>
    <x v="0"/>
    <n v="40896.900000000023"/>
    <n v="4.0372943970445975E-2"/>
    <x v="0"/>
    <x v="5"/>
    <n v="2970"/>
    <n v="327.13"/>
    <n v="278.14"/>
    <n v="22.400000000000002"/>
    <n v="0.17"/>
    <n v="26.42"/>
    <n v="0.17000000000000526"/>
    <n v="972081"/>
    <n v="826075.79999999993"/>
    <n v="66528"/>
    <n v="504.90000000000003"/>
    <n v="78972.3"/>
    <n v="0"/>
    <n v="4.0372943970445996E-2"/>
    <n v="327.13"/>
    <n v="504.90000000006694"/>
  </r>
  <r>
    <x v="1"/>
    <d v="2025-11-29T00:00:00"/>
    <s v="3271316601"/>
    <x v="6"/>
    <x v="6"/>
    <s v="NOS"/>
    <s v="ZFG1"/>
    <s v="FG0010"/>
    <n v="887"/>
    <n v="290137.7"/>
    <n v="887"/>
    <n v="887"/>
    <x v="0"/>
    <n v="302529.09000000003"/>
    <s v="RV"/>
    <s v="Billing doc.transfer"/>
    <s v="01"/>
    <x v="0"/>
    <x v="2"/>
    <x v="2"/>
    <x v="0"/>
    <n v="12240.599999999977"/>
    <n v="4.046090245404161E-2"/>
    <x v="0"/>
    <x v="6"/>
    <n v="887"/>
    <n v="327.10000000000008"/>
    <n v="278.11000000000007"/>
    <n v="22.400000000000002"/>
    <n v="0.17"/>
    <n v="26.42"/>
    <n v="0.17000000000000526"/>
    <n v="290288.49000000005"/>
    <n v="246683.57000000007"/>
    <n v="19868.800000000003"/>
    <n v="150.79000000000002"/>
    <n v="23585.33"/>
    <n v="-5.8207660913467407E-11"/>
    <n v="4.0460902454041658E-2"/>
    <n v="327.10000000000002"/>
    <n v="150.78999999997905"/>
  </r>
  <r>
    <x v="1"/>
    <d v="2025-11-29T00:00:00"/>
    <s v="3271316494"/>
    <x v="7"/>
    <x v="7"/>
    <s v="NOS"/>
    <s v="ZFG1"/>
    <s v="FG0010"/>
    <n v="1220"/>
    <n v="399062"/>
    <n v="1220"/>
    <n v="1220"/>
    <x v="0"/>
    <n v="416105.4"/>
    <s v="RV"/>
    <s v="Billing doc.transfer"/>
    <s v="01"/>
    <x v="0"/>
    <x v="2"/>
    <x v="2"/>
    <x v="0"/>
    <n v="16836.000000000116"/>
    <n v="4.0460902454041971E-2"/>
    <x v="0"/>
    <x v="5"/>
    <n v="1220"/>
    <n v="327.09999999999991"/>
    <n v="278.1099999999999"/>
    <n v="22.400000000000002"/>
    <n v="0.17"/>
    <n v="26.42"/>
    <n v="0.17000000000000526"/>
    <n v="399269.39999999991"/>
    <n v="339294.1999999999"/>
    <n v="27328.000000000004"/>
    <n v="207.4"/>
    <n v="32439.800000000003"/>
    <n v="9.822542779147625E-11"/>
    <n v="4.0460902454041991E-2"/>
    <n v="327.10000000000002"/>
    <n v="207.40000000000509"/>
  </r>
  <r>
    <x v="1"/>
    <d v="2025-11-29T00:00:00"/>
    <s v="3271316494"/>
    <x v="8"/>
    <x v="8"/>
    <s v="NOS"/>
    <s v="ZFG1"/>
    <s v="FG0010"/>
    <n v="675"/>
    <n v="219510"/>
    <n v="675"/>
    <n v="675"/>
    <x v="0"/>
    <n v="239638.5"/>
    <s v="RV"/>
    <s v="Billing doc.transfer"/>
    <s v="01"/>
    <x v="0"/>
    <x v="2"/>
    <x v="2"/>
    <x v="0"/>
    <n v="19953.000000000029"/>
    <n v="8.3262914765365459E-2"/>
    <x v="0"/>
    <x v="7"/>
    <n v="675"/>
    <n v="325.19999999999993"/>
    <n v="271.52999999999997"/>
    <n v="23.84"/>
    <n v="0.26"/>
    <n v="29.569999999999997"/>
    <n v="0.25999999999996248"/>
    <n v="219685.49999999997"/>
    <n v="183282.74999999997"/>
    <n v="16092"/>
    <n v="175.5"/>
    <n v="20135.249999999996"/>
    <n v="3.2741809263825417E-11"/>
    <n v="8.3262914765365403E-2"/>
    <n v="325.2"/>
    <n v="175.50000000000364"/>
  </r>
  <r>
    <x v="1"/>
    <d v="2025-11-29T00:00:00"/>
    <s v="3271316601"/>
    <x v="8"/>
    <x v="8"/>
    <s v="NOS"/>
    <s v="ZFG1"/>
    <s v="FG0010"/>
    <n v="867"/>
    <n v="281948.40000000002"/>
    <n v="867"/>
    <n v="867"/>
    <x v="0"/>
    <n v="307802.34000000003"/>
    <s v="RV"/>
    <s v="Billing doc.transfer"/>
    <s v="01"/>
    <x v="0"/>
    <x v="2"/>
    <x v="2"/>
    <x v="0"/>
    <n v="25628.520000000077"/>
    <n v="8.326291476536557E-2"/>
    <x v="0"/>
    <x v="8"/>
    <n v="867"/>
    <n v="325.19999999999993"/>
    <n v="271.52999999999997"/>
    <n v="23.84"/>
    <n v="0.26"/>
    <n v="29.569999999999997"/>
    <n v="0.25999999999996248"/>
    <n v="282173.81999999995"/>
    <n v="235416.50999999998"/>
    <n v="20669.28"/>
    <n v="225.42000000000002"/>
    <n v="25862.609999999997"/>
    <n v="4.7293724492192268E-11"/>
    <n v="8.3262914765365625E-2"/>
    <n v="325.20000000000005"/>
    <n v="225.41999999997279"/>
  </r>
  <r>
    <x v="1"/>
    <d v="2025-11-29T00:00:00"/>
    <s v="3271316601"/>
    <x v="9"/>
    <x v="9"/>
    <s v="NOS"/>
    <s v="ZFG1"/>
    <s v="FG0010"/>
    <n v="444"/>
    <n v="96170.4"/>
    <n v="444"/>
    <n v="444"/>
    <x v="0"/>
    <n v="98501.4"/>
    <s v="RV"/>
    <s v="Billing doc.transfer"/>
    <s v="01"/>
    <x v="0"/>
    <x v="2"/>
    <x v="2"/>
    <x v="0"/>
    <n v="2313.2400000000052"/>
    <n v="2.3484336263240983E-2"/>
    <x v="0"/>
    <x v="9"/>
    <n v="444"/>
    <n v="216.59999999999994"/>
    <n v="174.98999999999995"/>
    <n v="18.389999999999997"/>
    <n v="0.04"/>
    <n v="23.18"/>
    <n v="3.9999999999988489E-2"/>
    <n v="96188.159999999989"/>
    <n v="77695.559999999983"/>
    <n v="8165.1599999999989"/>
    <n v="17.760000000000002"/>
    <n v="10309.68"/>
    <n v="0"/>
    <n v="2.3484336263240979E-2"/>
    <n v="216.6"/>
    <n v="17.760000000005675"/>
  </r>
  <r>
    <x v="1"/>
    <d v="2025-11-29T00:00:00"/>
    <s v="3271316494"/>
    <x v="9"/>
    <x v="9"/>
    <s v="NOS"/>
    <s v="ZFG1"/>
    <s v="FG0010"/>
    <n v="792"/>
    <n v="171547.2"/>
    <n v="792"/>
    <n v="792"/>
    <x v="0"/>
    <n v="175705.2"/>
    <s v="RV"/>
    <s v="Billing doc.transfer"/>
    <s v="01"/>
    <x v="0"/>
    <x v="2"/>
    <x v="2"/>
    <x v="0"/>
    <n v="4126.3200000000652"/>
    <n v="2.3484336263241298E-2"/>
    <x v="0"/>
    <x v="10"/>
    <n v="792"/>
    <n v="216.59999999999994"/>
    <n v="174.98999999999995"/>
    <n v="18.389999999999997"/>
    <n v="0.04"/>
    <n v="23.18"/>
    <n v="3.9999999999988489E-2"/>
    <n v="171578.87999999995"/>
    <n v="138592.07999999996"/>
    <n v="14564.879999999997"/>
    <n v="31.68"/>
    <n v="18390.240000000002"/>
    <n v="5.4569682106375694E-11"/>
    <n v="2.3484336263241312E-2"/>
    <n v="216.60000000000002"/>
    <n v="31.679999999989377"/>
  </r>
  <r>
    <x v="1"/>
    <d v="2025-11-29T00:00:00"/>
    <s v="3271316746"/>
    <x v="10"/>
    <x v="10"/>
    <s v="NOS"/>
    <s v="ZFG1"/>
    <s v="FG0025"/>
    <n v="88"/>
    <n v="46208.800000000003"/>
    <n v="88"/>
    <n v="88"/>
    <x v="0"/>
    <n v="85785.919999999998"/>
    <s v="RV"/>
    <s v="Billing doc.transfer"/>
    <s v="01"/>
    <x v="0"/>
    <x v="3"/>
    <x v="3"/>
    <x v="0"/>
    <n v="39548.959999999985"/>
    <n v="0.46101924418366075"/>
    <x v="0"/>
    <x v="11"/>
    <n v="88"/>
    <n v="525.10000000000014"/>
    <n v="451.65000000000009"/>
    <n v="26.66"/>
    <n v="0.32"/>
    <n v="46.469999999999992"/>
    <n v="0.32000000000005713"/>
    <n v="46236.960000000014"/>
    <n v="39745.200000000012"/>
    <n v="2346.08"/>
    <n v="28.16"/>
    <n v="4117.5199999999995"/>
    <n v="-8.1854523159563541E-12"/>
    <n v="0.46101924418366069"/>
    <n v="525.1"/>
    <n v="28.160000000002583"/>
  </r>
  <r>
    <x v="0"/>
    <d v="2025-11-28T00:00:00"/>
    <s v="3271316205"/>
    <x v="0"/>
    <x v="0"/>
    <s v="NOS"/>
    <s v="ZFG1"/>
    <s v="FG0011"/>
    <n v="1500"/>
    <n v="697335"/>
    <n v="1500"/>
    <n v="1500"/>
    <x v="1"/>
    <n v="988950"/>
    <s v="RV"/>
    <s v="Billing doc.transfer"/>
    <s v="01"/>
    <x v="0"/>
    <x v="0"/>
    <x v="0"/>
    <x v="0"/>
    <n v="291254.99999999988"/>
    <n v="0.29450932807523117"/>
    <x v="0"/>
    <x v="0"/>
    <n v="1500"/>
    <n v="464.8900000000001"/>
    <n v="405.11000000000007"/>
    <n v="28.32"/>
    <n v="0.24"/>
    <n v="31.22"/>
    <n v="0.24000000000003041"/>
    <n v="697695.00000000012"/>
    <n v="607665.00000000012"/>
    <n v="42480"/>
    <n v="360"/>
    <n v="47190"/>
    <n v="-1.1641532182693481E-10"/>
    <n v="0.29450932807523122"/>
    <n v="464.89"/>
    <n v="360"/>
  </r>
  <r>
    <x v="1"/>
    <d v="2025-11-28T00:00:00"/>
    <s v="3271316144"/>
    <x v="2"/>
    <x v="2"/>
    <s v="NOS"/>
    <s v="ZSFG"/>
    <s v="SF0045"/>
    <n v="6384"/>
    <n v="942725.28"/>
    <n v="6384"/>
    <n v="6384"/>
    <x v="1"/>
    <n v="1040208.96"/>
    <s v="RV"/>
    <s v="Billing doc.transfer"/>
    <s v="01"/>
    <x v="1"/>
    <x v="1"/>
    <x v="1"/>
    <x v="0"/>
    <n v="97483.680000000051"/>
    <n v="9.3715478090094562E-2"/>
    <x v="0"/>
    <x v="2"/>
    <n v="6384"/>
    <n v="147.66999999999996"/>
    <n v="144.21999999999997"/>
    <n v="1.5"/>
    <n v="0"/>
    <n v="1.95"/>
    <n v="-1.1324274851176597E-14"/>
    <n v="942725.27999999991"/>
    <n v="920700.47999999986"/>
    <n v="9576"/>
    <n v="0"/>
    <n v="12448.8"/>
    <n v="1.6370904631912708E-10"/>
    <n v="9.3715478090094617E-2"/>
    <n v="147.67000000000002"/>
    <n v="4.7293724492192268E-11"/>
  </r>
  <r>
    <x v="1"/>
    <d v="2025-11-28T00:00:00"/>
    <s v="3271316320"/>
    <x v="2"/>
    <x v="2"/>
    <s v="NOS"/>
    <s v="ZSFG"/>
    <s v="SF0045"/>
    <n v="2240"/>
    <n v="330780.79999999999"/>
    <n v="2240"/>
    <n v="2240"/>
    <x v="1"/>
    <n v="364985.59999999998"/>
    <s v="RV"/>
    <s v="Billing doc.transfer"/>
    <s v="01"/>
    <x v="1"/>
    <x v="1"/>
    <x v="1"/>
    <x v="0"/>
    <n v="34204.800000000047"/>
    <n v="9.3715478090094645E-2"/>
    <x v="0"/>
    <x v="2"/>
    <n v="2240"/>
    <n v="147.66999999999996"/>
    <n v="144.21999999999997"/>
    <n v="1.5"/>
    <n v="0"/>
    <n v="1.95"/>
    <n v="-1.1324274851176597E-14"/>
    <n v="330780.79999999993"/>
    <n v="323052.79999999993"/>
    <n v="3360"/>
    <n v="0"/>
    <n v="4368"/>
    <n v="5.8207660913467407E-11"/>
    <n v="9.3715478090094617E-2"/>
    <n v="147.66999999999999"/>
    <n v="0"/>
  </r>
  <r>
    <x v="1"/>
    <d v="2025-11-28T00:00:00"/>
    <s v="3271316291"/>
    <x v="2"/>
    <x v="2"/>
    <s v="NOS"/>
    <s v="ZSFG"/>
    <s v="SF0045"/>
    <n v="3596"/>
    <n v="531021.31999999995"/>
    <n v="3596"/>
    <n v="3596"/>
    <x v="1"/>
    <n v="585932.24"/>
    <s v="RV"/>
    <s v="Billing doc.transfer"/>
    <s v="01"/>
    <x v="1"/>
    <x v="1"/>
    <x v="1"/>
    <x v="0"/>
    <n v="54910.920000000158"/>
    <n v="9.3715478090094784E-2"/>
    <x v="0"/>
    <x v="2"/>
    <n v="3596"/>
    <n v="147.66999999999996"/>
    <n v="144.21999999999997"/>
    <n v="1.5"/>
    <n v="0"/>
    <n v="1.95"/>
    <n v="-1.1324274851176597E-14"/>
    <n v="531021.31999999983"/>
    <n v="518615.11999999988"/>
    <n v="5394"/>
    <n v="0"/>
    <n v="7012.2"/>
    <n v="7.0031092036515474E-11"/>
    <n v="9.3715478090094839E-2"/>
    <n v="147.66999999999999"/>
    <n v="-4.638422979041934E-11"/>
  </r>
  <r>
    <x v="1"/>
    <d v="2025-11-28T00:00:00"/>
    <s v="3271316101"/>
    <x v="3"/>
    <x v="3"/>
    <s v="NOS"/>
    <s v="ZFG1"/>
    <s v="FG0010"/>
    <n v="60"/>
    <n v="38701.800000000003"/>
    <n v="60"/>
    <n v="60"/>
    <x v="1"/>
    <n v="43713.599999999999"/>
    <s v="RV"/>
    <s v="Billing doc.transfer"/>
    <s v="01"/>
    <x v="0"/>
    <x v="2"/>
    <x v="2"/>
    <x v="0"/>
    <n v="4986.0000000000146"/>
    <n v="0.11406061271549392"/>
    <x v="0"/>
    <x v="3"/>
    <n v="60"/>
    <n v="645.02999999999963"/>
    <n v="582.23999999999967"/>
    <n v="29.88"/>
    <n v="0.43"/>
    <n v="32.480000000000004"/>
    <n v="0.42999999999996419"/>
    <n v="38727.599999999984"/>
    <n v="34934.39999999998"/>
    <n v="1792.8"/>
    <n v="25.8"/>
    <n v="1974.6000000000001"/>
    <n v="2.319211489520967E-11"/>
    <n v="0.11406061271549395"/>
    <n v="645.03000000000009"/>
    <n v="25.800000000004275"/>
  </r>
  <r>
    <x v="1"/>
    <d v="2025-11-28T00:00:00"/>
    <s v="3271316297"/>
    <x v="11"/>
    <x v="11"/>
    <s v="NOS"/>
    <s v="ZFG1"/>
    <s v="FG0010"/>
    <n v="935"/>
    <n v="305866.55"/>
    <n v="935"/>
    <n v="935"/>
    <x v="1"/>
    <n v="318900.45"/>
    <s v="RV"/>
    <s v="Billing doc.transfer"/>
    <s v="01"/>
    <x v="0"/>
    <x v="2"/>
    <x v="2"/>
    <x v="0"/>
    <n v="12874.949999999895"/>
    <n v="4.0372943970445621E-2"/>
    <x v="0"/>
    <x v="5"/>
    <n v="935"/>
    <n v="327.13000000000005"/>
    <n v="278.14000000000004"/>
    <n v="22.400000000000002"/>
    <n v="0.17"/>
    <n v="26.42"/>
    <n v="0.17000000000000526"/>
    <n v="306025.50000000012"/>
    <n v="260060.90000000005"/>
    <n v="20944.000000000004"/>
    <n v="158.95000000000002"/>
    <n v="24861.65"/>
    <n v="-6.9121597334742546E-11"/>
    <n v="4.0372943970445663E-2"/>
    <n v="327.13"/>
    <n v="158.95000000005894"/>
  </r>
  <r>
    <x v="1"/>
    <d v="2025-11-28T00:00:00"/>
    <s v="3271316101"/>
    <x v="4"/>
    <x v="4"/>
    <s v="NOS"/>
    <s v="ZFG1"/>
    <s v="FG0010"/>
    <n v="930"/>
    <n v="391911.3"/>
    <n v="930"/>
    <n v="930"/>
    <x v="1"/>
    <n v="449338.8"/>
    <s v="RV"/>
    <s v="Billing doc.transfer"/>
    <s v="01"/>
    <x v="0"/>
    <x v="2"/>
    <x v="2"/>
    <x v="0"/>
    <n v="57185.700000000186"/>
    <n v="0.12726632999420523"/>
    <x v="0"/>
    <x v="4"/>
    <n v="930"/>
    <n v="421.40999999999985"/>
    <n v="373.04999999999984"/>
    <n v="22"/>
    <n v="0.26"/>
    <n v="26.1"/>
    <n v="0.26000000000001222"/>
    <n v="392153.0999999998"/>
    <n v="346936.49999999983"/>
    <n v="20460"/>
    <n v="241.8"/>
    <n v="24514.799999999999"/>
    <n v="1.6370904631912708E-10"/>
    <n v="0.12726632999420529"/>
    <n v="421.40999999999997"/>
    <n v="241.79999999997744"/>
  </r>
  <r>
    <x v="1"/>
    <d v="2025-11-28T00:00:00"/>
    <s v="3271316297"/>
    <x v="5"/>
    <x v="5"/>
    <s v="NOS"/>
    <s v="ZFG1"/>
    <s v="FG0010"/>
    <n v="2740"/>
    <n v="896336.2"/>
    <n v="2740"/>
    <n v="2740"/>
    <x v="1"/>
    <n v="934531.8"/>
    <s v="RV"/>
    <s v="Billing doc.transfer"/>
    <s v="01"/>
    <x v="0"/>
    <x v="2"/>
    <x v="2"/>
    <x v="0"/>
    <n v="37729.800000000047"/>
    <n v="4.0372943970445996E-2"/>
    <x v="0"/>
    <x v="5"/>
    <n v="2740"/>
    <n v="327.13"/>
    <n v="278.14"/>
    <n v="22.400000000000002"/>
    <n v="0.17"/>
    <n v="26.42"/>
    <n v="0.17000000000000526"/>
    <n v="896802"/>
    <n v="762103.6"/>
    <n v="61376.000000000007"/>
    <n v="465.8"/>
    <n v="72856.600000000006"/>
    <n v="0"/>
    <n v="4.0372943970445996E-2"/>
    <n v="327.13"/>
    <n v="465.80000000001746"/>
  </r>
  <r>
    <x v="1"/>
    <d v="2025-11-28T00:00:00"/>
    <s v="3271316170"/>
    <x v="5"/>
    <x v="5"/>
    <s v="NOS"/>
    <s v="ZFG1"/>
    <s v="FG0010"/>
    <n v="2520"/>
    <n v="824367.6"/>
    <n v="2520"/>
    <n v="2520"/>
    <x v="1"/>
    <n v="859496.4"/>
    <s v="RV"/>
    <s v="Billing doc.transfer"/>
    <s v="01"/>
    <x v="0"/>
    <x v="2"/>
    <x v="2"/>
    <x v="0"/>
    <n v="34700.400000000023"/>
    <n v="4.0372943970445975E-2"/>
    <x v="0"/>
    <x v="5"/>
    <n v="2520"/>
    <n v="327.13"/>
    <n v="278.14"/>
    <n v="22.400000000000002"/>
    <n v="0.17"/>
    <n v="26.42"/>
    <n v="0.17000000000000526"/>
    <n v="824796"/>
    <n v="700912.79999999993"/>
    <n v="56448.000000000007"/>
    <n v="428.40000000000003"/>
    <n v="67006.8"/>
    <n v="0"/>
    <n v="4.0372943970445996E-2"/>
    <n v="327.13"/>
    <n v="428.40000000006694"/>
  </r>
  <r>
    <x v="1"/>
    <d v="2025-11-28T00:00:00"/>
    <s v="3271316101"/>
    <x v="8"/>
    <x v="8"/>
    <s v="NOS"/>
    <s v="ZFG1"/>
    <s v="FG0010"/>
    <n v="420"/>
    <n v="136584"/>
    <n v="420"/>
    <n v="420"/>
    <x v="1"/>
    <n v="149108.4"/>
    <s v="RV"/>
    <s v="Billing doc.transfer"/>
    <s v="01"/>
    <x v="0"/>
    <x v="2"/>
    <x v="2"/>
    <x v="0"/>
    <n v="12415.199999999983"/>
    <n v="8.3262914765365223E-2"/>
    <x v="0"/>
    <x v="7"/>
    <n v="420"/>
    <n v="325.19999999999993"/>
    <n v="271.52999999999997"/>
    <n v="23.84"/>
    <n v="0.26"/>
    <n v="29.569999999999997"/>
    <n v="0.25999999999996248"/>
    <n v="136693.20000000001"/>
    <n v="114042.59999999999"/>
    <n v="10012.799999999999"/>
    <n v="109.2"/>
    <n v="12528.599999999999"/>
    <n v="0"/>
    <n v="8.3262914765365181E-2"/>
    <n v="325.2"/>
    <n v="109.20000000002256"/>
  </r>
  <r>
    <x v="1"/>
    <d v="2025-11-28T00:00:00"/>
    <s v="3271316297"/>
    <x v="8"/>
    <x v="8"/>
    <s v="NOS"/>
    <s v="ZFG1"/>
    <s v="FG0010"/>
    <n v="120"/>
    <n v="39024"/>
    <n v="120"/>
    <n v="120"/>
    <x v="1"/>
    <n v="42602.400000000001"/>
    <s v="RV"/>
    <s v="Billing doc.transfer"/>
    <s v="01"/>
    <x v="0"/>
    <x v="2"/>
    <x v="2"/>
    <x v="0"/>
    <n v="3547.2000000000044"/>
    <n v="8.3262914765365431E-2"/>
    <x v="0"/>
    <x v="8"/>
    <n v="120"/>
    <n v="325.19999999999993"/>
    <n v="271.52999999999997"/>
    <n v="23.84"/>
    <n v="0.26"/>
    <n v="29.569999999999997"/>
    <n v="0.25999999999996248"/>
    <n v="39055.199999999997"/>
    <n v="32583.599999999999"/>
    <n v="2860.8"/>
    <n v="31.200000000000003"/>
    <n v="3579.5999999999995"/>
    <n v="0"/>
    <n v="8.3262914765365403E-2"/>
    <n v="325.2"/>
    <n v="31.199999999998909"/>
  </r>
  <r>
    <x v="1"/>
    <d v="2025-11-28T00:00:00"/>
    <s v="3271316101"/>
    <x v="9"/>
    <x v="9"/>
    <s v="NOS"/>
    <s v="ZFG1"/>
    <s v="FG0010"/>
    <n v="299"/>
    <n v="64763.4"/>
    <n v="299"/>
    <n v="299"/>
    <x v="1"/>
    <n v="66333.149999999994"/>
    <s v="RV"/>
    <s v="Billing doc.transfer"/>
    <s v="01"/>
    <x v="0"/>
    <x v="2"/>
    <x v="2"/>
    <x v="0"/>
    <n v="1557.7900000000081"/>
    <n v="2.3484336263241052E-2"/>
    <x v="0"/>
    <x v="9"/>
    <n v="299"/>
    <n v="216.59999999999994"/>
    <n v="174.98999999999995"/>
    <n v="18.389999999999997"/>
    <n v="0.04"/>
    <n v="23.18"/>
    <n v="3.9999999999988489E-2"/>
    <n v="64775.359999999986"/>
    <n v="52322.009999999987"/>
    <n v="5498.6099999999988"/>
    <n v="11.96"/>
    <n v="6942.78"/>
    <n v="1.546140993013978E-11"/>
    <n v="2.348433626324109E-2"/>
    <n v="216.6"/>
    <n v="11.960000000000036"/>
  </r>
  <r>
    <x v="1"/>
    <d v="2025-11-28T00:00:00"/>
    <s v="3271316491"/>
    <x v="12"/>
    <x v="12"/>
    <s v="NOS"/>
    <s v="ZFG1"/>
    <s v="FG0010"/>
    <n v="1260"/>
    <n v="412435.8"/>
    <n v="1260"/>
    <n v="1260"/>
    <x v="1"/>
    <n v="429748.2"/>
    <s v="RV"/>
    <s v="Billing doc.transfer"/>
    <s v="01"/>
    <x v="0"/>
    <x v="2"/>
    <x v="2"/>
    <x v="0"/>
    <n v="17110.79999999993"/>
    <n v="3.9815873574339418E-2"/>
    <x v="0"/>
    <x v="5"/>
    <n v="1260"/>
    <n v="327.32000000000005"/>
    <n v="278.11"/>
    <n v="20.62"/>
    <n v="0.17"/>
    <n v="28.42"/>
    <n v="0.17000000000003368"/>
    <n v="412637.40000000008"/>
    <n v="350418.60000000003"/>
    <n v="25981.200000000001"/>
    <n v="214.20000000000002"/>
    <n v="36023.4"/>
    <n v="12.599999999954889"/>
    <n v="3.9815873574339467E-2"/>
    <n v="327.33"/>
    <n v="214.20000000004802"/>
  </r>
  <r>
    <x v="1"/>
    <d v="2025-11-28T00:00:00"/>
    <s v="3271316319"/>
    <x v="13"/>
    <x v="13"/>
    <s v="NOS"/>
    <s v="ZROH"/>
    <s v="RM0005"/>
    <n v="4000"/>
    <n v="254844.77"/>
    <n v="4000"/>
    <n v="4000"/>
    <x v="1"/>
    <n v="260880"/>
    <s v="RV"/>
    <s v="Billing doc.transfer"/>
    <s v="01"/>
    <x v="2"/>
    <x v="4"/>
    <x v="4"/>
    <x v="0"/>
    <n v="260880"/>
    <n v="1"/>
    <x v="0"/>
    <x v="12"/>
    <n v="4000"/>
    <n v="0"/>
    <n v="0"/>
    <n v="0"/>
    <n v="0"/>
    <n v="0"/>
    <n v="0"/>
    <n v="0"/>
    <n v="0"/>
    <n v="0"/>
    <n v="0"/>
    <n v="0"/>
    <n v="254844.77"/>
    <n v="1"/>
    <n v="63.711192499999996"/>
    <n v="0"/>
  </r>
  <r>
    <x v="2"/>
    <d v="2025-11-27T00:00:00"/>
    <s v="3271315803"/>
    <x v="14"/>
    <x v="14"/>
    <s v="NOS"/>
    <s v="ZFG1"/>
    <s v="FG0010"/>
    <n v="3000"/>
    <n v="62430"/>
    <n v="3000"/>
    <n v="3000"/>
    <x v="2"/>
    <n v="43020"/>
    <s v="RV"/>
    <s v="Billing doc.transfer"/>
    <s v="01"/>
    <x v="0"/>
    <x v="2"/>
    <x v="2"/>
    <x v="0"/>
    <n v="-19410"/>
    <n v="-0.4511854951185495"/>
    <x v="0"/>
    <x v="13"/>
    <n v="3000"/>
    <n v="20.810000000000002"/>
    <n v="8.3800000000000008"/>
    <n v="11.49"/>
    <n v="0"/>
    <n v="0.94"/>
    <n v="1.3322676295501878E-15"/>
    <n v="62430"/>
    <n v="25140.000000000004"/>
    <n v="34470"/>
    <n v="0"/>
    <n v="2820"/>
    <n v="0"/>
    <n v="-0.45118549511854944"/>
    <n v="20.81"/>
    <n v="0"/>
  </r>
  <r>
    <x v="1"/>
    <d v="2025-11-27T00:00:00"/>
    <s v="3271315682"/>
    <x v="2"/>
    <x v="2"/>
    <s v="NOS"/>
    <s v="ZSFG"/>
    <s v="SF0045"/>
    <n v="2240"/>
    <n v="330780.79999999999"/>
    <n v="2240"/>
    <n v="2240"/>
    <x v="2"/>
    <n v="364985.59999999998"/>
    <s v="RV"/>
    <s v="Billing doc.transfer"/>
    <s v="01"/>
    <x v="1"/>
    <x v="1"/>
    <x v="1"/>
    <x v="0"/>
    <n v="34204.800000000047"/>
    <n v="9.3715478090094645E-2"/>
    <x v="0"/>
    <x v="2"/>
    <n v="2240"/>
    <n v="147.66999999999996"/>
    <n v="144.21999999999997"/>
    <n v="1.5"/>
    <n v="0"/>
    <n v="1.95"/>
    <n v="-1.1324274851176597E-14"/>
    <n v="330780.79999999993"/>
    <n v="323052.79999999993"/>
    <n v="3360"/>
    <n v="0"/>
    <n v="4368"/>
    <n v="5.8207660913467407E-11"/>
    <n v="9.3715478090094617E-2"/>
    <n v="147.66999999999999"/>
    <n v="0"/>
  </r>
  <r>
    <x v="1"/>
    <d v="2025-11-27T00:00:00"/>
    <s v="3271315800"/>
    <x v="2"/>
    <x v="2"/>
    <s v="NOS"/>
    <s v="ZSFG"/>
    <s v="SF0045"/>
    <n v="8812"/>
    <n v="1301268.04"/>
    <n v="8812"/>
    <n v="8812"/>
    <x v="2"/>
    <n v="1435827.28"/>
    <s v="RV"/>
    <s v="Billing doc.transfer"/>
    <s v="01"/>
    <x v="1"/>
    <x v="1"/>
    <x v="1"/>
    <x v="0"/>
    <n v="134559.24000000046"/>
    <n v="9.3715478090094825E-2"/>
    <x v="0"/>
    <x v="2"/>
    <n v="8812"/>
    <n v="147.66999999999996"/>
    <n v="144.21999999999997"/>
    <n v="1.5"/>
    <n v="0"/>
    <n v="1.95"/>
    <n v="-1.1324274851176597E-14"/>
    <n v="1301268.0399999996"/>
    <n v="1270866.6399999997"/>
    <n v="13218"/>
    <n v="0"/>
    <n v="17183.399999999998"/>
    <n v="3.7471181713044643E-10"/>
    <n v="9.3715478090094839E-2"/>
    <n v="147.67000000000002"/>
    <n v="-9.0949470177292824E-11"/>
  </r>
  <r>
    <x v="1"/>
    <d v="2025-11-27T00:00:00"/>
    <s v="3271315685"/>
    <x v="3"/>
    <x v="3"/>
    <s v="NOS"/>
    <s v="ZFG1"/>
    <s v="FG0010"/>
    <n v="36"/>
    <n v="23221.08"/>
    <n v="36"/>
    <n v="36"/>
    <x v="2"/>
    <n v="26228.16"/>
    <s v="RV"/>
    <s v="Billing doc.transfer"/>
    <s v="01"/>
    <x v="0"/>
    <x v="2"/>
    <x v="2"/>
    <x v="0"/>
    <n v="2991.6000000000131"/>
    <n v="0.11406061271549407"/>
    <x v="0"/>
    <x v="3"/>
    <n v="36"/>
    <n v="645.02999999999963"/>
    <n v="582.23999999999967"/>
    <n v="29.88"/>
    <n v="0.43"/>
    <n v="32.480000000000004"/>
    <n v="0.42999999999996419"/>
    <n v="23236.559999999987"/>
    <n v="20960.639999999989"/>
    <n v="1075.68"/>
    <n v="15.48"/>
    <n v="1184.7600000000002"/>
    <n v="1.2960299500264227E-11"/>
    <n v="0.11406061271549406"/>
    <n v="645.03000000000009"/>
    <n v="15.479999999997972"/>
  </r>
  <r>
    <x v="1"/>
    <d v="2025-11-27T00:00:00"/>
    <s v="3271315666"/>
    <x v="3"/>
    <x v="3"/>
    <s v="NOS"/>
    <s v="ZFG1"/>
    <s v="FG0010"/>
    <n v="140"/>
    <n v="90304.2"/>
    <n v="140"/>
    <n v="140"/>
    <x v="2"/>
    <n v="101998.39999999999"/>
    <s v="RV"/>
    <s v="Billing doc.transfer"/>
    <s v="01"/>
    <x v="0"/>
    <x v="2"/>
    <x v="2"/>
    <x v="0"/>
    <n v="11634.000000000058"/>
    <n v="0.11406061271549416"/>
    <x v="0"/>
    <x v="3"/>
    <n v="140"/>
    <n v="645.02999999999963"/>
    <n v="582.23999999999967"/>
    <n v="29.88"/>
    <n v="0.43"/>
    <n v="32.480000000000004"/>
    <n v="0.42999999999996419"/>
    <n v="90364.399999999936"/>
    <n v="81513.599999999948"/>
    <n v="4183.2"/>
    <n v="60.199999999999996"/>
    <n v="4607.4000000000005"/>
    <n v="4.9112713895738125E-11"/>
    <n v="0.11406061271549417"/>
    <n v="645.03"/>
    <n v="60.199999999987995"/>
  </r>
  <r>
    <x v="1"/>
    <d v="2025-11-27T00:00:00"/>
    <s v="3271315685"/>
    <x v="11"/>
    <x v="11"/>
    <s v="NOS"/>
    <s v="ZFG1"/>
    <s v="FG0010"/>
    <n v="1045"/>
    <n v="341850.85"/>
    <n v="1045"/>
    <n v="1045"/>
    <x v="2"/>
    <n v="356418.15"/>
    <s v="RV"/>
    <s v="Billing doc.transfer"/>
    <s v="01"/>
    <x v="0"/>
    <x v="2"/>
    <x v="2"/>
    <x v="0"/>
    <n v="14389.649999999965"/>
    <n v="4.037294397044585E-2"/>
    <x v="0"/>
    <x v="6"/>
    <n v="1045"/>
    <n v="327.13000000000005"/>
    <n v="278.14000000000004"/>
    <n v="22.400000000000002"/>
    <n v="0.17"/>
    <n v="26.42"/>
    <n v="0.17000000000000526"/>
    <n v="342028.50000000006"/>
    <n v="290656.30000000005"/>
    <n v="23408.000000000004"/>
    <n v="177.65"/>
    <n v="27786.550000000003"/>
    <n v="-7.6397554948925972E-11"/>
    <n v="4.0372943970445885E-2"/>
    <n v="327.13"/>
    <n v="177.65000000000509"/>
  </r>
  <r>
    <x v="1"/>
    <d v="2025-11-27T00:00:00"/>
    <s v="3271315666"/>
    <x v="4"/>
    <x v="4"/>
    <s v="NOS"/>
    <s v="ZFG1"/>
    <s v="FG0010"/>
    <n v="1205"/>
    <n v="507799.05"/>
    <n v="1205"/>
    <n v="1205"/>
    <x v="2"/>
    <n v="582207.80000000005"/>
    <s v="RV"/>
    <s v="Billing doc.transfer"/>
    <s v="01"/>
    <x v="0"/>
    <x v="2"/>
    <x v="2"/>
    <x v="0"/>
    <n v="74095.450000000244"/>
    <n v="0.12726632999420523"/>
    <x v="0"/>
    <x v="14"/>
    <n v="1205"/>
    <n v="421.40999999999985"/>
    <n v="373.04999999999984"/>
    <n v="22"/>
    <n v="0.26"/>
    <n v="26.1"/>
    <n v="0.26000000000001222"/>
    <n v="508112.3499999998"/>
    <n v="449525.24999999983"/>
    <n v="26510"/>
    <n v="313.3"/>
    <n v="31763.8"/>
    <n v="1.6370904631912708E-10"/>
    <n v="0.12726632999420517"/>
    <n v="421.40999999999997"/>
    <n v="313.29999999997744"/>
  </r>
  <r>
    <x v="1"/>
    <d v="2025-11-27T00:00:00"/>
    <s v="3271315685"/>
    <x v="5"/>
    <x v="5"/>
    <s v="NOS"/>
    <s v="ZFG1"/>
    <s v="FG0010"/>
    <n v="4750"/>
    <n v="1553867.5"/>
    <n v="4750"/>
    <n v="4750"/>
    <x v="2"/>
    <n v="1620082.5"/>
    <s v="RV"/>
    <s v="Billing doc.transfer"/>
    <s v="01"/>
    <x v="0"/>
    <x v="2"/>
    <x v="2"/>
    <x v="0"/>
    <n v="65407.5"/>
    <n v="4.0372943970445947E-2"/>
    <x v="0"/>
    <x v="5"/>
    <n v="4750"/>
    <n v="327.13"/>
    <n v="278.14"/>
    <n v="22.400000000000002"/>
    <n v="0.17"/>
    <n v="26.42"/>
    <n v="0.17000000000000526"/>
    <n v="1554675"/>
    <n v="1321165"/>
    <n v="106400.00000000001"/>
    <n v="807.50000000000011"/>
    <n v="126302.50000000001"/>
    <n v="0"/>
    <n v="4.0372943970445996E-2"/>
    <n v="327.13"/>
    <n v="807.4999999999709"/>
  </r>
  <r>
    <x v="1"/>
    <d v="2025-11-27T00:00:00"/>
    <s v="3271315666"/>
    <x v="8"/>
    <x v="8"/>
    <s v="NOS"/>
    <s v="ZFG1"/>
    <s v="FG0010"/>
    <n v="471"/>
    <n v="153169.20000000001"/>
    <n v="471"/>
    <n v="471"/>
    <x v="2"/>
    <n v="167214.42000000001"/>
    <s v="RV"/>
    <s v="Billing doc.transfer"/>
    <s v="01"/>
    <x v="0"/>
    <x v="2"/>
    <x v="2"/>
    <x v="0"/>
    <n v="13922.760000000038"/>
    <n v="8.3262914765365556E-2"/>
    <x v="0"/>
    <x v="8"/>
    <n v="471"/>
    <n v="325.19999999999993"/>
    <n v="271.52999999999997"/>
    <n v="23.84"/>
    <n v="0.26"/>
    <n v="29.569999999999997"/>
    <n v="0.25999999999996248"/>
    <n v="153291.65999999997"/>
    <n v="127890.62999999999"/>
    <n v="11228.64"/>
    <n v="122.46000000000001"/>
    <n v="14049.929999999998"/>
    <n v="2.3646862246096134E-11"/>
    <n v="8.3262914765365514E-2"/>
    <n v="325.20000000000005"/>
    <n v="122.45999999998639"/>
  </r>
  <r>
    <x v="1"/>
    <d v="2025-11-27T00:00:00"/>
    <s v="3271315685"/>
    <x v="8"/>
    <x v="8"/>
    <s v="NOS"/>
    <s v="ZFG1"/>
    <s v="FG0010"/>
    <n v="320"/>
    <n v="104064"/>
    <n v="320"/>
    <n v="320"/>
    <x v="2"/>
    <n v="113606.39999999999"/>
    <s v="RV"/>
    <s v="Billing doc.transfer"/>
    <s v="01"/>
    <x v="0"/>
    <x v="2"/>
    <x v="2"/>
    <x v="0"/>
    <n v="9459.1999999999971"/>
    <n v="8.3262914765365306E-2"/>
    <x v="0"/>
    <x v="7"/>
    <n v="320"/>
    <n v="325.19999999999993"/>
    <n v="271.52999999999997"/>
    <n v="23.84"/>
    <n v="0.26"/>
    <n v="29.569999999999997"/>
    <n v="0.25999999999996248"/>
    <n v="104147.2"/>
    <n v="86889.599999999991"/>
    <n v="7628.8"/>
    <n v="83.2"/>
    <n v="9545.6"/>
    <n v="0"/>
    <n v="8.3262914765365292E-2"/>
    <n v="325.2"/>
    <n v="83.200000000006185"/>
  </r>
  <r>
    <x v="1"/>
    <d v="2025-11-27T00:00:00"/>
    <s v="3271316044"/>
    <x v="8"/>
    <x v="8"/>
    <s v="NOS"/>
    <s v="ZFG1"/>
    <s v="FG0010"/>
    <n v="380"/>
    <n v="123576"/>
    <n v="380"/>
    <n v="380"/>
    <x v="2"/>
    <n v="134907.6"/>
    <s v="RV"/>
    <s v="Billing doc.transfer"/>
    <s v="01"/>
    <x v="0"/>
    <x v="2"/>
    <x v="2"/>
    <x v="0"/>
    <n v="11232.800000000017"/>
    <n v="8.3262914765365459E-2"/>
    <x v="0"/>
    <x v="8"/>
    <n v="380"/>
    <n v="325.19999999999993"/>
    <n v="271.52999999999997"/>
    <n v="23.84"/>
    <n v="0.26"/>
    <n v="29.569999999999997"/>
    <n v="0.25999999999996248"/>
    <n v="123674.79999999999"/>
    <n v="103181.4"/>
    <n v="9059.2000000000007"/>
    <n v="98.8"/>
    <n v="11335.399999999998"/>
    <n v="0"/>
    <n v="8.3262914765365403E-2"/>
    <n v="325.2"/>
    <n v="98.799999999995634"/>
  </r>
  <r>
    <x v="1"/>
    <d v="2025-11-27T00:00:00"/>
    <s v="3271316044"/>
    <x v="9"/>
    <x v="9"/>
    <s v="NOS"/>
    <s v="ZFG1"/>
    <s v="FG0010"/>
    <n v="120"/>
    <n v="25992"/>
    <n v="120"/>
    <n v="120"/>
    <x v="2"/>
    <n v="26622"/>
    <s v="RV"/>
    <s v="Billing doc.transfer"/>
    <s v="01"/>
    <x v="0"/>
    <x v="2"/>
    <x v="2"/>
    <x v="0"/>
    <n v="625.20000000000437"/>
    <n v="2.3484336263241094E-2"/>
    <x v="0"/>
    <x v="9"/>
    <n v="120"/>
    <n v="216.59999999999994"/>
    <n v="174.98999999999995"/>
    <n v="18.389999999999997"/>
    <n v="0.04"/>
    <n v="23.18"/>
    <n v="3.9999999999988489E-2"/>
    <n v="25996.799999999996"/>
    <n v="20998.799999999996"/>
    <n v="2206.7999999999997"/>
    <n v="4.8"/>
    <n v="2786.4"/>
    <n v="4.5474735088646412E-12"/>
    <n v="2.348433626324109E-2"/>
    <n v="216.6"/>
    <n v="4.8000000000001819"/>
  </r>
  <r>
    <x v="1"/>
    <d v="2025-11-27T00:00:00"/>
    <s v="3271315666"/>
    <x v="9"/>
    <x v="9"/>
    <s v="NOS"/>
    <s v="ZFG1"/>
    <s v="FG0010"/>
    <n v="276"/>
    <n v="59781.599999999999"/>
    <n v="276"/>
    <n v="276"/>
    <x v="2"/>
    <n v="61230.6"/>
    <s v="RV"/>
    <s v="Billing doc.transfer"/>
    <s v="01"/>
    <x v="0"/>
    <x v="2"/>
    <x v="2"/>
    <x v="0"/>
    <n v="1437.9600000000137"/>
    <n v="2.3484336263241153E-2"/>
    <x v="0"/>
    <x v="9"/>
    <n v="276"/>
    <n v="216.59999999999994"/>
    <n v="174.98999999999995"/>
    <n v="18.389999999999997"/>
    <n v="0.04"/>
    <n v="23.18"/>
    <n v="3.9999999999988489E-2"/>
    <n v="59792.639999999985"/>
    <n v="48297.239999999983"/>
    <n v="5075.6399999999994"/>
    <n v="11.040000000000001"/>
    <n v="6408.72"/>
    <n v="1.546140993013978E-11"/>
    <n v="2.3484336263241201E-2"/>
    <n v="216.6"/>
    <n v="11.040000000001783"/>
  </r>
  <r>
    <x v="1"/>
    <d v="2025-11-27T00:00:00"/>
    <s v="3277067099"/>
    <x v="11"/>
    <x v="11"/>
    <s v="NOS"/>
    <s v="ZFG1"/>
    <s v="FG0010"/>
    <n v="-4"/>
    <n v="-1308.52"/>
    <n v="-4"/>
    <n v="-4"/>
    <x v="2"/>
    <n v="-1364.28"/>
    <s v="RV"/>
    <s v="Billing doc.transfer"/>
    <s v="01"/>
    <x v="0"/>
    <x v="2"/>
    <x v="2"/>
    <x v="0"/>
    <n v="-55.079999999999927"/>
    <n v="4.0372943970445899E-2"/>
    <x v="0"/>
    <x v="5"/>
    <n v="-4"/>
    <n v="327.13000000000005"/>
    <n v="278.14000000000004"/>
    <n v="22.400000000000002"/>
    <n v="0.17"/>
    <n v="26.42"/>
    <n v="0.17000000000000526"/>
    <n v="-1309.2"/>
    <n v="-1112.5600000000002"/>
    <n v="-89.600000000000009"/>
    <n v="-0.68"/>
    <n v="-106.36000000000001"/>
    <n v="2.1316282072803006E-13"/>
    <n v="4.0372943970445885E-2"/>
    <n v="327.13"/>
    <n v="-0.6799999999998505"/>
  </r>
  <r>
    <x v="1"/>
    <d v="2025-11-27T00:00:00"/>
    <s v="3277067099"/>
    <x v="7"/>
    <x v="7"/>
    <s v="NOS"/>
    <s v="ZFG1"/>
    <s v="FG0010"/>
    <n v="-8"/>
    <n v="-2616.8000000000002"/>
    <n v="-8"/>
    <n v="-8"/>
    <x v="2"/>
    <n v="-2728.56"/>
    <s v="RV"/>
    <s v="Billing doc.transfer"/>
    <s v="01"/>
    <x v="0"/>
    <x v="2"/>
    <x v="2"/>
    <x v="0"/>
    <n v="-110.40000000000055"/>
    <n v="4.0460902454041894E-2"/>
    <x v="0"/>
    <x v="5"/>
    <n v="-8"/>
    <n v="327.09999999999991"/>
    <n v="278.1099999999999"/>
    <n v="22.400000000000002"/>
    <n v="0.17"/>
    <n v="26.42"/>
    <n v="0.17000000000000526"/>
    <n v="-2618.1599999999994"/>
    <n v="-2224.8799999999992"/>
    <n v="-179.20000000000002"/>
    <n v="-1.36"/>
    <n v="-212.72000000000003"/>
    <n v="-9.3791641120333225E-13"/>
    <n v="4.046090245404188E-2"/>
    <n v="327.10000000000002"/>
    <n v="-1.3600000000001558"/>
  </r>
  <r>
    <x v="1"/>
    <d v="2025-11-27T00:00:00"/>
    <s v="3277067089"/>
    <x v="15"/>
    <x v="15"/>
    <s v="NOS"/>
    <s v="ZFG1"/>
    <s v="FG0010"/>
    <n v="-1135"/>
    <n v="-478266.3"/>
    <n v="-1135"/>
    <n v="-1135"/>
    <x v="2"/>
    <n v="-548386.6"/>
    <s v="RV"/>
    <s v="Billing doc.transfer"/>
    <s v="01"/>
    <x v="0"/>
    <x v="2"/>
    <x v="2"/>
    <x v="0"/>
    <n v="-69825.200000000244"/>
    <n v="0.1273284212269232"/>
    <x v="0"/>
    <x v="4"/>
    <n v="-1135"/>
    <n v="421.37999999999982"/>
    <n v="373.01999999999981"/>
    <n v="22"/>
    <n v="0.26"/>
    <n v="26.1"/>
    <n v="0.26000000000001222"/>
    <n v="-478561.39999999973"/>
    <n v="-423377.69999999978"/>
    <n v="-24970"/>
    <n v="-295.10000000000002"/>
    <n v="-29918.6"/>
    <n v="-2.1100277081131935E-10"/>
    <n v="0.12732842122692323"/>
    <n v="421.38"/>
    <n v="-295.09999999995489"/>
  </r>
  <r>
    <x v="1"/>
    <d v="2025-11-27T00:00:00"/>
    <s v="3277067090"/>
    <x v="15"/>
    <x v="15"/>
    <s v="NOS"/>
    <s v="ZFG1"/>
    <s v="FG0010"/>
    <n v="-895"/>
    <n v="-377135.1"/>
    <n v="-895"/>
    <n v="-895"/>
    <x v="2"/>
    <n v="-432428.2"/>
    <s v="RV"/>
    <s v="Billing doc.transfer"/>
    <s v="01"/>
    <x v="0"/>
    <x v="2"/>
    <x v="2"/>
    <x v="0"/>
    <n v="-55060.40000000014"/>
    <n v="0.12732842122692309"/>
    <x v="0"/>
    <x v="14"/>
    <n v="-895"/>
    <n v="421.37999999999982"/>
    <n v="373.01999999999981"/>
    <n v="22"/>
    <n v="0.26"/>
    <n v="26.1"/>
    <n v="0.26000000000001222"/>
    <n v="-377367.79999999987"/>
    <n v="-333852.89999999985"/>
    <n v="-19690"/>
    <n v="-232.70000000000002"/>
    <n v="-23592.2"/>
    <n v="-1.2732925824820995E-10"/>
    <n v="0.12732842122692312"/>
    <n v="421.38"/>
    <n v="-232.70000000002256"/>
  </r>
  <r>
    <x v="1"/>
    <d v="2025-11-27T00:00:00"/>
    <s v="3277067091"/>
    <x v="15"/>
    <x v="15"/>
    <s v="NOS"/>
    <s v="ZFG1"/>
    <s v="FG0010"/>
    <n v="-580"/>
    <n v="-244400.4"/>
    <n v="-580"/>
    <n v="-580"/>
    <x v="2"/>
    <n v="-280232.8"/>
    <s v="RV"/>
    <s v="Billing doc.transfer"/>
    <s v="01"/>
    <x v="0"/>
    <x v="2"/>
    <x v="2"/>
    <x v="0"/>
    <n v="-35681.600000000122"/>
    <n v="0.1273284212269232"/>
    <x v="0"/>
    <x v="4"/>
    <n v="-580"/>
    <n v="421.37999999999982"/>
    <n v="373.01999999999981"/>
    <n v="22"/>
    <n v="0.26"/>
    <n v="26.1"/>
    <n v="0.26000000000001222"/>
    <n v="-244551.19999999987"/>
    <n v="-216351.59999999989"/>
    <n v="-12760"/>
    <n v="-150.80000000000001"/>
    <n v="-15288.8"/>
    <n v="-1.0550138540565968E-10"/>
    <n v="0.12732842122692323"/>
    <n v="421.38"/>
    <n v="-150.79999999997744"/>
  </r>
  <r>
    <x v="1"/>
    <d v="2025-11-27T00:00:00"/>
    <s v="3277067092"/>
    <x v="15"/>
    <x v="15"/>
    <s v="NOS"/>
    <s v="ZFG1"/>
    <s v="FG0010"/>
    <n v="-350"/>
    <n v="-147483"/>
    <n v="-350"/>
    <n v="-350"/>
    <x v="2"/>
    <n v="-169106"/>
    <s v="RV"/>
    <s v="Billing doc.transfer"/>
    <s v="01"/>
    <x v="0"/>
    <x v="2"/>
    <x v="2"/>
    <x v="0"/>
    <n v="-21532.000000000058"/>
    <n v="0.12732842122692312"/>
    <x v="0"/>
    <x v="14"/>
    <n v="-350"/>
    <n v="421.37999999999982"/>
    <n v="373.01999999999981"/>
    <n v="22"/>
    <n v="0.26"/>
    <n v="26.1"/>
    <n v="0.26000000000001222"/>
    <n v="-147573.99999999994"/>
    <n v="-130556.99999999993"/>
    <n v="-7700"/>
    <n v="-91"/>
    <n v="-9226"/>
    <n v="-7.2759576141834259E-11"/>
    <n v="0.12732842122692312"/>
    <n v="421.38"/>
    <n v="-91.000000000014552"/>
  </r>
  <r>
    <x v="1"/>
    <d v="2025-11-27T00:00:00"/>
    <s v="3277067093"/>
    <x v="9"/>
    <x v="9"/>
    <s v="NOS"/>
    <s v="ZFG1"/>
    <s v="FG0010"/>
    <n v="-1"/>
    <n v="-216.6"/>
    <n v="-1"/>
    <n v="-1"/>
    <x v="2"/>
    <n v="-230.41"/>
    <s v="RV"/>
    <s v="Billing doc.transfer"/>
    <s v="01"/>
    <x v="0"/>
    <x v="2"/>
    <x v="2"/>
    <x v="0"/>
    <n v="-13.770000000000067"/>
    <n v="5.9763031118441334E-2"/>
    <x v="0"/>
    <x v="15"/>
    <n v="-1"/>
    <n v="216.59999999999994"/>
    <n v="174.98999999999995"/>
    <n v="18.389999999999997"/>
    <n v="0.04"/>
    <n v="23.18"/>
    <n v="3.9999999999988489E-2"/>
    <n v="-216.63999999999993"/>
    <n v="-174.98999999999995"/>
    <n v="-18.389999999999997"/>
    <n v="-0.04"/>
    <n v="-23.22"/>
    <n v="-4.6185277824406512E-14"/>
    <n v="5.9763031118441279E-2"/>
    <n v="216.6"/>
    <n v="-3.9999999999981384E-2"/>
  </r>
  <r>
    <x v="1"/>
    <d v="2025-11-27T00:00:00"/>
    <s v="3277067094"/>
    <x v="15"/>
    <x v="15"/>
    <s v="NOS"/>
    <s v="ZFG1"/>
    <s v="FG0010"/>
    <n v="-1"/>
    <n v="-421.38"/>
    <n v="-1"/>
    <n v="-1"/>
    <x v="2"/>
    <n v="-483.16"/>
    <s v="RV"/>
    <s v="Billing doc.transfer"/>
    <s v="01"/>
    <x v="0"/>
    <x v="2"/>
    <x v="2"/>
    <x v="0"/>
    <n v="-61.520000000000209"/>
    <n v="0.12732842122692317"/>
    <x v="0"/>
    <x v="14"/>
    <n v="-1"/>
    <n v="421.37999999999982"/>
    <n v="373.01999999999981"/>
    <n v="22"/>
    <n v="0.26"/>
    <n v="26.1"/>
    <n v="0.26000000000001222"/>
    <n v="-421.63999999999982"/>
    <n v="-373.01999999999981"/>
    <n v="-22"/>
    <n v="-0.26"/>
    <n v="-26.360000000000003"/>
    <n v="-1.8118839761882555E-13"/>
    <n v="0.12732842122692323"/>
    <n v="421.38"/>
    <n v="-0.26000000000000156"/>
  </r>
  <r>
    <x v="1"/>
    <d v="2025-11-27T00:00:00"/>
    <s v="3277067095"/>
    <x v="7"/>
    <x v="7"/>
    <s v="NOS"/>
    <s v="ZFG1"/>
    <s v="FG0010"/>
    <n v="-3"/>
    <n v="-981.3"/>
    <n v="-3"/>
    <n v="-3"/>
    <x v="2"/>
    <n v="-1074.8699999999999"/>
    <s v="RV"/>
    <s v="Billing doc.transfer"/>
    <s v="01"/>
    <x v="0"/>
    <x v="2"/>
    <x v="2"/>
    <x v="0"/>
    <n v="-93.060000000000173"/>
    <n v="8.6577911747467304E-2"/>
    <x v="0"/>
    <x v="16"/>
    <n v="-3"/>
    <n v="327.09999999999991"/>
    <n v="278.1099999999999"/>
    <n v="22.400000000000002"/>
    <n v="0.17"/>
    <n v="26.42"/>
    <n v="0.17000000000000526"/>
    <n v="-981.80999999999972"/>
    <n v="-834.3299999999997"/>
    <n v="-67.2"/>
    <n v="-0.51"/>
    <n v="-79.77000000000001"/>
    <n v="-2.4158453015843406E-13"/>
    <n v="8.6577911747467318E-2"/>
    <n v="327.09999999999997"/>
    <n v="-0.51000000000000512"/>
  </r>
  <r>
    <x v="1"/>
    <d v="2025-11-27T00:00:00"/>
    <s v="3277067095"/>
    <x v="11"/>
    <x v="11"/>
    <s v="NOS"/>
    <s v="ZFG1"/>
    <s v="FG0010"/>
    <n v="-3"/>
    <n v="-981.39"/>
    <n v="-3"/>
    <n v="-3"/>
    <x v="2"/>
    <n v="-1074.8699999999999"/>
    <s v="RV"/>
    <s v="Billing doc.transfer"/>
    <s v="01"/>
    <x v="0"/>
    <x v="2"/>
    <x v="2"/>
    <x v="0"/>
    <n v="-92.9699999999998"/>
    <n v="8.649418069161835E-2"/>
    <x v="0"/>
    <x v="16"/>
    <n v="-3"/>
    <n v="327.13000000000005"/>
    <n v="278.14000000000004"/>
    <n v="22.400000000000002"/>
    <n v="0.17"/>
    <n v="26.42"/>
    <n v="0.17000000000000526"/>
    <n v="-981.90000000000009"/>
    <n v="-834.42000000000007"/>
    <n v="-67.2"/>
    <n v="-0.51"/>
    <n v="-79.77000000000001"/>
    <n v="0"/>
    <n v="8.6494180691618294E-2"/>
    <n v="327.13"/>
    <n v="-0.51000000000000512"/>
  </r>
  <r>
    <x v="1"/>
    <d v="2025-11-27T00:00:00"/>
    <s v="3277067096"/>
    <x v="16"/>
    <x v="16"/>
    <s v="NOS"/>
    <s v="ZFG1"/>
    <s v="FG0010"/>
    <n v="-4"/>
    <n v="-1305.08"/>
    <n v="-4"/>
    <n v="-4"/>
    <x v="2"/>
    <n v="-1463.52"/>
    <s v="RV"/>
    <s v="Billing doc.transfer"/>
    <s v="01"/>
    <x v="0"/>
    <x v="2"/>
    <x v="2"/>
    <x v="0"/>
    <n v="-157.44000000000005"/>
    <n v="0.10757625450967534"/>
    <x v="0"/>
    <x v="17"/>
    <n v="-4"/>
    <n v="326.27"/>
    <n v="271.52999999999997"/>
    <n v="20.94"/>
    <n v="0.25"/>
    <n v="33.550000000000004"/>
    <n v="0.25000000000000711"/>
    <n v="-1306.08"/>
    <n v="-1086.1199999999999"/>
    <n v="-83.76"/>
    <n v="-1"/>
    <n v="-135.20000000000002"/>
    <n v="0"/>
    <n v="0.10757625450967534"/>
    <n v="326.27"/>
    <n v="-1.0000000000000284"/>
  </r>
  <r>
    <x v="1"/>
    <d v="2025-11-27T00:00:00"/>
    <s v="3277067098"/>
    <x v="5"/>
    <x v="5"/>
    <s v="NOS"/>
    <s v="ZFG1"/>
    <s v="FG0010"/>
    <n v="-14"/>
    <n v="-4579.82"/>
    <n v="-14"/>
    <n v="-14"/>
    <x v="2"/>
    <n v="-5016.0600000000004"/>
    <s v="RV"/>
    <s v="Billing doc.transfer"/>
    <s v="01"/>
    <x v="0"/>
    <x v="2"/>
    <x v="2"/>
    <x v="0"/>
    <n v="-433.85999999999967"/>
    <n v="8.6494180691618447E-2"/>
    <x v="0"/>
    <x v="18"/>
    <n v="-14"/>
    <n v="327.13"/>
    <n v="278.14"/>
    <n v="22.400000000000002"/>
    <n v="0.17"/>
    <n v="26.42"/>
    <n v="0.17000000000000526"/>
    <n v="-4582.2000000000007"/>
    <n v="-3893.96"/>
    <n v="-313.60000000000002"/>
    <n v="-2.3800000000000003"/>
    <n v="-372.26"/>
    <n v="0"/>
    <n v="8.6494180691618405E-2"/>
    <n v="327.13"/>
    <n v="-2.3800000000006776"/>
  </r>
  <r>
    <x v="1"/>
    <d v="2025-11-27T00:00:00"/>
    <s v="3277067098"/>
    <x v="4"/>
    <x v="4"/>
    <s v="NOS"/>
    <s v="ZFG1"/>
    <s v="FG0010"/>
    <n v="-6"/>
    <n v="-2528.46"/>
    <n v="-6"/>
    <n v="-6"/>
    <x v="2"/>
    <n v="-2898.96"/>
    <s v="RV"/>
    <s v="Billing doc.transfer"/>
    <s v="01"/>
    <x v="0"/>
    <x v="2"/>
    <x v="2"/>
    <x v="0"/>
    <n v="-368.94000000000096"/>
    <n v="0.12726632999420515"/>
    <x v="0"/>
    <x v="14"/>
    <n v="-6"/>
    <n v="421.40999999999985"/>
    <n v="373.04999999999984"/>
    <n v="22"/>
    <n v="0.26"/>
    <n v="26.1"/>
    <n v="0.26000000000001222"/>
    <n v="-2530.0199999999991"/>
    <n v="-2238.2999999999993"/>
    <n v="-132"/>
    <n v="-1.56"/>
    <n v="-158.16000000000003"/>
    <n v="-7.3896444519050419E-13"/>
    <n v="0.12726632999420517"/>
    <n v="421.41"/>
    <n v="-1.5599999999997749"/>
  </r>
  <r>
    <x v="1"/>
    <d v="2025-11-27T00:00:00"/>
    <s v="3277067098"/>
    <x v="16"/>
    <x v="16"/>
    <s v="NOS"/>
    <s v="ZFG1"/>
    <s v="FG0010"/>
    <n v="-20"/>
    <n v="-6525.4"/>
    <n v="-20"/>
    <n v="-20"/>
    <x v="2"/>
    <n v="-7317.6"/>
    <s v="RV"/>
    <s v="Billing doc.transfer"/>
    <s v="01"/>
    <x v="0"/>
    <x v="2"/>
    <x v="2"/>
    <x v="0"/>
    <n v="-787.20000000000073"/>
    <n v="0.1075762545096754"/>
    <x v="0"/>
    <x v="17"/>
    <n v="-20"/>
    <n v="326.27"/>
    <n v="271.52999999999997"/>
    <n v="20.94"/>
    <n v="0.25"/>
    <n v="33.550000000000004"/>
    <n v="0.25000000000000711"/>
    <n v="-6530.4"/>
    <n v="-5430.5999999999995"/>
    <n v="-418.8"/>
    <n v="-5"/>
    <n v="-676.00000000000011"/>
    <n v="0"/>
    <n v="0.10757625450967545"/>
    <n v="326.27"/>
    <n v="-5.0000000000001137"/>
  </r>
  <r>
    <x v="1"/>
    <d v="2025-11-27T00:00:00"/>
    <s v="3277067101"/>
    <x v="17"/>
    <x v="17"/>
    <s v="NOS"/>
    <s v="ZFG1"/>
    <s v="FG0010"/>
    <n v="-2"/>
    <n v="-931.8"/>
    <n v="-2"/>
    <n v="-2"/>
    <x v="2"/>
    <n v="-990"/>
    <s v="RV"/>
    <s v="Billing doc.transfer"/>
    <s v="01"/>
    <x v="0"/>
    <x v="2"/>
    <x v="2"/>
    <x v="0"/>
    <n v="-57.660000000000423"/>
    <n v="5.8242424242424672E-2"/>
    <x v="0"/>
    <x v="19"/>
    <n v="-2"/>
    <n v="465.89999999999981"/>
    <n v="393.01999999999981"/>
    <n v="35.550000000000004"/>
    <n v="0.27"/>
    <n v="37.06"/>
    <n v="0.26999999999998892"/>
    <n v="-932.33999999999958"/>
    <n v="-786.03999999999962"/>
    <n v="-71.100000000000009"/>
    <n v="-0.54"/>
    <n v="-74.660000000000011"/>
    <n v="-3.1263880373444408E-13"/>
    <n v="5.8242424242424651E-2"/>
    <n v="465.9"/>
    <n v="-0.5399999999999352"/>
  </r>
  <r>
    <x v="1"/>
    <d v="2025-11-27T00:00:00"/>
    <s v="3277067126"/>
    <x v="3"/>
    <x v="3"/>
    <s v="NOS"/>
    <s v="ZFG1"/>
    <s v="FG0010"/>
    <n v="-188"/>
    <n v="-121265.64"/>
    <n v="-188"/>
    <n v="-188"/>
    <x v="2"/>
    <n v="-136969.28"/>
    <s v="RV"/>
    <s v="Billing doc.transfer"/>
    <s v="01"/>
    <x v="0"/>
    <x v="2"/>
    <x v="2"/>
    <x v="0"/>
    <n v="-15622.800000000061"/>
    <n v="0.11406061271549402"/>
    <x v="0"/>
    <x v="3"/>
    <n v="-188"/>
    <n v="645.02999999999963"/>
    <n v="582.23999999999967"/>
    <n v="29.88"/>
    <n v="0.43"/>
    <n v="32.480000000000004"/>
    <n v="0.42999999999996419"/>
    <n v="-121346.47999999994"/>
    <n v="-109461.11999999994"/>
    <n v="-5617.44"/>
    <n v="-80.84"/>
    <n v="-6187.0800000000008"/>
    <n v="-6.184563972055912E-11"/>
    <n v="0.11406061271549406"/>
    <n v="645.03"/>
    <n v="-80.840000000000146"/>
  </r>
  <r>
    <x v="1"/>
    <d v="2025-11-27T00:00:00"/>
    <s v="3277067136"/>
    <x v="3"/>
    <x v="3"/>
    <s v="NOS"/>
    <s v="ZFG1"/>
    <s v="FG0010"/>
    <n v="-70"/>
    <n v="-45152.1"/>
    <n v="-70"/>
    <n v="-70"/>
    <x v="2"/>
    <n v="-50999.199999999997"/>
    <s v="RV"/>
    <s v="Billing doc.transfer"/>
    <s v="01"/>
    <x v="0"/>
    <x v="2"/>
    <x v="2"/>
    <x v="0"/>
    <n v="-5817.0000000000291"/>
    <n v="0.11406061271549416"/>
    <x v="0"/>
    <x v="3"/>
    <n v="-70"/>
    <n v="645.02999999999963"/>
    <n v="582.23999999999967"/>
    <n v="29.88"/>
    <n v="0.43"/>
    <n v="32.480000000000004"/>
    <n v="0.42999999999996419"/>
    <n v="-45182.199999999968"/>
    <n v="-40756.799999999974"/>
    <n v="-2091.6"/>
    <n v="-30.099999999999998"/>
    <n v="-2303.7000000000003"/>
    <n v="-2.4556356947869062E-11"/>
    <n v="0.11406061271549417"/>
    <n v="645.03"/>
    <n v="-30.099999999993997"/>
  </r>
  <r>
    <x v="1"/>
    <d v="2025-11-27T00:00:00"/>
    <s v="3277067137"/>
    <x v="3"/>
    <x v="3"/>
    <s v="NOS"/>
    <s v="ZFG1"/>
    <s v="FG0010"/>
    <n v="-105"/>
    <n v="-67728.149999999994"/>
    <n v="-105"/>
    <n v="-105"/>
    <x v="2"/>
    <n v="-76498.8"/>
    <s v="RV"/>
    <s v="Billing doc.transfer"/>
    <s v="01"/>
    <x v="0"/>
    <x v="2"/>
    <x v="2"/>
    <x v="0"/>
    <n v="-8725.5000000000437"/>
    <n v="0.11406061271549414"/>
    <x v="0"/>
    <x v="20"/>
    <n v="-105"/>
    <n v="645.02999999999963"/>
    <n v="582.23999999999967"/>
    <n v="29.88"/>
    <n v="0.43"/>
    <n v="32.480000000000004"/>
    <n v="0.42999999999996419"/>
    <n v="-67773.299999999959"/>
    <n v="-61135.199999999968"/>
    <n v="-3137.4"/>
    <n v="-45.15"/>
    <n v="-3455.5500000000006"/>
    <n v="-2.5465851649641991E-11"/>
    <n v="0.11406061271549417"/>
    <n v="645.03"/>
    <n v="-45.149999999990541"/>
  </r>
  <r>
    <x v="1"/>
    <d v="2025-11-27T00:00:00"/>
    <s v="3277067139"/>
    <x v="15"/>
    <x v="15"/>
    <s v="NOS"/>
    <s v="ZFG1"/>
    <s v="FG0010"/>
    <n v="-3"/>
    <n v="-1264.1400000000001"/>
    <n v="-3"/>
    <n v="-3"/>
    <x v="2"/>
    <n v="-1449.48"/>
    <s v="RV"/>
    <s v="Billing doc.transfer"/>
    <s v="01"/>
    <x v="0"/>
    <x v="2"/>
    <x v="2"/>
    <x v="0"/>
    <n v="-184.56000000000063"/>
    <n v="0.1273284212269232"/>
    <x v="0"/>
    <x v="14"/>
    <n v="-3"/>
    <n v="421.37999999999982"/>
    <n v="373.01999999999981"/>
    <n v="22"/>
    <n v="0.26"/>
    <n v="26.1"/>
    <n v="0.26000000000001222"/>
    <n v="-1264.9199999999994"/>
    <n v="-1119.0599999999995"/>
    <n v="-66"/>
    <n v="-0.78"/>
    <n v="-79.080000000000013"/>
    <n v="-5.9685589803848416E-13"/>
    <n v="0.12732842122692323"/>
    <n v="421.38000000000005"/>
    <n v="-0.77999999999988745"/>
  </r>
  <r>
    <x v="1"/>
    <d v="2025-11-27T00:00:00"/>
    <s v="3277067142"/>
    <x v="18"/>
    <x v="18"/>
    <s v="NOS"/>
    <s v="ZSFG"/>
    <s v="SF0045"/>
    <n v="-76"/>
    <n v="-14513.72"/>
    <n v="-76"/>
    <n v="-76"/>
    <x v="2"/>
    <n v="-15789.76"/>
    <s v="RV"/>
    <s v="Billing doc.transfer"/>
    <s v="01"/>
    <x v="1"/>
    <x v="1"/>
    <x v="1"/>
    <x v="0"/>
    <n v="-1276.0400000000009"/>
    <n v="8.0814401232191038E-2"/>
    <x v="0"/>
    <x v="21"/>
    <n v="-76"/>
    <n v="190.96999999999997"/>
    <n v="187.51999999999998"/>
    <n v="1.5"/>
    <n v="0"/>
    <n v="1.95"/>
    <n v="-1.1324274851176597E-14"/>
    <n v="-14513.72"/>
    <n v="-14251.519999999999"/>
    <n v="-114"/>
    <n v="0"/>
    <n v="-148.19999999999999"/>
    <n v="-7.3896444519050419E-13"/>
    <n v="8.081440123219108E-2"/>
    <n v="190.97"/>
    <n v="-7.3896444519050419E-13"/>
  </r>
  <r>
    <x v="3"/>
    <d v="2025-11-26T00:00:00"/>
    <s v="3271315340"/>
    <x v="1"/>
    <x v="1"/>
    <s v="NOS"/>
    <s v="ZFG1"/>
    <s v="FG0011"/>
    <n v="4100"/>
    <n v="1891617"/>
    <n v="4100"/>
    <n v="4100"/>
    <x v="3"/>
    <n v="2703171"/>
    <s v="RV"/>
    <s v="Billing doc.transfer"/>
    <s v="01"/>
    <x v="0"/>
    <x v="0"/>
    <x v="0"/>
    <x v="0"/>
    <n v="810569.99999999977"/>
    <n v="0.29985894344086994"/>
    <x v="0"/>
    <x v="22"/>
    <n v="4100"/>
    <n v="461.37"/>
    <n v="401.59000000000003"/>
    <n v="28.32"/>
    <n v="0.24"/>
    <n v="31.22"/>
    <n v="0.23999999999997357"/>
    <n v="1892601.0000000002"/>
    <n v="1646519.0000000002"/>
    <n v="116112"/>
    <n v="984"/>
    <n v="128986"/>
    <n v="-2.3283064365386963E-10"/>
    <n v="0.29985894344086994"/>
    <n v="461.37"/>
    <n v="984"/>
  </r>
  <r>
    <x v="1"/>
    <d v="2025-11-26T00:00:00"/>
    <s v="3271315292"/>
    <x v="16"/>
    <x v="16"/>
    <s v="NOS"/>
    <s v="ZFG1"/>
    <s v="FG0010"/>
    <n v="1080"/>
    <n v="352371.6"/>
    <n v="1080"/>
    <n v="1080"/>
    <x v="3"/>
    <n v="392644.8"/>
    <s v="RV"/>
    <s v="Billing doc.transfer"/>
    <s v="01"/>
    <x v="0"/>
    <x v="2"/>
    <x v="2"/>
    <x v="0"/>
    <n v="40003.200000000012"/>
    <n v="0.10188139509296956"/>
    <x v="0"/>
    <x v="23"/>
    <n v="1080"/>
    <n v="326.27"/>
    <n v="271.52999999999997"/>
    <n v="20.94"/>
    <n v="0.25"/>
    <n v="33.550000000000004"/>
    <n v="0.25000000000000711"/>
    <n v="352641.6"/>
    <n v="293252.39999999997"/>
    <n v="22615.200000000001"/>
    <n v="270"/>
    <n v="36504.000000000007"/>
    <n v="0"/>
    <n v="0.10188139509296956"/>
    <n v="326.27"/>
    <n v="270.00000000000728"/>
  </r>
  <r>
    <x v="1"/>
    <d v="2025-11-26T00:00:00"/>
    <s v="3271315336"/>
    <x v="11"/>
    <x v="11"/>
    <s v="NOS"/>
    <s v="ZFG1"/>
    <s v="FG0010"/>
    <n v="1154"/>
    <n v="377508.02"/>
    <n v="1154"/>
    <n v="1154"/>
    <x v="3"/>
    <n v="393594.78"/>
    <s v="RV"/>
    <s v="Billing doc.transfer"/>
    <s v="01"/>
    <x v="0"/>
    <x v="2"/>
    <x v="2"/>
    <x v="0"/>
    <n v="15890.580000000016"/>
    <n v="4.0372943970445989E-2"/>
    <x v="0"/>
    <x v="6"/>
    <n v="1154"/>
    <n v="327.13000000000005"/>
    <n v="278.14000000000004"/>
    <n v="22.400000000000002"/>
    <n v="0.17"/>
    <n v="26.42"/>
    <n v="0.17000000000000526"/>
    <n v="377704.2"/>
    <n v="320973.56000000006"/>
    <n v="25849.600000000002"/>
    <n v="196.18"/>
    <n v="30684.86"/>
    <n v="-4.0017766878008842E-11"/>
    <n v="4.0372943970445996E-2"/>
    <n v="327.13"/>
    <n v="196.179999999953"/>
  </r>
  <r>
    <x v="1"/>
    <d v="2025-11-26T00:00:00"/>
    <s v="3271315336"/>
    <x v="4"/>
    <x v="4"/>
    <s v="NOS"/>
    <s v="ZFG1"/>
    <s v="FG0010"/>
    <n v="1100"/>
    <n v="463551"/>
    <n v="1100"/>
    <n v="1100"/>
    <x v="3"/>
    <n v="531476"/>
    <s v="RV"/>
    <s v="Billing doc.transfer"/>
    <s v="01"/>
    <x v="0"/>
    <x v="2"/>
    <x v="2"/>
    <x v="0"/>
    <n v="67639.000000000175"/>
    <n v="0.12726632999420515"/>
    <x v="0"/>
    <x v="14"/>
    <n v="1100"/>
    <n v="421.40999999999985"/>
    <n v="373.04999999999984"/>
    <n v="22"/>
    <n v="0.26"/>
    <n v="26.1"/>
    <n v="0.26000000000001222"/>
    <n v="463836.99999999983"/>
    <n v="410354.99999999983"/>
    <n v="24200"/>
    <n v="286"/>
    <n v="28996"/>
    <n v="1.7462298274040222E-10"/>
    <n v="0.12726632999420517"/>
    <n v="421.41"/>
    <n v="286"/>
  </r>
  <r>
    <x v="1"/>
    <d v="2025-11-26T00:00:00"/>
    <s v="3271315289"/>
    <x v="5"/>
    <x v="5"/>
    <s v="NOS"/>
    <s v="ZFG1"/>
    <s v="FG0010"/>
    <n v="1120"/>
    <n v="366385.6"/>
    <n v="1120"/>
    <n v="1120"/>
    <x v="3"/>
    <n v="381998.4"/>
    <s v="RV"/>
    <s v="Billing doc.transfer"/>
    <s v="01"/>
    <x v="0"/>
    <x v="2"/>
    <x v="2"/>
    <x v="0"/>
    <n v="15422.400000000023"/>
    <n v="4.037294397044601E-2"/>
    <x v="0"/>
    <x v="5"/>
    <n v="1120"/>
    <n v="327.13"/>
    <n v="278.14"/>
    <n v="22.400000000000002"/>
    <n v="0.17"/>
    <n v="26.42"/>
    <n v="0.17000000000000526"/>
    <n v="366576"/>
    <n v="311516.79999999999"/>
    <n v="25088.000000000004"/>
    <n v="190.4"/>
    <n v="29780.800000000003"/>
    <n v="0"/>
    <n v="4.0372943970445996E-2"/>
    <n v="327.13"/>
    <n v="190.40000000000509"/>
  </r>
  <r>
    <x v="1"/>
    <d v="2025-11-26T00:00:00"/>
    <s v="3271315336"/>
    <x v="5"/>
    <x v="5"/>
    <s v="NOS"/>
    <s v="ZFG1"/>
    <s v="FG0010"/>
    <n v="4200"/>
    <n v="1373946"/>
    <n v="4200"/>
    <n v="4200"/>
    <x v="3"/>
    <n v="1432494"/>
    <s v="RV"/>
    <s v="Billing doc.transfer"/>
    <s v="01"/>
    <x v="0"/>
    <x v="2"/>
    <x v="2"/>
    <x v="0"/>
    <n v="57834"/>
    <n v="4.0372943970445947E-2"/>
    <x v="0"/>
    <x v="5"/>
    <n v="4200"/>
    <n v="327.13"/>
    <n v="278.14"/>
    <n v="22.400000000000002"/>
    <n v="0.17"/>
    <n v="26.42"/>
    <n v="0.17000000000000526"/>
    <n v="1374660"/>
    <n v="1168188"/>
    <n v="94080.000000000015"/>
    <n v="714"/>
    <n v="111678"/>
    <n v="0"/>
    <n v="4.0372943970445996E-2"/>
    <n v="327.13"/>
    <n v="713.99999999998545"/>
  </r>
  <r>
    <x v="1"/>
    <d v="2025-11-26T00:00:00"/>
    <s v="3271315427"/>
    <x v="5"/>
    <x v="5"/>
    <s v="NOS"/>
    <s v="ZFG1"/>
    <s v="FG0010"/>
    <n v="840"/>
    <n v="274789.2"/>
    <n v="840"/>
    <n v="840"/>
    <x v="3"/>
    <n v="286498.8"/>
    <s v="RV"/>
    <s v="Billing doc.transfer"/>
    <s v="01"/>
    <x v="0"/>
    <x v="2"/>
    <x v="2"/>
    <x v="0"/>
    <n v="11566.800000000047"/>
    <n v="4.0372943970446114E-2"/>
    <x v="0"/>
    <x v="5"/>
    <n v="840"/>
    <n v="327.13"/>
    <n v="278.14"/>
    <n v="22.400000000000002"/>
    <n v="0.17"/>
    <n v="26.42"/>
    <n v="0.17000000000000526"/>
    <n v="274931.99999999994"/>
    <n v="233637.59999999998"/>
    <n v="18816"/>
    <n v="142.80000000000001"/>
    <n v="22335.600000000002"/>
    <n v="3.2741809263825417E-11"/>
    <n v="4.0372943970446107E-2"/>
    <n v="327.13"/>
    <n v="142.79999999996289"/>
  </r>
  <r>
    <x v="1"/>
    <d v="2025-11-26T00:00:00"/>
    <s v="3271315336"/>
    <x v="8"/>
    <x v="8"/>
    <s v="NOS"/>
    <s v="ZFG1"/>
    <s v="FG0010"/>
    <n v="580"/>
    <n v="188616"/>
    <n v="580"/>
    <n v="580"/>
    <x v="3"/>
    <n v="205911.6"/>
    <s v="RV"/>
    <s v="Billing doc.transfer"/>
    <s v="01"/>
    <x v="0"/>
    <x v="2"/>
    <x v="2"/>
    <x v="0"/>
    <n v="17144.800000000017"/>
    <n v="8.3262914765365417E-2"/>
    <x v="0"/>
    <x v="7"/>
    <n v="580"/>
    <n v="325.19999999999993"/>
    <n v="271.52999999999997"/>
    <n v="23.84"/>
    <n v="0.26"/>
    <n v="29.569999999999997"/>
    <n v="0.25999999999996248"/>
    <n v="188766.8"/>
    <n v="157487.4"/>
    <n v="13827.2"/>
    <n v="150.80000000000001"/>
    <n v="17301.399999999998"/>
    <n v="0"/>
    <n v="8.3262914765365403E-2"/>
    <n v="325.2"/>
    <n v="150.79999999999563"/>
  </r>
  <r>
    <x v="1"/>
    <d v="2025-11-26T00:00:00"/>
    <s v="3271315289"/>
    <x v="9"/>
    <x v="9"/>
    <s v="NOS"/>
    <s v="ZFG1"/>
    <s v="FG0010"/>
    <n v="371"/>
    <n v="80358.600000000006"/>
    <n v="371"/>
    <n v="371"/>
    <x v="3"/>
    <n v="82306.350000000006"/>
    <s v="RV"/>
    <s v="Billing doc.transfer"/>
    <s v="01"/>
    <x v="0"/>
    <x v="2"/>
    <x v="2"/>
    <x v="0"/>
    <n v="1932.9100000000326"/>
    <n v="2.3484336263241323E-2"/>
    <x v="0"/>
    <x v="10"/>
    <n v="371"/>
    <n v="216.59999999999994"/>
    <n v="174.98999999999995"/>
    <n v="18.389999999999997"/>
    <n v="0.04"/>
    <n v="23.18"/>
    <n v="3.9999999999988489E-2"/>
    <n v="80373.439999999973"/>
    <n v="64921.289999999979"/>
    <n v="6822.6899999999987"/>
    <n v="14.84"/>
    <n v="8614.6200000000008"/>
    <n v="2.7284841053187847E-11"/>
    <n v="2.3484336263241312E-2"/>
    <n v="216.60000000000002"/>
    <n v="14.839999999994689"/>
  </r>
  <r>
    <x v="1"/>
    <d v="2025-11-26T00:00:00"/>
    <s v="3271315424"/>
    <x v="12"/>
    <x v="12"/>
    <s v="NOS"/>
    <s v="ZFG1"/>
    <s v="FG0010"/>
    <n v="105"/>
    <n v="34369.65"/>
    <n v="105"/>
    <n v="105"/>
    <x v="3"/>
    <n v="35812.35"/>
    <s v="RV"/>
    <s v="Billing doc.transfer"/>
    <s v="01"/>
    <x v="0"/>
    <x v="2"/>
    <x v="2"/>
    <x v="0"/>
    <n v="1425.9000000000015"/>
    <n v="3.9815873574339619E-2"/>
    <x v="0"/>
    <x v="5"/>
    <n v="105"/>
    <n v="327.32000000000005"/>
    <n v="278.11"/>
    <n v="20.62"/>
    <n v="0.17"/>
    <n v="28.42"/>
    <n v="0.17000000000003368"/>
    <n v="34386.449999999997"/>
    <n v="29201.550000000003"/>
    <n v="2165.1"/>
    <n v="17.850000000000001"/>
    <n v="3001.9500000000003"/>
    <n v="1.0499999999983629"/>
    <n v="3.9815873574339578E-2"/>
    <n v="327.33000000000004"/>
    <n v="17.849999999993997"/>
  </r>
  <r>
    <x v="4"/>
    <d v="2025-11-26T00:00:00"/>
    <s v="3271315302"/>
    <x v="19"/>
    <x v="19"/>
    <s v="NOS"/>
    <s v="ZROH"/>
    <s v="RM0002"/>
    <n v="14913"/>
    <n v="114079.03"/>
    <n v="14913"/>
    <n v="14913"/>
    <x v="3"/>
    <n v="114084.45"/>
    <s v="RV"/>
    <s v="Billing doc.transfer"/>
    <s v="01"/>
    <x v="2"/>
    <x v="5"/>
    <x v="4"/>
    <x v="0"/>
    <n v="114084.45"/>
    <n v="1"/>
    <x v="0"/>
    <x v="24"/>
    <n v="14913"/>
    <n v="0"/>
    <n v="0"/>
    <n v="0"/>
    <n v="0"/>
    <n v="0"/>
    <n v="0"/>
    <n v="0"/>
    <n v="0"/>
    <n v="0"/>
    <n v="0"/>
    <n v="0"/>
    <n v="114079.03"/>
    <n v="1"/>
    <n v="7.6496365587071677"/>
    <n v="0"/>
  </r>
  <r>
    <x v="1"/>
    <d v="2025-11-25T00:00:00"/>
    <s v="3271314894"/>
    <x v="16"/>
    <x v="16"/>
    <s v="NOS"/>
    <s v="ZFG1"/>
    <s v="FG0010"/>
    <n v="985"/>
    <n v="321375.95"/>
    <n v="985"/>
    <n v="985"/>
    <x v="4"/>
    <n v="358106.6"/>
    <s v="RV"/>
    <s v="Billing doc.transfer"/>
    <s v="01"/>
    <x v="0"/>
    <x v="2"/>
    <x v="2"/>
    <x v="0"/>
    <n v="36484.399999999965"/>
    <n v="0.10188139509296944"/>
    <x v="0"/>
    <x v="23"/>
    <n v="985"/>
    <n v="326.27"/>
    <n v="271.52999999999997"/>
    <n v="20.94"/>
    <n v="0.25"/>
    <n v="33.550000000000004"/>
    <n v="0.25000000000000711"/>
    <n v="321622.2"/>
    <n v="267457.05"/>
    <n v="20625.900000000001"/>
    <n v="246.25"/>
    <n v="33293.000000000007"/>
    <n v="0"/>
    <n v="0.10188139509296945"/>
    <n v="326.27000000000004"/>
    <n v="246.25000000001455"/>
  </r>
  <r>
    <x v="1"/>
    <d v="2025-11-25T00:00:00"/>
    <s v="3271314893"/>
    <x v="3"/>
    <x v="3"/>
    <s v="NOS"/>
    <s v="ZFG1"/>
    <s v="FG0010"/>
    <n v="70"/>
    <n v="45152.1"/>
    <n v="70"/>
    <n v="70"/>
    <x v="4"/>
    <n v="50999.199999999997"/>
    <s v="RV"/>
    <s v="Billing doc.transfer"/>
    <s v="01"/>
    <x v="0"/>
    <x v="2"/>
    <x v="2"/>
    <x v="0"/>
    <n v="5817.0000000000291"/>
    <n v="0.11406061271549416"/>
    <x v="0"/>
    <x v="3"/>
    <n v="70"/>
    <n v="645.02999999999963"/>
    <n v="582.23999999999967"/>
    <n v="29.88"/>
    <n v="0.43"/>
    <n v="32.480000000000004"/>
    <n v="0.42999999999996419"/>
    <n v="45182.199999999968"/>
    <n v="40756.799999999974"/>
    <n v="2091.6"/>
    <n v="30.099999999999998"/>
    <n v="2303.7000000000003"/>
    <n v="2.4556356947869062E-11"/>
    <n v="0.11406061271549417"/>
    <n v="645.03"/>
    <n v="30.099999999993997"/>
  </r>
  <r>
    <x v="1"/>
    <d v="2025-11-25T00:00:00"/>
    <s v="3271314929"/>
    <x v="11"/>
    <x v="11"/>
    <s v="NOS"/>
    <s v="ZFG1"/>
    <s v="FG0010"/>
    <n v="1255"/>
    <n v="410548.15"/>
    <n v="1255"/>
    <n v="1255"/>
    <x v="4"/>
    <n v="428042.85"/>
    <s v="RV"/>
    <s v="Billing doc.transfer"/>
    <s v="01"/>
    <x v="0"/>
    <x v="2"/>
    <x v="2"/>
    <x v="0"/>
    <n v="17281.349999999919"/>
    <n v="4.037294397044576E-2"/>
    <x v="0"/>
    <x v="5"/>
    <n v="1255"/>
    <n v="327.13000000000005"/>
    <n v="278.14000000000004"/>
    <n v="22.400000000000002"/>
    <n v="0.17"/>
    <n v="26.42"/>
    <n v="0.17000000000000526"/>
    <n v="410761.50000000006"/>
    <n v="349065.70000000007"/>
    <n v="28112.000000000004"/>
    <n v="213.35000000000002"/>
    <n v="33370.449999999997"/>
    <n v="0"/>
    <n v="4.0372943970445774E-2"/>
    <n v="327.13"/>
    <n v="213.34999999999127"/>
  </r>
  <r>
    <x v="1"/>
    <d v="2025-11-25T00:00:00"/>
    <s v="3271314929"/>
    <x v="4"/>
    <x v="4"/>
    <s v="NOS"/>
    <s v="ZFG1"/>
    <s v="FG0010"/>
    <n v="1265"/>
    <n v="533083.65"/>
    <n v="1265"/>
    <n v="1265"/>
    <x v="4"/>
    <n v="611197.4"/>
    <s v="RV"/>
    <s v="Billing doc.transfer"/>
    <s v="01"/>
    <x v="0"/>
    <x v="2"/>
    <x v="2"/>
    <x v="0"/>
    <n v="77784.85000000021"/>
    <n v="0.12726632999420515"/>
    <x v="0"/>
    <x v="14"/>
    <n v="1265"/>
    <n v="421.40999999999985"/>
    <n v="373.04999999999984"/>
    <n v="22"/>
    <n v="0.26"/>
    <n v="26.1"/>
    <n v="0.26000000000001222"/>
    <n v="533412.54999999981"/>
    <n v="471908.24999999983"/>
    <n v="27830"/>
    <n v="328.90000000000003"/>
    <n v="33345.4"/>
    <n v="1.964508555829525E-10"/>
    <n v="0.12726632999420517"/>
    <n v="421.41"/>
    <n v="328.8999999999869"/>
  </r>
  <r>
    <x v="1"/>
    <d v="2025-11-25T00:00:00"/>
    <s v="3271314937"/>
    <x v="20"/>
    <x v="20"/>
    <s v="NOS"/>
    <s v="ZFG1"/>
    <s v="FG0010"/>
    <n v="335"/>
    <n v="141162.29999999999"/>
    <n v="335"/>
    <n v="335"/>
    <x v="4"/>
    <n v="161858.6"/>
    <s v="RV"/>
    <s v="Billing doc.transfer"/>
    <s v="01"/>
    <x v="0"/>
    <x v="2"/>
    <x v="2"/>
    <x v="0"/>
    <n v="20609.200000000041"/>
    <n v="0.12732842122692301"/>
    <x v="0"/>
    <x v="14"/>
    <n v="335"/>
    <n v="421.37999999999982"/>
    <n v="373.01999999999981"/>
    <n v="22"/>
    <n v="0.26"/>
    <n v="26.1"/>
    <n v="0.26000000000001222"/>
    <n v="141249.39999999997"/>
    <n v="124961.69999999994"/>
    <n v="7370"/>
    <n v="87.100000000000009"/>
    <n v="8830.6"/>
    <n v="4.9112713895738125E-11"/>
    <n v="0.12732842122692301"/>
    <n v="421.37999999999994"/>
    <n v="87.10000000002583"/>
  </r>
  <r>
    <x v="1"/>
    <d v="2025-11-25T00:00:00"/>
    <s v="3271314893"/>
    <x v="5"/>
    <x v="5"/>
    <s v="NOS"/>
    <s v="ZFG1"/>
    <s v="FG0010"/>
    <n v="1030"/>
    <n v="336943.9"/>
    <n v="1030"/>
    <n v="1030"/>
    <x v="4"/>
    <n v="351302.1"/>
    <s v="RV"/>
    <s v="Billing doc.transfer"/>
    <s v="01"/>
    <x v="0"/>
    <x v="2"/>
    <x v="2"/>
    <x v="0"/>
    <n v="14183.099999999977"/>
    <n v="4.0372943970445885E-2"/>
    <x v="0"/>
    <x v="5"/>
    <n v="1030"/>
    <n v="327.13"/>
    <n v="278.14"/>
    <n v="22.400000000000002"/>
    <n v="0.17"/>
    <n v="26.42"/>
    <n v="0.17000000000000526"/>
    <n v="337119"/>
    <n v="286484.2"/>
    <n v="23072.000000000004"/>
    <n v="175.10000000000002"/>
    <n v="27387.7"/>
    <n v="0"/>
    <n v="4.0372943970445885E-2"/>
    <n v="327.13"/>
    <n v="175.09999999998399"/>
  </r>
  <r>
    <x v="1"/>
    <d v="2025-11-25T00:00:00"/>
    <s v="3271314929"/>
    <x v="5"/>
    <x v="5"/>
    <s v="NOS"/>
    <s v="ZFG1"/>
    <s v="FG0010"/>
    <n v="3455"/>
    <n v="1130234.1499999999"/>
    <n v="3455"/>
    <n v="3455"/>
    <x v="4"/>
    <n v="1178396.8500000001"/>
    <s v="RV"/>
    <s v="Billing doc.transfer"/>
    <s v="01"/>
    <x v="0"/>
    <x v="2"/>
    <x v="2"/>
    <x v="0"/>
    <n v="47575.350000000093"/>
    <n v="4.0372943970446024E-2"/>
    <x v="0"/>
    <x v="6"/>
    <n v="3455"/>
    <n v="327.13"/>
    <n v="278.14"/>
    <n v="22.400000000000002"/>
    <n v="0.17"/>
    <n v="26.42"/>
    <n v="0.17000000000000526"/>
    <n v="1130821.5"/>
    <n v="960973.7"/>
    <n v="77392.000000000015"/>
    <n v="587.35"/>
    <n v="91868.450000000012"/>
    <n v="0"/>
    <n v="4.0372943970445996E-2"/>
    <n v="327.13"/>
    <n v="587.35000000002037"/>
  </r>
  <r>
    <x v="1"/>
    <d v="2025-11-25T00:00:00"/>
    <s v="3271315285"/>
    <x v="5"/>
    <x v="5"/>
    <s v="NOS"/>
    <s v="ZFG1"/>
    <s v="FG0010"/>
    <n v="840"/>
    <n v="274789.2"/>
    <n v="840"/>
    <n v="840"/>
    <x v="4"/>
    <n v="286498.8"/>
    <s v="RV"/>
    <s v="Billing doc.transfer"/>
    <s v="01"/>
    <x v="0"/>
    <x v="2"/>
    <x v="2"/>
    <x v="0"/>
    <n v="11566.800000000047"/>
    <n v="4.0372943970446114E-2"/>
    <x v="0"/>
    <x v="5"/>
    <n v="840"/>
    <n v="327.13"/>
    <n v="278.14"/>
    <n v="22.400000000000002"/>
    <n v="0.17"/>
    <n v="26.42"/>
    <n v="0.17000000000000526"/>
    <n v="274931.99999999994"/>
    <n v="233637.59999999998"/>
    <n v="18816"/>
    <n v="142.80000000000001"/>
    <n v="22335.600000000002"/>
    <n v="3.2741809263825417E-11"/>
    <n v="4.0372943970446107E-2"/>
    <n v="327.13"/>
    <n v="142.79999999996289"/>
  </r>
  <r>
    <x v="1"/>
    <d v="2025-11-25T00:00:00"/>
    <s v="3271314929"/>
    <x v="8"/>
    <x v="8"/>
    <s v="NOS"/>
    <s v="ZFG1"/>
    <s v="FG0010"/>
    <n v="140"/>
    <n v="45528"/>
    <n v="140"/>
    <n v="140"/>
    <x v="4"/>
    <n v="49702.8"/>
    <s v="RV"/>
    <s v="Billing doc.transfer"/>
    <s v="01"/>
    <x v="0"/>
    <x v="2"/>
    <x v="2"/>
    <x v="0"/>
    <n v="4138.4000000000087"/>
    <n v="8.3262914765365501E-2"/>
    <x v="0"/>
    <x v="8"/>
    <n v="140"/>
    <n v="325.19999999999993"/>
    <n v="271.52999999999997"/>
    <n v="23.84"/>
    <n v="0.26"/>
    <n v="29.569999999999997"/>
    <n v="0.25999999999996248"/>
    <n v="45564.399999999994"/>
    <n v="38014.199999999997"/>
    <n v="3337.6"/>
    <n v="36.4"/>
    <n v="4176.1999999999989"/>
    <n v="0"/>
    <n v="8.3262914765365514E-2"/>
    <n v="325.2"/>
    <n v="36.399999999997817"/>
  </r>
  <r>
    <x v="1"/>
    <d v="2025-11-25T00:00:00"/>
    <s v="3271315285"/>
    <x v="8"/>
    <x v="8"/>
    <s v="NOS"/>
    <s v="ZFG1"/>
    <s v="FG0010"/>
    <n v="220"/>
    <n v="71544"/>
    <n v="220"/>
    <n v="220"/>
    <x v="4"/>
    <n v="78104.399999999994"/>
    <s v="RV"/>
    <s v="Billing doc.transfer"/>
    <s v="01"/>
    <x v="0"/>
    <x v="2"/>
    <x v="2"/>
    <x v="0"/>
    <n v="6503.1999999999971"/>
    <n v="8.3262914765365306E-2"/>
    <x v="0"/>
    <x v="7"/>
    <n v="220"/>
    <n v="325.19999999999993"/>
    <n v="271.52999999999997"/>
    <n v="23.84"/>
    <n v="0.26"/>
    <n v="29.569999999999997"/>
    <n v="0.25999999999996248"/>
    <n v="71601.2"/>
    <n v="59736.599999999991"/>
    <n v="5244.8"/>
    <n v="57.2"/>
    <n v="6562.5999999999995"/>
    <n v="9.0949470177292824E-12"/>
    <n v="8.3262914765365292E-2"/>
    <n v="325.2"/>
    <n v="57.200000000006185"/>
  </r>
  <r>
    <x v="1"/>
    <d v="2025-11-25T00:00:00"/>
    <s v="3271314893"/>
    <x v="9"/>
    <x v="9"/>
    <s v="NOS"/>
    <s v="ZFG1"/>
    <s v="FG0010"/>
    <n v="560"/>
    <n v="121296"/>
    <n v="560"/>
    <n v="560"/>
    <x v="4"/>
    <n v="124236"/>
    <s v="RV"/>
    <s v="Billing doc.transfer"/>
    <s v="01"/>
    <x v="0"/>
    <x v="2"/>
    <x v="2"/>
    <x v="0"/>
    <n v="2917.6000000000349"/>
    <n v="2.3484336263241208E-2"/>
    <x v="0"/>
    <x v="9"/>
    <n v="560"/>
    <n v="216.59999999999994"/>
    <n v="174.98999999999995"/>
    <n v="18.389999999999997"/>
    <n v="0.04"/>
    <n v="23.18"/>
    <n v="3.9999999999988489E-2"/>
    <n v="121318.39999999997"/>
    <n v="97994.39999999998"/>
    <n v="10298.399999999998"/>
    <n v="22.400000000000002"/>
    <n v="13003.199999999999"/>
    <n v="2.3646862246096134E-11"/>
    <n v="2.3484336263241201E-2"/>
    <n v="216.6"/>
    <n v="22.399999999988722"/>
  </r>
  <r>
    <x v="1"/>
    <d v="2025-11-25T00:00:00"/>
    <s v="3271314929"/>
    <x v="9"/>
    <x v="9"/>
    <s v="NOS"/>
    <s v="ZFG1"/>
    <s v="FG0010"/>
    <n v="120"/>
    <n v="25992"/>
    <n v="120"/>
    <n v="120"/>
    <x v="4"/>
    <n v="26622"/>
    <s v="RV"/>
    <s v="Billing doc.transfer"/>
    <s v="01"/>
    <x v="0"/>
    <x v="2"/>
    <x v="2"/>
    <x v="0"/>
    <n v="625.20000000000437"/>
    <n v="2.3484336263241094E-2"/>
    <x v="0"/>
    <x v="9"/>
    <n v="120"/>
    <n v="216.59999999999994"/>
    <n v="174.98999999999995"/>
    <n v="18.389999999999997"/>
    <n v="0.04"/>
    <n v="23.18"/>
    <n v="3.9999999999988489E-2"/>
    <n v="25996.799999999996"/>
    <n v="20998.799999999996"/>
    <n v="2206.7999999999997"/>
    <n v="4.8"/>
    <n v="2786.4"/>
    <n v="4.5474735088646412E-12"/>
    <n v="2.348433626324109E-2"/>
    <n v="216.6"/>
    <n v="4.8000000000001819"/>
  </r>
  <r>
    <x v="1"/>
    <d v="2025-11-25T00:00:00"/>
    <s v="3271315285"/>
    <x v="9"/>
    <x v="9"/>
    <s v="NOS"/>
    <s v="ZFG1"/>
    <s v="FG0010"/>
    <n v="175"/>
    <n v="37905"/>
    <n v="175"/>
    <n v="175"/>
    <x v="4"/>
    <n v="38823.75"/>
    <s v="RV"/>
    <s v="Billing doc.transfer"/>
    <s v="01"/>
    <x v="0"/>
    <x v="2"/>
    <x v="2"/>
    <x v="0"/>
    <n v="911.75000000000728"/>
    <n v="2.3484336263241114E-2"/>
    <x v="0"/>
    <x v="9"/>
    <n v="175"/>
    <n v="216.59999999999994"/>
    <n v="174.98999999999995"/>
    <n v="18.389999999999997"/>
    <n v="0.04"/>
    <n v="23.18"/>
    <n v="3.9999999999988489E-2"/>
    <n v="37911.999999999993"/>
    <n v="30623.249999999993"/>
    <n v="3218.2499999999995"/>
    <n v="7"/>
    <n v="4063.5"/>
    <n v="7.73070496506989E-12"/>
    <n v="2.348433626324109E-2"/>
    <n v="216.6"/>
    <n v="7.0000000000004547"/>
  </r>
  <r>
    <x v="1"/>
    <d v="2025-11-25T00:00:00"/>
    <s v="3271314929"/>
    <x v="21"/>
    <x v="21"/>
    <s v="NOS"/>
    <s v="ZFG1"/>
    <s v="FG0010"/>
    <n v="205"/>
    <n v="66666"/>
    <n v="205"/>
    <n v="205"/>
    <x v="4"/>
    <n v="72779.100000000006"/>
    <s v="RV"/>
    <s v="Billing doc.transfer"/>
    <s v="01"/>
    <x v="0"/>
    <x v="2"/>
    <x v="2"/>
    <x v="0"/>
    <n v="6059.8000000000175"/>
    <n v="8.326291476536557E-2"/>
    <x v="0"/>
    <x v="8"/>
    <n v="205"/>
    <n v="325.19999999999993"/>
    <n v="271.52999999999997"/>
    <n v="23.84"/>
    <n v="0.26"/>
    <n v="29.569999999999997"/>
    <n v="0.25999999999996248"/>
    <n v="66719.299999999988"/>
    <n v="55663.649999999994"/>
    <n v="4887.2"/>
    <n v="53.300000000000004"/>
    <n v="6115.15"/>
    <n v="0"/>
    <n v="8.3262914765365514E-2"/>
    <n v="325.2"/>
    <n v="53.299999999994725"/>
  </r>
  <r>
    <x v="1"/>
    <d v="2025-11-25T00:00:00"/>
    <s v="3271315283"/>
    <x v="10"/>
    <x v="10"/>
    <s v="NOS"/>
    <s v="ZFG1"/>
    <s v="FG0025"/>
    <n v="70"/>
    <n v="36757"/>
    <n v="70"/>
    <n v="70"/>
    <x v="4"/>
    <n v="68238.8"/>
    <s v="RV"/>
    <s v="Billing doc.transfer"/>
    <s v="01"/>
    <x v="0"/>
    <x v="3"/>
    <x v="3"/>
    <x v="0"/>
    <n v="31459.399999999994"/>
    <n v="0.4610192441836608"/>
    <x v="0"/>
    <x v="11"/>
    <n v="70"/>
    <n v="525.10000000000014"/>
    <n v="451.65000000000009"/>
    <n v="26.66"/>
    <n v="0.32"/>
    <n v="46.469999999999992"/>
    <n v="0.32000000000005713"/>
    <n v="36779.400000000009"/>
    <n v="31615.500000000007"/>
    <n v="1866.2"/>
    <n v="22.400000000000002"/>
    <n v="3275.2999999999997"/>
    <n v="-6.8212102632969618E-12"/>
    <n v="0.4610192441836608"/>
    <n v="525.1"/>
    <n v="22.40000000000191"/>
  </r>
  <r>
    <x v="1"/>
    <d v="2025-11-25T00:00:00"/>
    <s v="3271315283"/>
    <x v="22"/>
    <x v="22"/>
    <s v="NOS"/>
    <s v="ZFG1"/>
    <s v="FG0025"/>
    <n v="51"/>
    <n v="3102.33"/>
    <n v="51"/>
    <n v="51"/>
    <x v="4"/>
    <n v="6162.84"/>
    <s v="RV"/>
    <s v="Billing doc.transfer"/>
    <s v="01"/>
    <x v="0"/>
    <x v="3"/>
    <x v="3"/>
    <x v="0"/>
    <n v="3059.4900000000002"/>
    <n v="0.49644157563720626"/>
    <x v="0"/>
    <x v="25"/>
    <n v="51"/>
    <n v="60.830000000000005"/>
    <n v="48.79"/>
    <n v="12.02"/>
    <n v="0.02"/>
    <n v="0"/>
    <n v="2.0000000000006679E-2"/>
    <n v="3103.35"/>
    <n v="2488.29"/>
    <n v="613.02"/>
    <n v="1.02"/>
    <n v="1.02"/>
    <n v="-1.8207657603852567E-14"/>
    <n v="0.49644157563720626"/>
    <n v="60.83"/>
    <n v="1.0199999999999636"/>
  </r>
  <r>
    <x v="1"/>
    <d v="2025-11-25T00:00:00"/>
    <s v="3271314943"/>
    <x v="23"/>
    <x v="23"/>
    <s v="NOS"/>
    <s v="ZROH"/>
    <s v="L002"/>
    <n v="5000"/>
    <n v="29500"/>
    <n v="5000"/>
    <n v="5000"/>
    <x v="4"/>
    <n v="29500"/>
    <s v="RV"/>
    <s v="Billing doc.transfer"/>
    <s v="01"/>
    <x v="2"/>
    <x v="6"/>
    <x v="4"/>
    <x v="0"/>
    <n v="29500"/>
    <n v="1"/>
    <x v="0"/>
    <x v="26"/>
    <n v="5000"/>
    <n v="0"/>
    <n v="0"/>
    <n v="0"/>
    <n v="0"/>
    <n v="0"/>
    <n v="0"/>
    <n v="0"/>
    <n v="0"/>
    <n v="0"/>
    <n v="0"/>
    <n v="0"/>
    <n v="29500"/>
    <n v="1"/>
    <n v="5.9"/>
    <n v="0"/>
  </r>
  <r>
    <x v="3"/>
    <d v="2025-11-25T00:00:00"/>
    <s v="3277066759"/>
    <x v="1"/>
    <x v="1"/>
    <s v="NOS"/>
    <s v="ZFG1"/>
    <s v="FG0011"/>
    <n v="-18"/>
    <n v="-8304.66"/>
    <n v="-18"/>
    <n v="-18"/>
    <x v="4"/>
    <n v="-11867.58"/>
    <s v="RV"/>
    <s v="Billing doc.transfer"/>
    <s v="01"/>
    <x v="0"/>
    <x v="0"/>
    <x v="0"/>
    <x v="0"/>
    <n v="-3558.5999999999985"/>
    <n v="0.29985894344086989"/>
    <x v="0"/>
    <x v="22"/>
    <n v="-18"/>
    <n v="461.37"/>
    <n v="401.59000000000003"/>
    <n v="28.32"/>
    <n v="0.24"/>
    <n v="31.22"/>
    <n v="0.23999999999997357"/>
    <n v="-8308.9800000000014"/>
    <n v="-7228.6200000000008"/>
    <n v="-509.76"/>
    <n v="-4.32"/>
    <n v="-566.28000000000009"/>
    <n v="1.0231815394945443E-12"/>
    <n v="0.29985894344086983"/>
    <n v="461.37"/>
    <n v="-4.3200000000005048"/>
  </r>
  <r>
    <x v="2"/>
    <d v="2025-11-24T00:00:00"/>
    <s v="3271314474"/>
    <x v="14"/>
    <x v="14"/>
    <s v="NOS"/>
    <s v="ZFG1"/>
    <s v="FG0010"/>
    <n v="5000"/>
    <n v="104050"/>
    <n v="5000"/>
    <n v="5000"/>
    <x v="5"/>
    <n v="71700"/>
    <s v="RV"/>
    <s v="Billing doc.transfer"/>
    <s v="01"/>
    <x v="0"/>
    <x v="2"/>
    <x v="2"/>
    <x v="0"/>
    <n v="-32350"/>
    <n v="-0.4511854951185495"/>
    <x v="0"/>
    <x v="13"/>
    <n v="5000"/>
    <n v="20.810000000000002"/>
    <n v="8.3800000000000008"/>
    <n v="11.49"/>
    <n v="0"/>
    <n v="0.94"/>
    <n v="1.3322676295501878E-15"/>
    <n v="104050"/>
    <n v="41900.000000000007"/>
    <n v="57450"/>
    <n v="0"/>
    <n v="4700"/>
    <n v="-7.2759576141834259E-12"/>
    <n v="-0.45118549511854944"/>
    <n v="20.81"/>
    <n v="-7.2759576141834259E-12"/>
  </r>
  <r>
    <x v="1"/>
    <d v="2025-11-24T00:00:00"/>
    <s v="3271314491"/>
    <x v="24"/>
    <x v="24"/>
    <s v="NOS"/>
    <s v="ZSFG"/>
    <s v="SF0013"/>
    <n v="1000"/>
    <n v="144620"/>
    <n v="1000"/>
    <n v="1000"/>
    <x v="5"/>
    <n v="150220"/>
    <s v="RV"/>
    <s v="Billing doc.transfer"/>
    <s v="01"/>
    <x v="1"/>
    <x v="7"/>
    <x v="1"/>
    <x v="0"/>
    <n v="5600.0000000000291"/>
    <n v="3.7278657968313332E-2"/>
    <x v="0"/>
    <x v="27"/>
    <n v="1000"/>
    <n v="144.61999999999998"/>
    <n v="141.07999999999998"/>
    <n v="1.63"/>
    <n v="0"/>
    <n v="1.9100000000000001"/>
    <n v="-7.9936057773011271E-15"/>
    <n v="144619.99999999997"/>
    <n v="141079.99999999997"/>
    <n v="1630"/>
    <n v="0"/>
    <n v="1910.0000000000002"/>
    <n v="2.8876456781290472E-11"/>
    <n v="3.7278657968313311E-2"/>
    <n v="144.62"/>
    <n v="0"/>
  </r>
  <r>
    <x v="1"/>
    <d v="2025-11-24T00:00:00"/>
    <s v="3271314434"/>
    <x v="16"/>
    <x v="16"/>
    <s v="NOS"/>
    <s v="ZFG1"/>
    <s v="FG0010"/>
    <n v="984"/>
    <n v="321049.68"/>
    <n v="984"/>
    <n v="984"/>
    <x v="5"/>
    <n v="357743.04"/>
    <s v="RV"/>
    <s v="Billing doc.transfer"/>
    <s v="01"/>
    <x v="0"/>
    <x v="2"/>
    <x v="2"/>
    <x v="0"/>
    <n v="36447.359999999986"/>
    <n v="0.10188139509296949"/>
    <x v="0"/>
    <x v="23"/>
    <n v="984"/>
    <n v="326.27"/>
    <n v="271.52999999999997"/>
    <n v="20.94"/>
    <n v="0.25"/>
    <n v="33.550000000000004"/>
    <n v="0.25000000000000711"/>
    <n v="321295.68"/>
    <n v="267185.51999999996"/>
    <n v="20604.960000000003"/>
    <n v="246"/>
    <n v="33259.200000000004"/>
    <n v="0"/>
    <n v="0.10188139509296945"/>
    <n v="326.27"/>
    <n v="246.00000000002183"/>
  </r>
  <r>
    <x v="1"/>
    <d v="2025-11-24T00:00:00"/>
    <s v="3271314885"/>
    <x v="3"/>
    <x v="3"/>
    <s v="NOS"/>
    <s v="ZFG1"/>
    <s v="FG0010"/>
    <n v="186"/>
    <n v="119975.58"/>
    <n v="186"/>
    <n v="186"/>
    <x v="5"/>
    <n v="135512.16"/>
    <s v="RV"/>
    <s v="Billing doc.transfer"/>
    <s v="01"/>
    <x v="0"/>
    <x v="2"/>
    <x v="2"/>
    <x v="0"/>
    <n v="15456.600000000079"/>
    <n v="0.11406061271549416"/>
    <x v="0"/>
    <x v="20"/>
    <n v="186"/>
    <n v="645.02999999999963"/>
    <n v="582.23999999999967"/>
    <n v="29.88"/>
    <n v="0.43"/>
    <n v="32.480000000000004"/>
    <n v="0.42999999999996419"/>
    <n v="120055.55999999992"/>
    <n v="108296.63999999994"/>
    <n v="5557.6799999999994"/>
    <n v="79.98"/>
    <n v="6121.26"/>
    <n v="6.0936145018786192E-11"/>
    <n v="0.11406061271549417"/>
    <n v="645.03"/>
    <n v="79.979999999984102"/>
  </r>
  <r>
    <x v="1"/>
    <d v="2025-11-24T00:00:00"/>
    <s v="3271314433"/>
    <x v="3"/>
    <x v="3"/>
    <s v="NOS"/>
    <s v="ZFG1"/>
    <s v="FG0010"/>
    <n v="88"/>
    <n v="56762.64"/>
    <n v="88"/>
    <n v="88"/>
    <x v="5"/>
    <n v="64113.279999999999"/>
    <s v="RV"/>
    <s v="Billing doc.transfer"/>
    <s v="01"/>
    <x v="0"/>
    <x v="2"/>
    <x v="2"/>
    <x v="0"/>
    <n v="7312.8000000000247"/>
    <n v="0.11406061271549396"/>
    <x v="0"/>
    <x v="3"/>
    <n v="88"/>
    <n v="645.02999999999963"/>
    <n v="582.23999999999967"/>
    <n v="29.88"/>
    <n v="0.43"/>
    <n v="32.480000000000004"/>
    <n v="0.42999999999996419"/>
    <n v="56800.479999999974"/>
    <n v="51237.119999999974"/>
    <n v="2629.44"/>
    <n v="37.839999999999996"/>
    <n v="2896.0800000000004"/>
    <n v="2.5465851649641991E-11"/>
    <n v="0.11406061271549395"/>
    <n v="645.03"/>
    <n v="37.840000000000146"/>
  </r>
  <r>
    <x v="1"/>
    <d v="2025-11-24T00:00:00"/>
    <s v="3271314490"/>
    <x v="11"/>
    <x v="11"/>
    <s v="NOS"/>
    <s v="ZFG1"/>
    <s v="FG0010"/>
    <n v="1085"/>
    <n v="354936.05"/>
    <n v="1085"/>
    <n v="1085"/>
    <x v="5"/>
    <n v="370060.95"/>
    <s v="RV"/>
    <s v="Billing doc.transfer"/>
    <s v="01"/>
    <x v="0"/>
    <x v="2"/>
    <x v="2"/>
    <x v="0"/>
    <n v="14940.449999999953"/>
    <n v="4.0372943970445822E-2"/>
    <x v="0"/>
    <x v="5"/>
    <n v="1085"/>
    <n v="327.13000000000005"/>
    <n v="278.14000000000004"/>
    <n v="22.400000000000002"/>
    <n v="0.17"/>
    <n v="26.42"/>
    <n v="0.17000000000000526"/>
    <n v="355120.50000000006"/>
    <n v="301781.90000000002"/>
    <n v="24304.000000000004"/>
    <n v="184.45000000000002"/>
    <n v="28850.15"/>
    <n v="-4.0017766878008842E-11"/>
    <n v="4.0372943970445774E-2"/>
    <n v="327.13"/>
    <n v="184.45000000002983"/>
  </r>
  <r>
    <x v="1"/>
    <d v="2025-11-24T00:00:00"/>
    <s v="3271314433"/>
    <x v="4"/>
    <x v="4"/>
    <s v="NOS"/>
    <s v="ZFG1"/>
    <s v="FG0010"/>
    <n v="800"/>
    <n v="337128"/>
    <n v="800"/>
    <n v="800"/>
    <x v="5"/>
    <n v="386528"/>
    <s v="RV"/>
    <s v="Billing doc.transfer"/>
    <s v="01"/>
    <x v="0"/>
    <x v="2"/>
    <x v="2"/>
    <x v="0"/>
    <n v="49192.000000000116"/>
    <n v="0.12726632999420512"/>
    <x v="0"/>
    <x v="14"/>
    <n v="800"/>
    <n v="421.40999999999985"/>
    <n v="373.04999999999984"/>
    <n v="22"/>
    <n v="0.26"/>
    <n v="26.1"/>
    <n v="0.26000000000001222"/>
    <n v="337335.99999999988"/>
    <n v="298439.99999999988"/>
    <n v="17600"/>
    <n v="208"/>
    <n v="21088"/>
    <n v="1.1641532182693481E-10"/>
    <n v="0.12726632999420517"/>
    <n v="421.41"/>
    <n v="208"/>
  </r>
  <r>
    <x v="1"/>
    <d v="2025-11-24T00:00:00"/>
    <s v="3271314490"/>
    <x v="4"/>
    <x v="4"/>
    <s v="NOS"/>
    <s v="ZFG1"/>
    <s v="FG0010"/>
    <n v="840"/>
    <n v="353984.4"/>
    <n v="840"/>
    <n v="840"/>
    <x v="5"/>
    <n v="405854.4"/>
    <s v="RV"/>
    <s v="Billing doc.transfer"/>
    <s v="01"/>
    <x v="0"/>
    <x v="2"/>
    <x v="2"/>
    <x v="0"/>
    <n v="51651.600000000093"/>
    <n v="0.12726632999420504"/>
    <x v="0"/>
    <x v="14"/>
    <n v="840"/>
    <n v="421.40999999999985"/>
    <n v="373.04999999999984"/>
    <n v="22"/>
    <n v="0.26"/>
    <n v="26.1"/>
    <n v="0.26000000000001222"/>
    <n v="354202.79999999993"/>
    <n v="313361.99999999988"/>
    <n v="18480"/>
    <n v="218.4"/>
    <n v="22142.400000000001"/>
    <n v="1.3824319466948509E-10"/>
    <n v="0.12726632999420506"/>
    <n v="421.41"/>
    <n v="218.40000000004511"/>
  </r>
  <r>
    <x v="1"/>
    <d v="2025-11-24T00:00:00"/>
    <s v="3271314433"/>
    <x v="20"/>
    <x v="20"/>
    <s v="NOS"/>
    <s v="ZFG1"/>
    <s v="FG0010"/>
    <n v="340"/>
    <n v="143269.20000000001"/>
    <n v="340"/>
    <n v="340"/>
    <x v="5"/>
    <n v="164274.4"/>
    <s v="RV"/>
    <s v="Billing doc.transfer"/>
    <s v="01"/>
    <x v="0"/>
    <x v="2"/>
    <x v="2"/>
    <x v="0"/>
    <n v="20916.800000000076"/>
    <n v="0.12732842122692323"/>
    <x v="0"/>
    <x v="4"/>
    <n v="340"/>
    <n v="421.37999999999982"/>
    <n v="373.01999999999981"/>
    <n v="22"/>
    <n v="0.26"/>
    <n v="26.1"/>
    <n v="0.26000000000001222"/>
    <n v="143357.59999999992"/>
    <n v="126826.79999999993"/>
    <n v="7480"/>
    <n v="88.4"/>
    <n v="8962.4"/>
    <n v="8.1854523159563541E-11"/>
    <n v="0.12732842122692323"/>
    <n v="421.38000000000005"/>
    <n v="88.399999999988722"/>
  </r>
  <r>
    <x v="1"/>
    <d v="2025-11-24T00:00:00"/>
    <s v="3271314490"/>
    <x v="20"/>
    <x v="20"/>
    <s v="NOS"/>
    <s v="ZFG1"/>
    <s v="FG0010"/>
    <n v="1050"/>
    <n v="442449"/>
    <n v="1050"/>
    <n v="1050"/>
    <x v="5"/>
    <n v="507318"/>
    <s v="RV"/>
    <s v="Billing doc.transfer"/>
    <s v="01"/>
    <x v="0"/>
    <x v="2"/>
    <x v="2"/>
    <x v="0"/>
    <n v="64596.000000000175"/>
    <n v="0.12732842122692312"/>
    <x v="0"/>
    <x v="14"/>
    <n v="1050"/>
    <n v="421.37999999999982"/>
    <n v="373.01999999999981"/>
    <n v="22"/>
    <n v="0.26"/>
    <n v="26.1"/>
    <n v="0.26000000000001222"/>
    <n v="442721.99999999983"/>
    <n v="391670.99999999983"/>
    <n v="23100"/>
    <n v="273"/>
    <n v="27678"/>
    <n v="1.7462298274040222E-10"/>
    <n v="0.12732842122692312"/>
    <n v="421.38"/>
    <n v="273"/>
  </r>
  <r>
    <x v="1"/>
    <d v="2025-11-24T00:00:00"/>
    <s v="3271314888"/>
    <x v="5"/>
    <x v="5"/>
    <s v="NOS"/>
    <s v="ZFG1"/>
    <s v="FG0010"/>
    <n v="840"/>
    <n v="274789.2"/>
    <n v="840"/>
    <n v="840"/>
    <x v="5"/>
    <n v="286498.8"/>
    <s v="RV"/>
    <s v="Billing doc.transfer"/>
    <s v="01"/>
    <x v="0"/>
    <x v="2"/>
    <x v="2"/>
    <x v="0"/>
    <n v="11566.800000000047"/>
    <n v="4.0372943970446114E-2"/>
    <x v="0"/>
    <x v="5"/>
    <n v="840"/>
    <n v="327.13"/>
    <n v="278.14"/>
    <n v="22.400000000000002"/>
    <n v="0.17"/>
    <n v="26.42"/>
    <n v="0.17000000000000526"/>
    <n v="274931.99999999994"/>
    <n v="233637.59999999998"/>
    <n v="18816"/>
    <n v="142.80000000000001"/>
    <n v="22335.600000000002"/>
    <n v="3.2741809263825417E-11"/>
    <n v="4.0372943970446107E-2"/>
    <n v="327.13"/>
    <n v="142.79999999996289"/>
  </r>
  <r>
    <x v="1"/>
    <d v="2025-11-24T00:00:00"/>
    <s v="3271314490"/>
    <x v="5"/>
    <x v="5"/>
    <s v="NOS"/>
    <s v="ZFG1"/>
    <s v="FG0010"/>
    <n v="3360"/>
    <n v="1099156.8"/>
    <n v="3360"/>
    <n v="3360"/>
    <x v="5"/>
    <n v="1145995.2"/>
    <s v="RV"/>
    <s v="Billing doc.transfer"/>
    <s v="01"/>
    <x v="0"/>
    <x v="2"/>
    <x v="2"/>
    <x v="0"/>
    <n v="46267.200000000186"/>
    <n v="4.0372943970446114E-2"/>
    <x v="0"/>
    <x v="5"/>
    <n v="3360"/>
    <n v="327.13"/>
    <n v="278.14"/>
    <n v="22.400000000000002"/>
    <n v="0.17"/>
    <n v="26.42"/>
    <n v="0.17000000000000526"/>
    <n v="1099727.9999999998"/>
    <n v="934550.39999999991"/>
    <n v="75264"/>
    <n v="571.20000000000005"/>
    <n v="89342.400000000009"/>
    <n v="1.3096723705530167E-10"/>
    <n v="4.0372943970446107E-2"/>
    <n v="327.13"/>
    <n v="571.19999999985157"/>
  </r>
  <r>
    <x v="1"/>
    <d v="2025-11-24T00:00:00"/>
    <s v="3271314885"/>
    <x v="8"/>
    <x v="8"/>
    <s v="NOS"/>
    <s v="ZFG1"/>
    <s v="FG0010"/>
    <n v="418"/>
    <n v="135933.6"/>
    <n v="418"/>
    <n v="418"/>
    <x v="5"/>
    <n v="148398.35999999999"/>
    <s v="RV"/>
    <s v="Billing doc.transfer"/>
    <s v="01"/>
    <x v="0"/>
    <x v="2"/>
    <x v="2"/>
    <x v="0"/>
    <n v="12356.080000000016"/>
    <n v="8.3262914765365445E-2"/>
    <x v="0"/>
    <x v="7"/>
    <n v="418"/>
    <n v="325.19999999999993"/>
    <n v="271.52999999999997"/>
    <n v="23.84"/>
    <n v="0.26"/>
    <n v="29.569999999999997"/>
    <n v="0.25999999999996248"/>
    <n v="136042.27999999997"/>
    <n v="113499.54"/>
    <n v="9965.1200000000008"/>
    <n v="108.68"/>
    <n v="12468.939999999999"/>
    <n v="0"/>
    <n v="8.3262914765365403E-2"/>
    <n v="325.2"/>
    <n v="108.67999999997664"/>
  </r>
  <r>
    <x v="1"/>
    <d v="2025-11-24T00:00:00"/>
    <s v="3271314433"/>
    <x v="8"/>
    <x v="8"/>
    <s v="NOS"/>
    <s v="ZFG1"/>
    <s v="FG0010"/>
    <n v="200"/>
    <n v="65040"/>
    <n v="200"/>
    <n v="200"/>
    <x v="5"/>
    <n v="71004"/>
    <s v="RV"/>
    <s v="Billing doc.transfer"/>
    <s v="01"/>
    <x v="0"/>
    <x v="2"/>
    <x v="2"/>
    <x v="0"/>
    <n v="5912.0000000000073"/>
    <n v="8.3262914765365431E-2"/>
    <x v="0"/>
    <x v="7"/>
    <n v="200"/>
    <n v="325.19999999999993"/>
    <n v="271.52999999999997"/>
    <n v="23.84"/>
    <n v="0.26"/>
    <n v="29.569999999999997"/>
    <n v="0.25999999999996248"/>
    <n v="65091.999999999993"/>
    <n v="54305.999999999993"/>
    <n v="4768"/>
    <n v="52"/>
    <n v="5965.9999999999991"/>
    <n v="8.1854523159563541E-12"/>
    <n v="8.3262914765365403E-2"/>
    <n v="325.2"/>
    <n v="52.000000000000909"/>
  </r>
  <r>
    <x v="1"/>
    <d v="2025-11-24T00:00:00"/>
    <s v="3271314490"/>
    <x v="9"/>
    <x v="9"/>
    <s v="NOS"/>
    <s v="ZFG1"/>
    <s v="FG0010"/>
    <n v="716"/>
    <n v="155085.6"/>
    <n v="716"/>
    <n v="716"/>
    <x v="5"/>
    <n v="158844.6"/>
    <s v="RV"/>
    <s v="Billing doc.transfer"/>
    <s v="01"/>
    <x v="0"/>
    <x v="2"/>
    <x v="2"/>
    <x v="0"/>
    <n v="3730.3600000000442"/>
    <n v="2.3484336263241205E-2"/>
    <x v="0"/>
    <x v="9"/>
    <n v="716"/>
    <n v="216.59999999999994"/>
    <n v="174.98999999999995"/>
    <n v="18.389999999999997"/>
    <n v="0.04"/>
    <n v="23.18"/>
    <n v="3.9999999999988489E-2"/>
    <n v="155114.23999999996"/>
    <n v="125292.83999999997"/>
    <n v="13167.239999999998"/>
    <n v="28.64"/>
    <n v="16625.52"/>
    <n v="4.0017766878008842E-11"/>
    <n v="2.3484336263241201E-2"/>
    <n v="216.6"/>
    <n v="28.63999999999578"/>
  </r>
  <r>
    <x v="1"/>
    <d v="2025-11-24T00:00:00"/>
    <s v="3271314433"/>
    <x v="9"/>
    <x v="9"/>
    <s v="NOS"/>
    <s v="ZFG1"/>
    <s v="FG0010"/>
    <n v="348"/>
    <n v="75376.800000000003"/>
    <n v="348"/>
    <n v="348"/>
    <x v="5"/>
    <n v="77203.8"/>
    <s v="RV"/>
    <s v="Billing doc.transfer"/>
    <s v="01"/>
    <x v="0"/>
    <x v="2"/>
    <x v="2"/>
    <x v="0"/>
    <n v="1813.0800000000309"/>
    <n v="2.3484336263241326E-2"/>
    <x v="0"/>
    <x v="9"/>
    <n v="348"/>
    <n v="216.59999999999994"/>
    <n v="174.98999999999995"/>
    <n v="18.389999999999997"/>
    <n v="0.04"/>
    <n v="23.18"/>
    <n v="3.9999999999988489E-2"/>
    <n v="75390.719999999972"/>
    <n v="60896.519999999982"/>
    <n v="6399.7199999999993"/>
    <n v="13.92"/>
    <n v="8080.56"/>
    <n v="2.0918378140777349E-11"/>
    <n v="2.3484336263241312E-2"/>
    <n v="216.6"/>
    <n v="13.919999999990068"/>
  </r>
  <r>
    <x v="1"/>
    <d v="2025-11-24T00:00:00"/>
    <s v="3271314490"/>
    <x v="21"/>
    <x v="21"/>
    <s v="NOS"/>
    <s v="ZFG1"/>
    <s v="FG0010"/>
    <n v="1400"/>
    <n v="455280"/>
    <n v="1400"/>
    <n v="1400"/>
    <x v="5"/>
    <n v="497028"/>
    <s v="RV"/>
    <s v="Billing doc.transfer"/>
    <s v="01"/>
    <x v="0"/>
    <x v="2"/>
    <x v="2"/>
    <x v="0"/>
    <n v="41384.000000000058"/>
    <n v="8.3262914765365445E-2"/>
    <x v="0"/>
    <x v="7"/>
    <n v="1400"/>
    <n v="325.19999999999993"/>
    <n v="271.52999999999997"/>
    <n v="23.84"/>
    <n v="0.26"/>
    <n v="29.569999999999997"/>
    <n v="0.25999999999996248"/>
    <n v="455643.99999999994"/>
    <n v="380141.99999999994"/>
    <n v="33376"/>
    <n v="364"/>
    <n v="41761.999999999993"/>
    <n v="6.5483618527650833E-11"/>
    <n v="8.3262914765365403E-2"/>
    <n v="325.2"/>
    <n v="364.00000000000728"/>
  </r>
  <r>
    <x v="1"/>
    <d v="2025-11-24T00:00:00"/>
    <s v="3277066527"/>
    <x v="25"/>
    <x v="25"/>
    <s v="NOS"/>
    <s v="ZFG1"/>
    <s v="FG0023"/>
    <n v="-34"/>
    <n v="-2923.32"/>
    <n v="-34"/>
    <n v="-34"/>
    <x v="5"/>
    <n v="-3442.16"/>
    <s v="RV"/>
    <s v="Billing doc.transfer"/>
    <s v="01"/>
    <x v="0"/>
    <x v="8"/>
    <x v="5"/>
    <x v="0"/>
    <n v="-517.47999999999865"/>
    <n v="0.15033583563808733"/>
    <x v="0"/>
    <x v="28"/>
    <n v="0"/>
    <n v="85.980000000000018"/>
    <n v="72.890000000000015"/>
    <n v="13.05"/>
    <n v="0.04"/>
    <n v="0"/>
    <n v="4.00000000000027E-2"/>
    <n v="-2924.6800000000012"/>
    <n v="-2478.2600000000007"/>
    <n v="-443.70000000000005"/>
    <n v="-1.36"/>
    <n v="-1.36"/>
    <n v="5.5488946770765324E-13"/>
    <n v="0.15033583563808728"/>
    <n v="85.98"/>
    <n v="-1.3600000000004819"/>
  </r>
  <r>
    <x v="1"/>
    <d v="2025-11-24T00:00:00"/>
    <s v="3277066527"/>
    <x v="4"/>
    <x v="4"/>
    <s v="NOS"/>
    <s v="ZFG1"/>
    <s v="FG0010"/>
    <n v="-18"/>
    <n v="-7585.38"/>
    <n v="-18"/>
    <n v="-18"/>
    <x v="5"/>
    <n v="-8696.8799999999992"/>
    <s v="RV"/>
    <s v="Billing doc.transfer"/>
    <s v="01"/>
    <x v="0"/>
    <x v="2"/>
    <x v="2"/>
    <x v="0"/>
    <n v="-1106.8200000000015"/>
    <n v="0.12726632999420501"/>
    <x v="0"/>
    <x v="4"/>
    <n v="-18"/>
    <n v="421.40999999999985"/>
    <n v="373.04999999999984"/>
    <n v="22"/>
    <n v="0.26"/>
    <n v="26.1"/>
    <n v="0.26000000000001222"/>
    <n v="-7590.0599999999977"/>
    <n v="-6714.8999999999969"/>
    <n v="-396"/>
    <n v="-4.68"/>
    <n v="-474.48"/>
    <n v="-3.1832314562052488E-12"/>
    <n v="0.12726632999420495"/>
    <n v="421.41"/>
    <n v="-4.6800000000007458"/>
  </r>
  <r>
    <x v="1"/>
    <d v="2025-11-24T00:00:00"/>
    <s v="3277066529"/>
    <x v="8"/>
    <x v="8"/>
    <s v="NOS"/>
    <s v="ZFG1"/>
    <s v="FG0010"/>
    <n v="-2"/>
    <n v="-650.4"/>
    <n v="-2"/>
    <n v="-2"/>
    <x v="5"/>
    <n v="-710.04"/>
    <s v="RV"/>
    <s v="Billing doc.transfer"/>
    <s v="01"/>
    <x v="0"/>
    <x v="2"/>
    <x v="2"/>
    <x v="0"/>
    <n v="-59.120000000000118"/>
    <n v="8.3262914765365501E-2"/>
    <x v="0"/>
    <x v="7"/>
    <n v="-2"/>
    <n v="325.19999999999993"/>
    <n v="271.52999999999997"/>
    <n v="23.84"/>
    <n v="0.26"/>
    <n v="29.569999999999997"/>
    <n v="0.25999999999996248"/>
    <n v="-650.91999999999985"/>
    <n v="-543.05999999999995"/>
    <n v="-47.68"/>
    <n v="-0.52"/>
    <n v="-59.66"/>
    <n v="0"/>
    <n v="8.3262914765365514E-2"/>
    <n v="325.2"/>
    <n v="-0.51999999999990365"/>
  </r>
  <r>
    <x v="1"/>
    <d v="2025-11-24T00:00:00"/>
    <s v="3277066531"/>
    <x v="26"/>
    <x v="26"/>
    <s v="NOS"/>
    <s v="ZFG1"/>
    <s v="FG0012"/>
    <n v="-1"/>
    <n v="-305.94"/>
    <n v="-1"/>
    <n v="-1"/>
    <x v="5"/>
    <n v="-314.08999999999997"/>
    <s v="RV"/>
    <s v="Billing doc.transfer"/>
    <s v="01"/>
    <x v="0"/>
    <x v="9"/>
    <x v="5"/>
    <x v="0"/>
    <n v="-8.0099999999999341"/>
    <n v="2.5502244579578892E-2"/>
    <x v="0"/>
    <x v="29"/>
    <n v="-1"/>
    <n v="305.95000000000005"/>
    <n v="236.08000000000004"/>
    <n v="27.35"/>
    <n v="0.13"/>
    <n v="42.39"/>
    <n v="0.13000000000000256"/>
    <n v="-306.08000000000004"/>
    <n v="-236.08000000000004"/>
    <n v="-27.35"/>
    <n v="-0.13"/>
    <n v="-42.52"/>
    <n v="1.0000000000047748E-2"/>
    <n v="2.5502244579578948E-2"/>
    <n v="305.94"/>
    <n v="-0.12999999999999545"/>
  </r>
  <r>
    <x v="1"/>
    <d v="2025-11-24T00:00:00"/>
    <s v="3277066532"/>
    <x v="5"/>
    <x v="5"/>
    <s v="NOS"/>
    <s v="ZFG1"/>
    <s v="FG0010"/>
    <n v="-48"/>
    <n v="-15702.24"/>
    <n v="-48"/>
    <n v="-48"/>
    <x v="5"/>
    <n v="-16371.36"/>
    <s v="RV"/>
    <s v="Billing doc.transfer"/>
    <s v="01"/>
    <x v="0"/>
    <x v="2"/>
    <x v="2"/>
    <x v="0"/>
    <n v="-660.96000000000095"/>
    <n v="4.0372943970446003E-2"/>
    <x v="0"/>
    <x v="5"/>
    <n v="-48"/>
    <n v="327.13"/>
    <n v="278.14"/>
    <n v="22.400000000000002"/>
    <n v="0.17"/>
    <n v="26.42"/>
    <n v="0.17000000000000526"/>
    <n v="-15710.4"/>
    <n v="-13350.72"/>
    <n v="-1075.2"/>
    <n v="-8.16"/>
    <n v="-1276.3200000000002"/>
    <n v="0"/>
    <n v="4.0372943970445996E-2"/>
    <n v="327.13"/>
    <n v="-8.1600000000000819"/>
  </r>
  <r>
    <x v="1"/>
    <d v="2025-11-24T00:00:00"/>
    <s v="3277066540"/>
    <x v="27"/>
    <x v="27"/>
    <s v="NOS"/>
    <s v="ZFG1"/>
    <s v="FG0012"/>
    <n v="-2"/>
    <n v="-719.44"/>
    <n v="-2"/>
    <n v="-2"/>
    <x v="5"/>
    <n v="-618.74"/>
    <s v="RV"/>
    <s v="Billing doc.transfer"/>
    <s v="01"/>
    <x v="0"/>
    <x v="9"/>
    <x v="5"/>
    <x v="0"/>
    <n v="100.98000000000013"/>
    <n v="-0.16320263761838597"/>
    <x v="0"/>
    <x v="30"/>
    <n v="-2"/>
    <n v="359.73000000000008"/>
    <n v="232.98000000000008"/>
    <n v="58.8"/>
    <n v="0.13"/>
    <n v="67.819999999999993"/>
    <n v="0.13000000000000966"/>
    <n v="-719.72000000000014"/>
    <n v="-465.96000000000015"/>
    <n v="-117.6"/>
    <n v="-0.26"/>
    <n v="-135.89999999999998"/>
    <n v="2.0000000000067075E-2"/>
    <n v="-0.16320263761838594"/>
    <n v="359.72"/>
    <n v="-0.26000000000001933"/>
  </r>
  <r>
    <x v="1"/>
    <d v="2025-11-24T00:00:00"/>
    <s v="3277066541"/>
    <x v="9"/>
    <x v="9"/>
    <s v="NOS"/>
    <s v="ZFG1"/>
    <s v="FG0010"/>
    <n v="-3"/>
    <n v="-649.79999999999995"/>
    <n v="-3"/>
    <n v="-3"/>
    <x v="5"/>
    <n v="-665.55"/>
    <s v="RV"/>
    <s v="Billing doc.transfer"/>
    <s v="01"/>
    <x v="0"/>
    <x v="2"/>
    <x v="2"/>
    <x v="0"/>
    <n v="-15.630000000000223"/>
    <n v="2.3484336263241264E-2"/>
    <x v="0"/>
    <x v="9"/>
    <n v="-3"/>
    <n v="216.59999999999994"/>
    <n v="174.98999999999995"/>
    <n v="18.389999999999997"/>
    <n v="0.04"/>
    <n v="23.18"/>
    <n v="3.9999999999988489E-2"/>
    <n v="-649.91999999999973"/>
    <n v="-524.9699999999998"/>
    <n v="-55.169999999999987"/>
    <n v="-0.12"/>
    <n v="-69.66"/>
    <n v="-1.7053025658242404E-13"/>
    <n v="2.3484336263241312E-2"/>
    <n v="216.6"/>
    <n v="-0.1199999999999477"/>
  </r>
  <r>
    <x v="1"/>
    <d v="2025-11-24T00:00:00"/>
    <s v="3277066545"/>
    <x v="16"/>
    <x v="16"/>
    <s v="NOS"/>
    <s v="ZFG1"/>
    <s v="FG0010"/>
    <n v="-25"/>
    <n v="-8156.75"/>
    <n v="-25"/>
    <n v="-25"/>
    <x v="5"/>
    <n v="-9089"/>
    <s v="RV"/>
    <s v="Billing doc.transfer"/>
    <s v="01"/>
    <x v="0"/>
    <x v="2"/>
    <x v="2"/>
    <x v="0"/>
    <n v="-926.00000000000091"/>
    <n v="0.10188139509296962"/>
    <x v="0"/>
    <x v="23"/>
    <n v="-25"/>
    <n v="326.27"/>
    <n v="271.52999999999997"/>
    <n v="20.94"/>
    <n v="0.25"/>
    <n v="33.550000000000004"/>
    <n v="0.25000000000000711"/>
    <n v="-8162.9999999999991"/>
    <n v="-6788.2499999999991"/>
    <n v="-523.5"/>
    <n v="-6.25"/>
    <n v="-845.00000000000011"/>
    <n v="0"/>
    <n v="0.10188139509296967"/>
    <n v="326.27"/>
    <n v="-6.2499999999998863"/>
  </r>
  <r>
    <x v="3"/>
    <d v="2025-11-22T00:00:00"/>
    <s v="3271314216"/>
    <x v="1"/>
    <x v="1"/>
    <s v="NOS"/>
    <s v="ZFG1"/>
    <s v="FG0011"/>
    <n v="4000"/>
    <n v="1845480"/>
    <n v="4000"/>
    <n v="4000"/>
    <x v="6"/>
    <n v="2637240"/>
    <s v="RV"/>
    <s v="Billing doc.transfer"/>
    <s v="01"/>
    <x v="0"/>
    <x v="0"/>
    <x v="0"/>
    <x v="0"/>
    <n v="790799.99999999977"/>
    <n v="0.29985894344086989"/>
    <x v="0"/>
    <x v="22"/>
    <n v="4000"/>
    <n v="461.37"/>
    <n v="401.59000000000003"/>
    <n v="28.32"/>
    <n v="0.24"/>
    <n v="31.22"/>
    <n v="0.23999999999997357"/>
    <n v="1846440.0000000002"/>
    <n v="1606360.0000000002"/>
    <n v="113280"/>
    <n v="960"/>
    <n v="125840"/>
    <n v="-2.3283064365386963E-10"/>
    <n v="0.29985894344086994"/>
    <n v="461.37"/>
    <n v="960"/>
  </r>
  <r>
    <x v="2"/>
    <d v="2025-11-22T00:00:00"/>
    <s v="3271314233"/>
    <x v="14"/>
    <x v="14"/>
    <s v="NOS"/>
    <s v="ZFG1"/>
    <s v="FG0010"/>
    <n v="3000"/>
    <n v="62430"/>
    <n v="3000"/>
    <n v="3000"/>
    <x v="6"/>
    <n v="43020"/>
    <s v="RV"/>
    <s v="Billing doc.transfer"/>
    <s v="01"/>
    <x v="0"/>
    <x v="2"/>
    <x v="2"/>
    <x v="0"/>
    <n v="-19410"/>
    <n v="-0.4511854951185495"/>
    <x v="0"/>
    <x v="13"/>
    <n v="3000"/>
    <n v="20.810000000000002"/>
    <n v="8.3800000000000008"/>
    <n v="11.49"/>
    <n v="0"/>
    <n v="0.94"/>
    <n v="1.3322676295501878E-15"/>
    <n v="62430"/>
    <n v="25140.000000000004"/>
    <n v="34470"/>
    <n v="0"/>
    <n v="2820"/>
    <n v="0"/>
    <n v="-0.45118549511854944"/>
    <n v="20.81"/>
    <n v="0"/>
  </r>
  <r>
    <x v="1"/>
    <d v="2025-11-22T00:00:00"/>
    <s v="3271314137"/>
    <x v="16"/>
    <x v="16"/>
    <s v="NOS"/>
    <s v="ZFG1"/>
    <s v="FG0010"/>
    <n v="1114"/>
    <n v="363464.78"/>
    <n v="1114"/>
    <n v="1114"/>
    <x v="6"/>
    <n v="405005.84"/>
    <s v="RV"/>
    <s v="Billing doc.transfer"/>
    <s v="01"/>
    <x v="0"/>
    <x v="2"/>
    <x v="2"/>
    <x v="0"/>
    <n v="41262.560000000056"/>
    <n v="0.10188139509296966"/>
    <x v="0"/>
    <x v="23"/>
    <n v="1114"/>
    <n v="326.27"/>
    <n v="271.52999999999997"/>
    <n v="20.94"/>
    <n v="0.25"/>
    <n v="33.550000000000004"/>
    <n v="0.25000000000000711"/>
    <n v="363743.27999999997"/>
    <n v="302484.42"/>
    <n v="23327.16"/>
    <n v="278.5"/>
    <n v="37653.200000000004"/>
    <n v="0"/>
    <n v="0.10188139509296967"/>
    <n v="326.27000000000004"/>
    <n v="278.49999999997817"/>
  </r>
  <r>
    <x v="1"/>
    <d v="2025-11-22T00:00:00"/>
    <s v="3271314134"/>
    <x v="3"/>
    <x v="3"/>
    <s v="NOS"/>
    <s v="ZFG1"/>
    <s v="FG0010"/>
    <n v="105"/>
    <n v="67728.149999999994"/>
    <n v="105"/>
    <n v="105"/>
    <x v="6"/>
    <n v="76498.8"/>
    <s v="RV"/>
    <s v="Billing doc.transfer"/>
    <s v="01"/>
    <x v="0"/>
    <x v="2"/>
    <x v="2"/>
    <x v="0"/>
    <n v="8725.5000000000437"/>
    <n v="0.11406061271549414"/>
    <x v="0"/>
    <x v="20"/>
    <n v="105"/>
    <n v="645.02999999999963"/>
    <n v="582.23999999999967"/>
    <n v="29.88"/>
    <n v="0.43"/>
    <n v="32.480000000000004"/>
    <n v="0.42999999999996419"/>
    <n v="67773.299999999959"/>
    <n v="61135.199999999968"/>
    <n v="3137.4"/>
    <n v="45.15"/>
    <n v="3455.5500000000006"/>
    <n v="2.5465851649641991E-11"/>
    <n v="0.11406061271549417"/>
    <n v="645.03"/>
    <n v="45.149999999990541"/>
  </r>
  <r>
    <x v="1"/>
    <d v="2025-11-22T00:00:00"/>
    <s v="3271314432"/>
    <x v="3"/>
    <x v="3"/>
    <s v="NOS"/>
    <s v="ZFG1"/>
    <s v="FG0010"/>
    <n v="69"/>
    <n v="44507.07"/>
    <n v="69"/>
    <n v="69"/>
    <x v="6"/>
    <n v="50270.64"/>
    <s v="RV"/>
    <s v="Billing doc.transfer"/>
    <s v="01"/>
    <x v="0"/>
    <x v="2"/>
    <x v="2"/>
    <x v="0"/>
    <n v="5733.9000000000233"/>
    <n v="0.11406061271549404"/>
    <x v="0"/>
    <x v="3"/>
    <n v="69"/>
    <n v="645.02999999999963"/>
    <n v="582.23999999999967"/>
    <n v="29.88"/>
    <n v="0.43"/>
    <n v="32.480000000000004"/>
    <n v="0.42999999999996419"/>
    <n v="44536.739999999976"/>
    <n v="40174.559999999976"/>
    <n v="2061.7199999999998"/>
    <n v="29.669999999999998"/>
    <n v="2270.7900000000004"/>
    <n v="2.3646862246096134E-11"/>
    <n v="0.11406061271549406"/>
    <n v="645.03"/>
    <n v="29.670000000000073"/>
  </r>
  <r>
    <x v="1"/>
    <d v="2025-11-22T00:00:00"/>
    <s v="3271314240"/>
    <x v="11"/>
    <x v="11"/>
    <s v="NOS"/>
    <s v="ZFG1"/>
    <s v="FG0010"/>
    <n v="1000"/>
    <n v="327130"/>
    <n v="1000"/>
    <n v="1000"/>
    <x v="6"/>
    <n v="341070"/>
    <s v="RV"/>
    <s v="Billing doc.transfer"/>
    <s v="01"/>
    <x v="0"/>
    <x v="2"/>
    <x v="2"/>
    <x v="0"/>
    <n v="13769.999999999942"/>
    <n v="4.0372943970445781E-2"/>
    <x v="0"/>
    <x v="5"/>
    <n v="1000"/>
    <n v="327.13000000000005"/>
    <n v="278.14000000000004"/>
    <n v="22.400000000000002"/>
    <n v="0.17"/>
    <n v="26.42"/>
    <n v="0.17000000000000526"/>
    <n v="327300.00000000006"/>
    <n v="278140.00000000006"/>
    <n v="22400.000000000004"/>
    <n v="170"/>
    <n v="26590"/>
    <n v="-6.184563972055912E-11"/>
    <n v="4.0372943970445774E-2"/>
    <n v="327.13"/>
    <n v="169.99999999999636"/>
  </r>
  <r>
    <x v="1"/>
    <d v="2025-11-22T00:00:00"/>
    <s v="3271314134"/>
    <x v="4"/>
    <x v="4"/>
    <s v="NOS"/>
    <s v="ZFG1"/>
    <s v="FG0010"/>
    <n v="1090"/>
    <n v="459336.9"/>
    <n v="1090"/>
    <n v="1090"/>
    <x v="6"/>
    <n v="526644.4"/>
    <s v="RV"/>
    <s v="Billing doc.transfer"/>
    <s v="01"/>
    <x v="0"/>
    <x v="2"/>
    <x v="2"/>
    <x v="0"/>
    <n v="67024.100000000151"/>
    <n v="0.12726632999420509"/>
    <x v="0"/>
    <x v="14"/>
    <n v="1090"/>
    <n v="421.40999999999985"/>
    <n v="373.04999999999984"/>
    <n v="22"/>
    <n v="0.26"/>
    <n v="26.1"/>
    <n v="0.26000000000001222"/>
    <n v="459620.29999999987"/>
    <n v="406624.49999999983"/>
    <n v="23980"/>
    <n v="283.40000000000003"/>
    <n v="28732.400000000001"/>
    <n v="1.964508555829525E-10"/>
    <n v="0.12726632999420506"/>
    <n v="421.41"/>
    <n v="283.40000000004511"/>
  </r>
  <r>
    <x v="1"/>
    <d v="2025-11-22T00:00:00"/>
    <s v="3271314240"/>
    <x v="28"/>
    <x v="28"/>
    <s v="NOS"/>
    <s v="ZFG1"/>
    <s v="FG0010"/>
    <n v="560"/>
    <n v="235972.8"/>
    <n v="560"/>
    <n v="560"/>
    <x v="6"/>
    <n v="270569.59999999998"/>
    <s v="RV"/>
    <s v="Billing doc.transfer"/>
    <s v="01"/>
    <x v="0"/>
    <x v="2"/>
    <x v="2"/>
    <x v="0"/>
    <n v="34451.20000000007"/>
    <n v="0.12732842122692303"/>
    <x v="0"/>
    <x v="4"/>
    <n v="560"/>
    <n v="421.37999999999982"/>
    <n v="373.01999999999981"/>
    <n v="22"/>
    <n v="0.26"/>
    <n v="26.1"/>
    <n v="0.26000000000001222"/>
    <n v="236118.39999999991"/>
    <n v="208891.1999999999"/>
    <n v="12320"/>
    <n v="145.6"/>
    <n v="14761.6"/>
    <n v="9.276845958083868E-11"/>
    <n v="0.12732842122692301"/>
    <n v="421.38"/>
    <n v="145.60000000001128"/>
  </r>
  <r>
    <x v="1"/>
    <d v="2025-11-22T00:00:00"/>
    <s v="3271314432"/>
    <x v="5"/>
    <x v="5"/>
    <s v="NOS"/>
    <s v="ZFG1"/>
    <s v="FG0010"/>
    <n v="840"/>
    <n v="274789.2"/>
    <n v="840"/>
    <n v="840"/>
    <x v="6"/>
    <n v="286498.8"/>
    <s v="RV"/>
    <s v="Billing doc.transfer"/>
    <s v="01"/>
    <x v="0"/>
    <x v="2"/>
    <x v="2"/>
    <x v="0"/>
    <n v="11566.800000000047"/>
    <n v="4.0372943970446114E-2"/>
    <x v="0"/>
    <x v="5"/>
    <n v="840"/>
    <n v="327.13"/>
    <n v="278.14"/>
    <n v="22.400000000000002"/>
    <n v="0.17"/>
    <n v="26.42"/>
    <n v="0.17000000000000526"/>
    <n v="274931.99999999994"/>
    <n v="233637.59999999998"/>
    <n v="18816"/>
    <n v="142.80000000000001"/>
    <n v="22335.600000000002"/>
    <n v="3.2741809263825417E-11"/>
    <n v="4.0372943970446107E-2"/>
    <n v="327.13"/>
    <n v="142.79999999996289"/>
  </r>
  <r>
    <x v="1"/>
    <d v="2025-11-22T00:00:00"/>
    <s v="3271314240"/>
    <x v="5"/>
    <x v="5"/>
    <s v="NOS"/>
    <s v="ZFG1"/>
    <s v="FG0010"/>
    <n v="3560"/>
    <n v="1164582.8"/>
    <n v="3560"/>
    <n v="3560"/>
    <x v="6"/>
    <n v="1214209.2"/>
    <s v="RV"/>
    <s v="Billing doc.transfer"/>
    <s v="01"/>
    <x v="0"/>
    <x v="2"/>
    <x v="2"/>
    <x v="0"/>
    <n v="49021.200000000186"/>
    <n v="4.0372943970446107E-2"/>
    <x v="0"/>
    <x v="5"/>
    <n v="3560"/>
    <n v="327.13"/>
    <n v="278.14"/>
    <n v="22.400000000000002"/>
    <n v="0.17"/>
    <n v="26.42"/>
    <n v="0.17000000000000526"/>
    <n v="1165187.9999999998"/>
    <n v="990178.39999999991"/>
    <n v="79744.000000000015"/>
    <n v="605.20000000000005"/>
    <n v="94660.400000000009"/>
    <n v="1.1641532182693481E-10"/>
    <n v="4.0372943970446107E-2"/>
    <n v="327.13"/>
    <n v="605.19999999983702"/>
  </r>
  <r>
    <x v="1"/>
    <d v="2025-11-22T00:00:00"/>
    <s v="3271314432"/>
    <x v="8"/>
    <x v="8"/>
    <s v="NOS"/>
    <s v="ZFG1"/>
    <s v="FG0010"/>
    <n v="120"/>
    <n v="39024"/>
    <n v="120"/>
    <n v="120"/>
    <x v="6"/>
    <n v="42602.400000000001"/>
    <s v="RV"/>
    <s v="Billing doc.transfer"/>
    <s v="01"/>
    <x v="0"/>
    <x v="2"/>
    <x v="2"/>
    <x v="0"/>
    <n v="3547.2000000000044"/>
    <n v="8.3262914765365431E-2"/>
    <x v="0"/>
    <x v="8"/>
    <n v="120"/>
    <n v="325.19999999999993"/>
    <n v="271.52999999999997"/>
    <n v="23.84"/>
    <n v="0.26"/>
    <n v="29.569999999999997"/>
    <n v="0.25999999999996248"/>
    <n v="39055.199999999997"/>
    <n v="32583.599999999999"/>
    <n v="2860.8"/>
    <n v="31.200000000000003"/>
    <n v="3579.5999999999995"/>
    <n v="0"/>
    <n v="8.3262914765365403E-2"/>
    <n v="325.2"/>
    <n v="31.199999999998909"/>
  </r>
  <r>
    <x v="1"/>
    <d v="2025-11-22T00:00:00"/>
    <s v="3271314134"/>
    <x v="9"/>
    <x v="9"/>
    <s v="NOS"/>
    <s v="ZFG1"/>
    <s v="FG0010"/>
    <n v="627"/>
    <n v="135808.20000000001"/>
    <n v="627"/>
    <n v="627"/>
    <x v="6"/>
    <n v="139099.95000000001"/>
    <s v="RV"/>
    <s v="Billing doc.transfer"/>
    <s v="01"/>
    <x v="0"/>
    <x v="2"/>
    <x v="2"/>
    <x v="0"/>
    <n v="3266.670000000071"/>
    <n v="2.3484336263241437E-2"/>
    <x v="0"/>
    <x v="10"/>
    <n v="627"/>
    <n v="216.59999999999994"/>
    <n v="174.98999999999995"/>
    <n v="18.389999999999997"/>
    <n v="0.04"/>
    <n v="23.18"/>
    <n v="3.9999999999988489E-2"/>
    <n v="135833.27999999994"/>
    <n v="109718.72999999997"/>
    <n v="11530.529999999999"/>
    <n v="25.080000000000002"/>
    <n v="14558.94"/>
    <n v="4.5474735088646412E-11"/>
    <n v="2.3484336263241423E-2"/>
    <n v="216.60000000000002"/>
    <n v="25.079999999974461"/>
  </r>
  <r>
    <x v="1"/>
    <d v="2025-11-22T00:00:00"/>
    <s v="3271314432"/>
    <x v="9"/>
    <x v="9"/>
    <s v="NOS"/>
    <s v="ZFG1"/>
    <s v="FG0010"/>
    <n v="278"/>
    <n v="60214.8"/>
    <n v="278"/>
    <n v="278"/>
    <x v="6"/>
    <n v="61674.3"/>
    <s v="RV"/>
    <s v="Billing doc.transfer"/>
    <s v="01"/>
    <x v="0"/>
    <x v="2"/>
    <x v="2"/>
    <x v="0"/>
    <n v="1448.3800000000119"/>
    <n v="2.3484336263241121E-2"/>
    <x v="0"/>
    <x v="10"/>
    <n v="278"/>
    <n v="216.59999999999994"/>
    <n v="174.98999999999995"/>
    <n v="18.389999999999997"/>
    <n v="0.04"/>
    <n v="23.18"/>
    <n v="3.9999999999988489E-2"/>
    <n v="60225.919999999991"/>
    <n v="48647.219999999987"/>
    <n v="5112.4199999999992"/>
    <n v="11.120000000000001"/>
    <n v="6455.16"/>
    <n v="1.7280399333685637E-11"/>
    <n v="2.348433626324109E-2"/>
    <n v="216.60000000000002"/>
    <n v="11.120000000005348"/>
  </r>
  <r>
    <x v="1"/>
    <d v="2025-11-21T00:00:00"/>
    <s v="3271313811"/>
    <x v="16"/>
    <x v="16"/>
    <s v="NOS"/>
    <s v="ZFG1"/>
    <s v="FG0010"/>
    <n v="2371"/>
    <n v="773586.17"/>
    <n v="2371"/>
    <n v="2371"/>
    <x v="7"/>
    <n v="862000.76"/>
    <s v="RV"/>
    <s v="Billing doc.transfer"/>
    <s v="01"/>
    <x v="0"/>
    <x v="2"/>
    <x v="2"/>
    <x v="0"/>
    <n v="87821.840000000084"/>
    <n v="0.10188139509296962"/>
    <x v="0"/>
    <x v="23"/>
    <n v="2371"/>
    <n v="326.27"/>
    <n v="271.52999999999997"/>
    <n v="20.94"/>
    <n v="0.25"/>
    <n v="33.550000000000004"/>
    <n v="0.25000000000000711"/>
    <n v="774178.91999999993"/>
    <n v="643797.62999999989"/>
    <n v="49648.740000000005"/>
    <n v="592.75"/>
    <n v="80139.8"/>
    <n v="1.4551915228366852E-10"/>
    <n v="0.10188139509296967"/>
    <n v="326.27000000000004"/>
    <n v="592.7500000000291"/>
  </r>
  <r>
    <x v="1"/>
    <d v="2025-11-21T00:00:00"/>
    <s v="3271313812"/>
    <x v="3"/>
    <x v="3"/>
    <s v="NOS"/>
    <s v="ZFG1"/>
    <s v="FG0010"/>
    <n v="70"/>
    <n v="45152.1"/>
    <n v="70"/>
    <n v="70"/>
    <x v="7"/>
    <n v="50999.199999999997"/>
    <s v="RV"/>
    <s v="Billing doc.transfer"/>
    <s v="01"/>
    <x v="0"/>
    <x v="2"/>
    <x v="2"/>
    <x v="0"/>
    <n v="5817.0000000000291"/>
    <n v="0.11406061271549416"/>
    <x v="0"/>
    <x v="3"/>
    <n v="70"/>
    <n v="645.02999999999963"/>
    <n v="582.23999999999967"/>
    <n v="29.88"/>
    <n v="0.43"/>
    <n v="32.480000000000004"/>
    <n v="0.42999999999996419"/>
    <n v="45182.199999999968"/>
    <n v="40756.799999999974"/>
    <n v="2091.6"/>
    <n v="30.099999999999998"/>
    <n v="2303.7000000000003"/>
    <n v="2.4556356947869062E-11"/>
    <n v="0.11406061271549417"/>
    <n v="645.03"/>
    <n v="30.099999999993997"/>
  </r>
  <r>
    <x v="1"/>
    <d v="2025-11-21T00:00:00"/>
    <s v="3271314132"/>
    <x v="3"/>
    <x v="3"/>
    <s v="NOS"/>
    <s v="ZFG1"/>
    <s v="FG0010"/>
    <n v="188"/>
    <n v="121265.64"/>
    <n v="188"/>
    <n v="188"/>
    <x v="7"/>
    <n v="136969.28"/>
    <s v="RV"/>
    <s v="Billing doc.transfer"/>
    <s v="01"/>
    <x v="0"/>
    <x v="2"/>
    <x v="2"/>
    <x v="0"/>
    <n v="15622.800000000061"/>
    <n v="0.11406061271549402"/>
    <x v="0"/>
    <x v="3"/>
    <n v="188"/>
    <n v="645.02999999999963"/>
    <n v="582.23999999999967"/>
    <n v="29.88"/>
    <n v="0.43"/>
    <n v="32.480000000000004"/>
    <n v="0.42999999999996419"/>
    <n v="121346.47999999994"/>
    <n v="109461.11999999994"/>
    <n v="5617.44"/>
    <n v="80.84"/>
    <n v="6187.0800000000008"/>
    <n v="6.184563972055912E-11"/>
    <n v="0.11406061271549406"/>
    <n v="645.03"/>
    <n v="80.840000000000146"/>
  </r>
  <r>
    <x v="1"/>
    <d v="2025-11-21T00:00:00"/>
    <s v="3271313812"/>
    <x v="4"/>
    <x v="4"/>
    <s v="NOS"/>
    <s v="ZFG1"/>
    <s v="FG0010"/>
    <n v="1120"/>
    <n v="471979.2"/>
    <n v="1120"/>
    <n v="1120"/>
    <x v="7"/>
    <n v="541139.19999999995"/>
    <s v="RV"/>
    <s v="Billing doc.transfer"/>
    <s v="01"/>
    <x v="0"/>
    <x v="2"/>
    <x v="2"/>
    <x v="0"/>
    <n v="68868.800000000105"/>
    <n v="0.12726632999420504"/>
    <x v="0"/>
    <x v="4"/>
    <n v="1120"/>
    <n v="421.40999999999985"/>
    <n v="373.04999999999984"/>
    <n v="22"/>
    <n v="0.26"/>
    <n v="26.1"/>
    <n v="0.26000000000001222"/>
    <n v="472270.39999999985"/>
    <n v="417815.99999999983"/>
    <n v="24640"/>
    <n v="291.2"/>
    <n v="29523.200000000001"/>
    <n v="1.8553691916167736E-10"/>
    <n v="0.12726632999420506"/>
    <n v="421.41"/>
    <n v="291.20000000002256"/>
  </r>
  <r>
    <x v="1"/>
    <d v="2025-11-21T00:00:00"/>
    <s v="3271313847"/>
    <x v="5"/>
    <x v="5"/>
    <s v="NOS"/>
    <s v="ZFG1"/>
    <s v="FG0010"/>
    <n v="2005"/>
    <n v="655895.65"/>
    <n v="2005"/>
    <n v="2005"/>
    <x v="7"/>
    <n v="683845.35"/>
    <s v="RV"/>
    <s v="Billing doc.transfer"/>
    <s v="01"/>
    <x v="0"/>
    <x v="2"/>
    <x v="2"/>
    <x v="0"/>
    <n v="27608.850000000093"/>
    <n v="4.0372943970446086E-2"/>
    <x v="0"/>
    <x v="5"/>
    <n v="2005"/>
    <n v="327.13"/>
    <n v="278.14"/>
    <n v="22.400000000000002"/>
    <n v="0.17"/>
    <n v="26.42"/>
    <n v="0.17000000000000526"/>
    <n v="656236.49999999988"/>
    <n v="557670.69999999995"/>
    <n v="44912.000000000007"/>
    <n v="340.85"/>
    <n v="53312.950000000004"/>
    <n v="5.8207660913467407E-11"/>
    <n v="4.0372943970446107E-2"/>
    <n v="327.13"/>
    <n v="340.84999999991851"/>
  </r>
  <r>
    <x v="1"/>
    <d v="2025-11-21T00:00:00"/>
    <s v="3271314132"/>
    <x v="8"/>
    <x v="8"/>
    <s v="NOS"/>
    <s v="ZFG1"/>
    <s v="FG0010"/>
    <n v="245"/>
    <n v="79674"/>
    <n v="245"/>
    <n v="245"/>
    <x v="7"/>
    <n v="86979.9"/>
    <s v="RV"/>
    <s v="Billing doc.transfer"/>
    <s v="01"/>
    <x v="0"/>
    <x v="2"/>
    <x v="2"/>
    <x v="0"/>
    <n v="7242.1999999999971"/>
    <n v="8.3262914765365306E-2"/>
    <x v="0"/>
    <x v="7"/>
    <n v="245"/>
    <n v="325.19999999999993"/>
    <n v="271.52999999999997"/>
    <n v="23.84"/>
    <n v="0.26"/>
    <n v="29.569999999999997"/>
    <n v="0.25999999999996248"/>
    <n v="79737.7"/>
    <n v="66524.849999999991"/>
    <n v="5840.8"/>
    <n v="63.7"/>
    <n v="7308.3499999999995"/>
    <n v="9.0949470177292824E-12"/>
    <n v="8.3262914765365292E-2"/>
    <n v="325.2"/>
    <n v="63.700000000006185"/>
  </r>
  <r>
    <x v="1"/>
    <d v="2025-11-21T00:00:00"/>
    <s v="3271313847"/>
    <x v="9"/>
    <x v="9"/>
    <s v="NOS"/>
    <s v="ZFG1"/>
    <s v="FG0010"/>
    <n v="478"/>
    <n v="103534.8"/>
    <n v="478"/>
    <n v="478"/>
    <x v="7"/>
    <n v="106044.3"/>
    <s v="RV"/>
    <s v="Billing doc.transfer"/>
    <s v="01"/>
    <x v="0"/>
    <x v="2"/>
    <x v="2"/>
    <x v="0"/>
    <n v="2490.3800000000338"/>
    <n v="2.3484336263241246E-2"/>
    <x v="0"/>
    <x v="9"/>
    <n v="478"/>
    <n v="216.59999999999994"/>
    <n v="174.98999999999995"/>
    <n v="18.389999999999997"/>
    <n v="0.04"/>
    <n v="23.18"/>
    <n v="3.9999999999988489E-2"/>
    <n v="103553.91999999997"/>
    <n v="83645.219999999972"/>
    <n v="8790.4199999999983"/>
    <n v="19.12"/>
    <n v="11099.16"/>
    <n v="3.2741809263825417E-11"/>
    <n v="2.3484336263241201E-2"/>
    <n v="216.6"/>
    <n v="19.119999999998981"/>
  </r>
  <r>
    <x v="1"/>
    <d v="2025-11-21T00:00:00"/>
    <s v="3271314132"/>
    <x v="9"/>
    <x v="9"/>
    <s v="NOS"/>
    <s v="ZFG1"/>
    <s v="FG0010"/>
    <n v="352"/>
    <n v="76243.199999999997"/>
    <n v="352"/>
    <n v="352"/>
    <x v="7"/>
    <n v="78091.199999999997"/>
    <s v="RV"/>
    <s v="Billing doc.transfer"/>
    <s v="01"/>
    <x v="0"/>
    <x v="2"/>
    <x v="2"/>
    <x v="0"/>
    <n v="1833.9200000000128"/>
    <n v="2.3484336263241094E-2"/>
    <x v="0"/>
    <x v="9"/>
    <n v="352"/>
    <n v="216.59999999999994"/>
    <n v="174.98999999999995"/>
    <n v="18.389999999999997"/>
    <n v="0.04"/>
    <n v="23.18"/>
    <n v="3.9999999999988489E-2"/>
    <n v="76257.279999999984"/>
    <n v="61596.479999999981"/>
    <n v="6473.2799999999988"/>
    <n v="14.08"/>
    <n v="8173.44"/>
    <n v="1.7280399333685637E-11"/>
    <n v="2.348433626324109E-2"/>
    <n v="216.6"/>
    <n v="14.080000000004475"/>
  </r>
  <r>
    <x v="2"/>
    <d v="2025-11-21T00:00:00"/>
    <s v="3271313833"/>
    <x v="29"/>
    <x v="29"/>
    <s v="NOS"/>
    <s v="ZROH"/>
    <s v="RM0030"/>
    <n v="17.8"/>
    <n v="8057.72"/>
    <n v="17.8"/>
    <n v="17.8"/>
    <x v="7"/>
    <n v="8455"/>
    <s v="RV"/>
    <s v="Billing doc.transfer"/>
    <s v="01"/>
    <x v="2"/>
    <x v="10"/>
    <x v="4"/>
    <x v="0"/>
    <n v="8455"/>
    <n v="1"/>
    <x v="0"/>
    <x v="31"/>
    <n v="17.8"/>
    <n v="0"/>
    <n v="0"/>
    <n v="0"/>
    <n v="0"/>
    <n v="0"/>
    <n v="0"/>
    <n v="0"/>
    <n v="0"/>
    <n v="0"/>
    <n v="0"/>
    <n v="0"/>
    <n v="8057.72"/>
    <n v="1"/>
    <n v="452.68089887640451"/>
    <n v="0"/>
  </r>
  <r>
    <x v="4"/>
    <d v="2025-11-21T00:00:00"/>
    <s v="3271313813"/>
    <x v="19"/>
    <x v="19"/>
    <s v="NOS"/>
    <s v="ZROH"/>
    <s v="RM0002"/>
    <n v="4500"/>
    <n v="34423.360000000001"/>
    <n v="4500"/>
    <n v="4500"/>
    <x v="7"/>
    <n v="34425"/>
    <s v="RV"/>
    <s v="Billing doc.transfer"/>
    <s v="01"/>
    <x v="2"/>
    <x v="5"/>
    <x v="4"/>
    <x v="0"/>
    <n v="34425"/>
    <n v="1"/>
    <x v="0"/>
    <x v="32"/>
    <n v="4500"/>
    <n v="0"/>
    <n v="0"/>
    <n v="0"/>
    <n v="0"/>
    <n v="0"/>
    <n v="0"/>
    <n v="0"/>
    <n v="0"/>
    <n v="0"/>
    <n v="0"/>
    <n v="0"/>
    <n v="34423.360000000001"/>
    <n v="1"/>
    <n v="7.6496355555555553"/>
    <n v="0"/>
  </r>
  <r>
    <x v="1"/>
    <d v="2025-11-21T00:00:00"/>
    <s v="3271314110"/>
    <x v="30"/>
    <x v="30"/>
    <s v="NOS"/>
    <s v="ZROH"/>
    <s v="RM0020"/>
    <n v="22200"/>
    <n v="193719.74"/>
    <n v="22200"/>
    <n v="22200"/>
    <x v="7"/>
    <n v="134754"/>
    <s v="RV"/>
    <s v="Billing doc.transfer"/>
    <s v="01"/>
    <x v="2"/>
    <x v="11"/>
    <x v="4"/>
    <x v="0"/>
    <n v="134754"/>
    <n v="1"/>
    <x v="0"/>
    <x v="33"/>
    <n v="22200"/>
    <n v="0"/>
    <n v="0"/>
    <n v="0"/>
    <n v="0"/>
    <n v="0"/>
    <n v="0"/>
    <n v="0"/>
    <n v="0"/>
    <n v="0"/>
    <n v="0"/>
    <n v="0"/>
    <n v="193719.74"/>
    <n v="1"/>
    <n v="8.7261144144144147"/>
    <n v="0"/>
  </r>
  <r>
    <x v="1"/>
    <d v="2025-11-21T00:00:00"/>
    <s v="3271314110"/>
    <x v="31"/>
    <x v="31"/>
    <s v="NOS"/>
    <s v="ZROH"/>
    <s v="RM0020"/>
    <n v="11390"/>
    <n v="114412.75"/>
    <n v="11390"/>
    <n v="11390"/>
    <x v="7"/>
    <n v="69137.3"/>
    <s v="RV"/>
    <s v="Billing doc.transfer"/>
    <s v="01"/>
    <x v="2"/>
    <x v="11"/>
    <x v="4"/>
    <x v="0"/>
    <n v="69137.3"/>
    <n v="1"/>
    <x v="0"/>
    <x v="33"/>
    <n v="11390"/>
    <n v="0"/>
    <n v="0"/>
    <n v="0"/>
    <n v="0"/>
    <n v="0"/>
    <n v="0"/>
    <n v="0"/>
    <n v="0"/>
    <n v="0"/>
    <n v="0"/>
    <n v="0"/>
    <n v="114412.75"/>
    <n v="1"/>
    <n v="10.045017559262511"/>
    <n v="0"/>
  </r>
  <r>
    <x v="1"/>
    <d v="2025-11-21T00:00:00"/>
    <s v="3271314109"/>
    <x v="32"/>
    <x v="32"/>
    <s v="NOS"/>
    <s v="ZROH"/>
    <s v="RM0020"/>
    <n v="306000"/>
    <n v="1607929.29"/>
    <n v="306000"/>
    <n v="306000"/>
    <x v="7"/>
    <n v="1603440"/>
    <s v="RV"/>
    <s v="Billing doc.transfer"/>
    <s v="01"/>
    <x v="2"/>
    <x v="11"/>
    <x v="4"/>
    <x v="0"/>
    <n v="1603440"/>
    <n v="1"/>
    <x v="0"/>
    <x v="34"/>
    <n v="306000"/>
    <n v="0"/>
    <n v="0"/>
    <n v="0"/>
    <n v="0"/>
    <n v="0"/>
    <n v="0"/>
    <n v="0"/>
    <n v="0"/>
    <n v="0"/>
    <n v="0"/>
    <n v="0"/>
    <n v="1607929.29"/>
    <n v="1"/>
    <n v="5.2546708823529409"/>
    <n v="0"/>
  </r>
  <r>
    <x v="1"/>
    <d v="2025-11-20T00:00:00"/>
    <s v="3271313734"/>
    <x v="2"/>
    <x v="2"/>
    <s v="NOS"/>
    <s v="ZSFG"/>
    <s v="SF0045"/>
    <n v="2240"/>
    <n v="330780.79999999999"/>
    <n v="2240"/>
    <n v="2240"/>
    <x v="8"/>
    <n v="364985.59999999998"/>
    <s v="RV"/>
    <s v="Billing doc.transfer"/>
    <s v="01"/>
    <x v="1"/>
    <x v="1"/>
    <x v="1"/>
    <x v="0"/>
    <n v="34204.800000000047"/>
    <n v="9.3715478090094645E-2"/>
    <x v="0"/>
    <x v="2"/>
    <n v="2240"/>
    <n v="147.66999999999996"/>
    <n v="144.21999999999997"/>
    <n v="1.5"/>
    <n v="0"/>
    <n v="1.95"/>
    <n v="-1.1324274851176597E-14"/>
    <n v="330780.79999999993"/>
    <n v="323052.79999999993"/>
    <n v="3360"/>
    <n v="0"/>
    <n v="4368"/>
    <n v="5.8207660913467407E-11"/>
    <n v="9.3715478090094617E-2"/>
    <n v="147.66999999999999"/>
    <n v="0"/>
  </r>
  <r>
    <x v="1"/>
    <d v="2025-11-20T00:00:00"/>
    <s v="3271313809"/>
    <x v="2"/>
    <x v="2"/>
    <s v="NOS"/>
    <s v="ZSFG"/>
    <s v="SF0045"/>
    <n v="2128"/>
    <n v="314241.76"/>
    <n v="2128"/>
    <n v="2128"/>
    <x v="8"/>
    <n v="346736.32"/>
    <s v="RV"/>
    <s v="Billing doc.transfer"/>
    <s v="01"/>
    <x v="1"/>
    <x v="1"/>
    <x v="1"/>
    <x v="0"/>
    <n v="32494.560000000114"/>
    <n v="9.3715478090094839E-2"/>
    <x v="0"/>
    <x v="2"/>
    <n v="2128"/>
    <n v="147.66999999999996"/>
    <n v="144.21999999999997"/>
    <n v="1.5"/>
    <n v="0"/>
    <n v="1.95"/>
    <n v="-1.1324274851176597E-14"/>
    <n v="314241.75999999989"/>
    <n v="306900.15999999992"/>
    <n v="3192"/>
    <n v="0"/>
    <n v="4149.5999999999995"/>
    <n v="9.3677954282611609E-11"/>
    <n v="9.3715478090094839E-2"/>
    <n v="147.67000000000002"/>
    <n v="-2.2737367544323206E-11"/>
  </r>
  <r>
    <x v="1"/>
    <d v="2025-11-20T00:00:00"/>
    <s v="3271313576"/>
    <x v="2"/>
    <x v="2"/>
    <s v="NOS"/>
    <s v="ZSFG"/>
    <s v="SF0045"/>
    <n v="2628"/>
    <n v="388076.76"/>
    <n v="2628"/>
    <n v="2628"/>
    <x v="8"/>
    <n v="428206.32"/>
    <s v="RV"/>
    <s v="Billing doc.transfer"/>
    <s v="01"/>
    <x v="1"/>
    <x v="1"/>
    <x v="1"/>
    <x v="0"/>
    <n v="40129.560000000114"/>
    <n v="9.3715478090094784E-2"/>
    <x v="0"/>
    <x v="2"/>
    <n v="2628"/>
    <n v="147.66999999999996"/>
    <n v="144.21999999999997"/>
    <n v="1.5"/>
    <n v="0"/>
    <n v="1.95"/>
    <n v="-1.1324274851176597E-14"/>
    <n v="388076.75999999989"/>
    <n v="379010.15999999992"/>
    <n v="3942"/>
    <n v="0"/>
    <n v="5124.5999999999995"/>
    <n v="9.3677954282611609E-11"/>
    <n v="9.3715478090094728E-2"/>
    <n v="147.67000000000002"/>
    <n v="-2.2737367544323206E-11"/>
  </r>
  <r>
    <x v="1"/>
    <d v="2025-11-20T00:00:00"/>
    <s v="3271313733"/>
    <x v="2"/>
    <x v="2"/>
    <s v="NOS"/>
    <s v="ZSFG"/>
    <s v="SF0045"/>
    <n v="7494"/>
    <n v="1106638.98"/>
    <n v="7494"/>
    <n v="7494"/>
    <x v="8"/>
    <n v="1221072.3600000001"/>
    <s v="RV"/>
    <s v="Billing doc.transfer"/>
    <s v="01"/>
    <x v="1"/>
    <x v="1"/>
    <x v="1"/>
    <x v="0"/>
    <n v="114433.38000000035"/>
    <n v="9.3715478090094798E-2"/>
    <x v="0"/>
    <x v="35"/>
    <n v="7494"/>
    <n v="147.66999999999996"/>
    <n v="144.21999999999997"/>
    <n v="1.5"/>
    <n v="0"/>
    <n v="1.95"/>
    <n v="-1.1324274851176597E-14"/>
    <n v="1106638.9799999997"/>
    <n v="1080784.6799999997"/>
    <n v="11241"/>
    <n v="0"/>
    <n v="14613.3"/>
    <n v="2.801243681460619E-10"/>
    <n v="9.3715478090094839E-2"/>
    <n v="147.66999999999999"/>
    <n v="4.7293724492192268E-11"/>
  </r>
  <r>
    <x v="1"/>
    <d v="2025-11-20T00:00:00"/>
    <s v="3271313578"/>
    <x v="33"/>
    <x v="33"/>
    <s v="NOS"/>
    <s v="ZSFG"/>
    <s v="SF0045"/>
    <n v="558"/>
    <n v="54142.74"/>
    <n v="558"/>
    <n v="558"/>
    <x v="8"/>
    <n v="71072.460000000006"/>
    <s v="RV"/>
    <s v="Billing doc.transfer"/>
    <s v="01"/>
    <x v="1"/>
    <x v="1"/>
    <x v="1"/>
    <x v="0"/>
    <n v="16929.72"/>
    <n v="0.23820365863233101"/>
    <x v="0"/>
    <x v="36"/>
    <n v="558"/>
    <n v="97.03"/>
    <n v="93.490000000000009"/>
    <n v="1.63"/>
    <n v="0"/>
    <n v="1.9100000000000001"/>
    <n v="-7.9936057773011271E-15"/>
    <n v="54142.740000000005"/>
    <n v="52167.420000000006"/>
    <n v="909.54"/>
    <n v="0"/>
    <n v="1065.78"/>
    <n v="-7.503331289626658E-12"/>
    <n v="0.23820365863233095"/>
    <n v="97.03"/>
    <n v="0"/>
  </r>
  <r>
    <x v="1"/>
    <d v="2025-11-20T00:00:00"/>
    <s v="3271313810"/>
    <x v="3"/>
    <x v="3"/>
    <s v="NOS"/>
    <s v="ZFG1"/>
    <s v="FG0010"/>
    <n v="79"/>
    <n v="50957.37"/>
    <n v="79"/>
    <n v="79"/>
    <x v="8"/>
    <n v="57556.24"/>
    <s v="RV"/>
    <s v="Billing doc.transfer"/>
    <s v="01"/>
    <x v="0"/>
    <x v="2"/>
    <x v="2"/>
    <x v="0"/>
    <n v="6564.9000000000233"/>
    <n v="0.11406061271549399"/>
    <x v="0"/>
    <x v="3"/>
    <n v="79"/>
    <n v="645.02999999999963"/>
    <n v="582.23999999999967"/>
    <n v="29.88"/>
    <n v="0.43"/>
    <n v="32.480000000000004"/>
    <n v="0.42999999999996419"/>
    <n v="50991.339999999975"/>
    <n v="45996.959999999977"/>
    <n v="2360.52"/>
    <n v="33.97"/>
    <n v="2599.8900000000003"/>
    <n v="2.5011104298755527E-11"/>
    <n v="0.11406061271549395"/>
    <n v="645.03000000000009"/>
    <n v="33.969999999997071"/>
  </r>
  <r>
    <x v="1"/>
    <d v="2025-11-20T00:00:00"/>
    <s v="3271313592"/>
    <x v="3"/>
    <x v="3"/>
    <s v="NOS"/>
    <s v="ZFG1"/>
    <s v="FG0010"/>
    <n v="206"/>
    <n v="132876.18"/>
    <n v="206"/>
    <n v="206"/>
    <x v="8"/>
    <n v="150083.35999999999"/>
    <s v="RV"/>
    <s v="Billing doc.transfer"/>
    <s v="01"/>
    <x v="0"/>
    <x v="2"/>
    <x v="2"/>
    <x v="0"/>
    <n v="17118.600000000064"/>
    <n v="0.11406061271549402"/>
    <x v="0"/>
    <x v="3"/>
    <n v="206"/>
    <n v="645.02999999999963"/>
    <n v="582.23999999999967"/>
    <n v="29.88"/>
    <n v="0.43"/>
    <n v="32.480000000000004"/>
    <n v="0.42999999999996419"/>
    <n v="132964.75999999992"/>
    <n v="119941.43999999993"/>
    <n v="6155.28"/>
    <n v="88.58"/>
    <n v="6779.4600000000009"/>
    <n v="6.2755134422332048E-11"/>
    <n v="0.11406061271549406"/>
    <n v="645.03"/>
    <n v="88.579999999991742"/>
  </r>
  <r>
    <x v="1"/>
    <d v="2025-11-20T00:00:00"/>
    <s v="3271313394"/>
    <x v="15"/>
    <x v="15"/>
    <s v="NOS"/>
    <s v="ZFG1"/>
    <s v="FG0010"/>
    <n v="895"/>
    <n v="377135.1"/>
    <n v="895"/>
    <n v="895"/>
    <x v="8"/>
    <n v="432428.2"/>
    <s v="RV"/>
    <s v="Billing doc.transfer"/>
    <s v="01"/>
    <x v="0"/>
    <x v="2"/>
    <x v="2"/>
    <x v="0"/>
    <n v="55060.40000000014"/>
    <n v="0.12732842122692309"/>
    <x v="0"/>
    <x v="14"/>
    <n v="895"/>
    <n v="421.37999999999982"/>
    <n v="373.01999999999981"/>
    <n v="22"/>
    <n v="0.26"/>
    <n v="26.1"/>
    <n v="0.26000000000001222"/>
    <n v="377367.79999999987"/>
    <n v="333852.89999999985"/>
    <n v="19690"/>
    <n v="232.70000000000002"/>
    <n v="23592.2"/>
    <n v="1.2732925824820995E-10"/>
    <n v="0.12732842122692312"/>
    <n v="421.38"/>
    <n v="232.70000000002256"/>
  </r>
  <r>
    <x v="1"/>
    <d v="2025-11-20T00:00:00"/>
    <s v="3271313584"/>
    <x v="5"/>
    <x v="5"/>
    <s v="NOS"/>
    <s v="ZFG1"/>
    <s v="FG0010"/>
    <n v="840"/>
    <n v="274789.2"/>
    <n v="840"/>
    <n v="840"/>
    <x v="8"/>
    <n v="286498.8"/>
    <s v="RV"/>
    <s v="Billing doc.transfer"/>
    <s v="01"/>
    <x v="0"/>
    <x v="2"/>
    <x v="2"/>
    <x v="0"/>
    <n v="11566.800000000047"/>
    <n v="4.0372943970446114E-2"/>
    <x v="0"/>
    <x v="5"/>
    <n v="840"/>
    <n v="327.13"/>
    <n v="278.14"/>
    <n v="22.400000000000002"/>
    <n v="0.17"/>
    <n v="26.42"/>
    <n v="0.17000000000000526"/>
    <n v="274931.99999999994"/>
    <n v="233637.59999999998"/>
    <n v="18816"/>
    <n v="142.80000000000001"/>
    <n v="22335.600000000002"/>
    <n v="3.2741809263825417E-11"/>
    <n v="4.0372943970446107E-2"/>
    <n v="327.13"/>
    <n v="142.79999999996289"/>
  </r>
  <r>
    <x v="1"/>
    <d v="2025-11-20T00:00:00"/>
    <s v="3271313592"/>
    <x v="5"/>
    <x v="5"/>
    <s v="NOS"/>
    <s v="ZFG1"/>
    <s v="FG0010"/>
    <n v="1155"/>
    <n v="377835.15"/>
    <n v="1155"/>
    <n v="1155"/>
    <x v="8"/>
    <n v="393935.85"/>
    <s v="RV"/>
    <s v="Billing doc.transfer"/>
    <s v="01"/>
    <x v="0"/>
    <x v="2"/>
    <x v="2"/>
    <x v="0"/>
    <n v="15904.349999999977"/>
    <n v="4.0372943970445892E-2"/>
    <x v="0"/>
    <x v="5"/>
    <n v="1155"/>
    <n v="327.13"/>
    <n v="278.14"/>
    <n v="22.400000000000002"/>
    <n v="0.17"/>
    <n v="26.42"/>
    <n v="0.17000000000000526"/>
    <n v="378031.5"/>
    <n v="321251.7"/>
    <n v="25872.000000000004"/>
    <n v="196.35000000000002"/>
    <n v="30711.45"/>
    <n v="0"/>
    <n v="4.0372943970445885E-2"/>
    <n v="327.13"/>
    <n v="196.34999999998399"/>
  </r>
  <r>
    <x v="1"/>
    <d v="2025-11-20T00:00:00"/>
    <s v="3271313592"/>
    <x v="6"/>
    <x v="6"/>
    <s v="NOS"/>
    <s v="ZFG1"/>
    <s v="FG0010"/>
    <n v="1030"/>
    <n v="336913"/>
    <n v="1030"/>
    <n v="1030"/>
    <x v="8"/>
    <n v="351302.1"/>
    <s v="RV"/>
    <s v="Billing doc.transfer"/>
    <s v="01"/>
    <x v="0"/>
    <x v="2"/>
    <x v="2"/>
    <x v="0"/>
    <n v="14213.999999999942"/>
    <n v="4.0460902454041527E-2"/>
    <x v="0"/>
    <x v="5"/>
    <n v="1030"/>
    <n v="327.10000000000008"/>
    <n v="278.11000000000007"/>
    <n v="22.400000000000002"/>
    <n v="0.17"/>
    <n v="26.42"/>
    <n v="0.17000000000000526"/>
    <n v="337088.10000000003"/>
    <n v="286453.30000000005"/>
    <n v="23072.000000000004"/>
    <n v="175.10000000000002"/>
    <n v="27387.7"/>
    <n v="-5.0931703299283981E-11"/>
    <n v="4.0460902454041547E-2"/>
    <n v="327.10000000000002"/>
    <n v="175.09999999998399"/>
  </r>
  <r>
    <x v="1"/>
    <d v="2025-11-20T00:00:00"/>
    <s v="3271313810"/>
    <x v="9"/>
    <x v="9"/>
    <s v="NOS"/>
    <s v="ZFG1"/>
    <s v="FG0010"/>
    <n v="202"/>
    <n v="43753.2"/>
    <n v="202"/>
    <n v="202"/>
    <x v="8"/>
    <n v="44813.7"/>
    <s v="RV"/>
    <s v="Billing doc.transfer"/>
    <s v="01"/>
    <x v="0"/>
    <x v="2"/>
    <x v="2"/>
    <x v="0"/>
    <n v="1052.4200000000055"/>
    <n v="2.3484336263241052E-2"/>
    <x v="0"/>
    <x v="9"/>
    <n v="202"/>
    <n v="216.59999999999994"/>
    <n v="174.98999999999995"/>
    <n v="18.389999999999997"/>
    <n v="0.04"/>
    <n v="23.18"/>
    <n v="3.9999999999988489E-2"/>
    <n v="43761.279999999992"/>
    <n v="35347.979999999989"/>
    <n v="3714.7799999999993"/>
    <n v="8.08"/>
    <n v="4690.4399999999996"/>
    <n v="1.0004441719502211E-11"/>
    <n v="2.348433626324109E-2"/>
    <n v="216.6"/>
    <n v="8.0800000000044747"/>
  </r>
  <r>
    <x v="1"/>
    <d v="2025-11-20T00:00:00"/>
    <s v="3271313592"/>
    <x v="9"/>
    <x v="9"/>
    <s v="NOS"/>
    <s v="ZFG1"/>
    <s v="FG0010"/>
    <n v="789"/>
    <n v="170897.4"/>
    <n v="789"/>
    <n v="789"/>
    <x v="8"/>
    <n v="175039.65"/>
    <s v="RV"/>
    <s v="Billing doc.transfer"/>
    <s v="01"/>
    <x v="0"/>
    <x v="2"/>
    <x v="2"/>
    <x v="0"/>
    <n v="4110.6900000000314"/>
    <n v="2.3484336263241107E-2"/>
    <x v="0"/>
    <x v="9"/>
    <n v="789"/>
    <n v="216.59999999999994"/>
    <n v="174.98999999999995"/>
    <n v="18.389999999999997"/>
    <n v="0.04"/>
    <n v="23.18"/>
    <n v="3.9999999999988489E-2"/>
    <n v="170928.95999999996"/>
    <n v="138067.10999999996"/>
    <n v="14509.709999999997"/>
    <n v="31.560000000000002"/>
    <n v="18320.580000000002"/>
    <n v="3.637978807091713E-11"/>
    <n v="2.348433626324109E-2"/>
    <n v="216.6"/>
    <n v="31.560000000004948"/>
  </r>
  <r>
    <x v="1"/>
    <d v="2025-11-20T00:00:00"/>
    <s v="3271313584"/>
    <x v="21"/>
    <x v="21"/>
    <s v="NOS"/>
    <s v="ZFG1"/>
    <s v="FG0010"/>
    <n v="200"/>
    <n v="65040"/>
    <n v="200"/>
    <n v="200"/>
    <x v="8"/>
    <n v="71004"/>
    <s v="RV"/>
    <s v="Billing doc.transfer"/>
    <s v="01"/>
    <x v="0"/>
    <x v="2"/>
    <x v="2"/>
    <x v="0"/>
    <n v="5912.0000000000073"/>
    <n v="8.3262914765365431E-2"/>
    <x v="0"/>
    <x v="7"/>
    <n v="200"/>
    <n v="325.19999999999993"/>
    <n v="271.52999999999997"/>
    <n v="23.84"/>
    <n v="0.26"/>
    <n v="29.569999999999997"/>
    <n v="0.25999999999996248"/>
    <n v="65091.999999999993"/>
    <n v="54305.999999999993"/>
    <n v="4768"/>
    <n v="52"/>
    <n v="5965.9999999999991"/>
    <n v="8.1854523159563541E-12"/>
    <n v="8.3262914765365403E-2"/>
    <n v="325.2"/>
    <n v="52.000000000000909"/>
  </r>
  <r>
    <x v="1"/>
    <d v="2025-11-20T00:00:00"/>
    <s v="3271313810"/>
    <x v="21"/>
    <x v="21"/>
    <s v="NOS"/>
    <s v="ZFG1"/>
    <s v="FG0010"/>
    <n v="100"/>
    <n v="32520"/>
    <n v="100"/>
    <n v="100"/>
    <x v="8"/>
    <n v="35502"/>
    <s v="RV"/>
    <s v="Billing doc.transfer"/>
    <s v="01"/>
    <x v="0"/>
    <x v="2"/>
    <x v="2"/>
    <x v="0"/>
    <n v="2956.0000000000036"/>
    <n v="8.3262914765365431E-2"/>
    <x v="0"/>
    <x v="7"/>
    <n v="100"/>
    <n v="325.19999999999993"/>
    <n v="271.52999999999997"/>
    <n v="23.84"/>
    <n v="0.26"/>
    <n v="29.569999999999997"/>
    <n v="0.25999999999996248"/>
    <n v="32545.999999999996"/>
    <n v="27152.999999999996"/>
    <n v="2384"/>
    <n v="26"/>
    <n v="2982.9999999999995"/>
    <n v="4.0927261579781771E-12"/>
    <n v="8.3262914765365403E-2"/>
    <n v="325.2"/>
    <n v="26.000000000000455"/>
  </r>
  <r>
    <x v="1"/>
    <d v="2025-11-20T00:00:00"/>
    <s v="3271313393"/>
    <x v="34"/>
    <x v="34"/>
    <s v="NOS"/>
    <s v="ZFG1"/>
    <s v="FG0010"/>
    <n v="840"/>
    <n v="283122"/>
    <n v="840"/>
    <n v="840"/>
    <x v="8"/>
    <n v="291244.79999999999"/>
    <s v="RV"/>
    <s v="Billing doc.transfer"/>
    <s v="01"/>
    <x v="0"/>
    <x v="2"/>
    <x v="2"/>
    <x v="0"/>
    <n v="7971.5999999999767"/>
    <n v="2.7370789109367712E-2"/>
    <x v="0"/>
    <x v="37"/>
    <n v="840"/>
    <n v="337.05"/>
    <n v="287.83"/>
    <n v="20.62"/>
    <n v="0.18"/>
    <n v="28.42"/>
    <n v="0.18000000000002458"/>
    <n v="283273.2"/>
    <n v="241777.19999999998"/>
    <n v="17320.8"/>
    <n v="151.19999999999999"/>
    <n v="24024.000000000004"/>
    <n v="0"/>
    <n v="2.7370789109367744E-2"/>
    <n v="337.05"/>
    <n v="151.20000000002619"/>
  </r>
  <r>
    <x v="1"/>
    <d v="2025-11-20T00:00:00"/>
    <s v="3271313392"/>
    <x v="10"/>
    <x v="10"/>
    <s v="NOS"/>
    <s v="ZFG1"/>
    <s v="FG0025"/>
    <n v="54"/>
    <n v="28355.4"/>
    <n v="54"/>
    <n v="54"/>
    <x v="8"/>
    <n v="52641.36"/>
    <s v="RV"/>
    <s v="Billing doc.transfer"/>
    <s v="01"/>
    <x v="0"/>
    <x v="3"/>
    <x v="3"/>
    <x v="0"/>
    <n v="24268.679999999997"/>
    <n v="0.46101924418366086"/>
    <x v="0"/>
    <x v="11"/>
    <n v="54"/>
    <n v="525.10000000000014"/>
    <n v="451.65000000000009"/>
    <n v="26.66"/>
    <n v="0.32"/>
    <n v="46.469999999999992"/>
    <n v="0.32000000000005713"/>
    <n v="28372.680000000004"/>
    <n v="24389.100000000006"/>
    <n v="1439.64"/>
    <n v="17.28"/>
    <n v="2526.66"/>
    <n v="-4.5474735088646412E-12"/>
    <n v="0.4610192441836608"/>
    <n v="525.1"/>
    <n v="17.279999999997926"/>
  </r>
  <r>
    <x v="1"/>
    <d v="2025-11-20T00:00:00"/>
    <s v="3271313392"/>
    <x v="22"/>
    <x v="22"/>
    <s v="NOS"/>
    <s v="ZFG1"/>
    <s v="FG0025"/>
    <n v="52"/>
    <n v="3163.16"/>
    <n v="52"/>
    <n v="52"/>
    <x v="8"/>
    <n v="6283.68"/>
    <s v="RV"/>
    <s v="Billing doc.transfer"/>
    <s v="01"/>
    <x v="0"/>
    <x v="3"/>
    <x v="3"/>
    <x v="0"/>
    <n v="3119.4800000000005"/>
    <n v="0.49644157563720626"/>
    <x v="0"/>
    <x v="25"/>
    <n v="52"/>
    <n v="60.830000000000005"/>
    <n v="48.79"/>
    <n v="12.02"/>
    <n v="0.02"/>
    <n v="0"/>
    <n v="2.0000000000006679E-2"/>
    <n v="3164.2"/>
    <n v="2537.08"/>
    <n v="625.04"/>
    <n v="1.04"/>
    <n v="1.04"/>
    <n v="-3.6415315207705135E-14"/>
    <n v="0.49644157563720626"/>
    <n v="60.83"/>
    <n v="1.0399999999999272"/>
  </r>
  <r>
    <x v="3"/>
    <d v="2025-11-19T00:00:00"/>
    <s v="3271313346"/>
    <x v="1"/>
    <x v="1"/>
    <s v="NOS"/>
    <s v="ZFG1"/>
    <s v="FG0011"/>
    <n v="4000"/>
    <n v="1845480"/>
    <n v="4000"/>
    <n v="4000"/>
    <x v="9"/>
    <n v="2637240"/>
    <s v="RV"/>
    <s v="Billing doc.transfer"/>
    <s v="01"/>
    <x v="0"/>
    <x v="0"/>
    <x v="0"/>
    <x v="0"/>
    <n v="790799.99999999977"/>
    <n v="0.29985894344086989"/>
    <x v="0"/>
    <x v="22"/>
    <n v="4000"/>
    <n v="461.37"/>
    <n v="401.59000000000003"/>
    <n v="28.32"/>
    <n v="0.24"/>
    <n v="31.22"/>
    <n v="0.23999999999997357"/>
    <n v="1846440.0000000002"/>
    <n v="1606360.0000000002"/>
    <n v="113280"/>
    <n v="960"/>
    <n v="125840"/>
    <n v="-2.3283064365386963E-10"/>
    <n v="0.29985894344086994"/>
    <n v="461.37"/>
    <n v="960"/>
  </r>
  <r>
    <x v="1"/>
    <d v="2025-11-19T00:00:00"/>
    <s v="3271313161"/>
    <x v="2"/>
    <x v="2"/>
    <s v="NOS"/>
    <s v="ZSFG"/>
    <s v="SF0045"/>
    <n v="2240"/>
    <n v="330780.79999999999"/>
    <n v="2240"/>
    <n v="2240"/>
    <x v="9"/>
    <n v="364985.59999999998"/>
    <s v="RV"/>
    <s v="Billing doc.transfer"/>
    <s v="01"/>
    <x v="1"/>
    <x v="1"/>
    <x v="1"/>
    <x v="0"/>
    <n v="34204.800000000047"/>
    <n v="9.3715478090094645E-2"/>
    <x v="0"/>
    <x v="2"/>
    <n v="2240"/>
    <n v="147.66999999999996"/>
    <n v="144.21999999999997"/>
    <n v="1.5"/>
    <n v="0"/>
    <n v="1.95"/>
    <n v="-1.1324274851176597E-14"/>
    <n v="330780.79999999993"/>
    <n v="323052.79999999993"/>
    <n v="3360"/>
    <n v="0"/>
    <n v="4368"/>
    <n v="5.8207660913467407E-11"/>
    <n v="9.3715478090094617E-2"/>
    <n v="147.66999999999999"/>
    <n v="0"/>
  </r>
  <r>
    <x v="1"/>
    <d v="2025-11-19T00:00:00"/>
    <s v="3271313153"/>
    <x v="35"/>
    <x v="35"/>
    <s v="NOS"/>
    <s v="ZSFG"/>
    <s v="SF0045"/>
    <n v="1621"/>
    <n v="202835.73"/>
    <n v="1621"/>
    <n v="1621"/>
    <x v="9"/>
    <n v="214604.19"/>
    <s v="RV"/>
    <s v="Billing doc.transfer"/>
    <s v="01"/>
    <x v="1"/>
    <x v="1"/>
    <x v="1"/>
    <x v="0"/>
    <n v="11768.459999999992"/>
    <n v="5.483797869929749E-2"/>
    <x v="0"/>
    <x v="38"/>
    <n v="1621"/>
    <n v="125.13"/>
    <n v="121.67999999999999"/>
    <n v="1.5"/>
    <n v="0"/>
    <n v="1.95"/>
    <n v="2.886579864025407E-15"/>
    <n v="202835.73"/>
    <n v="197243.28"/>
    <n v="2431.5"/>
    <n v="0"/>
    <n v="3160.95"/>
    <n v="1.1823431123048067E-11"/>
    <n v="5.4837978699297518E-2"/>
    <n v="125.13000000000001"/>
    <n v="1.1823431123048067E-11"/>
  </r>
  <r>
    <x v="1"/>
    <d v="2025-11-19T00:00:00"/>
    <s v="3271313280"/>
    <x v="3"/>
    <x v="3"/>
    <s v="NOS"/>
    <s v="ZFG1"/>
    <s v="FG0010"/>
    <n v="105"/>
    <n v="67728.149999999994"/>
    <n v="105"/>
    <n v="105"/>
    <x v="9"/>
    <n v="76498.8"/>
    <s v="RV"/>
    <s v="Billing doc.transfer"/>
    <s v="01"/>
    <x v="0"/>
    <x v="2"/>
    <x v="2"/>
    <x v="0"/>
    <n v="8725.5000000000437"/>
    <n v="0.11406061271549414"/>
    <x v="0"/>
    <x v="20"/>
    <n v="105"/>
    <n v="645.02999999999963"/>
    <n v="582.23999999999967"/>
    <n v="29.88"/>
    <n v="0.43"/>
    <n v="32.480000000000004"/>
    <n v="0.42999999999996419"/>
    <n v="67773.299999999959"/>
    <n v="61135.199999999968"/>
    <n v="3137.4"/>
    <n v="45.15"/>
    <n v="3455.5500000000006"/>
    <n v="2.5465851649641991E-11"/>
    <n v="0.11406061271549417"/>
    <n v="645.03"/>
    <n v="45.149999999990541"/>
  </r>
  <r>
    <x v="1"/>
    <d v="2025-11-19T00:00:00"/>
    <s v="3271312727"/>
    <x v="3"/>
    <x v="3"/>
    <s v="NOS"/>
    <s v="ZFG1"/>
    <s v="FG0010"/>
    <n v="105"/>
    <n v="67728.149999999994"/>
    <n v="105"/>
    <n v="105"/>
    <x v="9"/>
    <n v="76498.8"/>
    <s v="RV"/>
    <s v="Billing doc.transfer"/>
    <s v="01"/>
    <x v="0"/>
    <x v="2"/>
    <x v="2"/>
    <x v="0"/>
    <n v="8725.5000000000437"/>
    <n v="0.11406061271549414"/>
    <x v="0"/>
    <x v="20"/>
    <n v="105"/>
    <n v="645.02999999999963"/>
    <n v="582.23999999999967"/>
    <n v="29.88"/>
    <n v="0.43"/>
    <n v="32.480000000000004"/>
    <n v="0.42999999999996419"/>
    <n v="67773.299999999959"/>
    <n v="61135.199999999968"/>
    <n v="3137.4"/>
    <n v="45.15"/>
    <n v="3455.5500000000006"/>
    <n v="2.5465851649641991E-11"/>
    <n v="0.11406061271549417"/>
    <n v="645.03"/>
    <n v="45.149999999990541"/>
  </r>
  <r>
    <x v="1"/>
    <d v="2025-11-19T00:00:00"/>
    <s v="3271313280"/>
    <x v="11"/>
    <x v="11"/>
    <s v="NOS"/>
    <s v="ZFG1"/>
    <s v="FG0010"/>
    <n v="1649"/>
    <n v="539437.37"/>
    <n v="1649"/>
    <n v="1649"/>
    <x v="9"/>
    <n v="562424.43000000005"/>
    <s v="RV"/>
    <s v="Billing doc.transfer"/>
    <s v="01"/>
    <x v="0"/>
    <x v="2"/>
    <x v="2"/>
    <x v="0"/>
    <n v="22706.729999999981"/>
    <n v="4.0372943970445913E-2"/>
    <x v="0"/>
    <x v="6"/>
    <n v="1649"/>
    <n v="327.13000000000005"/>
    <n v="278.14000000000004"/>
    <n v="22.400000000000002"/>
    <n v="0.17"/>
    <n v="26.42"/>
    <n v="0.17000000000000526"/>
    <n v="539717.70000000007"/>
    <n v="458652.86000000004"/>
    <n v="36937.600000000006"/>
    <n v="280.33000000000004"/>
    <n v="43846.91"/>
    <n v="-5.8207660913467407E-11"/>
    <n v="4.0372943970445885E-2"/>
    <n v="327.13"/>
    <n v="280.3300000000163"/>
  </r>
  <r>
    <x v="1"/>
    <d v="2025-11-19T00:00:00"/>
    <s v="3271312727"/>
    <x v="4"/>
    <x v="4"/>
    <s v="NOS"/>
    <s v="ZFG1"/>
    <s v="FG0010"/>
    <n v="1240"/>
    <n v="522548.4"/>
    <n v="1240"/>
    <n v="1240"/>
    <x v="9"/>
    <n v="599118.4"/>
    <s v="RV"/>
    <s v="Billing doc.transfer"/>
    <s v="01"/>
    <x v="0"/>
    <x v="2"/>
    <x v="2"/>
    <x v="0"/>
    <n v="76247.600000000151"/>
    <n v="0.12726632999420506"/>
    <x v="0"/>
    <x v="14"/>
    <n v="1240"/>
    <n v="421.40999999999985"/>
    <n v="373.04999999999984"/>
    <n v="22"/>
    <n v="0.26"/>
    <n v="26.1"/>
    <n v="0.26000000000001222"/>
    <n v="522870.79999999987"/>
    <n v="462581.99999999983"/>
    <n v="27280"/>
    <n v="322.40000000000003"/>
    <n v="32686.400000000001"/>
    <n v="1.964508555829525E-10"/>
    <n v="0.12726632999420506"/>
    <n v="421.41"/>
    <n v="322.40000000004511"/>
  </r>
  <r>
    <x v="1"/>
    <d v="2025-11-19T00:00:00"/>
    <s v="3271313280"/>
    <x v="28"/>
    <x v="28"/>
    <s v="NOS"/>
    <s v="ZFG1"/>
    <s v="FG0010"/>
    <n v="700"/>
    <n v="294966"/>
    <n v="700"/>
    <n v="700"/>
    <x v="9"/>
    <n v="338212"/>
    <s v="RV"/>
    <s v="Billing doc.transfer"/>
    <s v="01"/>
    <x v="0"/>
    <x v="2"/>
    <x v="2"/>
    <x v="0"/>
    <n v="43064.000000000116"/>
    <n v="0.12732842122692312"/>
    <x v="0"/>
    <x v="14"/>
    <n v="700"/>
    <n v="421.37999999999982"/>
    <n v="373.01999999999981"/>
    <n v="22"/>
    <n v="0.26"/>
    <n v="26.1"/>
    <n v="0.26000000000001222"/>
    <n v="295147.99999999988"/>
    <n v="261113.99999999985"/>
    <n v="15400"/>
    <n v="182"/>
    <n v="18452"/>
    <n v="1.4551915228366852E-10"/>
    <n v="0.12732842122692312"/>
    <n v="421.38"/>
    <n v="182.0000000000291"/>
  </r>
  <r>
    <x v="1"/>
    <d v="2025-11-19T00:00:00"/>
    <s v="3271313390"/>
    <x v="15"/>
    <x v="15"/>
    <s v="NOS"/>
    <s v="ZFG1"/>
    <s v="FG0010"/>
    <n v="1135"/>
    <n v="478266.3"/>
    <n v="1135"/>
    <n v="1135"/>
    <x v="9"/>
    <n v="548386.6"/>
    <s v="RV"/>
    <s v="Billing doc.transfer"/>
    <s v="01"/>
    <x v="0"/>
    <x v="2"/>
    <x v="2"/>
    <x v="0"/>
    <n v="69825.200000000244"/>
    <n v="0.1273284212269232"/>
    <x v="0"/>
    <x v="4"/>
    <n v="1135"/>
    <n v="421.37999999999982"/>
    <n v="373.01999999999981"/>
    <n v="22"/>
    <n v="0.26"/>
    <n v="26.1"/>
    <n v="0.26000000000001222"/>
    <n v="478561.39999999973"/>
    <n v="423377.69999999978"/>
    <n v="24970"/>
    <n v="295.10000000000002"/>
    <n v="29918.6"/>
    <n v="2.1100277081131935E-10"/>
    <n v="0.12732842122692323"/>
    <n v="421.38"/>
    <n v="295.09999999995489"/>
  </r>
  <r>
    <x v="1"/>
    <d v="2025-11-19T00:00:00"/>
    <s v="3271313280"/>
    <x v="5"/>
    <x v="5"/>
    <s v="NOS"/>
    <s v="ZFG1"/>
    <s v="FG0010"/>
    <n v="870"/>
    <n v="284603.09999999998"/>
    <n v="870"/>
    <n v="870"/>
    <x v="9"/>
    <n v="296730.90000000002"/>
    <s v="RV"/>
    <s v="Billing doc.transfer"/>
    <s v="01"/>
    <x v="0"/>
    <x v="2"/>
    <x v="2"/>
    <x v="0"/>
    <n v="11979.900000000023"/>
    <n v="4.0372943970446024E-2"/>
    <x v="0"/>
    <x v="6"/>
    <n v="870"/>
    <n v="327.13"/>
    <n v="278.14"/>
    <n v="22.400000000000002"/>
    <n v="0.17"/>
    <n v="26.42"/>
    <n v="0.17000000000000526"/>
    <n v="284751"/>
    <n v="241981.8"/>
    <n v="19488.000000000004"/>
    <n v="147.9"/>
    <n v="23133.300000000003"/>
    <n v="0"/>
    <n v="4.0372943970445996E-2"/>
    <n v="327.13"/>
    <n v="147.90000000000509"/>
  </r>
  <r>
    <x v="1"/>
    <d v="2025-11-19T00:00:00"/>
    <s v="3271312727"/>
    <x v="9"/>
    <x v="9"/>
    <s v="NOS"/>
    <s v="ZFG1"/>
    <s v="FG0010"/>
    <n v="360"/>
    <n v="77976"/>
    <n v="360"/>
    <n v="360"/>
    <x v="9"/>
    <n v="79866"/>
    <s v="RV"/>
    <s v="Billing doc.transfer"/>
    <s v="01"/>
    <x v="0"/>
    <x v="2"/>
    <x v="2"/>
    <x v="0"/>
    <n v="1875.6000000000349"/>
    <n v="2.3484336263241364E-2"/>
    <x v="0"/>
    <x v="9"/>
    <n v="360"/>
    <n v="216.59999999999994"/>
    <n v="174.98999999999995"/>
    <n v="18.389999999999997"/>
    <n v="0.04"/>
    <n v="23.18"/>
    <n v="3.9999999999988489E-2"/>
    <n v="77990.399999999965"/>
    <n v="62996.39999999998"/>
    <n v="6620.3999999999987"/>
    <n v="14.4"/>
    <n v="8359.1999999999989"/>
    <n v="2.3646862246096134E-11"/>
    <n v="2.3484336263241312E-2"/>
    <n v="216.6"/>
    <n v="14.399999999988722"/>
  </r>
  <r>
    <x v="1"/>
    <d v="2025-11-19T00:00:00"/>
    <s v="3271313389"/>
    <x v="34"/>
    <x v="34"/>
    <s v="NOS"/>
    <s v="ZFG1"/>
    <s v="FG0010"/>
    <n v="1190"/>
    <n v="401089.5"/>
    <n v="1190"/>
    <n v="1190"/>
    <x v="9"/>
    <n v="412596.8"/>
    <s v="RV"/>
    <s v="Billing doc.transfer"/>
    <s v="01"/>
    <x v="0"/>
    <x v="2"/>
    <x v="2"/>
    <x v="0"/>
    <n v="11293.100000000035"/>
    <n v="2.7370789109367875E-2"/>
    <x v="0"/>
    <x v="37"/>
    <n v="1190"/>
    <n v="337.05"/>
    <n v="287.83"/>
    <n v="20.62"/>
    <n v="0.18"/>
    <n v="28.42"/>
    <n v="0.18000000000002458"/>
    <n v="401303.69999999995"/>
    <n v="342517.69999999995"/>
    <n v="24537.800000000003"/>
    <n v="214.2"/>
    <n v="34034"/>
    <n v="0"/>
    <n v="2.7370789109367855E-2"/>
    <n v="337.05"/>
    <n v="214.19999999999709"/>
  </r>
  <r>
    <x v="5"/>
    <d v="2025-11-19T00:00:00"/>
    <s v="3271312746"/>
    <x v="36"/>
    <x v="36"/>
    <s v="NOS"/>
    <s v="ZROH"/>
    <s v="RM0030"/>
    <n v="1500"/>
    <n v="200584.05"/>
    <n v="1500"/>
    <n v="1500"/>
    <x v="9"/>
    <n v="204615"/>
    <s v="RV"/>
    <s v="Billing doc.transfer"/>
    <s v="06"/>
    <x v="2"/>
    <x v="10"/>
    <x v="4"/>
    <x v="0"/>
    <n v="204615"/>
    <n v="1"/>
    <x v="0"/>
    <x v="39"/>
    <n v="1500"/>
    <n v="0"/>
    <n v="0"/>
    <n v="0"/>
    <n v="0"/>
    <n v="0"/>
    <n v="0"/>
    <n v="0"/>
    <n v="0"/>
    <n v="0"/>
    <n v="0"/>
    <n v="0"/>
    <n v="200584.05"/>
    <n v="1"/>
    <n v="133.7227"/>
    <n v="0"/>
  </r>
  <r>
    <x v="5"/>
    <d v="2025-11-19T00:00:00"/>
    <s v="3271312746"/>
    <x v="37"/>
    <x v="37"/>
    <s v="NOS"/>
    <s v="ZROH"/>
    <s v="RM0024"/>
    <n v="814"/>
    <n v="32985.78"/>
    <n v="814"/>
    <n v="814"/>
    <x v="9"/>
    <n v="34383.360000000001"/>
    <s v="RV"/>
    <s v="Billing doc.transfer"/>
    <s v="06"/>
    <x v="2"/>
    <x v="12"/>
    <x v="4"/>
    <x v="0"/>
    <n v="34383.360000000001"/>
    <n v="1"/>
    <x v="0"/>
    <x v="40"/>
    <n v="814"/>
    <n v="0"/>
    <n v="0"/>
    <n v="0"/>
    <n v="0"/>
    <n v="0"/>
    <n v="0"/>
    <n v="0"/>
    <n v="0"/>
    <n v="0"/>
    <n v="0"/>
    <n v="0"/>
    <n v="32985.78"/>
    <n v="1"/>
    <n v="40.523071253071251"/>
    <n v="0"/>
  </r>
  <r>
    <x v="1"/>
    <d v="2025-11-18T00:00:00"/>
    <s v="3271312345"/>
    <x v="2"/>
    <x v="2"/>
    <s v="NOS"/>
    <s v="ZSFG"/>
    <s v="SF0045"/>
    <n v="2128"/>
    <n v="314241.76"/>
    <n v="2128"/>
    <n v="2128"/>
    <x v="10"/>
    <n v="346736.32"/>
    <s v="RV"/>
    <s v="Billing doc.transfer"/>
    <s v="01"/>
    <x v="1"/>
    <x v="1"/>
    <x v="1"/>
    <x v="0"/>
    <n v="32494.560000000114"/>
    <n v="9.3715478090094839E-2"/>
    <x v="0"/>
    <x v="2"/>
    <n v="2128"/>
    <n v="147.66999999999996"/>
    <n v="144.21999999999997"/>
    <n v="1.5"/>
    <n v="0"/>
    <n v="1.95"/>
    <n v="-1.1324274851176597E-14"/>
    <n v="314241.75999999989"/>
    <n v="306900.15999999992"/>
    <n v="3192"/>
    <n v="0"/>
    <n v="4149.5999999999995"/>
    <n v="9.3677954282611609E-11"/>
    <n v="9.3715478090094839E-2"/>
    <n v="147.67000000000002"/>
    <n v="-2.2737367544323206E-11"/>
  </r>
  <r>
    <x v="1"/>
    <d v="2025-11-18T00:00:00"/>
    <s v="3271312344"/>
    <x v="35"/>
    <x v="35"/>
    <s v="NOS"/>
    <s v="ZSFG"/>
    <s v="SF0045"/>
    <n v="1932"/>
    <n v="241751.16"/>
    <n v="1932"/>
    <n v="1932"/>
    <x v="10"/>
    <n v="255777.48"/>
    <s v="RV"/>
    <s v="Billing doc.transfer"/>
    <s v="01"/>
    <x v="1"/>
    <x v="1"/>
    <x v="1"/>
    <x v="0"/>
    <n v="14026.320000000036"/>
    <n v="5.4837978699297671E-2"/>
    <x v="0"/>
    <x v="38"/>
    <n v="1932"/>
    <n v="125.13"/>
    <n v="121.67999999999999"/>
    <n v="1.5"/>
    <n v="0"/>
    <n v="1.95"/>
    <n v="2.886579864025407E-15"/>
    <n v="241751.15999999997"/>
    <n v="235085.75999999998"/>
    <n v="2898"/>
    <n v="0"/>
    <n v="3767.4"/>
    <n v="2.319211489520967E-11"/>
    <n v="5.4837978699297629E-2"/>
    <n v="125.13"/>
    <n v="-5.9117155615240335E-12"/>
  </r>
  <r>
    <x v="1"/>
    <d v="2025-11-18T00:00:00"/>
    <s v="3271312449"/>
    <x v="27"/>
    <x v="27"/>
    <s v="NOS"/>
    <s v="ZFG1"/>
    <s v="FG0012"/>
    <n v="324"/>
    <n v="116549.28"/>
    <n v="324"/>
    <n v="324"/>
    <x v="10"/>
    <n v="100235.88"/>
    <s v="RV"/>
    <s v="Billing doc.transfer"/>
    <s v="01"/>
    <x v="0"/>
    <x v="9"/>
    <x v="5"/>
    <x v="0"/>
    <n v="-16358.760000000009"/>
    <n v="-0.16320263761838583"/>
    <x v="0"/>
    <x v="30"/>
    <n v="324"/>
    <n v="359.73000000000008"/>
    <n v="232.98000000000008"/>
    <n v="58.8"/>
    <n v="0.13"/>
    <n v="67.819999999999993"/>
    <n v="0.13000000000000966"/>
    <n v="116594.64000000001"/>
    <n v="75485.520000000019"/>
    <n v="19051.2"/>
    <n v="42.120000000000005"/>
    <n v="22015.799999999996"/>
    <n v="-3.2400000000161526"/>
    <n v="-0.16320263761838594"/>
    <n v="359.71999999999997"/>
    <n v="42.119999999998981"/>
  </r>
  <r>
    <x v="1"/>
    <d v="2025-11-18T00:00:00"/>
    <s v="3271312449"/>
    <x v="26"/>
    <x v="26"/>
    <s v="NOS"/>
    <s v="ZFG1"/>
    <s v="FG0012"/>
    <n v="449"/>
    <n v="137367.06"/>
    <n v="449"/>
    <n v="449"/>
    <x v="10"/>
    <n v="141026.41"/>
    <s v="RV"/>
    <s v="Billing doc.transfer"/>
    <s v="01"/>
    <x v="0"/>
    <x v="9"/>
    <x v="5"/>
    <x v="0"/>
    <n v="3596.4899999999907"/>
    <n v="2.5502244579579034E-2"/>
    <x v="0"/>
    <x v="41"/>
    <n v="449"/>
    <n v="305.95000000000005"/>
    <n v="236.08000000000004"/>
    <n v="27.35"/>
    <n v="0.13"/>
    <n v="42.39"/>
    <n v="0.13000000000000256"/>
    <n v="137429.92000000001"/>
    <n v="105999.92000000001"/>
    <n v="12280.150000000001"/>
    <n v="58.370000000000005"/>
    <n v="19091.48"/>
    <n v="-4.4900000000161526"/>
    <n v="2.5502244579579059E-2"/>
    <n v="305.94"/>
    <n v="58.369999999998981"/>
  </r>
  <r>
    <x v="1"/>
    <d v="2025-11-18T00:00:00"/>
    <s v="3271312722"/>
    <x v="3"/>
    <x v="3"/>
    <s v="NOS"/>
    <s v="ZFG1"/>
    <s v="FG0010"/>
    <n v="83"/>
    <n v="53537.49"/>
    <n v="83"/>
    <n v="83"/>
    <x v="10"/>
    <n v="60470.48"/>
    <s v="RV"/>
    <s v="Billing doc.transfer"/>
    <s v="01"/>
    <x v="0"/>
    <x v="2"/>
    <x v="2"/>
    <x v="0"/>
    <n v="6897.300000000032"/>
    <n v="0.1140606127154941"/>
    <x v="0"/>
    <x v="20"/>
    <n v="83"/>
    <n v="645.02999999999963"/>
    <n v="582.23999999999967"/>
    <n v="29.88"/>
    <n v="0.43"/>
    <n v="32.480000000000004"/>
    <n v="0.42999999999996419"/>
    <n v="53573.179999999971"/>
    <n v="48325.919999999969"/>
    <n v="2480.04"/>
    <n v="35.69"/>
    <n v="2731.53"/>
    <n v="2.8649083105847239E-11"/>
    <n v="0.11406061271549406"/>
    <n v="645.03"/>
    <n v="35.690000000001874"/>
  </r>
  <r>
    <x v="1"/>
    <d v="2025-11-18T00:00:00"/>
    <s v="3271312302"/>
    <x v="4"/>
    <x v="4"/>
    <s v="NOS"/>
    <s v="ZFG1"/>
    <s v="FG0010"/>
    <n v="1045"/>
    <n v="440373.45"/>
    <n v="1045"/>
    <n v="1045"/>
    <x v="10"/>
    <n v="504902.2"/>
    <s v="RV"/>
    <s v="Billing doc.transfer"/>
    <s v="01"/>
    <x v="0"/>
    <x v="2"/>
    <x v="2"/>
    <x v="0"/>
    <n v="64257.050000000163"/>
    <n v="0.12726632999420515"/>
    <x v="0"/>
    <x v="14"/>
    <n v="1045"/>
    <n v="421.40999999999985"/>
    <n v="373.04999999999984"/>
    <n v="22"/>
    <n v="0.26"/>
    <n v="26.1"/>
    <n v="0.26000000000001222"/>
    <n v="440645.14999999985"/>
    <n v="389837.24999999983"/>
    <n v="22990"/>
    <n v="271.7"/>
    <n v="27546.2"/>
    <n v="1.8553691916167736E-10"/>
    <n v="0.12726632999420517"/>
    <n v="421.41"/>
    <n v="271.70000000002256"/>
  </r>
  <r>
    <x v="1"/>
    <d v="2025-11-18T00:00:00"/>
    <s v="3271312348"/>
    <x v="5"/>
    <x v="5"/>
    <s v="NOS"/>
    <s v="ZFG1"/>
    <s v="FG0010"/>
    <n v="2170"/>
    <n v="709872.1"/>
    <n v="2170"/>
    <n v="2170"/>
    <x v="10"/>
    <n v="740121.9"/>
    <s v="RV"/>
    <s v="Billing doc.transfer"/>
    <s v="01"/>
    <x v="0"/>
    <x v="2"/>
    <x v="2"/>
    <x v="0"/>
    <n v="29880.900000000023"/>
    <n v="4.0372943970445982E-2"/>
    <x v="0"/>
    <x v="5"/>
    <n v="2170"/>
    <n v="327.13"/>
    <n v="278.14"/>
    <n v="22.400000000000002"/>
    <n v="0.17"/>
    <n v="26.42"/>
    <n v="0.17000000000000526"/>
    <n v="710241"/>
    <n v="603563.79999999993"/>
    <n v="48608.000000000007"/>
    <n v="368.90000000000003"/>
    <n v="57700.3"/>
    <n v="0"/>
    <n v="4.0372943970445996E-2"/>
    <n v="327.13"/>
    <n v="368.90000000005966"/>
  </r>
  <r>
    <x v="1"/>
    <d v="2025-11-18T00:00:00"/>
    <s v="3271312302"/>
    <x v="8"/>
    <x v="8"/>
    <s v="NOS"/>
    <s v="ZFG1"/>
    <s v="FG0010"/>
    <n v="1200"/>
    <n v="390240"/>
    <n v="1200"/>
    <n v="1200"/>
    <x v="10"/>
    <n v="426024"/>
    <s v="RV"/>
    <s v="Billing doc.transfer"/>
    <s v="01"/>
    <x v="0"/>
    <x v="2"/>
    <x v="2"/>
    <x v="0"/>
    <n v="35472.000000000058"/>
    <n v="8.3262914765365473E-2"/>
    <x v="0"/>
    <x v="7"/>
    <n v="1200"/>
    <n v="325.19999999999993"/>
    <n v="271.52999999999997"/>
    <n v="23.84"/>
    <n v="0.26"/>
    <n v="29.569999999999997"/>
    <n v="0.25999999999996248"/>
    <n v="390551.99999999994"/>
    <n v="325835.99999999994"/>
    <n v="28608"/>
    <n v="312"/>
    <n v="35795.999999999993"/>
    <n v="6.5483618527650833E-11"/>
    <n v="8.3262914765365514E-2"/>
    <n v="325.2"/>
    <n v="312.00000000000728"/>
  </r>
  <r>
    <x v="1"/>
    <d v="2025-11-18T00:00:00"/>
    <s v="3271312723"/>
    <x v="9"/>
    <x v="9"/>
    <s v="NOS"/>
    <s v="ZFG1"/>
    <s v="FG0010"/>
    <n v="239"/>
    <n v="51767.4"/>
    <n v="239"/>
    <n v="239"/>
    <x v="10"/>
    <n v="53022.15"/>
    <s v="RV"/>
    <s v="Billing doc.transfer"/>
    <s v="01"/>
    <x v="0"/>
    <x v="2"/>
    <x v="2"/>
    <x v="0"/>
    <n v="1245.1900000000169"/>
    <n v="2.3484336263241246E-2"/>
    <x v="0"/>
    <x v="9"/>
    <n v="239"/>
    <n v="216.59999999999994"/>
    <n v="174.98999999999995"/>
    <n v="18.389999999999997"/>
    <n v="0.04"/>
    <n v="23.18"/>
    <n v="3.9999999999988489E-2"/>
    <n v="51776.959999999985"/>
    <n v="41822.609999999986"/>
    <n v="4395.2099999999991"/>
    <n v="9.56"/>
    <n v="5549.58"/>
    <n v="1.6370904631912708E-11"/>
    <n v="2.3484336263241201E-2"/>
    <n v="216.6"/>
    <n v="9.5599999999994907"/>
  </r>
  <r>
    <x v="1"/>
    <d v="2025-11-18T00:00:00"/>
    <s v="3271312302"/>
    <x v="9"/>
    <x v="9"/>
    <s v="NOS"/>
    <s v="ZFG1"/>
    <s v="FG0010"/>
    <n v="398"/>
    <n v="86206.8"/>
    <n v="398"/>
    <n v="398"/>
    <x v="10"/>
    <n v="88296.3"/>
    <s v="RV"/>
    <s v="Billing doc.transfer"/>
    <s v="01"/>
    <x v="0"/>
    <x v="2"/>
    <x v="2"/>
    <x v="0"/>
    <n v="2073.5800000000309"/>
    <n v="2.3484336263241277E-2"/>
    <x v="0"/>
    <x v="9"/>
    <n v="398"/>
    <n v="216.59999999999994"/>
    <n v="174.98999999999995"/>
    <n v="18.389999999999997"/>
    <n v="0.04"/>
    <n v="23.18"/>
    <n v="3.9999999999988489E-2"/>
    <n v="86222.719999999972"/>
    <n v="69646.019999999975"/>
    <n v="7319.2199999999984"/>
    <n v="15.92"/>
    <n v="9241.56"/>
    <n v="3.092281986027956E-11"/>
    <n v="2.3484336263241312E-2"/>
    <n v="216.6"/>
    <n v="15.920000000000073"/>
  </r>
  <r>
    <x v="1"/>
    <d v="2025-11-18T00:00:00"/>
    <s v="3271312350"/>
    <x v="38"/>
    <x v="38"/>
    <s v="NOS"/>
    <s v="ZFG1"/>
    <s v="FG0010"/>
    <n v="1525"/>
    <n v="292739"/>
    <n v="1525"/>
    <n v="1525"/>
    <x v="10"/>
    <n v="754875"/>
    <s v="RV"/>
    <s v="Billing doc.transfer"/>
    <s v="01"/>
    <x v="0"/>
    <x v="2"/>
    <x v="2"/>
    <x v="0"/>
    <n v="462136"/>
    <n v="0.61220202020202019"/>
    <x v="0"/>
    <x v="19"/>
    <n v="1525"/>
    <n v="191.96"/>
    <n v="127.95"/>
    <n v="29.26"/>
    <n v="0"/>
    <n v="34.75"/>
    <n v="0"/>
    <n v="292739"/>
    <n v="195123.75"/>
    <n v="44621.5"/>
    <n v="0"/>
    <n v="52993.75"/>
    <n v="0"/>
    <n v="0.61220202020202019"/>
    <n v="191.96"/>
    <n v="0"/>
  </r>
  <r>
    <x v="1"/>
    <d v="2025-11-18T00:00:00"/>
    <s v="3271312721"/>
    <x v="34"/>
    <x v="34"/>
    <s v="NOS"/>
    <s v="ZFG1"/>
    <s v="FG0010"/>
    <n v="105"/>
    <n v="35390.25"/>
    <n v="105"/>
    <n v="105"/>
    <x v="10"/>
    <n v="36405.599999999999"/>
    <s v="RV"/>
    <s v="Billing doc.transfer"/>
    <s v="01"/>
    <x v="0"/>
    <x v="2"/>
    <x v="2"/>
    <x v="0"/>
    <n v="996.44999999999709"/>
    <n v="2.7370789109367712E-2"/>
    <x v="0"/>
    <x v="37"/>
    <n v="105"/>
    <n v="337.05"/>
    <n v="287.83"/>
    <n v="20.62"/>
    <n v="0.18"/>
    <n v="28.42"/>
    <n v="0.18000000000002458"/>
    <n v="35409.15"/>
    <n v="30222.149999999998"/>
    <n v="2165.1"/>
    <n v="18.899999999999999"/>
    <n v="3003.0000000000005"/>
    <n v="0"/>
    <n v="2.7370789109367744E-2"/>
    <n v="337.05"/>
    <n v="18.900000000003274"/>
  </r>
  <r>
    <x v="1"/>
    <d v="2025-11-18T00:00:00"/>
    <s v="3271312473"/>
    <x v="10"/>
    <x v="10"/>
    <s v="NOS"/>
    <s v="ZFG1"/>
    <s v="FG0025"/>
    <n v="52"/>
    <n v="27305.200000000001"/>
    <n v="52"/>
    <n v="52"/>
    <x v="10"/>
    <n v="50691.68"/>
    <s v="RV"/>
    <s v="Billing doc.transfer"/>
    <s v="01"/>
    <x v="0"/>
    <x v="3"/>
    <x v="3"/>
    <x v="0"/>
    <n v="23369.84"/>
    <n v="0.46101924418366091"/>
    <x v="0"/>
    <x v="11"/>
    <n v="52"/>
    <n v="525.10000000000014"/>
    <n v="451.65000000000009"/>
    <n v="26.66"/>
    <n v="0.32"/>
    <n v="46.469999999999992"/>
    <n v="0.32000000000005713"/>
    <n v="27321.84"/>
    <n v="23485.800000000003"/>
    <n v="1386.32"/>
    <n v="16.64"/>
    <n v="2433.0799999999995"/>
    <n v="0"/>
    <n v="0.46101924418366091"/>
    <n v="525.1"/>
    <n v="16.639999999998054"/>
  </r>
  <r>
    <x v="1"/>
    <d v="2025-11-18T00:00:00"/>
    <s v="3271312473"/>
    <x v="22"/>
    <x v="22"/>
    <s v="NOS"/>
    <s v="ZFG1"/>
    <s v="FG0025"/>
    <n v="52"/>
    <n v="3163.16"/>
    <n v="52"/>
    <n v="52"/>
    <x v="10"/>
    <n v="6283.68"/>
    <s v="RV"/>
    <s v="Billing doc.transfer"/>
    <s v="01"/>
    <x v="0"/>
    <x v="3"/>
    <x v="3"/>
    <x v="0"/>
    <n v="3119.4800000000005"/>
    <n v="0.49644157563720626"/>
    <x v="0"/>
    <x v="25"/>
    <n v="52"/>
    <n v="60.830000000000005"/>
    <n v="48.79"/>
    <n v="12.02"/>
    <n v="0.02"/>
    <n v="0"/>
    <n v="2.0000000000006679E-2"/>
    <n v="3164.2"/>
    <n v="2537.08"/>
    <n v="625.04"/>
    <n v="1.04"/>
    <n v="1.04"/>
    <n v="-3.6415315207705135E-14"/>
    <n v="0.49644157563720626"/>
    <n v="60.83"/>
    <n v="1.0399999999999272"/>
  </r>
  <r>
    <x v="6"/>
    <d v="2025-11-18T00:00:00"/>
    <s v="3271312678"/>
    <x v="39"/>
    <x v="39"/>
    <s v="NOS"/>
    <s v="ZROH"/>
    <s v="RM0004"/>
    <n v="30000"/>
    <n v="19789.080000000002"/>
    <n v="30000"/>
    <n v="30000"/>
    <x v="10"/>
    <n v="20100"/>
    <s v="RV"/>
    <s v="Billing doc.transfer"/>
    <s v="06"/>
    <x v="2"/>
    <x v="13"/>
    <x v="4"/>
    <x v="0"/>
    <n v="20100"/>
    <n v="1"/>
    <x v="0"/>
    <x v="42"/>
    <n v="30000"/>
    <n v="0"/>
    <n v="0"/>
    <n v="0"/>
    <n v="0"/>
    <n v="0"/>
    <n v="0"/>
    <n v="0"/>
    <n v="0"/>
    <n v="0"/>
    <n v="0"/>
    <n v="0"/>
    <n v="19789.080000000002"/>
    <n v="1"/>
    <n v="0.65963600000000011"/>
    <n v="0"/>
  </r>
  <r>
    <x v="1"/>
    <d v="2025-11-17T00:00:00"/>
    <s v="3271311726"/>
    <x v="2"/>
    <x v="2"/>
    <s v="NOS"/>
    <s v="ZSFG"/>
    <s v="SF0045"/>
    <n v="2128"/>
    <n v="314241.76"/>
    <n v="2128"/>
    <n v="2128"/>
    <x v="11"/>
    <n v="346736.32"/>
    <s v="RV"/>
    <s v="Billing doc.transfer"/>
    <s v="01"/>
    <x v="1"/>
    <x v="1"/>
    <x v="1"/>
    <x v="0"/>
    <n v="32494.560000000114"/>
    <n v="9.3715478090094839E-2"/>
    <x v="0"/>
    <x v="2"/>
    <n v="2128"/>
    <n v="147.66999999999996"/>
    <n v="144.21999999999997"/>
    <n v="1.5"/>
    <n v="0"/>
    <n v="1.95"/>
    <n v="-1.1324274851176597E-14"/>
    <n v="314241.75999999989"/>
    <n v="306900.15999999992"/>
    <n v="3192"/>
    <n v="0"/>
    <n v="4149.5999999999995"/>
    <n v="9.3677954282611609E-11"/>
    <n v="9.3715478090094839E-2"/>
    <n v="147.67000000000002"/>
    <n v="-2.2737367544323206E-11"/>
  </r>
  <r>
    <x v="1"/>
    <d v="2025-11-17T00:00:00"/>
    <s v="3271311725"/>
    <x v="33"/>
    <x v="33"/>
    <s v="NOS"/>
    <s v="ZSFG"/>
    <s v="SF0045"/>
    <n v="1120"/>
    <n v="108673.60000000001"/>
    <n v="1120"/>
    <n v="1120"/>
    <x v="11"/>
    <n v="142654.39999999999"/>
    <s v="RV"/>
    <s v="Billing doc.transfer"/>
    <s v="01"/>
    <x v="1"/>
    <x v="1"/>
    <x v="1"/>
    <x v="0"/>
    <n v="33980.799999999974"/>
    <n v="0.23820365863233084"/>
    <x v="0"/>
    <x v="43"/>
    <n v="1120"/>
    <n v="97.03"/>
    <n v="93.490000000000009"/>
    <n v="1.63"/>
    <n v="0"/>
    <n v="1.9100000000000001"/>
    <n v="-7.9936057773011271E-15"/>
    <n v="108673.60000000002"/>
    <n v="104708.80000000002"/>
    <n v="1825.6"/>
    <n v="0"/>
    <n v="2139.2000000000003"/>
    <n v="-1.1823431123048067E-11"/>
    <n v="0.23820365863233084"/>
    <n v="97.03"/>
    <n v="0"/>
  </r>
  <r>
    <x v="1"/>
    <d v="2025-11-17T00:00:00"/>
    <s v="3271311646"/>
    <x v="3"/>
    <x v="3"/>
    <s v="NOS"/>
    <s v="ZFG1"/>
    <s v="FG0010"/>
    <n v="60"/>
    <n v="38701.800000000003"/>
    <n v="60"/>
    <n v="60"/>
    <x v="11"/>
    <n v="43713.599999999999"/>
    <s v="RV"/>
    <s v="Billing doc.transfer"/>
    <s v="01"/>
    <x v="0"/>
    <x v="2"/>
    <x v="2"/>
    <x v="0"/>
    <n v="4986.0000000000146"/>
    <n v="0.11406061271549392"/>
    <x v="0"/>
    <x v="3"/>
    <n v="60"/>
    <n v="645.02999999999963"/>
    <n v="582.23999999999967"/>
    <n v="29.88"/>
    <n v="0.43"/>
    <n v="32.480000000000004"/>
    <n v="0.42999999999996419"/>
    <n v="38727.599999999984"/>
    <n v="34934.39999999998"/>
    <n v="1792.8"/>
    <n v="25.8"/>
    <n v="1974.6000000000001"/>
    <n v="2.319211489520967E-11"/>
    <n v="0.11406061271549395"/>
    <n v="645.03000000000009"/>
    <n v="25.800000000004275"/>
  </r>
  <r>
    <x v="1"/>
    <d v="2025-11-17T00:00:00"/>
    <s v="3271312301"/>
    <x v="3"/>
    <x v="3"/>
    <s v="NOS"/>
    <s v="ZFG1"/>
    <s v="FG0010"/>
    <n v="150"/>
    <n v="96754.5"/>
    <n v="150"/>
    <n v="150"/>
    <x v="11"/>
    <n v="109284"/>
    <s v="RV"/>
    <s v="Billing doc.transfer"/>
    <s v="01"/>
    <x v="0"/>
    <x v="2"/>
    <x v="2"/>
    <x v="0"/>
    <n v="12465.000000000044"/>
    <n v="0.11406061271549398"/>
    <x v="0"/>
    <x v="3"/>
    <n v="150"/>
    <n v="645.02999999999963"/>
    <n v="582.23999999999967"/>
    <n v="29.88"/>
    <n v="0.43"/>
    <n v="32.480000000000004"/>
    <n v="0.42999999999996419"/>
    <n v="96818.999999999956"/>
    <n v="87335.999999999956"/>
    <n v="4482"/>
    <n v="64.5"/>
    <n v="4936.5000000000009"/>
    <n v="4.2746250983327627E-11"/>
    <n v="0.11406061271549395"/>
    <n v="645.03"/>
    <n v="64.499999999999091"/>
  </r>
  <r>
    <x v="1"/>
    <d v="2025-11-17T00:00:00"/>
    <s v="3271311723"/>
    <x v="4"/>
    <x v="4"/>
    <s v="NOS"/>
    <s v="ZFG1"/>
    <s v="FG0010"/>
    <n v="945"/>
    <n v="398232.45"/>
    <n v="945"/>
    <n v="945"/>
    <x v="11"/>
    <n v="456586.2"/>
    <s v="RV"/>
    <s v="Billing doc.transfer"/>
    <s v="01"/>
    <x v="0"/>
    <x v="2"/>
    <x v="2"/>
    <x v="0"/>
    <n v="58108.050000000163"/>
    <n v="0.12726632999420517"/>
    <x v="0"/>
    <x v="14"/>
    <n v="945"/>
    <n v="421.40999999999985"/>
    <n v="373.04999999999984"/>
    <n v="22"/>
    <n v="0.26"/>
    <n v="26.1"/>
    <n v="0.26000000000001222"/>
    <n v="398478.14999999985"/>
    <n v="352532.24999999983"/>
    <n v="20790"/>
    <n v="245.70000000000002"/>
    <n v="24910.2"/>
    <n v="1.8553691916167736E-10"/>
    <n v="0.12726632999420517"/>
    <n v="421.41"/>
    <n v="245.70000000002256"/>
  </r>
  <r>
    <x v="1"/>
    <d v="2025-11-17T00:00:00"/>
    <s v="3271311646"/>
    <x v="4"/>
    <x v="4"/>
    <s v="NOS"/>
    <s v="ZFG1"/>
    <s v="FG0010"/>
    <n v="840"/>
    <n v="353984.4"/>
    <n v="840"/>
    <n v="840"/>
    <x v="11"/>
    <n v="405854.4"/>
    <s v="RV"/>
    <s v="Billing doc.transfer"/>
    <s v="01"/>
    <x v="0"/>
    <x v="2"/>
    <x v="2"/>
    <x v="0"/>
    <n v="51651.600000000093"/>
    <n v="0.12726632999420504"/>
    <x v="0"/>
    <x v="14"/>
    <n v="840"/>
    <n v="421.40999999999985"/>
    <n v="373.04999999999984"/>
    <n v="22"/>
    <n v="0.26"/>
    <n v="26.1"/>
    <n v="0.26000000000001222"/>
    <n v="354202.79999999993"/>
    <n v="313361.99999999988"/>
    <n v="18480"/>
    <n v="218.4"/>
    <n v="22142.400000000001"/>
    <n v="1.3824319466948509E-10"/>
    <n v="0.12726632999420506"/>
    <n v="421.41"/>
    <n v="218.40000000004511"/>
  </r>
  <r>
    <x v="1"/>
    <d v="2025-11-17T00:00:00"/>
    <s v="3271311651"/>
    <x v="28"/>
    <x v="28"/>
    <s v="NOS"/>
    <s v="ZFG1"/>
    <s v="FG0010"/>
    <n v="585"/>
    <n v="246507.3"/>
    <n v="585"/>
    <n v="585"/>
    <x v="11"/>
    <n v="282648.59999999998"/>
    <s v="RV"/>
    <s v="Billing doc.transfer"/>
    <s v="01"/>
    <x v="0"/>
    <x v="2"/>
    <x v="2"/>
    <x v="0"/>
    <n v="35989.20000000007"/>
    <n v="0.12732842122692301"/>
    <x v="0"/>
    <x v="4"/>
    <n v="585"/>
    <n v="421.37999999999982"/>
    <n v="373.01999999999981"/>
    <n v="22"/>
    <n v="0.26"/>
    <n v="26.1"/>
    <n v="0.26000000000001222"/>
    <n v="246659.39999999991"/>
    <n v="218216.6999999999"/>
    <n v="12870"/>
    <n v="152.1"/>
    <n v="15420.6"/>
    <n v="9.276845958083868E-11"/>
    <n v="0.12732842122692301"/>
    <n v="421.38"/>
    <n v="152.10000000001128"/>
  </r>
  <r>
    <x v="1"/>
    <d v="2025-11-17T00:00:00"/>
    <s v="3271311723"/>
    <x v="28"/>
    <x v="28"/>
    <s v="NOS"/>
    <s v="ZFG1"/>
    <s v="FG0010"/>
    <n v="500"/>
    <n v="210690"/>
    <n v="500"/>
    <n v="500"/>
    <x v="11"/>
    <n v="241580"/>
    <s v="RV"/>
    <s v="Billing doc.transfer"/>
    <s v="01"/>
    <x v="0"/>
    <x v="2"/>
    <x v="2"/>
    <x v="0"/>
    <n v="30760.000000000087"/>
    <n v="0.12732842122692312"/>
    <x v="0"/>
    <x v="14"/>
    <n v="500"/>
    <n v="421.37999999999982"/>
    <n v="373.01999999999981"/>
    <n v="22"/>
    <n v="0.26"/>
    <n v="26.1"/>
    <n v="0.26000000000001222"/>
    <n v="210819.99999999991"/>
    <n v="186509.99999999991"/>
    <n v="11000"/>
    <n v="130"/>
    <n v="13180"/>
    <n v="8.7311491370201111E-11"/>
    <n v="0.12732842122692312"/>
    <n v="421.38"/>
    <n v="130"/>
  </r>
  <r>
    <x v="1"/>
    <d v="2025-11-17T00:00:00"/>
    <s v="3271312301"/>
    <x v="20"/>
    <x v="20"/>
    <s v="NOS"/>
    <s v="ZFG1"/>
    <s v="FG0010"/>
    <n v="140"/>
    <n v="58993.2"/>
    <n v="140"/>
    <n v="140"/>
    <x v="11"/>
    <n v="67642.399999999994"/>
    <s v="RV"/>
    <s v="Billing doc.transfer"/>
    <s v="01"/>
    <x v="0"/>
    <x v="2"/>
    <x v="2"/>
    <x v="0"/>
    <n v="8612.8000000000175"/>
    <n v="0.12732842122692303"/>
    <x v="0"/>
    <x v="4"/>
    <n v="140"/>
    <n v="421.37999999999982"/>
    <n v="373.01999999999981"/>
    <n v="22"/>
    <n v="0.26"/>
    <n v="26.1"/>
    <n v="0.26000000000001222"/>
    <n v="59029.599999999977"/>
    <n v="52222.799999999974"/>
    <n v="3080"/>
    <n v="36.4"/>
    <n v="3690.4"/>
    <n v="2.319211489520967E-11"/>
    <n v="0.12732842122692301"/>
    <n v="421.38"/>
    <n v="36.400000000002819"/>
  </r>
  <r>
    <x v="1"/>
    <d v="2025-11-17T00:00:00"/>
    <s v="3271311723"/>
    <x v="20"/>
    <x v="20"/>
    <s v="NOS"/>
    <s v="ZFG1"/>
    <s v="FG0010"/>
    <n v="455"/>
    <n v="191727.9"/>
    <n v="455"/>
    <n v="455"/>
    <x v="11"/>
    <n v="219837.8"/>
    <s v="RV"/>
    <s v="Billing doc.transfer"/>
    <s v="01"/>
    <x v="0"/>
    <x v="2"/>
    <x v="2"/>
    <x v="0"/>
    <n v="27991.600000000093"/>
    <n v="0.1273284212269232"/>
    <x v="0"/>
    <x v="4"/>
    <n v="455"/>
    <n v="421.37999999999982"/>
    <n v="373.01999999999981"/>
    <n v="22"/>
    <n v="0.26"/>
    <n v="26.1"/>
    <n v="0.26000000000001222"/>
    <n v="191846.1999999999"/>
    <n v="169724.09999999992"/>
    <n v="10010"/>
    <n v="118.3"/>
    <n v="11993.8"/>
    <n v="7.6397554948925972E-11"/>
    <n v="0.12732842122692323"/>
    <n v="421.38"/>
    <n v="118.29999999997744"/>
  </r>
  <r>
    <x v="1"/>
    <d v="2025-11-17T00:00:00"/>
    <s v="3271311651"/>
    <x v="8"/>
    <x v="8"/>
    <s v="NOS"/>
    <s v="ZFG1"/>
    <s v="FG0010"/>
    <n v="1433"/>
    <n v="466011.6"/>
    <n v="1433"/>
    <n v="1433"/>
    <x v="11"/>
    <n v="508743.66"/>
    <s v="RV"/>
    <s v="Billing doc.transfer"/>
    <s v="01"/>
    <x v="0"/>
    <x v="2"/>
    <x v="2"/>
    <x v="0"/>
    <n v="42359.479999999981"/>
    <n v="8.3262914765365292E-2"/>
    <x v="0"/>
    <x v="7"/>
    <n v="1433"/>
    <n v="325.19999999999993"/>
    <n v="271.52999999999997"/>
    <n v="23.84"/>
    <n v="0.26"/>
    <n v="29.569999999999997"/>
    <n v="0.25999999999996248"/>
    <n v="466384.18"/>
    <n v="389102.48999999993"/>
    <n v="34162.720000000001"/>
    <n v="372.58000000000004"/>
    <n v="42746.39"/>
    <n v="0"/>
    <n v="8.3262914765365292E-2"/>
    <n v="325.2"/>
    <n v="372.58000000005995"/>
  </r>
  <r>
    <x v="1"/>
    <d v="2025-11-17T00:00:00"/>
    <s v="3271311646"/>
    <x v="8"/>
    <x v="8"/>
    <s v="NOS"/>
    <s v="ZFG1"/>
    <s v="FG0010"/>
    <n v="600"/>
    <n v="195120"/>
    <n v="600"/>
    <n v="600"/>
    <x v="11"/>
    <n v="213012"/>
    <s v="RV"/>
    <s v="Billing doc.transfer"/>
    <s v="01"/>
    <x v="0"/>
    <x v="2"/>
    <x v="2"/>
    <x v="0"/>
    <n v="17736.000000000029"/>
    <n v="8.3262914765365473E-2"/>
    <x v="0"/>
    <x v="7"/>
    <n v="600"/>
    <n v="325.19999999999993"/>
    <n v="271.52999999999997"/>
    <n v="23.84"/>
    <n v="0.26"/>
    <n v="29.569999999999997"/>
    <n v="0.25999999999996248"/>
    <n v="195275.99999999997"/>
    <n v="162917.99999999997"/>
    <n v="14304"/>
    <n v="156"/>
    <n v="17897.999999999996"/>
    <n v="3.2741809263825417E-11"/>
    <n v="8.3262914765365514E-2"/>
    <n v="325.2"/>
    <n v="156.00000000000364"/>
  </r>
  <r>
    <x v="1"/>
    <d v="2025-11-17T00:00:00"/>
    <s v="3271311728"/>
    <x v="9"/>
    <x v="9"/>
    <s v="NOS"/>
    <s v="ZFG1"/>
    <s v="FG0010"/>
    <n v="240"/>
    <n v="51984"/>
    <n v="240"/>
    <n v="240"/>
    <x v="11"/>
    <n v="53244"/>
    <s v="RV"/>
    <s v="Billing doc.transfer"/>
    <s v="01"/>
    <x v="0"/>
    <x v="2"/>
    <x v="2"/>
    <x v="0"/>
    <n v="1250.4000000000087"/>
    <n v="2.3484336263241094E-2"/>
    <x v="0"/>
    <x v="9"/>
    <n v="240"/>
    <n v="216.59999999999994"/>
    <n v="174.98999999999995"/>
    <n v="18.389999999999997"/>
    <n v="0.04"/>
    <n v="23.18"/>
    <n v="3.9999999999988489E-2"/>
    <n v="51993.599999999991"/>
    <n v="41997.599999999991"/>
    <n v="4413.5999999999995"/>
    <n v="9.6"/>
    <n v="5572.8"/>
    <n v="9.0949470177292824E-12"/>
    <n v="2.348433626324109E-2"/>
    <n v="216.6"/>
    <n v="9.6000000000003638"/>
  </r>
  <r>
    <x v="1"/>
    <d v="2025-11-17T00:00:00"/>
    <s v="3271311723"/>
    <x v="9"/>
    <x v="9"/>
    <s v="NOS"/>
    <s v="ZFG1"/>
    <s v="FG0010"/>
    <n v="120"/>
    <n v="25992"/>
    <n v="120"/>
    <n v="120"/>
    <x v="11"/>
    <n v="26622"/>
    <s v="RV"/>
    <s v="Billing doc.transfer"/>
    <s v="01"/>
    <x v="0"/>
    <x v="2"/>
    <x v="2"/>
    <x v="0"/>
    <n v="625.20000000000437"/>
    <n v="2.3484336263241094E-2"/>
    <x v="0"/>
    <x v="9"/>
    <n v="120"/>
    <n v="216.59999999999994"/>
    <n v="174.98999999999995"/>
    <n v="18.389999999999997"/>
    <n v="0.04"/>
    <n v="23.18"/>
    <n v="3.9999999999988489E-2"/>
    <n v="25996.799999999996"/>
    <n v="20998.799999999996"/>
    <n v="2206.7999999999997"/>
    <n v="4.8"/>
    <n v="2786.4"/>
    <n v="4.5474735088646412E-12"/>
    <n v="2.348433626324109E-2"/>
    <n v="216.6"/>
    <n v="4.8000000000001819"/>
  </r>
  <r>
    <x v="1"/>
    <d v="2025-11-17T00:00:00"/>
    <s v="3271312301"/>
    <x v="9"/>
    <x v="9"/>
    <s v="NOS"/>
    <s v="ZFG1"/>
    <s v="FG0010"/>
    <n v="489"/>
    <n v="105917.4"/>
    <n v="489"/>
    <n v="489"/>
    <x v="11"/>
    <n v="108484.65"/>
    <s v="RV"/>
    <s v="Billing doc.transfer"/>
    <s v="01"/>
    <x v="0"/>
    <x v="2"/>
    <x v="2"/>
    <x v="0"/>
    <n v="2547.6900000000169"/>
    <n v="2.3484336263241087E-2"/>
    <x v="0"/>
    <x v="9"/>
    <n v="489"/>
    <n v="216.59999999999994"/>
    <n v="174.98999999999995"/>
    <n v="18.389999999999997"/>
    <n v="0.04"/>
    <n v="23.18"/>
    <n v="3.9999999999988489E-2"/>
    <n v="105936.95999999998"/>
    <n v="85570.109999999971"/>
    <n v="8992.7099999999991"/>
    <n v="19.559999999999999"/>
    <n v="11354.58"/>
    <n v="2.3646862246096134E-11"/>
    <n v="2.348433626324109E-2"/>
    <n v="216.6"/>
    <n v="19.560000000006767"/>
  </r>
  <r>
    <x v="3"/>
    <d v="2025-11-17T00:00:00"/>
    <s v="3271311821"/>
    <x v="40"/>
    <x v="40"/>
    <s v="NOS"/>
    <s v="ZSFG"/>
    <s v="SF0055"/>
    <n v="504"/>
    <n v="45450.720000000001"/>
    <n v="504"/>
    <n v="504"/>
    <x v="11"/>
    <n v="82353.600000000006"/>
    <s v="RV"/>
    <s v="Billing doc.transfer"/>
    <s v="01"/>
    <x v="1"/>
    <x v="14"/>
    <x v="6"/>
    <x v="0"/>
    <n v="36902.879999999997"/>
    <n v="0.44810281517747852"/>
    <x v="0"/>
    <x v="44"/>
    <n v="504"/>
    <n v="90.18"/>
    <n v="86.73"/>
    <n v="1.5"/>
    <n v="0"/>
    <n v="1.95"/>
    <n v="2.886579864025407E-15"/>
    <n v="45450.720000000008"/>
    <n v="43711.920000000006"/>
    <n v="756"/>
    <n v="0"/>
    <n v="982.8"/>
    <n v="-4.3200998334214091E-12"/>
    <n v="0.44810281517747852"/>
    <n v="90.18"/>
    <n v="2.9558577807620168E-12"/>
  </r>
  <r>
    <x v="3"/>
    <d v="2025-11-17T00:00:00"/>
    <s v="3271311821"/>
    <x v="41"/>
    <x v="41"/>
    <s v="NOS"/>
    <s v="ZSFG"/>
    <s v="SF0056"/>
    <n v="504"/>
    <n v="268082.64"/>
    <n v="504"/>
    <n v="504"/>
    <x v="11"/>
    <n v="312984"/>
    <s v="RV"/>
    <s v="Billing doc.transfer"/>
    <s v="01"/>
    <x v="1"/>
    <x v="15"/>
    <x v="7"/>
    <x v="0"/>
    <n v="44901.359999999986"/>
    <n v="0.14346215780998386"/>
    <x v="0"/>
    <x v="45"/>
    <n v="504"/>
    <n v="531.91000000000008"/>
    <n v="528.46"/>
    <n v="1.5"/>
    <n v="0"/>
    <n v="1.95"/>
    <n v="4.5519144009631418E-14"/>
    <n v="268082.64"/>
    <n v="266343.84000000003"/>
    <n v="756"/>
    <n v="0"/>
    <n v="982.8"/>
    <n v="-1.1596057447604835E-11"/>
    <n v="0.14346215780998384"/>
    <n v="531.91000000000008"/>
    <n v="-1.1596057447604835E-11"/>
  </r>
  <r>
    <x v="5"/>
    <d v="2025-11-16T00:00:00"/>
    <s v="3271311645"/>
    <x v="36"/>
    <x v="36"/>
    <s v="NOS"/>
    <s v="ZROH"/>
    <s v="RM0030"/>
    <n v="2266"/>
    <n v="306798.83"/>
    <n v="2266"/>
    <n v="2266"/>
    <x v="12"/>
    <n v="309105.06"/>
    <s v="RV"/>
    <s v="Billing doc.transfer"/>
    <s v="06"/>
    <x v="2"/>
    <x v="10"/>
    <x v="4"/>
    <x v="0"/>
    <n v="309105.06"/>
    <n v="1"/>
    <x v="0"/>
    <x v="39"/>
    <n v="2266"/>
    <n v="0"/>
    <n v="0"/>
    <n v="0"/>
    <n v="0"/>
    <n v="0"/>
    <n v="0"/>
    <n v="0"/>
    <n v="0"/>
    <n v="0"/>
    <n v="0"/>
    <n v="0"/>
    <n v="306798.83"/>
    <n v="1"/>
    <n v="135.39224624889675"/>
    <n v="0"/>
  </r>
  <r>
    <x v="3"/>
    <d v="2025-11-15T00:00:00"/>
    <s v="3271311547"/>
    <x v="1"/>
    <x v="1"/>
    <s v="NOS"/>
    <s v="ZFG1"/>
    <s v="FG0011"/>
    <n v="5000"/>
    <n v="2306850"/>
    <n v="5000"/>
    <n v="5000"/>
    <x v="13"/>
    <n v="3296550"/>
    <s v="RV"/>
    <s v="Billing doc.transfer"/>
    <s v="01"/>
    <x v="0"/>
    <x v="0"/>
    <x v="0"/>
    <x v="0"/>
    <n v="988500"/>
    <n v="0.29985894344087"/>
    <x v="0"/>
    <x v="22"/>
    <n v="5000"/>
    <n v="461.37"/>
    <n v="401.59000000000003"/>
    <n v="28.32"/>
    <n v="0.24"/>
    <n v="31.22"/>
    <n v="0.23999999999997357"/>
    <n v="2308050"/>
    <n v="2007950.0000000002"/>
    <n v="141600"/>
    <n v="1200"/>
    <n v="157300"/>
    <n v="-2.3283064365386963E-10"/>
    <n v="0.29985894344087005"/>
    <n v="461.37"/>
    <n v="1199.9999999997672"/>
  </r>
  <r>
    <x v="1"/>
    <d v="2025-11-15T00:00:00"/>
    <s v="3271311277"/>
    <x v="2"/>
    <x v="2"/>
    <s v="NOS"/>
    <s v="ZSFG"/>
    <s v="SF0045"/>
    <n v="3248"/>
    <n v="479632.16"/>
    <n v="3248"/>
    <n v="3248"/>
    <x v="13"/>
    <n v="529229.12"/>
    <s v="RV"/>
    <s v="Billing doc.transfer"/>
    <s v="01"/>
    <x v="1"/>
    <x v="1"/>
    <x v="1"/>
    <x v="0"/>
    <n v="49596.960000000137"/>
    <n v="9.371547809009477E-2"/>
    <x v="0"/>
    <x v="2"/>
    <n v="3248"/>
    <n v="147.66999999999996"/>
    <n v="144.21999999999997"/>
    <n v="1.5"/>
    <n v="0"/>
    <n v="1.95"/>
    <n v="-1.1324274851176597E-14"/>
    <n v="479632.15999999986"/>
    <n v="468426.55999999988"/>
    <n v="4872"/>
    <n v="0"/>
    <n v="6333.5999999999995"/>
    <n v="9.3677954282611609E-11"/>
    <n v="9.3715478090094728E-2"/>
    <n v="147.66999999999999"/>
    <n v="-2.2737367544323206E-11"/>
  </r>
  <r>
    <x v="1"/>
    <d v="2025-11-15T00:00:00"/>
    <s v="3271311275"/>
    <x v="35"/>
    <x v="35"/>
    <s v="NOS"/>
    <s v="ZSFG"/>
    <s v="SF0045"/>
    <n v="924"/>
    <n v="115620.12"/>
    <n v="924"/>
    <n v="924"/>
    <x v="13"/>
    <n v="122328.36"/>
    <s v="RV"/>
    <s v="Billing doc.transfer"/>
    <s v="01"/>
    <x v="1"/>
    <x v="1"/>
    <x v="1"/>
    <x v="0"/>
    <n v="6708.2400000000052"/>
    <n v="5.4837978699297574E-2"/>
    <x v="0"/>
    <x v="38"/>
    <n v="924"/>
    <n v="125.13"/>
    <n v="121.67999999999999"/>
    <n v="1.5"/>
    <n v="0"/>
    <n v="1.95"/>
    <n v="2.886579864025407E-15"/>
    <n v="115620.12"/>
    <n v="112432.31999999999"/>
    <n v="1386"/>
    <n v="0"/>
    <n v="1801.8"/>
    <n v="2.9558577807620168E-12"/>
    <n v="5.4837978699297518E-2"/>
    <n v="125.13"/>
    <n v="2.9558577807620168E-12"/>
  </r>
  <r>
    <x v="1"/>
    <d v="2025-11-15T00:00:00"/>
    <s v="3271311642"/>
    <x v="33"/>
    <x v="33"/>
    <s v="NOS"/>
    <s v="ZSFG"/>
    <s v="SF0045"/>
    <n v="896"/>
    <n v="86938.880000000005"/>
    <n v="896"/>
    <n v="896"/>
    <x v="13"/>
    <n v="114123.52"/>
    <s v="RV"/>
    <s v="Billing doc.transfer"/>
    <s v="01"/>
    <x v="1"/>
    <x v="1"/>
    <x v="1"/>
    <x v="0"/>
    <n v="27184.639999999999"/>
    <n v="0.23820365863233098"/>
    <x v="0"/>
    <x v="36"/>
    <n v="896"/>
    <n v="97.03"/>
    <n v="93.490000000000009"/>
    <n v="1.63"/>
    <n v="0"/>
    <n v="1.9100000000000001"/>
    <n v="-7.9936057773011271E-15"/>
    <n v="86938.880000000005"/>
    <n v="83767.040000000008"/>
    <n v="1460.48"/>
    <n v="0"/>
    <n v="1711.3600000000001"/>
    <n v="-3.637978807091713E-12"/>
    <n v="0.23820365863233095"/>
    <n v="97.03"/>
    <n v="-3.637978807091713E-12"/>
  </r>
  <r>
    <x v="1"/>
    <d v="2025-11-15T00:00:00"/>
    <s v="3271311243"/>
    <x v="3"/>
    <x v="3"/>
    <s v="NOS"/>
    <s v="ZFG1"/>
    <s v="FG0010"/>
    <n v="444"/>
    <n v="286393.32"/>
    <n v="444"/>
    <n v="444"/>
    <x v="13"/>
    <n v="323480.64"/>
    <s v="RV"/>
    <s v="Billing doc.transfer"/>
    <s v="01"/>
    <x v="0"/>
    <x v="2"/>
    <x v="2"/>
    <x v="0"/>
    <n v="36896.400000000198"/>
    <n v="0.11406061271549418"/>
    <x v="0"/>
    <x v="20"/>
    <n v="444"/>
    <n v="645.02999999999963"/>
    <n v="582.23999999999967"/>
    <n v="29.88"/>
    <n v="0.43"/>
    <n v="32.480000000000004"/>
    <n v="0.42999999999996419"/>
    <n v="286584.23999999982"/>
    <n v="258514.55999999985"/>
    <n v="13266.72"/>
    <n v="190.92"/>
    <n v="14612.040000000003"/>
    <n v="1.5279510989785194E-10"/>
    <n v="0.11406061271549417"/>
    <n v="645.03"/>
    <n v="190.91999999996187"/>
  </r>
  <r>
    <x v="1"/>
    <d v="2025-11-15T00:00:00"/>
    <s v="3271311243"/>
    <x v="11"/>
    <x v="11"/>
    <s v="NOS"/>
    <s v="ZFG1"/>
    <s v="FG0010"/>
    <n v="1290"/>
    <n v="421997.7"/>
    <n v="1290"/>
    <n v="1290"/>
    <x v="13"/>
    <n v="439980.3"/>
    <s v="RV"/>
    <s v="Billing doc.transfer"/>
    <s v="01"/>
    <x v="0"/>
    <x v="2"/>
    <x v="2"/>
    <x v="0"/>
    <n v="17763.29999999993"/>
    <n v="4.0372943970445795E-2"/>
    <x v="0"/>
    <x v="5"/>
    <n v="1290"/>
    <n v="327.13000000000005"/>
    <n v="278.14000000000004"/>
    <n v="22.400000000000002"/>
    <n v="0.17"/>
    <n v="26.42"/>
    <n v="0.17000000000000526"/>
    <n v="422217.00000000006"/>
    <n v="358800.60000000003"/>
    <n v="28896.000000000004"/>
    <n v="219.3"/>
    <n v="34301.100000000006"/>
    <n v="0"/>
    <n v="4.0372943970445774E-2"/>
    <n v="327.13"/>
    <n v="219.30000000001746"/>
  </r>
  <r>
    <x v="1"/>
    <d v="2025-11-15T00:00:00"/>
    <s v="3271311276"/>
    <x v="11"/>
    <x v="11"/>
    <s v="NOS"/>
    <s v="ZFG1"/>
    <s v="FG0010"/>
    <n v="2390"/>
    <n v="781840.7"/>
    <n v="2390"/>
    <n v="2390"/>
    <x v="13"/>
    <n v="815157.3"/>
    <s v="RV"/>
    <s v="Billing doc.transfer"/>
    <s v="01"/>
    <x v="0"/>
    <x v="2"/>
    <x v="2"/>
    <x v="0"/>
    <n v="32910.29999999993"/>
    <n v="4.0372943970445864E-2"/>
    <x v="0"/>
    <x v="5"/>
    <n v="2390"/>
    <n v="327.13000000000005"/>
    <n v="278.14000000000004"/>
    <n v="22.400000000000002"/>
    <n v="0.17"/>
    <n v="26.42"/>
    <n v="0.17000000000000526"/>
    <n v="782247.00000000012"/>
    <n v="664754.60000000009"/>
    <n v="53536.000000000007"/>
    <n v="406.3"/>
    <n v="63550.100000000006"/>
    <n v="-1.5279510989785194E-10"/>
    <n v="4.0372943970445885E-2"/>
    <n v="327.13"/>
    <n v="406.30000000001019"/>
  </r>
  <r>
    <x v="1"/>
    <d v="2025-11-15T00:00:00"/>
    <s v="3271311591"/>
    <x v="11"/>
    <x v="11"/>
    <s v="NOS"/>
    <s v="ZFG1"/>
    <s v="FG0010"/>
    <n v="840"/>
    <n v="274789.2"/>
    <n v="840"/>
    <n v="840"/>
    <x v="13"/>
    <n v="286498.8"/>
    <s v="RV"/>
    <s v="Billing doc.transfer"/>
    <s v="01"/>
    <x v="0"/>
    <x v="2"/>
    <x v="2"/>
    <x v="0"/>
    <n v="11566.799999999988"/>
    <n v="4.0372943970445913E-2"/>
    <x v="0"/>
    <x v="5"/>
    <n v="840"/>
    <n v="327.13000000000005"/>
    <n v="278.14000000000004"/>
    <n v="22.400000000000002"/>
    <n v="0.17"/>
    <n v="26.42"/>
    <n v="0.17000000000000526"/>
    <n v="274932"/>
    <n v="233637.60000000003"/>
    <n v="18816"/>
    <n v="142.80000000000001"/>
    <n v="22335.600000000002"/>
    <n v="0"/>
    <n v="4.0372943970445885E-2"/>
    <n v="327.13"/>
    <n v="142.79999999996289"/>
  </r>
  <r>
    <x v="1"/>
    <d v="2025-11-15T00:00:00"/>
    <s v="3271311276"/>
    <x v="4"/>
    <x v="4"/>
    <s v="NOS"/>
    <s v="ZFG1"/>
    <s v="FG0010"/>
    <n v="1330"/>
    <n v="560475.30000000005"/>
    <n v="1330"/>
    <n v="1330"/>
    <x v="13"/>
    <n v="642602.80000000005"/>
    <s v="RV"/>
    <s v="Billing doc.transfer"/>
    <s v="01"/>
    <x v="0"/>
    <x v="2"/>
    <x v="2"/>
    <x v="0"/>
    <n v="81781.700000000186"/>
    <n v="0.12726632999420509"/>
    <x v="0"/>
    <x v="14"/>
    <n v="1330"/>
    <n v="421.40999999999985"/>
    <n v="373.04999999999984"/>
    <n v="22"/>
    <n v="0.26"/>
    <n v="26.1"/>
    <n v="0.26000000000001222"/>
    <n v="560821.09999999986"/>
    <n v="496156.49999999977"/>
    <n v="29260"/>
    <n v="345.8"/>
    <n v="35058.800000000003"/>
    <n v="2.7648638933897018E-10"/>
    <n v="0.12726632999420506"/>
    <n v="421.41"/>
    <n v="345.80000000009022"/>
  </r>
  <r>
    <x v="1"/>
    <d v="2025-11-15T00:00:00"/>
    <s v="3271311591"/>
    <x v="28"/>
    <x v="28"/>
    <s v="NOS"/>
    <s v="ZFG1"/>
    <s v="FG0010"/>
    <n v="755"/>
    <n v="318141.90000000002"/>
    <n v="755"/>
    <n v="755"/>
    <x v="13"/>
    <n v="364785.8"/>
    <s v="RV"/>
    <s v="Billing doc.transfer"/>
    <s v="01"/>
    <x v="0"/>
    <x v="2"/>
    <x v="2"/>
    <x v="0"/>
    <n v="46447.600000000151"/>
    <n v="0.12732842122692317"/>
    <x v="0"/>
    <x v="4"/>
    <n v="755"/>
    <n v="421.37999999999982"/>
    <n v="373.01999999999981"/>
    <n v="22"/>
    <n v="0.26"/>
    <n v="26.1"/>
    <n v="0.26000000000001222"/>
    <n v="318338.19999999984"/>
    <n v="281630.09999999986"/>
    <n v="16610"/>
    <n v="196.3"/>
    <n v="19901.8"/>
    <n v="1.6370904631912708E-10"/>
    <n v="0.12732842122692323"/>
    <n v="421.38000000000005"/>
    <n v="196.29999999997744"/>
  </r>
  <r>
    <x v="1"/>
    <d v="2025-11-15T00:00:00"/>
    <s v="3271311276"/>
    <x v="28"/>
    <x v="28"/>
    <s v="NOS"/>
    <s v="ZFG1"/>
    <s v="FG0010"/>
    <n v="207"/>
    <n v="87225.66"/>
    <n v="207"/>
    <n v="207"/>
    <x v="13"/>
    <n v="100014.12"/>
    <s v="RV"/>
    <s v="Billing doc.transfer"/>
    <s v="01"/>
    <x v="0"/>
    <x v="2"/>
    <x v="2"/>
    <x v="0"/>
    <n v="12734.640000000029"/>
    <n v="0.12732842122692306"/>
    <x v="0"/>
    <x v="4"/>
    <n v="207"/>
    <n v="421.37999999999982"/>
    <n v="373.01999999999981"/>
    <n v="22"/>
    <n v="0.26"/>
    <n v="26.1"/>
    <n v="0.26000000000001222"/>
    <n v="87279.479999999967"/>
    <n v="77215.139999999956"/>
    <n v="4554"/>
    <n v="53.82"/>
    <n v="5456.52"/>
    <n v="4.7293724492192268E-11"/>
    <n v="0.12732842122692301"/>
    <n v="421.38"/>
    <n v="53.820000000010623"/>
  </r>
  <r>
    <x v="1"/>
    <d v="2025-11-15T00:00:00"/>
    <s v="3271311643"/>
    <x v="28"/>
    <x v="28"/>
    <s v="NOS"/>
    <s v="ZFG1"/>
    <s v="FG0010"/>
    <n v="175"/>
    <n v="73741.5"/>
    <n v="175"/>
    <n v="175"/>
    <x v="13"/>
    <n v="84553"/>
    <s v="RV"/>
    <s v="Billing doc.transfer"/>
    <s v="01"/>
    <x v="0"/>
    <x v="2"/>
    <x v="2"/>
    <x v="0"/>
    <n v="10766.000000000029"/>
    <n v="0.12732842122692312"/>
    <x v="0"/>
    <x v="14"/>
    <n v="175"/>
    <n v="421.37999999999982"/>
    <n v="373.01999999999981"/>
    <n v="22"/>
    <n v="0.26"/>
    <n v="26.1"/>
    <n v="0.26000000000001222"/>
    <n v="73786.999999999971"/>
    <n v="65278.499999999964"/>
    <n v="3850"/>
    <n v="45.5"/>
    <n v="4613"/>
    <n v="3.637978807091713E-11"/>
    <n v="0.12732842122692312"/>
    <n v="421.38"/>
    <n v="45.500000000007276"/>
  </r>
  <r>
    <x v="1"/>
    <d v="2025-11-15T00:00:00"/>
    <s v="3271311243"/>
    <x v="8"/>
    <x v="8"/>
    <s v="NOS"/>
    <s v="ZFG1"/>
    <s v="FG0010"/>
    <n v="1188"/>
    <n v="386337.6"/>
    <n v="1188"/>
    <n v="1188"/>
    <x v="13"/>
    <n v="421763.76"/>
    <s v="RV"/>
    <s v="Billing doc.transfer"/>
    <s v="01"/>
    <x v="0"/>
    <x v="2"/>
    <x v="2"/>
    <x v="0"/>
    <n v="35117.280000000086"/>
    <n v="8.3262914765365528E-2"/>
    <x v="0"/>
    <x v="7"/>
    <n v="1188"/>
    <n v="325.19999999999993"/>
    <n v="271.52999999999997"/>
    <n v="23.84"/>
    <n v="0.26"/>
    <n v="29.569999999999997"/>
    <n v="0.25999999999996248"/>
    <n v="386646.47999999992"/>
    <n v="322577.63999999996"/>
    <n v="28321.919999999998"/>
    <n v="308.88"/>
    <n v="35438.039999999994"/>
    <n v="0"/>
    <n v="8.3262914765365514E-2"/>
    <n v="325.2"/>
    <n v="308.87999999997555"/>
  </r>
  <r>
    <x v="1"/>
    <d v="2025-11-15T00:00:00"/>
    <s v="3271311276"/>
    <x v="9"/>
    <x v="9"/>
    <s v="NOS"/>
    <s v="ZFG1"/>
    <s v="FG0010"/>
    <n v="744"/>
    <n v="161150.39999999999"/>
    <n v="744"/>
    <n v="744"/>
    <x v="13"/>
    <n v="165056.4"/>
    <s v="RV"/>
    <s v="Billing doc.transfer"/>
    <s v="01"/>
    <x v="0"/>
    <x v="2"/>
    <x v="2"/>
    <x v="0"/>
    <n v="3876.2400000000198"/>
    <n v="2.3484336263241049E-2"/>
    <x v="0"/>
    <x v="9"/>
    <n v="744"/>
    <n v="216.59999999999994"/>
    <n v="174.98999999999995"/>
    <n v="18.389999999999997"/>
    <n v="0.04"/>
    <n v="23.18"/>
    <n v="3.9999999999988489E-2"/>
    <n v="161180.15999999997"/>
    <n v="130192.55999999997"/>
    <n v="13682.159999999998"/>
    <n v="29.76"/>
    <n v="17275.679999999997"/>
    <n v="3.2741809263825417E-11"/>
    <n v="2.348433626324109E-2"/>
    <n v="216.6"/>
    <n v="29.760000000012951"/>
  </r>
  <r>
    <x v="1"/>
    <d v="2025-11-15T00:00:00"/>
    <s v="3271311643"/>
    <x v="9"/>
    <x v="9"/>
    <s v="NOS"/>
    <s v="ZFG1"/>
    <s v="FG0010"/>
    <n v="220"/>
    <n v="47652"/>
    <n v="220"/>
    <n v="220"/>
    <x v="13"/>
    <n v="48807"/>
    <s v="RV"/>
    <s v="Billing doc.transfer"/>
    <s v="01"/>
    <x v="0"/>
    <x v="2"/>
    <x v="2"/>
    <x v="0"/>
    <n v="1146.2000000000044"/>
    <n v="2.3484336263241017E-2"/>
    <x v="0"/>
    <x v="9"/>
    <n v="220"/>
    <n v="216.59999999999994"/>
    <n v="174.98999999999995"/>
    <n v="18.389999999999997"/>
    <n v="0.04"/>
    <n v="23.18"/>
    <n v="3.9999999999988489E-2"/>
    <n v="47660.799999999996"/>
    <n v="38497.799999999988"/>
    <n v="4045.7999999999993"/>
    <n v="8.8000000000000007"/>
    <n v="5108.4000000000005"/>
    <n v="1.1823431123048067E-11"/>
    <n v="2.3484336263240979E-2"/>
    <n v="216.6"/>
    <n v="8.8000000000074579"/>
  </r>
  <r>
    <x v="7"/>
    <d v="2025-11-15T00:00:00"/>
    <s v="3271311548"/>
    <x v="42"/>
    <x v="42"/>
    <s v="NOS"/>
    <s v="ZROH"/>
    <s v="RM0008"/>
    <n v="3000"/>
    <n v="1384.64"/>
    <n v="3000"/>
    <n v="3000"/>
    <x v="13"/>
    <n v="1380"/>
    <s v="RV"/>
    <s v="Billing doc.transfer"/>
    <s v="06"/>
    <x v="2"/>
    <x v="16"/>
    <x v="4"/>
    <x v="0"/>
    <n v="1380"/>
    <n v="1"/>
    <x v="0"/>
    <x v="46"/>
    <n v="3000"/>
    <n v="0"/>
    <n v="0"/>
    <n v="0"/>
    <n v="0"/>
    <n v="0"/>
    <n v="0"/>
    <n v="0"/>
    <n v="0"/>
    <n v="0"/>
    <n v="0"/>
    <n v="0"/>
    <n v="1384.64"/>
    <n v="1"/>
    <n v="0.46154666666666672"/>
    <n v="0"/>
  </r>
  <r>
    <x v="7"/>
    <d v="2025-11-15T00:00:00"/>
    <s v="3271311548"/>
    <x v="43"/>
    <x v="43"/>
    <s v="NOS"/>
    <s v="ZROH"/>
    <s v="RM0004"/>
    <n v="30000"/>
    <n v="19566.150000000001"/>
    <n v="30000"/>
    <n v="30000"/>
    <x v="13"/>
    <n v="19800"/>
    <s v="RV"/>
    <s v="Billing doc.transfer"/>
    <s v="06"/>
    <x v="2"/>
    <x v="13"/>
    <x v="4"/>
    <x v="0"/>
    <n v="19800"/>
    <n v="1"/>
    <x v="0"/>
    <x v="47"/>
    <n v="30000"/>
    <n v="0"/>
    <n v="0"/>
    <n v="0"/>
    <n v="0"/>
    <n v="0"/>
    <n v="0"/>
    <n v="0"/>
    <n v="0"/>
    <n v="0"/>
    <n v="0"/>
    <n v="0"/>
    <n v="19566.150000000001"/>
    <n v="1"/>
    <n v="0.65220500000000003"/>
    <n v="0"/>
  </r>
  <r>
    <x v="7"/>
    <d v="2025-11-15T00:00:00"/>
    <s v="3271311548"/>
    <x v="44"/>
    <x v="44"/>
    <s v="NOS"/>
    <s v="ZROH"/>
    <s v="L002"/>
    <n v="6000"/>
    <n v="3007.29"/>
    <n v="6000"/>
    <n v="6000"/>
    <x v="13"/>
    <n v="3000"/>
    <s v="RV"/>
    <s v="Billing doc.transfer"/>
    <s v="06"/>
    <x v="2"/>
    <x v="6"/>
    <x v="4"/>
    <x v="0"/>
    <n v="3000"/>
    <n v="1"/>
    <x v="0"/>
    <x v="48"/>
    <n v="6000"/>
    <n v="0"/>
    <n v="0"/>
    <n v="0"/>
    <n v="0"/>
    <n v="0"/>
    <n v="0"/>
    <n v="0"/>
    <n v="0"/>
    <n v="0"/>
    <n v="0"/>
    <n v="0"/>
    <n v="3007.29"/>
    <n v="1"/>
    <n v="0.50121499999999997"/>
    <n v="0"/>
  </r>
  <r>
    <x v="7"/>
    <d v="2025-11-15T00:00:00"/>
    <s v="3271311549"/>
    <x v="45"/>
    <x v="45"/>
    <s v="NOS"/>
    <s v="ZROH"/>
    <s v="RM0005"/>
    <n v="20000"/>
    <n v="183220.06"/>
    <n v="20000"/>
    <n v="20000"/>
    <x v="13"/>
    <n v="183600"/>
    <s v="RV"/>
    <s v="Billing doc.transfer"/>
    <s v="06"/>
    <x v="2"/>
    <x v="4"/>
    <x v="4"/>
    <x v="0"/>
    <n v="183600"/>
    <n v="1"/>
    <x v="0"/>
    <x v="49"/>
    <n v="20000"/>
    <n v="0"/>
    <n v="0"/>
    <n v="0"/>
    <n v="0"/>
    <n v="0"/>
    <n v="0"/>
    <n v="0"/>
    <n v="0"/>
    <n v="0"/>
    <n v="0"/>
    <n v="0"/>
    <n v="183220.06"/>
    <n v="1"/>
    <n v="9.1610029999999991"/>
    <n v="0"/>
  </r>
  <r>
    <x v="1"/>
    <d v="2025-11-14T00:00:00"/>
    <s v="3271311012"/>
    <x v="2"/>
    <x v="2"/>
    <s v="NOS"/>
    <s v="ZSFG"/>
    <s v="SF0045"/>
    <n v="2128"/>
    <n v="314241.76"/>
    <n v="2128"/>
    <n v="2128"/>
    <x v="14"/>
    <n v="346736.32"/>
    <s v="RV"/>
    <s v="Billing doc.transfer"/>
    <s v="01"/>
    <x v="1"/>
    <x v="1"/>
    <x v="1"/>
    <x v="0"/>
    <n v="32494.560000000114"/>
    <n v="9.3715478090094839E-2"/>
    <x v="0"/>
    <x v="2"/>
    <n v="2128"/>
    <n v="147.66999999999996"/>
    <n v="144.21999999999997"/>
    <n v="1.5"/>
    <n v="0"/>
    <n v="1.95"/>
    <n v="-1.1324274851176597E-14"/>
    <n v="314241.75999999989"/>
    <n v="306900.15999999992"/>
    <n v="3192"/>
    <n v="0"/>
    <n v="4149.5999999999995"/>
    <n v="9.3677954282611609E-11"/>
    <n v="9.3715478090094839E-2"/>
    <n v="147.67000000000002"/>
    <n v="-2.2737367544323206E-11"/>
  </r>
  <r>
    <x v="1"/>
    <d v="2025-11-14T00:00:00"/>
    <s v="3271310990"/>
    <x v="3"/>
    <x v="3"/>
    <s v="NOS"/>
    <s v="ZFG1"/>
    <s v="FG0010"/>
    <n v="337"/>
    <n v="217375.11"/>
    <n v="337"/>
    <n v="337"/>
    <x v="14"/>
    <n v="245524.72"/>
    <s v="RV"/>
    <s v="Billing doc.transfer"/>
    <s v="01"/>
    <x v="0"/>
    <x v="2"/>
    <x v="2"/>
    <x v="0"/>
    <n v="28004.700000000099"/>
    <n v="0.11406061271549398"/>
    <x v="0"/>
    <x v="20"/>
    <n v="337"/>
    <n v="645.02999999999963"/>
    <n v="582.23999999999967"/>
    <n v="29.88"/>
    <n v="0.43"/>
    <n v="32.480000000000004"/>
    <n v="0.42999999999996419"/>
    <n v="217520.0199999999"/>
    <n v="196214.87999999989"/>
    <n v="10069.56"/>
    <n v="144.91"/>
    <n v="11090.670000000002"/>
    <n v="9.6406438387930393E-11"/>
    <n v="0.11406061271549395"/>
    <n v="645.03"/>
    <n v="144.91000000001259"/>
  </r>
  <r>
    <x v="1"/>
    <d v="2025-11-14T00:00:00"/>
    <s v="3271311011"/>
    <x v="3"/>
    <x v="3"/>
    <s v="NOS"/>
    <s v="ZFG1"/>
    <s v="FG0010"/>
    <n v="290"/>
    <n v="187058.7"/>
    <n v="290"/>
    <n v="290"/>
    <x v="14"/>
    <n v="211282.4"/>
    <s v="RV"/>
    <s v="Billing doc.transfer"/>
    <s v="01"/>
    <x v="0"/>
    <x v="2"/>
    <x v="2"/>
    <x v="0"/>
    <n v="24099.000000000087"/>
    <n v="0.11406061271549399"/>
    <x v="0"/>
    <x v="3"/>
    <n v="290"/>
    <n v="645.02999999999963"/>
    <n v="582.23999999999967"/>
    <n v="29.88"/>
    <n v="0.43"/>
    <n v="32.480000000000004"/>
    <n v="0.42999999999996419"/>
    <n v="187183.39999999991"/>
    <n v="168849.59999999989"/>
    <n v="8665.1999999999989"/>
    <n v="124.7"/>
    <n v="9543.9000000000015"/>
    <n v="1.2187229003757238E-10"/>
    <n v="0.11406061271549395"/>
    <n v="645.03000000000009"/>
    <n v="124.7000000000171"/>
  </r>
  <r>
    <x v="1"/>
    <d v="2025-11-14T00:00:00"/>
    <s v="3271311011"/>
    <x v="11"/>
    <x v="11"/>
    <s v="NOS"/>
    <s v="ZFG1"/>
    <s v="FG0010"/>
    <n v="4249"/>
    <n v="1389975.37"/>
    <n v="4249"/>
    <n v="4249"/>
    <x v="14"/>
    <n v="1449206.43"/>
    <s v="RV"/>
    <s v="Billing doc.transfer"/>
    <s v="01"/>
    <x v="0"/>
    <x v="2"/>
    <x v="2"/>
    <x v="0"/>
    <n v="58508.729999999749"/>
    <n v="4.0372943970445781E-2"/>
    <x v="0"/>
    <x v="5"/>
    <n v="4249"/>
    <n v="327.13000000000005"/>
    <n v="278.14000000000004"/>
    <n v="22.400000000000002"/>
    <n v="0.17"/>
    <n v="26.42"/>
    <n v="0.17000000000000526"/>
    <n v="1390697.7000000002"/>
    <n v="1181816.8600000001"/>
    <n v="95177.600000000006"/>
    <n v="722.33"/>
    <n v="112980.91"/>
    <n v="0"/>
    <n v="4.0372943970445774E-2"/>
    <n v="327.13000000000005"/>
    <n v="722.33000000007451"/>
  </r>
  <r>
    <x v="1"/>
    <d v="2025-11-14T00:00:00"/>
    <s v="3271310990"/>
    <x v="4"/>
    <x v="4"/>
    <s v="NOS"/>
    <s v="ZFG1"/>
    <s v="FG0010"/>
    <n v="805"/>
    <n v="339235.05"/>
    <n v="805"/>
    <n v="805"/>
    <x v="14"/>
    <n v="388943.8"/>
    <s v="RV"/>
    <s v="Billing doc.transfer"/>
    <s v="01"/>
    <x v="0"/>
    <x v="2"/>
    <x v="2"/>
    <x v="0"/>
    <n v="49499.450000000128"/>
    <n v="0.12726632999420515"/>
    <x v="0"/>
    <x v="4"/>
    <n v="805"/>
    <n v="421.40999999999985"/>
    <n v="373.04999999999984"/>
    <n v="22"/>
    <n v="0.26"/>
    <n v="26.1"/>
    <n v="0.26000000000001222"/>
    <n v="339444.34999999986"/>
    <n v="300305.24999999988"/>
    <n v="17710"/>
    <n v="209.3"/>
    <n v="21219.8"/>
    <n v="1.0550138540565968E-10"/>
    <n v="0.12726632999420517"/>
    <n v="421.40999999999997"/>
    <n v="209.29999999997744"/>
  </r>
  <r>
    <x v="1"/>
    <d v="2025-11-14T00:00:00"/>
    <s v="3271311011"/>
    <x v="4"/>
    <x v="4"/>
    <s v="NOS"/>
    <s v="ZFG1"/>
    <s v="FG0010"/>
    <n v="1185"/>
    <n v="499370.85"/>
    <n v="1185"/>
    <n v="1185"/>
    <x v="14"/>
    <n v="572544.6"/>
    <s v="RV"/>
    <s v="Billing doc.transfer"/>
    <s v="01"/>
    <x v="0"/>
    <x v="2"/>
    <x v="2"/>
    <x v="0"/>
    <n v="72865.650000000198"/>
    <n v="0.12726632999420517"/>
    <x v="0"/>
    <x v="4"/>
    <n v="1185"/>
    <n v="421.40999999999985"/>
    <n v="373.04999999999984"/>
    <n v="22"/>
    <n v="0.26"/>
    <n v="26.1"/>
    <n v="0.26000000000001222"/>
    <n v="499678.94999999978"/>
    <n v="442064.24999999983"/>
    <n v="26070"/>
    <n v="308.10000000000002"/>
    <n v="31236.6"/>
    <n v="1.5279510989785194E-10"/>
    <n v="0.12726632999420517"/>
    <n v="421.40999999999997"/>
    <n v="308.09999999995489"/>
  </r>
  <r>
    <x v="1"/>
    <d v="2025-11-14T00:00:00"/>
    <s v="3271311011"/>
    <x v="20"/>
    <x v="20"/>
    <s v="NOS"/>
    <s v="ZFG1"/>
    <s v="FG0010"/>
    <n v="415"/>
    <n v="174872.7"/>
    <n v="415"/>
    <n v="415"/>
    <x v="14"/>
    <n v="200511.4"/>
    <s v="RV"/>
    <s v="Billing doc.transfer"/>
    <s v="01"/>
    <x v="0"/>
    <x v="2"/>
    <x v="2"/>
    <x v="0"/>
    <n v="25530.800000000076"/>
    <n v="0.12732842122692314"/>
    <x v="0"/>
    <x v="4"/>
    <n v="415"/>
    <n v="421.37999999999982"/>
    <n v="373.01999999999981"/>
    <n v="22"/>
    <n v="0.26"/>
    <n v="26.1"/>
    <n v="0.26000000000001222"/>
    <n v="174980.59999999992"/>
    <n v="154803.29999999993"/>
    <n v="9130"/>
    <n v="107.9"/>
    <n v="10939.4"/>
    <n v="8.1854523159563541E-11"/>
    <n v="0.12732842122692312"/>
    <n v="421.38000000000005"/>
    <n v="107.89999999998872"/>
  </r>
  <r>
    <x v="1"/>
    <d v="2025-11-14T00:00:00"/>
    <s v="3271311242"/>
    <x v="20"/>
    <x v="20"/>
    <s v="NOS"/>
    <s v="ZFG1"/>
    <s v="FG0010"/>
    <n v="170"/>
    <n v="71634.600000000006"/>
    <n v="170"/>
    <n v="170"/>
    <x v="14"/>
    <n v="82137.2"/>
    <s v="RV"/>
    <s v="Billing doc.transfer"/>
    <s v="01"/>
    <x v="0"/>
    <x v="2"/>
    <x v="2"/>
    <x v="0"/>
    <n v="10458.400000000038"/>
    <n v="0.12732842122692323"/>
    <x v="0"/>
    <x v="4"/>
    <n v="170"/>
    <n v="421.37999999999982"/>
    <n v="373.01999999999981"/>
    <n v="22"/>
    <n v="0.26"/>
    <n v="26.1"/>
    <n v="0.26000000000001222"/>
    <n v="71678.799999999959"/>
    <n v="63413.399999999965"/>
    <n v="3740"/>
    <n v="44.2"/>
    <n v="4481.2"/>
    <n v="4.0927261579781771E-11"/>
    <n v="0.12732842122692323"/>
    <n v="421.38000000000005"/>
    <n v="44.199999999994361"/>
  </r>
  <r>
    <x v="1"/>
    <d v="2025-11-14T00:00:00"/>
    <s v="3271310990"/>
    <x v="8"/>
    <x v="8"/>
    <s v="NOS"/>
    <s v="ZFG1"/>
    <s v="FG0010"/>
    <n v="1021"/>
    <n v="332029.2"/>
    <n v="1021"/>
    <n v="1021"/>
    <x v="14"/>
    <n v="362475.42"/>
    <s v="RV"/>
    <s v="Billing doc.transfer"/>
    <s v="01"/>
    <x v="0"/>
    <x v="2"/>
    <x v="2"/>
    <x v="0"/>
    <n v="30180.760000000009"/>
    <n v="8.3262914765365362E-2"/>
    <x v="0"/>
    <x v="7"/>
    <n v="1021"/>
    <n v="325.19999999999993"/>
    <n v="271.52999999999997"/>
    <n v="23.84"/>
    <n v="0.26"/>
    <n v="29.569999999999997"/>
    <n v="0.25999999999996248"/>
    <n v="332294.65999999997"/>
    <n v="277232.12999999995"/>
    <n v="24340.639999999999"/>
    <n v="265.46000000000004"/>
    <n v="30456.429999999997"/>
    <n v="6.9121597334742546E-11"/>
    <n v="8.3262914765365403E-2"/>
    <n v="325.2"/>
    <n v="265.46000000003187"/>
  </r>
  <r>
    <x v="1"/>
    <d v="2025-11-14T00:00:00"/>
    <s v="3271310990"/>
    <x v="9"/>
    <x v="9"/>
    <s v="NOS"/>
    <s v="ZFG1"/>
    <s v="FG0010"/>
    <n v="371"/>
    <n v="80358.600000000006"/>
    <n v="371"/>
    <n v="371"/>
    <x v="14"/>
    <n v="82306.350000000006"/>
    <s v="RV"/>
    <s v="Billing doc.transfer"/>
    <s v="01"/>
    <x v="0"/>
    <x v="2"/>
    <x v="2"/>
    <x v="0"/>
    <n v="1932.9100000000326"/>
    <n v="2.3484336263241323E-2"/>
    <x v="0"/>
    <x v="10"/>
    <n v="371"/>
    <n v="216.59999999999994"/>
    <n v="174.98999999999995"/>
    <n v="18.389999999999997"/>
    <n v="0.04"/>
    <n v="23.18"/>
    <n v="3.9999999999988489E-2"/>
    <n v="80373.439999999973"/>
    <n v="64921.289999999979"/>
    <n v="6822.6899999999987"/>
    <n v="14.84"/>
    <n v="8614.6200000000008"/>
    <n v="2.7284841053187847E-11"/>
    <n v="2.3484336263241312E-2"/>
    <n v="216.60000000000002"/>
    <n v="14.839999999994689"/>
  </r>
  <r>
    <x v="1"/>
    <d v="2025-11-14T00:00:00"/>
    <s v="3271311242"/>
    <x v="9"/>
    <x v="9"/>
    <s v="NOS"/>
    <s v="ZFG1"/>
    <s v="FG0010"/>
    <n v="220"/>
    <n v="47652"/>
    <n v="220"/>
    <n v="220"/>
    <x v="14"/>
    <n v="48807"/>
    <s v="RV"/>
    <s v="Billing doc.transfer"/>
    <s v="01"/>
    <x v="0"/>
    <x v="2"/>
    <x v="2"/>
    <x v="0"/>
    <n v="1146.2000000000044"/>
    <n v="2.3484336263241017E-2"/>
    <x v="0"/>
    <x v="9"/>
    <n v="220"/>
    <n v="216.59999999999994"/>
    <n v="174.98999999999995"/>
    <n v="18.389999999999997"/>
    <n v="0.04"/>
    <n v="23.18"/>
    <n v="3.9999999999988489E-2"/>
    <n v="47660.799999999996"/>
    <n v="38497.799999999988"/>
    <n v="4045.7999999999993"/>
    <n v="8.8000000000000007"/>
    <n v="5108.4000000000005"/>
    <n v="1.1823431123048067E-11"/>
    <n v="2.3484336263240979E-2"/>
    <n v="216.6"/>
    <n v="8.8000000000074579"/>
  </r>
  <r>
    <x v="6"/>
    <d v="2025-11-14T00:00:00"/>
    <s v="3271311226"/>
    <x v="46"/>
    <x v="46"/>
    <s v="NOS"/>
    <s v="ZROH"/>
    <s v="RM0009"/>
    <n v="7500"/>
    <n v="6800.95"/>
    <n v="7500"/>
    <n v="7500"/>
    <x v="14"/>
    <n v="14550"/>
    <s v="RV"/>
    <s v="Billing doc.transfer"/>
    <s v="06"/>
    <x v="2"/>
    <x v="17"/>
    <x v="4"/>
    <x v="0"/>
    <n v="14550"/>
    <n v="1"/>
    <x v="0"/>
    <x v="50"/>
    <n v="7500"/>
    <n v="0"/>
    <n v="0"/>
    <n v="0"/>
    <n v="0"/>
    <n v="0"/>
    <n v="0"/>
    <n v="0"/>
    <n v="0"/>
    <n v="0"/>
    <n v="0"/>
    <n v="0"/>
    <n v="6800.95"/>
    <n v="1"/>
    <n v="0.90679333333333334"/>
    <n v="0"/>
  </r>
  <r>
    <x v="6"/>
    <d v="2025-11-14T00:00:00"/>
    <s v="3271311226"/>
    <x v="47"/>
    <x v="47"/>
    <s v="NOS"/>
    <s v="ZROH"/>
    <s v="RM0009"/>
    <n v="4000"/>
    <n v="55440"/>
    <n v="4000"/>
    <n v="4000"/>
    <x v="14"/>
    <n v="56560"/>
    <s v="RV"/>
    <s v="Billing doc.transfer"/>
    <s v="06"/>
    <x v="2"/>
    <x v="17"/>
    <x v="4"/>
    <x v="0"/>
    <n v="56560"/>
    <n v="1"/>
    <x v="0"/>
    <x v="51"/>
    <n v="4000"/>
    <n v="0"/>
    <n v="0"/>
    <n v="0"/>
    <n v="0"/>
    <n v="0"/>
    <n v="0"/>
    <n v="0"/>
    <n v="0"/>
    <n v="0"/>
    <n v="0"/>
    <n v="0"/>
    <n v="55440"/>
    <n v="1"/>
    <n v="13.86"/>
    <n v="0"/>
  </r>
  <r>
    <x v="6"/>
    <d v="2025-11-14T00:00:00"/>
    <s v="3271311226"/>
    <x v="48"/>
    <x v="48"/>
    <s v="NOS"/>
    <s v="ZROH"/>
    <s v="RM0009"/>
    <n v="4000"/>
    <n v="49280"/>
    <n v="4000"/>
    <n v="4000"/>
    <x v="14"/>
    <n v="50280"/>
    <s v="RV"/>
    <s v="Billing doc.transfer"/>
    <s v="06"/>
    <x v="2"/>
    <x v="17"/>
    <x v="4"/>
    <x v="0"/>
    <n v="50280"/>
    <n v="1"/>
    <x v="0"/>
    <x v="52"/>
    <n v="4000"/>
    <n v="0"/>
    <n v="0"/>
    <n v="0"/>
    <n v="0"/>
    <n v="0"/>
    <n v="0"/>
    <n v="0"/>
    <n v="0"/>
    <n v="0"/>
    <n v="0"/>
    <n v="0"/>
    <n v="49280"/>
    <n v="1"/>
    <n v="12.32"/>
    <n v="0"/>
  </r>
  <r>
    <x v="6"/>
    <d v="2025-11-14T00:00:00"/>
    <s v="3271311226"/>
    <x v="49"/>
    <x v="49"/>
    <s v="NOS"/>
    <s v="ZROH"/>
    <s v="RM0009"/>
    <n v="15000"/>
    <n v="23062.47"/>
    <n v="15000"/>
    <n v="15000"/>
    <x v="14"/>
    <n v="6450"/>
    <s v="RV"/>
    <s v="Billing doc.transfer"/>
    <s v="06"/>
    <x v="2"/>
    <x v="17"/>
    <x v="4"/>
    <x v="0"/>
    <n v="6450"/>
    <n v="1"/>
    <x v="0"/>
    <x v="53"/>
    <n v="15000"/>
    <n v="0"/>
    <n v="0"/>
    <n v="0"/>
    <n v="0"/>
    <n v="0"/>
    <n v="0"/>
    <n v="0"/>
    <n v="0"/>
    <n v="0"/>
    <n v="0"/>
    <n v="0"/>
    <n v="23062.47"/>
    <n v="1"/>
    <n v="1.537498"/>
    <n v="0"/>
  </r>
  <r>
    <x v="6"/>
    <d v="2025-11-14T00:00:00"/>
    <s v="3271311226"/>
    <x v="50"/>
    <x v="50"/>
    <s v="NOS"/>
    <s v="ZROH"/>
    <s v="RM0009"/>
    <n v="1200"/>
    <n v="7097.29"/>
    <n v="1200"/>
    <n v="1200"/>
    <x v="14"/>
    <n v="7224"/>
    <s v="RV"/>
    <s v="Billing doc.transfer"/>
    <s v="06"/>
    <x v="2"/>
    <x v="17"/>
    <x v="4"/>
    <x v="0"/>
    <n v="7224"/>
    <n v="1"/>
    <x v="0"/>
    <x v="54"/>
    <n v="1200"/>
    <n v="0"/>
    <n v="0"/>
    <n v="0"/>
    <n v="0"/>
    <n v="0"/>
    <n v="0"/>
    <n v="0"/>
    <n v="0"/>
    <n v="0"/>
    <n v="0"/>
    <n v="0"/>
    <n v="7097.29"/>
    <n v="1"/>
    <n v="5.9144083333333333"/>
    <n v="0"/>
  </r>
  <r>
    <x v="6"/>
    <d v="2025-11-14T00:00:00"/>
    <s v="3271311226"/>
    <x v="51"/>
    <x v="51"/>
    <s v="NOS"/>
    <s v="ZROH"/>
    <s v="RM0009"/>
    <n v="7243"/>
    <n v="94159"/>
    <n v="7243"/>
    <n v="7243"/>
    <x v="14"/>
    <n v="96042.18"/>
    <s v="RV"/>
    <s v="Billing doc.transfer"/>
    <s v="06"/>
    <x v="2"/>
    <x v="17"/>
    <x v="4"/>
    <x v="0"/>
    <n v="96042.18"/>
    <n v="1"/>
    <x v="0"/>
    <x v="55"/>
    <n v="7243"/>
    <n v="0"/>
    <n v="0"/>
    <n v="0"/>
    <n v="0"/>
    <n v="0"/>
    <n v="0"/>
    <n v="0"/>
    <n v="0"/>
    <n v="0"/>
    <n v="0"/>
    <n v="0"/>
    <n v="94159"/>
    <n v="1"/>
    <n v="13"/>
    <n v="0"/>
  </r>
  <r>
    <x v="6"/>
    <d v="2025-11-14T00:00:00"/>
    <s v="3271311226"/>
    <x v="52"/>
    <x v="52"/>
    <s v="NOS"/>
    <s v="ZROH"/>
    <s v="RM0009"/>
    <n v="8000"/>
    <n v="60364.72"/>
    <n v="8000"/>
    <n v="8000"/>
    <x v="14"/>
    <n v="53040"/>
    <s v="RV"/>
    <s v="Billing doc.transfer"/>
    <s v="06"/>
    <x v="2"/>
    <x v="17"/>
    <x v="4"/>
    <x v="0"/>
    <n v="53040"/>
    <n v="1"/>
    <x v="0"/>
    <x v="56"/>
    <n v="8000"/>
    <n v="0"/>
    <n v="0"/>
    <n v="0"/>
    <n v="0"/>
    <n v="0"/>
    <n v="0"/>
    <n v="0"/>
    <n v="0"/>
    <n v="0"/>
    <n v="0"/>
    <n v="0"/>
    <n v="60364.72"/>
    <n v="1"/>
    <n v="7.5455899999999998"/>
    <n v="0"/>
  </r>
  <r>
    <x v="6"/>
    <d v="2025-11-14T00:00:00"/>
    <s v="3271311226"/>
    <x v="53"/>
    <x v="53"/>
    <s v="NOS"/>
    <s v="ZROH"/>
    <s v="RM0009"/>
    <n v="7079"/>
    <n v="42607.7"/>
    <n v="7079"/>
    <n v="7079"/>
    <x v="14"/>
    <n v="43677.43"/>
    <s v="RV"/>
    <s v="Billing doc.transfer"/>
    <s v="06"/>
    <x v="2"/>
    <x v="17"/>
    <x v="4"/>
    <x v="0"/>
    <n v="43677.43"/>
    <n v="1"/>
    <x v="0"/>
    <x v="57"/>
    <n v="7079"/>
    <n v="0"/>
    <n v="0"/>
    <n v="0"/>
    <n v="0"/>
    <n v="0"/>
    <n v="0"/>
    <n v="0"/>
    <n v="0"/>
    <n v="0"/>
    <n v="0"/>
    <n v="0"/>
    <n v="42607.7"/>
    <n v="1"/>
    <n v="6.0188868484249181"/>
    <n v="0"/>
  </r>
  <r>
    <x v="8"/>
    <d v="2025-11-14T00:00:00"/>
    <s v="3271311231"/>
    <x v="54"/>
    <x v="54"/>
    <s v="NOS"/>
    <s v="ZFG1"/>
    <s v="FG0025"/>
    <n v="51"/>
    <n v="4470.1499999999996"/>
    <n v="51"/>
    <n v="51"/>
    <x v="14"/>
    <n v="5100"/>
    <s v="RV"/>
    <s v="Billing doc.transfer"/>
    <s v="03"/>
    <x v="0"/>
    <x v="3"/>
    <x v="3"/>
    <x v="0"/>
    <n v="627.80999999999949"/>
    <n v="0.1230999999999999"/>
    <x v="0"/>
    <x v="58"/>
    <n v="51"/>
    <n v="87.660000000000011"/>
    <n v="47.650000000000013"/>
    <n v="36.96"/>
    <n v="0.03"/>
    <n v="3.02"/>
    <n v="2.999999999999714E-2"/>
    <n v="4472.1900000000005"/>
    <n v="2430.1500000000005"/>
    <n v="1884.96"/>
    <n v="1.53"/>
    <n v="155.55000000000001"/>
    <n v="-0.51000000000095724"/>
    <n v="0.12309999999999988"/>
    <n v="87.649999999999991"/>
    <n v="1.5299999999999159"/>
  </r>
  <r>
    <x v="8"/>
    <d v="2025-11-14T00:00:00"/>
    <s v="3271311231"/>
    <x v="55"/>
    <x v="55"/>
    <s v="NOS"/>
    <s v="ZFG1"/>
    <s v="FG0025"/>
    <n v="51"/>
    <n v="5244.84"/>
    <n v="51"/>
    <n v="51"/>
    <x v="14"/>
    <n v="6426"/>
    <s v="RV"/>
    <s v="Billing doc.transfer"/>
    <s v="03"/>
    <x v="0"/>
    <x v="3"/>
    <x v="3"/>
    <x v="0"/>
    <n v="1178.6099999999997"/>
    <n v="0.18341269841269836"/>
    <x v="0"/>
    <x v="59"/>
    <n v="51"/>
    <n v="102.85"/>
    <n v="62.83"/>
    <n v="36.96"/>
    <n v="0.04"/>
    <n v="3.02"/>
    <n v="3.9999999999995151E-2"/>
    <n v="5247.39"/>
    <n v="3204.33"/>
    <n v="1884.96"/>
    <n v="2.04"/>
    <n v="156.06"/>
    <n v="-0.50999999999982037"/>
    <n v="0.18341269841269836"/>
    <n v="102.84"/>
    <n v="2.0400000000003615"/>
  </r>
  <r>
    <x v="8"/>
    <d v="2025-11-14T00:00:00"/>
    <s v="3271311231"/>
    <x v="56"/>
    <x v="56"/>
    <s v="NOS"/>
    <s v="ZFG1"/>
    <s v="FG0025"/>
    <n v="102"/>
    <n v="34981.919999999998"/>
    <n v="102"/>
    <n v="102"/>
    <x v="14"/>
    <n v="55080"/>
    <s v="RV"/>
    <s v="Billing doc.transfer"/>
    <s v="03"/>
    <x v="0"/>
    <x v="3"/>
    <x v="3"/>
    <x v="0"/>
    <n v="20083.800000000003"/>
    <n v="0.36462962962962969"/>
    <x v="0"/>
    <x v="60"/>
    <n v="102"/>
    <n v="342.96999999999997"/>
    <n v="240.83999999999997"/>
    <n v="45.19"/>
    <n v="0.13"/>
    <n v="56.81"/>
    <n v="0.12999999999999545"/>
    <n v="34996.199999999997"/>
    <n v="24565.679999999997"/>
    <n v="4609.38"/>
    <n v="13.26"/>
    <n v="5807.88"/>
    <n v="-1.0199999999986176"/>
    <n v="0.36462962962962964"/>
    <n v="342.96"/>
    <n v="13.260000000000218"/>
  </r>
  <r>
    <x v="1"/>
    <d v="2025-11-13T00:00:00"/>
    <s v="3271310515"/>
    <x v="3"/>
    <x v="3"/>
    <s v="NOS"/>
    <s v="ZFG1"/>
    <s v="FG0010"/>
    <n v="398"/>
    <n v="256721.94"/>
    <n v="398"/>
    <n v="398"/>
    <x v="15"/>
    <n v="289966.88"/>
    <s v="RV"/>
    <s v="Billing doc.transfer"/>
    <s v="01"/>
    <x v="0"/>
    <x v="2"/>
    <x v="2"/>
    <x v="0"/>
    <n v="33073.800000000134"/>
    <n v="0.11406061271549403"/>
    <x v="0"/>
    <x v="20"/>
    <n v="398"/>
    <n v="645.02999999999963"/>
    <n v="582.23999999999967"/>
    <n v="29.88"/>
    <n v="0.43"/>
    <n v="32.480000000000004"/>
    <n v="0.42999999999996419"/>
    <n v="256893.07999999987"/>
    <n v="231731.51999999987"/>
    <n v="11892.24"/>
    <n v="171.14"/>
    <n v="13098.18"/>
    <n v="1.2914824765175581E-10"/>
    <n v="0.11406061271549406"/>
    <n v="645.03"/>
    <n v="171.1399999999976"/>
  </r>
  <r>
    <x v="1"/>
    <d v="2025-11-13T00:00:00"/>
    <s v="3271310552"/>
    <x v="4"/>
    <x v="4"/>
    <s v="NOS"/>
    <s v="ZFG1"/>
    <s v="FG0010"/>
    <n v="1210"/>
    <n v="509906.1"/>
    <n v="1210"/>
    <n v="1210"/>
    <x v="15"/>
    <n v="584623.6"/>
    <s v="RV"/>
    <s v="Billing doc.transfer"/>
    <s v="01"/>
    <x v="0"/>
    <x v="2"/>
    <x v="2"/>
    <x v="0"/>
    <n v="74402.900000000198"/>
    <n v="0.12726632999420517"/>
    <x v="0"/>
    <x v="4"/>
    <n v="1210"/>
    <n v="421.40999999999985"/>
    <n v="373.04999999999984"/>
    <n v="22"/>
    <n v="0.26"/>
    <n v="26.1"/>
    <n v="0.26000000000001222"/>
    <n v="510220.69999999978"/>
    <n v="451390.49999999983"/>
    <n v="26620"/>
    <n v="314.60000000000002"/>
    <n v="31895.599999999999"/>
    <n v="1.5279510989785194E-10"/>
    <n v="0.12726632999420517"/>
    <n v="421.40999999999997"/>
    <n v="314.59999999995489"/>
  </r>
  <r>
    <x v="1"/>
    <d v="2025-11-13T00:00:00"/>
    <s v="3271310515"/>
    <x v="15"/>
    <x v="15"/>
    <s v="NOS"/>
    <s v="ZFG1"/>
    <s v="FG0010"/>
    <n v="710"/>
    <n v="299179.8"/>
    <n v="710"/>
    <n v="710"/>
    <x v="15"/>
    <n v="343043.6"/>
    <s v="RV"/>
    <s v="Billing doc.transfer"/>
    <s v="01"/>
    <x v="0"/>
    <x v="2"/>
    <x v="2"/>
    <x v="0"/>
    <n v="43679.200000000186"/>
    <n v="0.12732842122692331"/>
    <x v="0"/>
    <x v="4"/>
    <n v="710"/>
    <n v="421.37999999999982"/>
    <n v="373.01999999999981"/>
    <n v="22"/>
    <n v="0.26"/>
    <n v="26.1"/>
    <n v="0.26000000000001222"/>
    <n v="299364.39999999979"/>
    <n v="264844.19999999984"/>
    <n v="15620"/>
    <n v="184.6"/>
    <n v="18715.599999999999"/>
    <n v="1.5279510989785194E-10"/>
    <n v="0.12732842122692334"/>
    <n v="421.38"/>
    <n v="184.59999999995489"/>
  </r>
  <r>
    <x v="1"/>
    <d v="2025-11-13T00:00:00"/>
    <s v="3271310552"/>
    <x v="15"/>
    <x v="15"/>
    <s v="NOS"/>
    <s v="ZFG1"/>
    <s v="FG0010"/>
    <n v="350"/>
    <n v="147483"/>
    <n v="350"/>
    <n v="350"/>
    <x v="15"/>
    <n v="169106"/>
    <s v="RV"/>
    <s v="Billing doc.transfer"/>
    <s v="01"/>
    <x v="0"/>
    <x v="2"/>
    <x v="2"/>
    <x v="0"/>
    <n v="21532.000000000058"/>
    <n v="0.12732842122692312"/>
    <x v="0"/>
    <x v="14"/>
    <n v="350"/>
    <n v="421.37999999999982"/>
    <n v="373.01999999999981"/>
    <n v="22"/>
    <n v="0.26"/>
    <n v="26.1"/>
    <n v="0.26000000000001222"/>
    <n v="147573.99999999994"/>
    <n v="130556.99999999993"/>
    <n v="7700"/>
    <n v="91"/>
    <n v="9226"/>
    <n v="7.2759576141834259E-11"/>
    <n v="0.12732842122692312"/>
    <n v="421.38"/>
    <n v="91.000000000014552"/>
  </r>
  <r>
    <x v="1"/>
    <d v="2025-11-13T00:00:00"/>
    <s v="3271310989"/>
    <x v="15"/>
    <x v="15"/>
    <s v="NOS"/>
    <s v="ZFG1"/>
    <s v="FG0010"/>
    <n v="580"/>
    <n v="244400.4"/>
    <n v="580"/>
    <n v="580"/>
    <x v="15"/>
    <n v="280232.8"/>
    <s v="RV"/>
    <s v="Billing doc.transfer"/>
    <s v="01"/>
    <x v="0"/>
    <x v="2"/>
    <x v="2"/>
    <x v="0"/>
    <n v="35681.600000000122"/>
    <n v="0.1273284212269232"/>
    <x v="0"/>
    <x v="4"/>
    <n v="580"/>
    <n v="421.37999999999982"/>
    <n v="373.01999999999981"/>
    <n v="22"/>
    <n v="0.26"/>
    <n v="26.1"/>
    <n v="0.26000000000001222"/>
    <n v="244551.19999999987"/>
    <n v="216351.59999999989"/>
    <n v="12760"/>
    <n v="150.80000000000001"/>
    <n v="15288.8"/>
    <n v="1.0550138540565968E-10"/>
    <n v="0.12732842122692323"/>
    <n v="421.38"/>
    <n v="150.79999999997744"/>
  </r>
  <r>
    <x v="1"/>
    <d v="2025-11-13T00:00:00"/>
    <s v="3271310989"/>
    <x v="20"/>
    <x v="20"/>
    <s v="NOS"/>
    <s v="ZFG1"/>
    <s v="FG0010"/>
    <n v="370"/>
    <n v="155910.6"/>
    <n v="370"/>
    <n v="370"/>
    <x v="15"/>
    <n v="178769.2"/>
    <s v="RV"/>
    <s v="Billing doc.transfer"/>
    <s v="01"/>
    <x v="0"/>
    <x v="2"/>
    <x v="2"/>
    <x v="0"/>
    <n v="22762.400000000052"/>
    <n v="0.12732842122692303"/>
    <x v="0"/>
    <x v="14"/>
    <n v="370"/>
    <n v="421.37999999999982"/>
    <n v="373.01999999999981"/>
    <n v="22"/>
    <n v="0.26"/>
    <n v="26.1"/>
    <n v="0.26000000000001222"/>
    <n v="156006.79999999996"/>
    <n v="138017.39999999994"/>
    <n v="8140"/>
    <n v="96.2"/>
    <n v="9753.2000000000007"/>
    <n v="6.9121597334742546E-11"/>
    <n v="0.12732842122692301"/>
    <n v="421.38"/>
    <n v="96.200000000022555"/>
  </r>
  <r>
    <x v="1"/>
    <d v="2025-11-13T00:00:00"/>
    <s v="3271310515"/>
    <x v="8"/>
    <x v="8"/>
    <s v="NOS"/>
    <s v="ZFG1"/>
    <s v="FG0010"/>
    <n v="1031"/>
    <n v="335281.2"/>
    <n v="1031"/>
    <n v="1031"/>
    <x v="15"/>
    <n v="366025.62"/>
    <s v="RV"/>
    <s v="Billing doc.transfer"/>
    <s v="01"/>
    <x v="0"/>
    <x v="2"/>
    <x v="2"/>
    <x v="0"/>
    <n v="30476.360000000044"/>
    <n v="8.3262914765365459E-2"/>
    <x v="0"/>
    <x v="7"/>
    <n v="1031"/>
    <n v="325.19999999999993"/>
    <n v="271.52999999999997"/>
    <n v="23.84"/>
    <n v="0.26"/>
    <n v="29.569999999999997"/>
    <n v="0.25999999999996248"/>
    <n v="335549.25999999995"/>
    <n v="279947.43"/>
    <n v="24579.040000000001"/>
    <n v="268.06"/>
    <n v="30754.73"/>
    <n v="0"/>
    <n v="8.3262914765365403E-2"/>
    <n v="325.2"/>
    <n v="268.05999999995765"/>
  </r>
  <r>
    <x v="1"/>
    <d v="2025-11-13T00:00:00"/>
    <s v="3271310552"/>
    <x v="9"/>
    <x v="9"/>
    <s v="NOS"/>
    <s v="ZFG1"/>
    <s v="FG0010"/>
    <n v="1037"/>
    <n v="224614.2"/>
    <n v="1037"/>
    <n v="1037"/>
    <x v="15"/>
    <n v="230058.45"/>
    <s v="RV"/>
    <s v="Billing doc.transfer"/>
    <s v="01"/>
    <x v="0"/>
    <x v="2"/>
    <x v="2"/>
    <x v="0"/>
    <n v="5402.7700000000477"/>
    <n v="2.3484336263241135E-2"/>
    <x v="0"/>
    <x v="10"/>
    <n v="1037"/>
    <n v="216.59999999999994"/>
    <n v="174.98999999999995"/>
    <n v="18.389999999999997"/>
    <n v="0.04"/>
    <n v="23.18"/>
    <n v="3.9999999999988489E-2"/>
    <n v="224655.67999999996"/>
    <n v="181464.62999999995"/>
    <n v="19070.429999999997"/>
    <n v="41.480000000000004"/>
    <n v="24079.14"/>
    <n v="6.9121597334742546E-11"/>
    <n v="2.348433626324109E-2"/>
    <n v="216.60000000000002"/>
    <n v="41.480000000021391"/>
  </r>
  <r>
    <x v="1"/>
    <d v="2025-11-13T00:00:00"/>
    <s v="3271310989"/>
    <x v="38"/>
    <x v="38"/>
    <s v="NOS"/>
    <s v="ZFG1"/>
    <s v="FG0010"/>
    <n v="70"/>
    <n v="13437.2"/>
    <n v="70"/>
    <n v="70"/>
    <x v="15"/>
    <n v="34650"/>
    <s v="RV"/>
    <s v="Billing doc.transfer"/>
    <s v="01"/>
    <x v="0"/>
    <x v="2"/>
    <x v="2"/>
    <x v="0"/>
    <n v="21212.799999999999"/>
    <n v="0.61220202020202019"/>
    <x v="0"/>
    <x v="19"/>
    <n v="70"/>
    <n v="191.96"/>
    <n v="127.95"/>
    <n v="29.26"/>
    <n v="0"/>
    <n v="34.75"/>
    <n v="0"/>
    <n v="13437.2"/>
    <n v="8956.5"/>
    <n v="2048.2000000000003"/>
    <n v="0"/>
    <n v="2432.5"/>
    <n v="0"/>
    <n v="0.61220202020202019"/>
    <n v="191.96"/>
    <n v="0"/>
  </r>
  <r>
    <x v="4"/>
    <d v="2025-11-13T00:00:00"/>
    <s v="3271310622"/>
    <x v="57"/>
    <x v="57"/>
    <s v="NOS"/>
    <s v="ZROH"/>
    <s v="RM0009"/>
    <n v="9000"/>
    <n v="26963.08"/>
    <n v="9000"/>
    <n v="9000"/>
    <x v="15"/>
    <n v="27360"/>
    <s v="RV"/>
    <s v="Billing doc.transfer"/>
    <s v="01"/>
    <x v="2"/>
    <x v="17"/>
    <x v="4"/>
    <x v="0"/>
    <n v="27360"/>
    <n v="1"/>
    <x v="0"/>
    <x v="61"/>
    <n v="9000"/>
    <n v="0"/>
    <n v="0"/>
    <n v="0"/>
    <n v="0"/>
    <n v="0"/>
    <n v="0"/>
    <n v="0"/>
    <n v="0"/>
    <n v="0"/>
    <n v="0"/>
    <n v="0"/>
    <n v="26963.08"/>
    <n v="1"/>
    <n v="2.995897777777778"/>
    <n v="0"/>
  </r>
  <r>
    <x v="3"/>
    <d v="2025-11-12T00:00:00"/>
    <s v="3271310349"/>
    <x v="1"/>
    <x v="1"/>
    <s v="NOS"/>
    <s v="ZFG1"/>
    <s v="FG0011"/>
    <n v="4000"/>
    <n v="1845480"/>
    <n v="4000"/>
    <n v="4000"/>
    <x v="16"/>
    <n v="2637240"/>
    <s v="RV"/>
    <s v="Billing doc.transfer"/>
    <s v="01"/>
    <x v="0"/>
    <x v="0"/>
    <x v="0"/>
    <x v="0"/>
    <n v="790799.99999999977"/>
    <n v="0.29985894344086989"/>
    <x v="0"/>
    <x v="22"/>
    <n v="4000"/>
    <n v="461.37"/>
    <n v="401.59000000000003"/>
    <n v="28.32"/>
    <n v="0.24"/>
    <n v="31.22"/>
    <n v="0.23999999999997357"/>
    <n v="1846440.0000000002"/>
    <n v="1606360.0000000002"/>
    <n v="113280"/>
    <n v="960"/>
    <n v="125840"/>
    <n v="-2.3283064365386963E-10"/>
    <n v="0.29985894344086994"/>
    <n v="461.37"/>
    <n v="960"/>
  </r>
  <r>
    <x v="1"/>
    <d v="2025-11-12T00:00:00"/>
    <s v="3271310351"/>
    <x v="2"/>
    <x v="2"/>
    <s v="NOS"/>
    <s v="ZSFG"/>
    <s v="SF0045"/>
    <n v="4368"/>
    <n v="645022.56000000006"/>
    <n v="4368"/>
    <n v="4368"/>
    <x v="16"/>
    <n v="711721.92"/>
    <s v="RV"/>
    <s v="Billing doc.transfer"/>
    <s v="01"/>
    <x v="1"/>
    <x v="1"/>
    <x v="1"/>
    <x v="0"/>
    <n v="66699.360000000219"/>
    <n v="9.3715478090094811E-2"/>
    <x v="0"/>
    <x v="2"/>
    <n v="4368"/>
    <n v="147.66999999999996"/>
    <n v="144.21999999999997"/>
    <n v="1.5"/>
    <n v="0"/>
    <n v="1.95"/>
    <n v="-1.1324274851176597E-14"/>
    <n v="645022.55999999982"/>
    <n v="629952.95999999985"/>
    <n v="6552"/>
    <n v="0"/>
    <n v="8517.6"/>
    <n v="2.0918378140777349E-10"/>
    <n v="9.3715478090094839E-2"/>
    <n v="147.67000000000002"/>
    <n v="-2.3646862246096134E-11"/>
  </r>
  <r>
    <x v="1"/>
    <d v="2025-11-12T00:00:00"/>
    <s v="3271310352"/>
    <x v="35"/>
    <x v="35"/>
    <s v="NOS"/>
    <s v="ZSFG"/>
    <s v="SF0045"/>
    <n v="1008"/>
    <n v="126131.04"/>
    <n v="1008"/>
    <n v="1008"/>
    <x v="16"/>
    <n v="133449.12"/>
    <s v="RV"/>
    <s v="Billing doc.transfer"/>
    <s v="01"/>
    <x v="1"/>
    <x v="1"/>
    <x v="1"/>
    <x v="0"/>
    <n v="7318.0800000000017"/>
    <n v="5.4837978699297546E-2"/>
    <x v="0"/>
    <x v="62"/>
    <n v="1008"/>
    <n v="125.13"/>
    <n v="121.67999999999999"/>
    <n v="1.5"/>
    <n v="0"/>
    <n v="1.95"/>
    <n v="2.886579864025407E-15"/>
    <n v="126131.04"/>
    <n v="122653.43999999999"/>
    <n v="1512"/>
    <n v="0"/>
    <n v="1965.6"/>
    <n v="5.9117155615240335E-12"/>
    <n v="5.4837978699297518E-2"/>
    <n v="125.13"/>
    <n v="5.9117155615240335E-12"/>
  </r>
  <r>
    <x v="1"/>
    <d v="2025-11-12T00:00:00"/>
    <s v="3271310197"/>
    <x v="8"/>
    <x v="8"/>
    <s v="NOS"/>
    <s v="ZFG1"/>
    <s v="FG0010"/>
    <n v="1035"/>
    <n v="336582"/>
    <n v="1035"/>
    <n v="1035"/>
    <x v="16"/>
    <n v="376284.6"/>
    <s v="RV"/>
    <s v="Billing doc.transfer"/>
    <s v="01"/>
    <x v="0"/>
    <x v="2"/>
    <x v="2"/>
    <x v="0"/>
    <n v="39433.5"/>
    <n v="0.10479700737154803"/>
    <x v="0"/>
    <x v="23"/>
    <n v="1035"/>
    <n v="325.19999999999993"/>
    <n v="271.52999999999997"/>
    <n v="23.84"/>
    <n v="0.26"/>
    <n v="29.569999999999997"/>
    <n v="0.25999999999996248"/>
    <n v="336851.1"/>
    <n v="281033.55"/>
    <n v="24674.400000000001"/>
    <n v="269.10000000000002"/>
    <n v="30874.049999999996"/>
    <n v="0"/>
    <n v="0.10479700737154807"/>
    <n v="325.2"/>
    <n v="269.09999999999127"/>
  </r>
  <r>
    <x v="1"/>
    <d v="2025-11-12T00:00:00"/>
    <s v="3271310306"/>
    <x v="33"/>
    <x v="33"/>
    <s v="NOS"/>
    <s v="ZSFG"/>
    <s v="SF0045"/>
    <n v="32"/>
    <n v="3104.96"/>
    <n v="32"/>
    <n v="32"/>
    <x v="16"/>
    <n v="4075.84"/>
    <s v="RV"/>
    <s v="Billing doc.transfer"/>
    <s v="01"/>
    <x v="1"/>
    <x v="1"/>
    <x v="1"/>
    <x v="0"/>
    <n v="970.88000000000011"/>
    <n v="0.23820365863233103"/>
    <x v="0"/>
    <x v="36"/>
    <n v="32"/>
    <n v="97.03"/>
    <n v="93.490000000000009"/>
    <n v="1.63"/>
    <n v="0"/>
    <n v="1.9100000000000001"/>
    <n v="-7.9936057773011271E-15"/>
    <n v="3104.96"/>
    <n v="2991.6800000000003"/>
    <n v="52.16"/>
    <n v="0"/>
    <n v="61.120000000000005"/>
    <n v="-2.5579538487363607E-13"/>
    <n v="0.23820365863233106"/>
    <n v="97.03"/>
    <n v="-2.5579538487363607E-13"/>
  </r>
  <r>
    <x v="1"/>
    <d v="2025-11-12T00:00:00"/>
    <s v="3271310196"/>
    <x v="3"/>
    <x v="3"/>
    <s v="NOS"/>
    <s v="ZFG1"/>
    <s v="FG0010"/>
    <n v="428"/>
    <n v="276072.84000000003"/>
    <n v="428"/>
    <n v="428"/>
    <x v="16"/>
    <n v="311823.68"/>
    <s v="RV"/>
    <s v="Billing doc.transfer"/>
    <s v="01"/>
    <x v="0"/>
    <x v="2"/>
    <x v="2"/>
    <x v="0"/>
    <n v="35566.800000000163"/>
    <n v="0.1140606127154941"/>
    <x v="0"/>
    <x v="3"/>
    <n v="428"/>
    <n v="645.02999999999963"/>
    <n v="582.23999999999967"/>
    <n v="29.88"/>
    <n v="0.43"/>
    <n v="32.480000000000004"/>
    <n v="0.42999999999996419"/>
    <n v="276256.87999999983"/>
    <n v="249198.71999999986"/>
    <n v="12788.64"/>
    <n v="184.04"/>
    <n v="14085.480000000003"/>
    <n v="1.673470251262188E-10"/>
    <n v="0.11406061271549406"/>
    <n v="645.03000000000009"/>
    <n v="184.03999999997177"/>
  </r>
  <r>
    <x v="1"/>
    <d v="2025-11-12T00:00:00"/>
    <s v="3271310196"/>
    <x v="4"/>
    <x v="4"/>
    <s v="NOS"/>
    <s v="ZFG1"/>
    <s v="FG0010"/>
    <n v="1235"/>
    <n v="520441.35"/>
    <n v="1235"/>
    <n v="1235"/>
    <x v="16"/>
    <n v="596702.6"/>
    <s v="RV"/>
    <s v="Billing doc.transfer"/>
    <s v="01"/>
    <x v="0"/>
    <x v="2"/>
    <x v="2"/>
    <x v="0"/>
    <n v="75940.150000000198"/>
    <n v="0.12726632999420515"/>
    <x v="0"/>
    <x v="4"/>
    <n v="1235"/>
    <n v="421.40999999999985"/>
    <n v="373.04999999999984"/>
    <n v="22"/>
    <n v="0.26"/>
    <n v="26.1"/>
    <n v="0.26000000000001222"/>
    <n v="520762.44999999978"/>
    <n v="460716.74999999983"/>
    <n v="27170"/>
    <n v="321.10000000000002"/>
    <n v="32554.6"/>
    <n v="1.5279510989785194E-10"/>
    <n v="0.12726632999420517"/>
    <n v="421.40999999999997"/>
    <n v="321.09999999995489"/>
  </r>
  <r>
    <x v="1"/>
    <d v="2025-11-12T00:00:00"/>
    <s v="3271310304"/>
    <x v="15"/>
    <x v="15"/>
    <s v="NOS"/>
    <s v="ZFG1"/>
    <s v="FG0010"/>
    <n v="470"/>
    <n v="198048.6"/>
    <n v="470"/>
    <n v="470"/>
    <x v="16"/>
    <n v="227085.2"/>
    <s v="RV"/>
    <s v="Billing doc.transfer"/>
    <s v="01"/>
    <x v="0"/>
    <x v="2"/>
    <x v="2"/>
    <x v="0"/>
    <n v="28914.400000000081"/>
    <n v="0.12732842122692312"/>
    <x v="0"/>
    <x v="14"/>
    <n v="470"/>
    <n v="421.37999999999982"/>
    <n v="373.01999999999981"/>
    <n v="22"/>
    <n v="0.26"/>
    <n v="26.1"/>
    <n v="0.26000000000001222"/>
    <n v="198170.79999999993"/>
    <n v="175319.39999999991"/>
    <n v="10340"/>
    <n v="122.2"/>
    <n v="12389.2"/>
    <n v="9.822542779147625E-11"/>
    <n v="0.12732842122692312"/>
    <n v="421.38"/>
    <n v="122.20000000002256"/>
  </r>
  <r>
    <x v="1"/>
    <d v="2025-11-12T00:00:00"/>
    <s v="3271310353"/>
    <x v="15"/>
    <x v="15"/>
    <s v="NOS"/>
    <s v="ZFG1"/>
    <s v="FG0010"/>
    <n v="170"/>
    <n v="71634.600000000006"/>
    <n v="170"/>
    <n v="170"/>
    <x v="16"/>
    <n v="82137.2"/>
    <s v="RV"/>
    <s v="Billing doc.transfer"/>
    <s v="01"/>
    <x v="0"/>
    <x v="2"/>
    <x v="2"/>
    <x v="0"/>
    <n v="10458.400000000038"/>
    <n v="0.12732842122692323"/>
    <x v="0"/>
    <x v="4"/>
    <n v="170"/>
    <n v="421.37999999999982"/>
    <n v="373.01999999999981"/>
    <n v="22"/>
    <n v="0.26"/>
    <n v="26.1"/>
    <n v="0.26000000000001222"/>
    <n v="71678.799999999959"/>
    <n v="63413.399999999965"/>
    <n v="3740"/>
    <n v="44.2"/>
    <n v="4481.2"/>
    <n v="4.0927261579781771E-11"/>
    <n v="0.12732842122692323"/>
    <n v="421.38000000000005"/>
    <n v="44.199999999994361"/>
  </r>
  <r>
    <x v="1"/>
    <d v="2025-11-12T00:00:00"/>
    <s v="3271310304"/>
    <x v="9"/>
    <x v="9"/>
    <s v="NOS"/>
    <s v="ZFG1"/>
    <s v="FG0010"/>
    <n v="1044"/>
    <n v="226130.4"/>
    <n v="1044"/>
    <n v="1044"/>
    <x v="16"/>
    <n v="231611.4"/>
    <s v="RV"/>
    <s v="Billing doc.transfer"/>
    <s v="01"/>
    <x v="0"/>
    <x v="2"/>
    <x v="2"/>
    <x v="0"/>
    <n v="5439.2400000000489"/>
    <n v="2.3484336263241139E-2"/>
    <x v="0"/>
    <x v="9"/>
    <n v="1044"/>
    <n v="216.59999999999994"/>
    <n v="174.98999999999995"/>
    <n v="18.389999999999997"/>
    <n v="0.04"/>
    <n v="23.18"/>
    <n v="3.9999999999988489E-2"/>
    <n v="226172.15999999995"/>
    <n v="182689.55999999994"/>
    <n v="19199.159999999996"/>
    <n v="41.76"/>
    <n v="24241.679999999997"/>
    <n v="6.184563972055912E-11"/>
    <n v="2.348433626324109E-2"/>
    <n v="216.6"/>
    <n v="41.760000000012951"/>
  </r>
  <r>
    <x v="1"/>
    <d v="2025-11-11T00:00:00"/>
    <s v="3271309823"/>
    <x v="2"/>
    <x v="2"/>
    <s v="NOS"/>
    <s v="ZSFG"/>
    <s v="SF0045"/>
    <n v="4368"/>
    <n v="645022.56000000006"/>
    <n v="4368"/>
    <n v="4368"/>
    <x v="17"/>
    <n v="711721.92"/>
    <s v="RV"/>
    <s v="Billing doc.transfer"/>
    <s v="01"/>
    <x v="1"/>
    <x v="1"/>
    <x v="1"/>
    <x v="0"/>
    <n v="66699.360000000219"/>
    <n v="9.3715478090094811E-2"/>
    <x v="0"/>
    <x v="2"/>
    <n v="4368"/>
    <n v="147.66999999999996"/>
    <n v="144.21999999999997"/>
    <n v="1.5"/>
    <n v="0"/>
    <n v="1.95"/>
    <n v="-1.1324274851176597E-14"/>
    <n v="645022.55999999982"/>
    <n v="629952.95999999985"/>
    <n v="6552"/>
    <n v="0"/>
    <n v="8517.6"/>
    <n v="2.0918378140777349E-10"/>
    <n v="9.3715478090094839E-2"/>
    <n v="147.67000000000002"/>
    <n v="-2.3646862246096134E-11"/>
  </r>
  <r>
    <x v="1"/>
    <d v="2025-11-11T00:00:00"/>
    <s v="3271309794"/>
    <x v="35"/>
    <x v="35"/>
    <s v="NOS"/>
    <s v="ZSFG"/>
    <s v="SF0045"/>
    <n v="1008"/>
    <n v="126131.04"/>
    <n v="1008"/>
    <n v="1008"/>
    <x v="17"/>
    <n v="133449.12"/>
    <s v="RV"/>
    <s v="Billing doc.transfer"/>
    <s v="01"/>
    <x v="1"/>
    <x v="1"/>
    <x v="1"/>
    <x v="0"/>
    <n v="7318.0800000000017"/>
    <n v="5.4837978699297546E-2"/>
    <x v="0"/>
    <x v="62"/>
    <n v="1008"/>
    <n v="125.13"/>
    <n v="121.67999999999999"/>
    <n v="1.5"/>
    <n v="0"/>
    <n v="1.95"/>
    <n v="2.886579864025407E-15"/>
    <n v="126131.04"/>
    <n v="122653.43999999999"/>
    <n v="1512"/>
    <n v="0"/>
    <n v="1965.6"/>
    <n v="5.9117155615240335E-12"/>
    <n v="5.4837978699297518E-2"/>
    <n v="125.13"/>
    <n v="5.9117155615240335E-12"/>
  </r>
  <r>
    <x v="1"/>
    <d v="2025-11-11T00:00:00"/>
    <s v="3271309812"/>
    <x v="35"/>
    <x v="35"/>
    <s v="NOS"/>
    <s v="ZSFG"/>
    <s v="SF0045"/>
    <n v="520"/>
    <n v="65067.6"/>
    <n v="520"/>
    <n v="520"/>
    <x v="17"/>
    <n v="68842.8"/>
    <s v="RV"/>
    <s v="Billing doc.transfer"/>
    <s v="01"/>
    <x v="1"/>
    <x v="1"/>
    <x v="1"/>
    <x v="0"/>
    <n v="3775.2000000000044"/>
    <n v="5.4837978699297595E-2"/>
    <x v="0"/>
    <x v="38"/>
    <n v="520"/>
    <n v="125.13"/>
    <n v="121.67999999999999"/>
    <n v="1.5"/>
    <n v="0"/>
    <n v="1.95"/>
    <n v="2.886579864025407E-15"/>
    <n v="65067.6"/>
    <n v="63273.599999999999"/>
    <n v="780"/>
    <n v="0"/>
    <n v="1014"/>
    <n v="0"/>
    <n v="5.4837978699297629E-2"/>
    <n v="125.13"/>
    <n v="0"/>
  </r>
  <r>
    <x v="1"/>
    <d v="2025-11-11T00:00:00"/>
    <s v="3271309806"/>
    <x v="58"/>
    <x v="58"/>
    <s v="NOS"/>
    <s v="ZFG1"/>
    <s v="FG0012"/>
    <n v="230"/>
    <n v="85369.1"/>
    <n v="230"/>
    <n v="230"/>
    <x v="17"/>
    <n v="114673.4"/>
    <s v="RV"/>
    <s v="Billing doc.transfer"/>
    <s v="01"/>
    <x v="0"/>
    <x v="9"/>
    <x v="5"/>
    <x v="0"/>
    <n v="29272.099999999977"/>
    <n v="0.25526495246500042"/>
    <x v="0"/>
    <x v="63"/>
    <n v="230"/>
    <n v="371.18000000000006"/>
    <n v="244.43000000000006"/>
    <n v="58.8"/>
    <n v="0.13"/>
    <n v="67.819999999999993"/>
    <n v="0.13000000000000966"/>
    <n v="85401.300000000017"/>
    <n v="56218.900000000016"/>
    <n v="13524"/>
    <n v="29.900000000000002"/>
    <n v="15628.499999999998"/>
    <n v="-2.3000000000083674"/>
    <n v="0.25526495246500036"/>
    <n v="371.17"/>
    <n v="29.900000000003274"/>
  </r>
  <r>
    <x v="1"/>
    <d v="2025-11-11T00:00:00"/>
    <s v="3271309795"/>
    <x v="8"/>
    <x v="8"/>
    <s v="NOS"/>
    <s v="ZFG1"/>
    <s v="FG0010"/>
    <n v="990"/>
    <n v="321948"/>
    <n v="990"/>
    <n v="990"/>
    <x v="17"/>
    <n v="359924.4"/>
    <s v="RV"/>
    <s v="Billing doc.transfer"/>
    <s v="01"/>
    <x v="0"/>
    <x v="2"/>
    <x v="2"/>
    <x v="0"/>
    <n v="37719.000000000058"/>
    <n v="0.10479700737154818"/>
    <x v="0"/>
    <x v="23"/>
    <n v="990"/>
    <n v="325.19999999999993"/>
    <n v="271.52999999999997"/>
    <n v="23.84"/>
    <n v="0.26"/>
    <n v="29.569999999999997"/>
    <n v="0.25999999999996248"/>
    <n v="322205.39999999997"/>
    <n v="268814.69999999995"/>
    <n v="23601.599999999999"/>
    <n v="257.40000000000003"/>
    <n v="29531.699999999997"/>
    <n v="5.0931703299283981E-11"/>
    <n v="0.10479700737154818"/>
    <n v="325.2"/>
    <n v="257.40000000001601"/>
  </r>
  <r>
    <x v="1"/>
    <d v="2025-11-11T00:00:00"/>
    <s v="3271309795"/>
    <x v="9"/>
    <x v="9"/>
    <s v="NOS"/>
    <s v="ZFG1"/>
    <s v="FG0010"/>
    <n v="856"/>
    <n v="185409.6"/>
    <n v="856"/>
    <n v="856"/>
    <x v="17"/>
    <n v="192197.68"/>
    <s v="RV"/>
    <s v="Billing doc.transfer"/>
    <s v="01"/>
    <x v="0"/>
    <x v="2"/>
    <x v="2"/>
    <x v="0"/>
    <n v="6753.8400000000256"/>
    <n v="3.5140070369215827E-2"/>
    <x v="0"/>
    <x v="64"/>
    <n v="856"/>
    <n v="216.59999999999994"/>
    <n v="174.98999999999995"/>
    <n v="18.389999999999997"/>
    <n v="0.04"/>
    <n v="23.18"/>
    <n v="3.9999999999988489E-2"/>
    <n v="185443.83999999997"/>
    <n v="149791.43999999997"/>
    <n v="15741.839999999998"/>
    <n v="34.24"/>
    <n v="19876.32"/>
    <n v="3.637978807091713E-11"/>
    <n v="3.5140070369215848E-2"/>
    <n v="216.6"/>
    <n v="34.239999999997963"/>
  </r>
  <r>
    <x v="9"/>
    <d v="2025-11-11T00:00:00"/>
    <s v="3271309841"/>
    <x v="59"/>
    <x v="59"/>
    <s v="NOS"/>
    <s v="ZFG1"/>
    <s v="FG0015"/>
    <n v="245"/>
    <n v="111359.85"/>
    <n v="245"/>
    <n v="245"/>
    <x v="17"/>
    <n v="101895.5"/>
    <s v="RV"/>
    <s v="Billing doc.transfer"/>
    <s v="06"/>
    <x v="0"/>
    <x v="18"/>
    <x v="8"/>
    <x v="0"/>
    <n v="-9506"/>
    <n v="-9.3291656648232746E-2"/>
    <x v="0"/>
    <x v="65"/>
    <n v="245"/>
    <n v="454.53000000000009"/>
    <n v="392.59000000000003"/>
    <n v="29.55"/>
    <n v="0.17"/>
    <n v="32.22"/>
    <n v="0.17000000000005855"/>
    <n v="111401.5"/>
    <n v="96184.55"/>
    <n v="7239.75"/>
    <n v="41.650000000000006"/>
    <n v="7935.5499999999993"/>
    <n v="0"/>
    <n v="-9.329165664823269E-2"/>
    <n v="454.53000000000003"/>
    <n v="41.649999999997817"/>
  </r>
  <r>
    <x v="1"/>
    <d v="2025-11-11T00:00:00"/>
    <s v="3271309796"/>
    <x v="3"/>
    <x v="3"/>
    <s v="NOS"/>
    <s v="ZFG1"/>
    <s v="FG0010"/>
    <n v="415"/>
    <n v="267687.45"/>
    <n v="415"/>
    <n v="415"/>
    <x v="17"/>
    <n v="302352.40000000002"/>
    <s v="RV"/>
    <s v="Billing doc.transfer"/>
    <s v="01"/>
    <x v="0"/>
    <x v="2"/>
    <x v="2"/>
    <x v="0"/>
    <n v="34486.500000000116"/>
    <n v="0.11406061271549395"/>
    <x v="0"/>
    <x v="20"/>
    <n v="415"/>
    <n v="645.02999999999963"/>
    <n v="582.23999999999967"/>
    <n v="29.88"/>
    <n v="0.43"/>
    <n v="32.480000000000004"/>
    <n v="0.42999999999996419"/>
    <n v="267865.89999999991"/>
    <n v="241629.59999999986"/>
    <n v="12400.199999999999"/>
    <n v="178.45"/>
    <n v="13657.650000000003"/>
    <n v="1.4915713109076023E-10"/>
    <n v="0.11406061271549395"/>
    <n v="645.03"/>
    <n v="178.45000000004438"/>
  </r>
  <r>
    <x v="1"/>
    <d v="2025-11-11T00:00:00"/>
    <s v="3271309822"/>
    <x v="4"/>
    <x v="4"/>
    <s v="NOS"/>
    <s v="ZFG1"/>
    <s v="FG0010"/>
    <n v="1280"/>
    <n v="539404.80000000005"/>
    <n v="1280"/>
    <n v="1280"/>
    <x v="17"/>
    <n v="618444.80000000005"/>
    <s v="RV"/>
    <s v="Billing doc.transfer"/>
    <s v="01"/>
    <x v="0"/>
    <x v="2"/>
    <x v="2"/>
    <x v="0"/>
    <n v="78707.200000000186"/>
    <n v="0.12726632999420512"/>
    <x v="0"/>
    <x v="14"/>
    <n v="1280"/>
    <n v="421.40999999999985"/>
    <n v="373.04999999999984"/>
    <n v="22"/>
    <n v="0.26"/>
    <n v="26.1"/>
    <n v="0.26000000000001222"/>
    <n v="539737.59999999986"/>
    <n v="477503.99999999977"/>
    <n v="28160"/>
    <n v="332.8"/>
    <n v="33740.800000000003"/>
    <n v="2.7648638933897018E-10"/>
    <n v="0.12726632999420506"/>
    <n v="421.41"/>
    <n v="332.80000000009022"/>
  </r>
  <r>
    <x v="1"/>
    <d v="2025-11-11T00:00:00"/>
    <s v="3271309822"/>
    <x v="60"/>
    <x v="60"/>
    <s v="NOS"/>
    <s v="ZFG1"/>
    <s v="FG0010"/>
    <n v="900"/>
    <n v="294534"/>
    <n v="900"/>
    <n v="900"/>
    <x v="17"/>
    <n v="305811"/>
    <s v="RV"/>
    <s v="Billing doc.transfer"/>
    <s v="01"/>
    <x v="0"/>
    <x v="2"/>
    <x v="2"/>
    <x v="0"/>
    <n v="11124.000000000058"/>
    <n v="3.637540834044576E-2"/>
    <x v="0"/>
    <x v="66"/>
    <n v="900"/>
    <n v="327.26"/>
    <n v="275.87999999999994"/>
    <n v="23.720000000000002"/>
    <n v="0.17"/>
    <n v="27.49"/>
    <n v="0.17000000000005144"/>
    <n v="294686.99999999994"/>
    <n v="248291.99999999994"/>
    <n v="21348.000000000004"/>
    <n v="153"/>
    <n v="24894"/>
    <n v="5.4569682106375694E-11"/>
    <n v="3.6375408340445725E-2"/>
    <n v="327.26"/>
    <n v="152.99999999999636"/>
  </r>
  <r>
    <x v="1"/>
    <d v="2025-11-11T00:00:00"/>
    <s v="3271309797"/>
    <x v="59"/>
    <x v="59"/>
    <s v="NOS"/>
    <s v="ZFG1"/>
    <s v="FG0015"/>
    <n v="2"/>
    <n v="909.06"/>
    <n v="2"/>
    <n v="2"/>
    <x v="17"/>
    <n v="831.8"/>
    <s v="RV"/>
    <s v="Billing doc.transfer"/>
    <s v="01"/>
    <x v="0"/>
    <x v="18"/>
    <x v="8"/>
    <x v="0"/>
    <n v="-77.600000000000136"/>
    <n v="-9.3291656648232912E-2"/>
    <x v="0"/>
    <x v="65"/>
    <n v="2"/>
    <n v="454.53000000000009"/>
    <n v="392.59000000000003"/>
    <n v="29.55"/>
    <n v="0.17"/>
    <n v="32.22"/>
    <n v="0.17000000000005855"/>
    <n v="909.40000000000009"/>
    <n v="785.18000000000006"/>
    <n v="59.1"/>
    <n v="0.34"/>
    <n v="64.78"/>
    <n v="-1.1368683772161603E-13"/>
    <n v="-9.3291656648232912E-2"/>
    <n v="454.53"/>
    <n v="0.34000000000003183"/>
  </r>
  <r>
    <x v="4"/>
    <d v="2025-11-11T00:00:00"/>
    <s v="3271309819"/>
    <x v="61"/>
    <x v="61"/>
    <s v="NOS"/>
    <s v="ZROH"/>
    <s v="RM0001"/>
    <n v="30000"/>
    <n v="27116.97"/>
    <n v="30000"/>
    <n v="30000"/>
    <x v="17"/>
    <n v="27300"/>
    <s v="RV"/>
    <s v="Billing doc.transfer"/>
    <s v="01"/>
    <x v="2"/>
    <x v="19"/>
    <x v="4"/>
    <x v="0"/>
    <n v="27300"/>
    <n v="1"/>
    <x v="0"/>
    <x v="67"/>
    <n v="30000"/>
    <n v="0"/>
    <n v="0"/>
    <n v="0"/>
    <n v="0"/>
    <n v="0"/>
    <n v="0"/>
    <n v="0"/>
    <n v="0"/>
    <n v="0"/>
    <n v="0"/>
    <n v="0"/>
    <n v="27116.97"/>
    <n v="1"/>
    <n v="0.90389900000000001"/>
    <n v="0"/>
  </r>
  <r>
    <x v="4"/>
    <d v="2025-11-11T00:00:00"/>
    <s v="3271309819"/>
    <x v="62"/>
    <x v="62"/>
    <s v="NOS"/>
    <s v="ZROH"/>
    <s v="RM0001"/>
    <n v="20000"/>
    <n v="7400"/>
    <n v="20000"/>
    <n v="20000"/>
    <x v="17"/>
    <n v="7400"/>
    <s v="RV"/>
    <s v="Billing doc.transfer"/>
    <s v="01"/>
    <x v="2"/>
    <x v="19"/>
    <x v="4"/>
    <x v="0"/>
    <n v="7400"/>
    <n v="1"/>
    <x v="0"/>
    <x v="68"/>
    <n v="20000"/>
    <n v="0"/>
    <n v="0"/>
    <n v="0"/>
    <n v="0"/>
    <n v="0"/>
    <n v="0"/>
    <n v="0"/>
    <n v="0"/>
    <n v="0"/>
    <n v="0"/>
    <n v="0"/>
    <n v="7400"/>
    <n v="1"/>
    <n v="0.37"/>
    <n v="0"/>
  </r>
  <r>
    <x v="4"/>
    <d v="2025-11-11T00:00:00"/>
    <s v="3271309819"/>
    <x v="63"/>
    <x v="63"/>
    <s v="NOS"/>
    <s v="ZROH"/>
    <s v="RM0001"/>
    <n v="51000"/>
    <n v="32154.959999999999"/>
    <n v="51000"/>
    <n v="51000"/>
    <x v="17"/>
    <n v="32130"/>
    <s v="RV"/>
    <s v="Billing doc.transfer"/>
    <s v="01"/>
    <x v="2"/>
    <x v="19"/>
    <x v="4"/>
    <x v="0"/>
    <n v="32130"/>
    <n v="1"/>
    <x v="0"/>
    <x v="69"/>
    <n v="51000"/>
    <n v="0"/>
    <n v="0"/>
    <n v="0"/>
    <n v="0"/>
    <n v="0"/>
    <n v="0"/>
    <n v="0"/>
    <n v="0"/>
    <n v="0"/>
    <n v="0"/>
    <n v="0"/>
    <n v="32154.959999999999"/>
    <n v="1"/>
    <n v="0.63048941176470585"/>
    <n v="0"/>
  </r>
  <r>
    <x v="4"/>
    <d v="2025-11-11T00:00:00"/>
    <s v="3271309819"/>
    <x v="64"/>
    <x v="64"/>
    <s v="NOS"/>
    <s v="ZROH"/>
    <s v="RM0001"/>
    <n v="30000"/>
    <n v="49800"/>
    <n v="30000"/>
    <n v="30000"/>
    <x v="17"/>
    <n v="49800"/>
    <s v="RV"/>
    <s v="Billing doc.transfer"/>
    <s v="01"/>
    <x v="2"/>
    <x v="19"/>
    <x v="4"/>
    <x v="0"/>
    <n v="49800"/>
    <n v="1"/>
    <x v="0"/>
    <x v="70"/>
    <n v="30000"/>
    <n v="0"/>
    <n v="0"/>
    <n v="0"/>
    <n v="0"/>
    <n v="0"/>
    <n v="0"/>
    <n v="0"/>
    <n v="0"/>
    <n v="0"/>
    <n v="0"/>
    <n v="0"/>
    <n v="49800"/>
    <n v="1"/>
    <n v="1.66"/>
    <n v="0"/>
  </r>
  <r>
    <x v="4"/>
    <d v="2025-11-11T00:00:00"/>
    <s v="3271309819"/>
    <x v="65"/>
    <x v="65"/>
    <s v="NOS"/>
    <s v="ZROH"/>
    <s v="RM0001"/>
    <n v="52000"/>
    <n v="26002.63"/>
    <n v="52000"/>
    <n v="52000"/>
    <x v="17"/>
    <n v="26000"/>
    <s v="RV"/>
    <s v="Billing doc.transfer"/>
    <s v="01"/>
    <x v="2"/>
    <x v="19"/>
    <x v="4"/>
    <x v="0"/>
    <n v="26000"/>
    <n v="1"/>
    <x v="0"/>
    <x v="48"/>
    <n v="52000"/>
    <n v="0"/>
    <n v="0"/>
    <n v="0"/>
    <n v="0"/>
    <n v="0"/>
    <n v="0"/>
    <n v="0"/>
    <n v="0"/>
    <n v="0"/>
    <n v="0"/>
    <n v="0"/>
    <n v="26002.63"/>
    <n v="1"/>
    <n v="0.50005057692307697"/>
    <n v="0"/>
  </r>
  <r>
    <x v="4"/>
    <d v="2025-11-11T00:00:00"/>
    <s v="3271309819"/>
    <x v="66"/>
    <x v="66"/>
    <s v="NOS"/>
    <s v="ZROH"/>
    <s v="RM0007"/>
    <n v="15000"/>
    <n v="839.99"/>
    <n v="15000"/>
    <n v="15000"/>
    <x v="17"/>
    <n v="900"/>
    <s v="RV"/>
    <s v="Billing doc.transfer"/>
    <s v="01"/>
    <x v="2"/>
    <x v="20"/>
    <x v="4"/>
    <x v="0"/>
    <n v="900"/>
    <n v="1"/>
    <x v="0"/>
    <x v="71"/>
    <n v="15000"/>
    <n v="0"/>
    <n v="0"/>
    <n v="0"/>
    <n v="0"/>
    <n v="0"/>
    <n v="0"/>
    <n v="0"/>
    <n v="0"/>
    <n v="0"/>
    <n v="0"/>
    <n v="0"/>
    <n v="839.99"/>
    <n v="1"/>
    <n v="5.5999333333333332E-2"/>
    <n v="0"/>
  </r>
  <r>
    <x v="4"/>
    <d v="2025-11-11T00:00:00"/>
    <s v="3271309819"/>
    <x v="67"/>
    <x v="67"/>
    <s v="NOS"/>
    <s v="ZROH"/>
    <s v="RM0005"/>
    <n v="5200"/>
    <n v="503688.07"/>
    <n v="5200"/>
    <n v="5200"/>
    <x v="17"/>
    <n v="509184"/>
    <s v="RV"/>
    <s v="Billing doc.transfer"/>
    <s v="01"/>
    <x v="2"/>
    <x v="4"/>
    <x v="4"/>
    <x v="0"/>
    <n v="509184"/>
    <n v="1"/>
    <x v="0"/>
    <x v="72"/>
    <n v="5200"/>
    <n v="0"/>
    <n v="0"/>
    <n v="0"/>
    <n v="0"/>
    <n v="0"/>
    <n v="0"/>
    <n v="0"/>
    <n v="0"/>
    <n v="0"/>
    <n v="0"/>
    <n v="0"/>
    <n v="503688.07"/>
    <n v="1"/>
    <n v="96.86309038461539"/>
    <n v="0"/>
  </r>
  <r>
    <x v="4"/>
    <d v="2025-11-11T00:00:00"/>
    <s v="3271309819"/>
    <x v="68"/>
    <x v="68"/>
    <s v="NOS"/>
    <s v="ZROH"/>
    <s v="L002"/>
    <n v="100000"/>
    <n v="54552.82"/>
    <n v="100000"/>
    <n v="100000"/>
    <x v="17"/>
    <n v="48000"/>
    <s v="RV"/>
    <s v="Billing doc.transfer"/>
    <s v="01"/>
    <x v="2"/>
    <x v="6"/>
    <x v="4"/>
    <x v="0"/>
    <n v="48000"/>
    <n v="1"/>
    <x v="0"/>
    <x v="73"/>
    <n v="100000"/>
    <n v="0"/>
    <n v="0"/>
    <n v="0"/>
    <n v="0"/>
    <n v="0"/>
    <n v="0"/>
    <n v="0"/>
    <n v="0"/>
    <n v="0"/>
    <n v="0"/>
    <n v="0"/>
    <n v="54552.82"/>
    <n v="1"/>
    <n v="0.54552820000000002"/>
    <n v="0"/>
  </r>
  <r>
    <x v="4"/>
    <d v="2025-11-11T00:00:00"/>
    <s v="3271309819"/>
    <x v="69"/>
    <x v="69"/>
    <s v="NOS"/>
    <s v="ZROH"/>
    <s v="RM0007"/>
    <n v="150000"/>
    <n v="9000"/>
    <n v="150000"/>
    <n v="150000"/>
    <x v="17"/>
    <n v="9000"/>
    <s v="RV"/>
    <s v="Billing doc.transfer"/>
    <s v="01"/>
    <x v="2"/>
    <x v="20"/>
    <x v="4"/>
    <x v="0"/>
    <n v="9000"/>
    <n v="1"/>
    <x v="0"/>
    <x v="71"/>
    <n v="150000"/>
    <n v="0"/>
    <n v="0"/>
    <n v="0"/>
    <n v="0"/>
    <n v="0"/>
    <n v="0"/>
    <n v="0"/>
    <n v="0"/>
    <n v="0"/>
    <n v="0"/>
    <n v="0"/>
    <n v="9000"/>
    <n v="1"/>
    <n v="0.06"/>
    <n v="0"/>
  </r>
  <r>
    <x v="4"/>
    <d v="2025-11-11T00:00:00"/>
    <s v="3271309819"/>
    <x v="70"/>
    <x v="70"/>
    <s v="NOS"/>
    <s v="ZROH"/>
    <s v="RM0007"/>
    <n v="40000"/>
    <n v="2239.9899999999998"/>
    <n v="40000"/>
    <n v="40000"/>
    <x v="17"/>
    <n v="2400"/>
    <s v="RV"/>
    <s v="Billing doc.transfer"/>
    <s v="01"/>
    <x v="2"/>
    <x v="20"/>
    <x v="4"/>
    <x v="0"/>
    <n v="2400"/>
    <n v="1"/>
    <x v="0"/>
    <x v="71"/>
    <n v="40000"/>
    <n v="0"/>
    <n v="0"/>
    <n v="0"/>
    <n v="0"/>
    <n v="0"/>
    <n v="0"/>
    <n v="0"/>
    <n v="0"/>
    <n v="0"/>
    <n v="0"/>
    <n v="0"/>
    <n v="2239.9899999999998"/>
    <n v="1"/>
    <n v="5.5999749999999994E-2"/>
    <n v="0"/>
  </r>
  <r>
    <x v="4"/>
    <d v="2025-11-11T00:00:00"/>
    <s v="3271309819"/>
    <x v="71"/>
    <x v="71"/>
    <s v="NOS"/>
    <s v="ZROH"/>
    <s v="RM0007"/>
    <n v="10000"/>
    <n v="560"/>
    <n v="10000"/>
    <n v="10000"/>
    <x v="17"/>
    <n v="600"/>
    <s v="RV"/>
    <s v="Billing doc.transfer"/>
    <s v="01"/>
    <x v="2"/>
    <x v="20"/>
    <x v="4"/>
    <x v="0"/>
    <n v="600"/>
    <n v="1"/>
    <x v="0"/>
    <x v="71"/>
    <n v="10000"/>
    <n v="0"/>
    <n v="0"/>
    <n v="0"/>
    <n v="0"/>
    <n v="0"/>
    <n v="0"/>
    <n v="0"/>
    <n v="0"/>
    <n v="0"/>
    <n v="0"/>
    <n v="0"/>
    <n v="560"/>
    <n v="1"/>
    <n v="5.6000000000000001E-2"/>
    <n v="0"/>
  </r>
  <r>
    <x v="4"/>
    <d v="2025-11-11T00:00:00"/>
    <s v="3271309819"/>
    <x v="72"/>
    <x v="72"/>
    <s v="NOS"/>
    <s v="ZROH"/>
    <s v="RM0007"/>
    <n v="20000"/>
    <n v="1120"/>
    <n v="20000"/>
    <n v="20000"/>
    <x v="17"/>
    <n v="1200"/>
    <s v="RV"/>
    <s v="Billing doc.transfer"/>
    <s v="01"/>
    <x v="2"/>
    <x v="20"/>
    <x v="4"/>
    <x v="0"/>
    <n v="1200"/>
    <n v="1"/>
    <x v="0"/>
    <x v="71"/>
    <n v="20000"/>
    <n v="0"/>
    <n v="0"/>
    <n v="0"/>
    <n v="0"/>
    <n v="0"/>
    <n v="0"/>
    <n v="0"/>
    <n v="0"/>
    <n v="0"/>
    <n v="0"/>
    <n v="0"/>
    <n v="1120"/>
    <n v="1"/>
    <n v="5.6000000000000001E-2"/>
    <n v="0"/>
  </r>
  <r>
    <x v="4"/>
    <d v="2025-11-11T00:00:00"/>
    <s v="3271309819"/>
    <x v="73"/>
    <x v="73"/>
    <s v="NOS"/>
    <s v="ZROH"/>
    <s v="L002"/>
    <n v="15000"/>
    <n v="105000"/>
    <n v="15000"/>
    <n v="15000"/>
    <x v="17"/>
    <n v="105000"/>
    <s v="RV"/>
    <s v="Billing doc.transfer"/>
    <s v="01"/>
    <x v="2"/>
    <x v="6"/>
    <x v="4"/>
    <x v="0"/>
    <n v="105000"/>
    <n v="1"/>
    <x v="0"/>
    <x v="74"/>
    <n v="15000"/>
    <n v="0"/>
    <n v="0"/>
    <n v="0"/>
    <n v="0"/>
    <n v="0"/>
    <n v="0"/>
    <n v="0"/>
    <n v="0"/>
    <n v="0"/>
    <n v="0"/>
    <n v="0"/>
    <n v="105000"/>
    <n v="1"/>
    <n v="7"/>
    <n v="0"/>
  </r>
  <r>
    <x v="4"/>
    <d v="2025-11-11T00:00:00"/>
    <s v="3271309819"/>
    <x v="74"/>
    <x v="74"/>
    <s v="NOS"/>
    <s v="ZROH"/>
    <s v="RM0007"/>
    <n v="10000"/>
    <n v="560.35"/>
    <n v="10000"/>
    <n v="10000"/>
    <x v="17"/>
    <n v="600"/>
    <s v="RV"/>
    <s v="Billing doc.transfer"/>
    <s v="01"/>
    <x v="2"/>
    <x v="20"/>
    <x v="4"/>
    <x v="0"/>
    <n v="600"/>
    <n v="1"/>
    <x v="0"/>
    <x v="71"/>
    <n v="10000"/>
    <n v="0"/>
    <n v="0"/>
    <n v="0"/>
    <n v="0"/>
    <n v="0"/>
    <n v="0"/>
    <n v="0"/>
    <n v="0"/>
    <n v="0"/>
    <n v="0"/>
    <n v="0"/>
    <n v="560.35"/>
    <n v="1"/>
    <n v="5.6035000000000001E-2"/>
    <n v="0"/>
  </r>
  <r>
    <x v="4"/>
    <d v="2025-11-11T00:00:00"/>
    <s v="3271309819"/>
    <x v="75"/>
    <x v="75"/>
    <s v="NOS"/>
    <s v="ZROH"/>
    <s v="RM0007"/>
    <n v="20000"/>
    <n v="39000"/>
    <n v="20000"/>
    <n v="20000"/>
    <x v="17"/>
    <n v="39000"/>
    <s v="RV"/>
    <s v="Billing doc.transfer"/>
    <s v="01"/>
    <x v="2"/>
    <x v="20"/>
    <x v="4"/>
    <x v="0"/>
    <n v="39000"/>
    <n v="1"/>
    <x v="0"/>
    <x v="75"/>
    <n v="20000"/>
    <n v="0"/>
    <n v="0"/>
    <n v="0"/>
    <n v="0"/>
    <n v="0"/>
    <n v="0"/>
    <n v="0"/>
    <n v="0"/>
    <n v="0"/>
    <n v="0"/>
    <n v="0"/>
    <n v="39000"/>
    <n v="1"/>
    <n v="1.95"/>
    <n v="0"/>
  </r>
  <r>
    <x v="4"/>
    <d v="2025-11-11T00:00:00"/>
    <s v="3271309819"/>
    <x v="76"/>
    <x v="76"/>
    <s v="NOS"/>
    <s v="ZROH"/>
    <s v="RM0007"/>
    <n v="10000"/>
    <n v="560"/>
    <n v="10000"/>
    <n v="10000"/>
    <x v="17"/>
    <n v="600"/>
    <s v="RV"/>
    <s v="Billing doc.transfer"/>
    <s v="01"/>
    <x v="2"/>
    <x v="20"/>
    <x v="4"/>
    <x v="0"/>
    <n v="600"/>
    <n v="1"/>
    <x v="0"/>
    <x v="71"/>
    <n v="10000"/>
    <n v="0"/>
    <n v="0"/>
    <n v="0"/>
    <n v="0"/>
    <n v="0"/>
    <n v="0"/>
    <n v="0"/>
    <n v="0"/>
    <n v="0"/>
    <n v="0"/>
    <n v="0"/>
    <n v="560"/>
    <n v="1"/>
    <n v="5.6000000000000001E-2"/>
    <n v="0"/>
  </r>
  <r>
    <x v="4"/>
    <d v="2025-11-11T00:00:00"/>
    <s v="3271309819"/>
    <x v="77"/>
    <x v="77"/>
    <s v="NOS"/>
    <s v="ZROH"/>
    <s v="RM0007"/>
    <n v="15000"/>
    <n v="840"/>
    <n v="15000"/>
    <n v="15000"/>
    <x v="17"/>
    <n v="900"/>
    <s v="RV"/>
    <s v="Billing doc.transfer"/>
    <s v="01"/>
    <x v="2"/>
    <x v="20"/>
    <x v="4"/>
    <x v="0"/>
    <n v="900"/>
    <n v="1"/>
    <x v="0"/>
    <x v="71"/>
    <n v="15000"/>
    <n v="0"/>
    <n v="0"/>
    <n v="0"/>
    <n v="0"/>
    <n v="0"/>
    <n v="0"/>
    <n v="0"/>
    <n v="0"/>
    <n v="0"/>
    <n v="0"/>
    <n v="0"/>
    <n v="840"/>
    <n v="1"/>
    <n v="5.6000000000000001E-2"/>
    <n v="0"/>
  </r>
  <r>
    <x v="4"/>
    <d v="2025-11-11T00:00:00"/>
    <s v="3271309819"/>
    <x v="78"/>
    <x v="78"/>
    <s v="NOS"/>
    <s v="ZROH"/>
    <s v="RM0007"/>
    <n v="10000"/>
    <n v="720"/>
    <n v="10000"/>
    <n v="10000"/>
    <x v="17"/>
    <n v="700"/>
    <s v="RV"/>
    <s v="Billing doc.transfer"/>
    <s v="01"/>
    <x v="2"/>
    <x v="20"/>
    <x v="4"/>
    <x v="0"/>
    <n v="700"/>
    <n v="1"/>
    <x v="0"/>
    <x v="76"/>
    <n v="10000"/>
    <n v="0"/>
    <n v="0"/>
    <n v="0"/>
    <n v="0"/>
    <n v="0"/>
    <n v="0"/>
    <n v="0"/>
    <n v="0"/>
    <n v="0"/>
    <n v="0"/>
    <n v="0"/>
    <n v="720"/>
    <n v="1"/>
    <n v="7.1999999999999995E-2"/>
    <n v="0"/>
  </r>
  <r>
    <x v="4"/>
    <d v="2025-11-11T00:00:00"/>
    <s v="3271309819"/>
    <x v="79"/>
    <x v="79"/>
    <s v="NOS"/>
    <s v="ZROH"/>
    <s v="RM0007"/>
    <n v="20000"/>
    <n v="1780"/>
    <n v="20000"/>
    <n v="20000"/>
    <x v="17"/>
    <n v="1800"/>
    <s v="RV"/>
    <s v="Billing doc.transfer"/>
    <s v="01"/>
    <x v="2"/>
    <x v="20"/>
    <x v="4"/>
    <x v="0"/>
    <n v="1800"/>
    <n v="1"/>
    <x v="0"/>
    <x v="77"/>
    <n v="20000"/>
    <n v="0"/>
    <n v="0"/>
    <n v="0"/>
    <n v="0"/>
    <n v="0"/>
    <n v="0"/>
    <n v="0"/>
    <n v="0"/>
    <n v="0"/>
    <n v="0"/>
    <n v="0"/>
    <n v="1780"/>
    <n v="1"/>
    <n v="8.8999999999999996E-2"/>
    <n v="0"/>
  </r>
  <r>
    <x v="4"/>
    <d v="2025-11-11T00:00:00"/>
    <s v="3271309819"/>
    <x v="80"/>
    <x v="80"/>
    <s v="NOS"/>
    <s v="ZROH"/>
    <s v="RM0001"/>
    <n v="13500"/>
    <n v="137409.1"/>
    <n v="13500"/>
    <n v="13500"/>
    <x v="17"/>
    <n v="140400"/>
    <s v="RV"/>
    <s v="Billing doc.transfer"/>
    <s v="01"/>
    <x v="2"/>
    <x v="19"/>
    <x v="4"/>
    <x v="0"/>
    <n v="140400"/>
    <n v="1"/>
    <x v="0"/>
    <x v="78"/>
    <n v="13500"/>
    <n v="0"/>
    <n v="0"/>
    <n v="0"/>
    <n v="0"/>
    <n v="0"/>
    <n v="0"/>
    <n v="0"/>
    <n v="0"/>
    <n v="0"/>
    <n v="0"/>
    <n v="0"/>
    <n v="137409.1"/>
    <n v="1"/>
    <n v="10.178451851851852"/>
    <n v="0"/>
  </r>
  <r>
    <x v="4"/>
    <d v="2025-11-11T00:00:00"/>
    <s v="3271309819"/>
    <x v="81"/>
    <x v="81"/>
    <s v="NOS"/>
    <s v="ZROH"/>
    <s v="RM0009"/>
    <n v="20000"/>
    <n v="100000"/>
    <n v="20000"/>
    <n v="20000"/>
    <x v="17"/>
    <n v="100000"/>
    <s v="RV"/>
    <s v="Billing doc.transfer"/>
    <s v="01"/>
    <x v="2"/>
    <x v="17"/>
    <x v="4"/>
    <x v="0"/>
    <n v="100000"/>
    <n v="1"/>
    <x v="0"/>
    <x v="79"/>
    <n v="20000"/>
    <n v="0"/>
    <n v="0"/>
    <n v="0"/>
    <n v="0"/>
    <n v="0"/>
    <n v="0"/>
    <n v="0"/>
    <n v="0"/>
    <n v="0"/>
    <n v="0"/>
    <n v="0"/>
    <n v="100000"/>
    <n v="1"/>
    <n v="5"/>
    <n v="0"/>
  </r>
  <r>
    <x v="4"/>
    <d v="2025-11-11T00:00:00"/>
    <s v="3271309819"/>
    <x v="82"/>
    <x v="82"/>
    <s v="NOS"/>
    <s v="ZROH"/>
    <s v="RM0009"/>
    <n v="45000"/>
    <n v="21796.880000000001"/>
    <n v="45000"/>
    <n v="45000"/>
    <x v="17"/>
    <n v="19350"/>
    <s v="RV"/>
    <s v="Billing doc.transfer"/>
    <s v="01"/>
    <x v="2"/>
    <x v="17"/>
    <x v="4"/>
    <x v="0"/>
    <n v="19350"/>
    <n v="1"/>
    <x v="0"/>
    <x v="53"/>
    <n v="45000"/>
    <n v="0"/>
    <n v="0"/>
    <n v="0"/>
    <n v="0"/>
    <n v="0"/>
    <n v="0"/>
    <n v="0"/>
    <n v="0"/>
    <n v="0"/>
    <n v="0"/>
    <n v="0"/>
    <n v="21796.880000000001"/>
    <n v="1"/>
    <n v="0.48437511111111115"/>
    <n v="0"/>
  </r>
  <r>
    <x v="4"/>
    <d v="2025-11-11T00:00:00"/>
    <s v="3271309819"/>
    <x v="83"/>
    <x v="83"/>
    <s v="NOS"/>
    <s v="ZROH"/>
    <s v="RM0009"/>
    <n v="20000"/>
    <n v="154216.14000000001"/>
    <n v="20000"/>
    <n v="20000"/>
    <x v="17"/>
    <n v="156800"/>
    <s v="RV"/>
    <s v="Billing doc.transfer"/>
    <s v="01"/>
    <x v="2"/>
    <x v="17"/>
    <x v="4"/>
    <x v="0"/>
    <n v="156800"/>
    <n v="1"/>
    <x v="0"/>
    <x v="80"/>
    <n v="20000"/>
    <n v="0"/>
    <n v="0"/>
    <n v="0"/>
    <n v="0"/>
    <n v="0"/>
    <n v="0"/>
    <n v="0"/>
    <n v="0"/>
    <n v="0"/>
    <n v="0"/>
    <n v="0"/>
    <n v="154216.14000000001"/>
    <n v="1"/>
    <n v="7.7108070000000009"/>
    <n v="0"/>
  </r>
  <r>
    <x v="4"/>
    <d v="2025-11-11T00:00:00"/>
    <s v="3271309819"/>
    <x v="84"/>
    <x v="84"/>
    <s v="NOS"/>
    <s v="ZROH"/>
    <s v="RM0007"/>
    <n v="200000"/>
    <n v="4000"/>
    <n v="200000"/>
    <n v="200000"/>
    <x v="17"/>
    <n v="4000"/>
    <s v="RV"/>
    <s v="Billing doc.transfer"/>
    <s v="01"/>
    <x v="2"/>
    <x v="20"/>
    <x v="4"/>
    <x v="0"/>
    <n v="4000"/>
    <n v="1"/>
    <x v="0"/>
    <x v="81"/>
    <n v="200000"/>
    <n v="0"/>
    <n v="0"/>
    <n v="0"/>
    <n v="0"/>
    <n v="0"/>
    <n v="0"/>
    <n v="0"/>
    <n v="0"/>
    <n v="0"/>
    <n v="0"/>
    <n v="0"/>
    <n v="4000"/>
    <n v="1"/>
    <n v="0.02"/>
    <n v="0"/>
  </r>
  <r>
    <x v="4"/>
    <d v="2025-11-11T00:00:00"/>
    <s v="3271309830"/>
    <x v="39"/>
    <x v="39"/>
    <s v="NOS"/>
    <s v="ZROH"/>
    <s v="RM0004"/>
    <n v="45000"/>
    <n v="29654.06"/>
    <n v="45000"/>
    <n v="45000"/>
    <x v="17"/>
    <n v="29700"/>
    <s v="RV"/>
    <s v="Billing doc.transfer"/>
    <s v="01"/>
    <x v="2"/>
    <x v="13"/>
    <x v="4"/>
    <x v="0"/>
    <n v="29700"/>
    <n v="1"/>
    <x v="0"/>
    <x v="47"/>
    <n v="45000"/>
    <n v="0"/>
    <n v="0"/>
    <n v="0"/>
    <n v="0"/>
    <n v="0"/>
    <n v="0"/>
    <n v="0"/>
    <n v="0"/>
    <n v="0"/>
    <n v="0"/>
    <n v="0"/>
    <n v="29654.06"/>
    <n v="1"/>
    <n v="0.65897911111111118"/>
    <n v="0"/>
  </r>
  <r>
    <x v="4"/>
    <d v="2025-11-11T00:00:00"/>
    <s v="3271309830"/>
    <x v="85"/>
    <x v="85"/>
    <s v="NOS"/>
    <s v="ZROH"/>
    <s v="RM0008"/>
    <n v="219000"/>
    <n v="113932.94"/>
    <n v="219000"/>
    <n v="219000"/>
    <x v="17"/>
    <n v="109500"/>
    <s v="RV"/>
    <s v="Billing doc.transfer"/>
    <s v="01"/>
    <x v="2"/>
    <x v="16"/>
    <x v="4"/>
    <x v="0"/>
    <n v="109500"/>
    <n v="1"/>
    <x v="0"/>
    <x v="48"/>
    <n v="219000"/>
    <n v="0"/>
    <n v="0"/>
    <n v="0"/>
    <n v="0"/>
    <n v="0"/>
    <n v="0"/>
    <n v="0"/>
    <n v="0"/>
    <n v="0"/>
    <n v="0"/>
    <n v="0"/>
    <n v="113932.94"/>
    <n v="1"/>
    <n v="0.52024173515981731"/>
    <n v="0"/>
  </r>
  <r>
    <x v="4"/>
    <d v="2025-11-11T00:00:00"/>
    <s v="3271309830"/>
    <x v="42"/>
    <x v="42"/>
    <s v="NOS"/>
    <s v="ZROH"/>
    <s v="RM0008"/>
    <n v="54000"/>
    <n v="24923.5"/>
    <n v="54000"/>
    <n v="54000"/>
    <x v="17"/>
    <n v="24840"/>
    <s v="RV"/>
    <s v="Billing doc.transfer"/>
    <s v="01"/>
    <x v="2"/>
    <x v="16"/>
    <x v="4"/>
    <x v="0"/>
    <n v="24840"/>
    <n v="1"/>
    <x v="0"/>
    <x v="46"/>
    <n v="54000"/>
    <n v="0"/>
    <n v="0"/>
    <n v="0"/>
    <n v="0"/>
    <n v="0"/>
    <n v="0"/>
    <n v="0"/>
    <n v="0"/>
    <n v="0"/>
    <n v="0"/>
    <n v="0"/>
    <n v="24923.5"/>
    <n v="1"/>
    <n v="0.46154629629629629"/>
    <n v="0"/>
  </r>
  <r>
    <x v="4"/>
    <d v="2025-11-11T00:00:00"/>
    <s v="3271309830"/>
    <x v="57"/>
    <x v="57"/>
    <s v="NOS"/>
    <s v="ZROH"/>
    <s v="RM0009"/>
    <n v="9000"/>
    <n v="26963.08"/>
    <n v="9000"/>
    <n v="9000"/>
    <x v="17"/>
    <n v="27360"/>
    <s v="RV"/>
    <s v="Billing doc.transfer"/>
    <s v="01"/>
    <x v="2"/>
    <x v="17"/>
    <x v="4"/>
    <x v="0"/>
    <n v="27360"/>
    <n v="1"/>
    <x v="0"/>
    <x v="61"/>
    <n v="9000"/>
    <n v="0"/>
    <n v="0"/>
    <n v="0"/>
    <n v="0"/>
    <n v="0"/>
    <n v="0"/>
    <n v="0"/>
    <n v="0"/>
    <n v="0"/>
    <n v="0"/>
    <n v="0"/>
    <n v="26963.08"/>
    <n v="1"/>
    <n v="2.995897777777778"/>
    <n v="0"/>
  </r>
  <r>
    <x v="4"/>
    <d v="2025-11-11T00:00:00"/>
    <s v="3271309830"/>
    <x v="86"/>
    <x v="86"/>
    <s v="NOS"/>
    <s v="ZROH"/>
    <s v="RM0004"/>
    <n v="21000"/>
    <n v="14046.36"/>
    <n v="21000"/>
    <n v="21000"/>
    <x v="17"/>
    <n v="13860"/>
    <s v="RV"/>
    <s v="Billing doc.transfer"/>
    <s v="01"/>
    <x v="2"/>
    <x v="13"/>
    <x v="4"/>
    <x v="0"/>
    <n v="13860"/>
    <n v="1"/>
    <x v="0"/>
    <x v="47"/>
    <n v="21000"/>
    <n v="0"/>
    <n v="0"/>
    <n v="0"/>
    <n v="0"/>
    <n v="0"/>
    <n v="0"/>
    <n v="0"/>
    <n v="0"/>
    <n v="0"/>
    <n v="0"/>
    <n v="0"/>
    <n v="14046.36"/>
    <n v="1"/>
    <n v="0.66887428571428575"/>
    <n v="0"/>
  </r>
  <r>
    <x v="3"/>
    <d v="2025-11-11T00:00:00"/>
    <s v="3271309854"/>
    <x v="87"/>
    <x v="87"/>
    <s v="NOS"/>
    <s v="ZCTL"/>
    <s v="F00016"/>
    <n v="1"/>
    <n v="1"/>
    <n v="1"/>
    <n v="1"/>
    <x v="17"/>
    <n v="5000000"/>
    <s v="RV"/>
    <s v="Billing doc.transfer"/>
    <s v="01"/>
    <x v="3"/>
    <x v="21"/>
    <x v="9"/>
    <x v="0"/>
    <n v="5000000"/>
    <n v="1"/>
    <x v="0"/>
    <x v="82"/>
    <e v="#N/A"/>
    <n v="0"/>
    <n v="0"/>
    <n v="0"/>
    <n v="0"/>
    <n v="0"/>
    <n v="0"/>
    <n v="0"/>
    <n v="0"/>
    <n v="0"/>
    <n v="0"/>
    <n v="0"/>
    <n v="1"/>
    <n v="1"/>
    <n v="1"/>
    <n v="0"/>
  </r>
  <r>
    <x v="3"/>
    <d v="2025-11-10T00:00:00"/>
    <s v="3271309458"/>
    <x v="1"/>
    <x v="1"/>
    <s v="NOS"/>
    <s v="ZFG1"/>
    <s v="FG0011"/>
    <n v="4000"/>
    <n v="1845480"/>
    <n v="4000"/>
    <n v="4000"/>
    <x v="18"/>
    <n v="2637240"/>
    <s v="RV"/>
    <s v="Billing doc.transfer"/>
    <s v="01"/>
    <x v="0"/>
    <x v="0"/>
    <x v="0"/>
    <x v="0"/>
    <n v="790799.99999999977"/>
    <n v="0.29985894344086989"/>
    <x v="0"/>
    <x v="22"/>
    <n v="4000"/>
    <n v="461.37"/>
    <n v="401.59000000000003"/>
    <n v="28.32"/>
    <n v="0.24"/>
    <n v="31.22"/>
    <n v="0.23999999999997357"/>
    <n v="1846440.0000000002"/>
    <n v="1606360.0000000002"/>
    <n v="113280"/>
    <n v="960"/>
    <n v="125840"/>
    <n v="-2.3283064365386963E-10"/>
    <n v="0.29985894344086994"/>
    <n v="461.37"/>
    <n v="960"/>
  </r>
  <r>
    <x v="1"/>
    <d v="2025-11-10T00:00:00"/>
    <s v="3271309212"/>
    <x v="2"/>
    <x v="2"/>
    <s v="NOS"/>
    <s v="ZSFG"/>
    <s v="SF0045"/>
    <n v="2128"/>
    <n v="314241.76"/>
    <n v="2128"/>
    <n v="2128"/>
    <x v="18"/>
    <n v="346736.32"/>
    <s v="RV"/>
    <s v="Billing doc.transfer"/>
    <s v="01"/>
    <x v="1"/>
    <x v="1"/>
    <x v="1"/>
    <x v="0"/>
    <n v="32494.560000000114"/>
    <n v="9.3715478090094839E-2"/>
    <x v="0"/>
    <x v="2"/>
    <n v="2128"/>
    <n v="147.66999999999996"/>
    <n v="144.21999999999997"/>
    <n v="1.5"/>
    <n v="0"/>
    <n v="1.95"/>
    <n v="-1.1324274851176597E-14"/>
    <n v="314241.75999999989"/>
    <n v="306900.15999999992"/>
    <n v="3192"/>
    <n v="0"/>
    <n v="4149.5999999999995"/>
    <n v="9.3677954282611609E-11"/>
    <n v="9.3715478090094839E-2"/>
    <n v="147.67000000000002"/>
    <n v="-2.2737367544323206E-11"/>
  </r>
  <r>
    <x v="1"/>
    <d v="2025-11-10T00:00:00"/>
    <s v="3271309209"/>
    <x v="2"/>
    <x v="2"/>
    <s v="NOS"/>
    <s v="ZSFG"/>
    <s v="SF0045"/>
    <n v="1008"/>
    <n v="148851.35999999999"/>
    <n v="1008"/>
    <n v="1008"/>
    <x v="18"/>
    <n v="164243.51999999999"/>
    <s v="RV"/>
    <s v="Billing doc.transfer"/>
    <s v="01"/>
    <x v="1"/>
    <x v="1"/>
    <x v="1"/>
    <x v="0"/>
    <n v="15392.160000000003"/>
    <n v="9.3715478090094534E-2"/>
    <x v="0"/>
    <x v="2"/>
    <n v="1008"/>
    <n v="147.66999999999996"/>
    <n v="144.21999999999997"/>
    <n v="1.5"/>
    <n v="0"/>
    <n v="1.95"/>
    <n v="-1.1324274851176597E-14"/>
    <n v="148851.35999999999"/>
    <n v="145373.75999999998"/>
    <n v="1512"/>
    <n v="0"/>
    <n v="1965.6"/>
    <n v="5.9117155615240335E-12"/>
    <n v="9.3715478090094506E-2"/>
    <n v="147.66999999999999"/>
    <n v="5.9117155615240335E-12"/>
  </r>
  <r>
    <x v="1"/>
    <d v="2025-11-10T00:00:00"/>
    <s v="3271309793"/>
    <x v="35"/>
    <x v="35"/>
    <s v="NOS"/>
    <s v="ZSFG"/>
    <s v="SF0045"/>
    <n v="520"/>
    <n v="65067.6"/>
    <n v="520"/>
    <n v="520"/>
    <x v="18"/>
    <n v="68842.8"/>
    <s v="RV"/>
    <s v="Billing doc.transfer"/>
    <s v="01"/>
    <x v="1"/>
    <x v="1"/>
    <x v="1"/>
    <x v="0"/>
    <n v="3775.2000000000044"/>
    <n v="5.4837978699297595E-2"/>
    <x v="0"/>
    <x v="38"/>
    <n v="520"/>
    <n v="125.13"/>
    <n v="121.67999999999999"/>
    <n v="1.5"/>
    <n v="0"/>
    <n v="1.95"/>
    <n v="2.886579864025407E-15"/>
    <n v="65067.6"/>
    <n v="63273.599999999999"/>
    <n v="780"/>
    <n v="0"/>
    <n v="1014"/>
    <n v="0"/>
    <n v="5.4837978699297629E-2"/>
    <n v="125.13"/>
    <n v="0"/>
  </r>
  <r>
    <x v="1"/>
    <d v="2025-11-10T00:00:00"/>
    <s v="3271309454"/>
    <x v="8"/>
    <x v="8"/>
    <s v="NOS"/>
    <s v="ZFG1"/>
    <s v="FG0010"/>
    <n v="866"/>
    <n v="281623.2"/>
    <n v="866"/>
    <n v="866"/>
    <x v="18"/>
    <n v="314842.96000000002"/>
    <s v="RV"/>
    <s v="Billing doc.transfer"/>
    <s v="01"/>
    <x v="0"/>
    <x v="2"/>
    <x v="2"/>
    <x v="0"/>
    <n v="32994.600000000093"/>
    <n v="0.10479700737154832"/>
    <x v="0"/>
    <x v="23"/>
    <n v="866"/>
    <n v="325.19999999999993"/>
    <n v="271.52999999999997"/>
    <n v="23.84"/>
    <n v="0.26"/>
    <n v="29.569999999999997"/>
    <n v="0.25999999999996248"/>
    <n v="281848.35999999993"/>
    <n v="235144.97999999998"/>
    <n v="20645.439999999999"/>
    <n v="225.16"/>
    <n v="25832.78"/>
    <n v="3.2741809263825417E-11"/>
    <n v="0.10479700737154829"/>
    <n v="325.2"/>
    <n v="225.15999999994892"/>
  </r>
  <r>
    <x v="1"/>
    <d v="2025-11-10T00:00:00"/>
    <s v="3271309335"/>
    <x v="9"/>
    <x v="9"/>
    <s v="NOS"/>
    <s v="ZFG1"/>
    <s v="FG0010"/>
    <n v="795"/>
    <n v="172197"/>
    <n v="795"/>
    <n v="795"/>
    <x v="18"/>
    <n v="178501.35"/>
    <s v="RV"/>
    <s v="Billing doc.transfer"/>
    <s v="01"/>
    <x v="0"/>
    <x v="2"/>
    <x v="2"/>
    <x v="0"/>
    <n v="6272.5500000000757"/>
    <n v="3.5140070369216118E-2"/>
    <x v="0"/>
    <x v="64"/>
    <n v="795"/>
    <n v="216.59999999999994"/>
    <n v="174.98999999999995"/>
    <n v="18.389999999999997"/>
    <n v="0.04"/>
    <n v="23.18"/>
    <n v="3.9999999999988489E-2"/>
    <n v="172228.79999999993"/>
    <n v="139117.04999999996"/>
    <n v="14620.049999999997"/>
    <n v="31.8"/>
    <n v="18459.899999999998"/>
    <n v="4.7293724492192268E-11"/>
    <n v="3.514007036921607E-2"/>
    <n v="216.6"/>
    <n v="31.799999999977445"/>
  </r>
  <r>
    <x v="1"/>
    <d v="2025-11-10T00:00:00"/>
    <s v="3271309333"/>
    <x v="3"/>
    <x v="3"/>
    <s v="NOS"/>
    <s v="ZFG1"/>
    <s v="FG0010"/>
    <n v="404"/>
    <n v="260592.12"/>
    <n v="404"/>
    <n v="404"/>
    <x v="18"/>
    <n v="294338.24"/>
    <s v="RV"/>
    <s v="Billing doc.transfer"/>
    <s v="01"/>
    <x v="0"/>
    <x v="2"/>
    <x v="2"/>
    <x v="0"/>
    <n v="33572.400000000111"/>
    <n v="0.11406061271549396"/>
    <x v="0"/>
    <x v="3"/>
    <n v="404"/>
    <n v="645.02999999999963"/>
    <n v="582.23999999999967"/>
    <n v="29.88"/>
    <n v="0.43"/>
    <n v="32.480000000000004"/>
    <n v="0.42999999999996419"/>
    <n v="260765.83999999988"/>
    <n v="235224.95999999988"/>
    <n v="12071.52"/>
    <n v="173.72"/>
    <n v="13295.640000000001"/>
    <n v="1.1823431123048067E-10"/>
    <n v="0.11406061271549395"/>
    <n v="645.03"/>
    <n v="173.72000000000298"/>
  </r>
  <r>
    <x v="1"/>
    <d v="2025-11-10T00:00:00"/>
    <s v="3271309333"/>
    <x v="11"/>
    <x v="11"/>
    <s v="NOS"/>
    <s v="ZFG1"/>
    <s v="FG0010"/>
    <n v="1260"/>
    <n v="412183.8"/>
    <n v="1260"/>
    <n v="1260"/>
    <x v="18"/>
    <n v="429748.2"/>
    <s v="RV"/>
    <s v="Billing doc.transfer"/>
    <s v="01"/>
    <x v="0"/>
    <x v="2"/>
    <x v="2"/>
    <x v="0"/>
    <n v="17350.199999999895"/>
    <n v="4.0372943970445704E-2"/>
    <x v="0"/>
    <x v="5"/>
    <n v="1260"/>
    <n v="327.13000000000005"/>
    <n v="278.14000000000004"/>
    <n v="22.400000000000002"/>
    <n v="0.17"/>
    <n v="26.42"/>
    <n v="0.17000000000000526"/>
    <n v="412398.00000000012"/>
    <n v="350456.40000000008"/>
    <n v="28224.000000000004"/>
    <n v="214.20000000000002"/>
    <n v="33503.4"/>
    <n v="-9.4587448984384537E-11"/>
    <n v="4.0372943970445663E-2"/>
    <n v="327.13"/>
    <n v="214.20000000003347"/>
  </r>
  <r>
    <x v="1"/>
    <d v="2025-11-10T00:00:00"/>
    <s v="3271309333"/>
    <x v="4"/>
    <x v="4"/>
    <s v="NOS"/>
    <s v="ZFG1"/>
    <s v="FG0010"/>
    <n v="840"/>
    <n v="353984.4"/>
    <n v="840"/>
    <n v="840"/>
    <x v="18"/>
    <n v="405854.4"/>
    <s v="RV"/>
    <s v="Billing doc.transfer"/>
    <s v="01"/>
    <x v="0"/>
    <x v="2"/>
    <x v="2"/>
    <x v="0"/>
    <n v="51651.600000000093"/>
    <n v="0.12726632999420504"/>
    <x v="0"/>
    <x v="14"/>
    <n v="840"/>
    <n v="421.40999999999985"/>
    <n v="373.04999999999984"/>
    <n v="22"/>
    <n v="0.26"/>
    <n v="26.1"/>
    <n v="0.26000000000001222"/>
    <n v="354202.79999999993"/>
    <n v="313361.99999999988"/>
    <n v="18480"/>
    <n v="218.4"/>
    <n v="22142.400000000001"/>
    <n v="1.3824319466948509E-10"/>
    <n v="0.12726632999420506"/>
    <n v="421.41"/>
    <n v="218.40000000004511"/>
  </r>
  <r>
    <x v="1"/>
    <d v="2025-11-10T00:00:00"/>
    <s v="3271309208"/>
    <x v="4"/>
    <x v="4"/>
    <s v="NOS"/>
    <s v="ZFG1"/>
    <s v="FG0010"/>
    <n v="828"/>
    <n v="348927.48"/>
    <n v="828"/>
    <n v="828"/>
    <x v="18"/>
    <n v="400056.48"/>
    <s v="RV"/>
    <s v="Billing doc.transfer"/>
    <s v="01"/>
    <x v="0"/>
    <x v="2"/>
    <x v="2"/>
    <x v="0"/>
    <n v="50913.720000000088"/>
    <n v="0.12726632999420504"/>
    <x v="0"/>
    <x v="4"/>
    <n v="828"/>
    <n v="421.40999999999985"/>
    <n v="373.04999999999984"/>
    <n v="22"/>
    <n v="0.26"/>
    <n v="26.1"/>
    <n v="0.26000000000001222"/>
    <n v="349142.75999999989"/>
    <n v="308885.39999999985"/>
    <n v="18216"/>
    <n v="215.28"/>
    <n v="21826.080000000002"/>
    <n v="1.3096723705530167E-10"/>
    <n v="0.12726632999420506"/>
    <n v="421.40999999999997"/>
    <n v="215.28000000004249"/>
  </r>
  <r>
    <x v="1"/>
    <d v="2025-11-10T00:00:00"/>
    <s v="3271309208"/>
    <x v="28"/>
    <x v="28"/>
    <s v="NOS"/>
    <s v="ZFG1"/>
    <s v="FG0010"/>
    <n v="310"/>
    <n v="130627.8"/>
    <n v="310"/>
    <n v="310"/>
    <x v="18"/>
    <n v="149779.6"/>
    <s v="RV"/>
    <s v="Billing doc.transfer"/>
    <s v="01"/>
    <x v="0"/>
    <x v="2"/>
    <x v="2"/>
    <x v="0"/>
    <n v="19071.200000000055"/>
    <n v="0.12732842122692312"/>
    <x v="0"/>
    <x v="14"/>
    <n v="310"/>
    <n v="421.37999999999982"/>
    <n v="373.01999999999981"/>
    <n v="22"/>
    <n v="0.26"/>
    <n v="26.1"/>
    <n v="0.26000000000001222"/>
    <n v="130708.39999999995"/>
    <n v="115636.19999999994"/>
    <n v="6820"/>
    <n v="80.600000000000009"/>
    <n v="8171.6"/>
    <n v="6.3664629124104977E-11"/>
    <n v="0.12732842122692312"/>
    <n v="421.38"/>
    <n v="80.600000000011278"/>
  </r>
  <r>
    <x v="1"/>
    <d v="2025-11-10T00:00:00"/>
    <s v="3271309333"/>
    <x v="5"/>
    <x v="5"/>
    <s v="NOS"/>
    <s v="ZFG1"/>
    <s v="FG0010"/>
    <n v="1770"/>
    <n v="579020.1"/>
    <n v="1770"/>
    <n v="1770"/>
    <x v="18"/>
    <n v="603693.9"/>
    <s v="RV"/>
    <s v="Billing doc.transfer"/>
    <s v="01"/>
    <x v="0"/>
    <x v="2"/>
    <x v="2"/>
    <x v="0"/>
    <n v="24372.899999999907"/>
    <n v="4.0372943970445795E-2"/>
    <x v="0"/>
    <x v="5"/>
    <n v="1770"/>
    <n v="327.13"/>
    <n v="278.14"/>
    <n v="22.400000000000002"/>
    <n v="0.17"/>
    <n v="26.42"/>
    <n v="0.17000000000000526"/>
    <n v="579321.00000000012"/>
    <n v="492307.8"/>
    <n v="39648.000000000007"/>
    <n v="300.90000000000003"/>
    <n v="47064.3"/>
    <n v="0"/>
    <n v="4.0372943970445774E-2"/>
    <n v="327.13"/>
    <n v="300.90000000011787"/>
  </r>
  <r>
    <x v="1"/>
    <d v="2025-11-10T00:00:00"/>
    <s v="3271309333"/>
    <x v="7"/>
    <x v="7"/>
    <s v="NOS"/>
    <s v="ZFG1"/>
    <s v="FG0010"/>
    <n v="700"/>
    <n v="228970"/>
    <n v="700"/>
    <n v="700"/>
    <x v="18"/>
    <n v="238749"/>
    <s v="RV"/>
    <s v="Billing doc.transfer"/>
    <s v="01"/>
    <x v="0"/>
    <x v="2"/>
    <x v="2"/>
    <x v="0"/>
    <n v="9660.0000000000582"/>
    <n v="4.0460902454041936E-2"/>
    <x v="0"/>
    <x v="5"/>
    <n v="700"/>
    <n v="327.09999999999991"/>
    <n v="278.1099999999999"/>
    <n v="22.400000000000002"/>
    <n v="0.17"/>
    <n v="26.42"/>
    <n v="0.17000000000000526"/>
    <n v="229088.99999999994"/>
    <n v="194676.99999999994"/>
    <n v="15680.000000000002"/>
    <n v="119.00000000000001"/>
    <n v="18613"/>
    <n v="5.8207660913467407E-11"/>
    <n v="4.0460902454041991E-2"/>
    <n v="327.10000000000002"/>
    <n v="119"/>
  </r>
  <r>
    <x v="5"/>
    <d v="2025-11-10T00:00:00"/>
    <s v="3271309218"/>
    <x v="36"/>
    <x v="36"/>
    <s v="NOS"/>
    <s v="ZROH"/>
    <s v="RM0030"/>
    <n v="3500"/>
    <n v="477443.29"/>
    <n v="3500"/>
    <n v="3500"/>
    <x v="18"/>
    <n v="477435"/>
    <s v="RV"/>
    <s v="Billing doc.transfer"/>
    <s v="06"/>
    <x v="2"/>
    <x v="10"/>
    <x v="4"/>
    <x v="0"/>
    <n v="477435"/>
    <n v="1"/>
    <x v="0"/>
    <x v="39"/>
    <n v="3500"/>
    <n v="0"/>
    <n v="0"/>
    <n v="0"/>
    <n v="0"/>
    <n v="0"/>
    <n v="0"/>
    <n v="0"/>
    <n v="0"/>
    <n v="0"/>
    <n v="0"/>
    <n v="0"/>
    <n v="477443.29"/>
    <n v="1"/>
    <n v="136.41236857142857"/>
    <n v="0"/>
  </r>
  <r>
    <x v="5"/>
    <d v="2025-11-10T00:00:00"/>
    <s v="3271309218"/>
    <x v="37"/>
    <x v="37"/>
    <s v="NOS"/>
    <s v="ZROH"/>
    <s v="RM0024"/>
    <n v="2952"/>
    <n v="124685.23"/>
    <n v="2952"/>
    <n v="2952"/>
    <x v="18"/>
    <n v="124692.48"/>
    <s v="RV"/>
    <s v="Billing doc.transfer"/>
    <s v="06"/>
    <x v="2"/>
    <x v="12"/>
    <x v="4"/>
    <x v="0"/>
    <n v="124692.48"/>
    <n v="1"/>
    <x v="0"/>
    <x v="40"/>
    <n v="2952"/>
    <n v="0"/>
    <n v="0"/>
    <n v="0"/>
    <n v="0"/>
    <n v="0"/>
    <n v="0"/>
    <n v="0"/>
    <n v="0"/>
    <n v="0"/>
    <n v="0"/>
    <n v="0"/>
    <n v="124685.23"/>
    <n v="1"/>
    <n v="42.237544037940381"/>
    <n v="0"/>
  </r>
  <r>
    <x v="1"/>
    <d v="2025-11-08T00:00:00"/>
    <s v="3271308833"/>
    <x v="2"/>
    <x v="2"/>
    <s v="NOS"/>
    <s v="ZSFG"/>
    <s v="SF0045"/>
    <n v="1072"/>
    <n v="158302.24"/>
    <n v="1072"/>
    <n v="1072"/>
    <x v="19"/>
    <n v="174671.68"/>
    <s v="RV"/>
    <s v="Billing doc.transfer"/>
    <s v="01"/>
    <x v="1"/>
    <x v="1"/>
    <x v="1"/>
    <x v="0"/>
    <n v="16369.440000000031"/>
    <n v="9.37154780900947E-2"/>
    <x v="0"/>
    <x v="2"/>
    <n v="1072"/>
    <n v="147.66999999999996"/>
    <n v="144.21999999999997"/>
    <n v="1.5"/>
    <n v="0"/>
    <n v="1.95"/>
    <n v="-1.1324274851176597E-14"/>
    <n v="158302.23999999996"/>
    <n v="154603.83999999997"/>
    <n v="1608"/>
    <n v="0"/>
    <n v="2090.4"/>
    <n v="2.319211489520967E-11"/>
    <n v="9.3715478090094728E-2"/>
    <n v="147.66999999999999"/>
    <n v="-5.9117155615240335E-12"/>
  </r>
  <r>
    <x v="1"/>
    <d v="2025-11-08T00:00:00"/>
    <s v="3271308840"/>
    <x v="2"/>
    <x v="2"/>
    <s v="NOS"/>
    <s v="ZSFG"/>
    <s v="SF0045"/>
    <n v="2128"/>
    <n v="314241.76"/>
    <n v="2128"/>
    <n v="2128"/>
    <x v="19"/>
    <n v="346736.32"/>
    <s v="RV"/>
    <s v="Billing doc.transfer"/>
    <s v="01"/>
    <x v="1"/>
    <x v="1"/>
    <x v="1"/>
    <x v="0"/>
    <n v="32494.560000000114"/>
    <n v="9.3715478090094839E-2"/>
    <x v="0"/>
    <x v="2"/>
    <n v="2128"/>
    <n v="147.66999999999996"/>
    <n v="144.21999999999997"/>
    <n v="1.5"/>
    <n v="0"/>
    <n v="1.95"/>
    <n v="-1.1324274851176597E-14"/>
    <n v="314241.75999999989"/>
    <n v="306900.15999999992"/>
    <n v="3192"/>
    <n v="0"/>
    <n v="4149.5999999999995"/>
    <n v="9.3677954282611609E-11"/>
    <n v="9.3715478090094839E-2"/>
    <n v="147.67000000000002"/>
    <n v="-2.2737367544323206E-11"/>
  </r>
  <r>
    <x v="1"/>
    <d v="2025-11-08T00:00:00"/>
    <s v="3271308811"/>
    <x v="8"/>
    <x v="8"/>
    <s v="NOS"/>
    <s v="ZFG1"/>
    <s v="FG0010"/>
    <n v="1136"/>
    <n v="369427.20000000001"/>
    <n v="1136"/>
    <n v="1136"/>
    <x v="19"/>
    <n v="413004.16"/>
    <s v="RV"/>
    <s v="Billing doc.transfer"/>
    <s v="01"/>
    <x v="0"/>
    <x v="2"/>
    <x v="2"/>
    <x v="0"/>
    <n v="43281.600000000035"/>
    <n v="0.10479700737154811"/>
    <x v="0"/>
    <x v="23"/>
    <n v="1136"/>
    <n v="325.19999999999993"/>
    <n v="271.52999999999997"/>
    <n v="23.84"/>
    <n v="0.26"/>
    <n v="29.569999999999997"/>
    <n v="0.25999999999996248"/>
    <n v="369722.55999999994"/>
    <n v="308458.07999999996"/>
    <n v="27082.240000000002"/>
    <n v="295.36"/>
    <n v="33886.879999999997"/>
    <n v="0"/>
    <n v="0.10479700737154807"/>
    <n v="325.2"/>
    <n v="295.35999999997875"/>
  </r>
  <r>
    <x v="1"/>
    <d v="2025-11-08T00:00:00"/>
    <s v="3271308832"/>
    <x v="11"/>
    <x v="11"/>
    <s v="NOS"/>
    <s v="ZFG1"/>
    <s v="FG0010"/>
    <n v="840"/>
    <n v="274789.2"/>
    <n v="840"/>
    <n v="840"/>
    <x v="19"/>
    <n v="286498.8"/>
    <s v="RV"/>
    <s v="Billing doc.transfer"/>
    <s v="01"/>
    <x v="0"/>
    <x v="2"/>
    <x v="2"/>
    <x v="0"/>
    <n v="11566.799999999988"/>
    <n v="4.0372943970445913E-2"/>
    <x v="0"/>
    <x v="5"/>
    <n v="840"/>
    <n v="327.13000000000005"/>
    <n v="278.14000000000004"/>
    <n v="22.400000000000002"/>
    <n v="0.17"/>
    <n v="26.42"/>
    <n v="0.17000000000000526"/>
    <n v="274932"/>
    <n v="233637.60000000003"/>
    <n v="18816"/>
    <n v="142.80000000000001"/>
    <n v="22335.600000000002"/>
    <n v="0"/>
    <n v="4.0372943970445885E-2"/>
    <n v="327.13"/>
    <n v="142.79999999996289"/>
  </r>
  <r>
    <x v="1"/>
    <d v="2025-11-08T00:00:00"/>
    <s v="3271308812"/>
    <x v="15"/>
    <x v="15"/>
    <s v="NOS"/>
    <s v="ZFG1"/>
    <s v="FG0010"/>
    <n v="420"/>
    <n v="176979.6"/>
    <n v="420"/>
    <n v="420"/>
    <x v="19"/>
    <n v="202927.2"/>
    <s v="RV"/>
    <s v="Billing doc.transfer"/>
    <s v="01"/>
    <x v="0"/>
    <x v="2"/>
    <x v="2"/>
    <x v="0"/>
    <n v="25838.400000000081"/>
    <n v="0.12732842122692314"/>
    <x v="0"/>
    <x v="14"/>
    <n v="420"/>
    <n v="421.37999999999982"/>
    <n v="373.01999999999981"/>
    <n v="22"/>
    <n v="0.26"/>
    <n v="26.1"/>
    <n v="0.26000000000001222"/>
    <n v="177088.79999999993"/>
    <n v="156668.39999999991"/>
    <n v="9240"/>
    <n v="109.2"/>
    <n v="11071.2"/>
    <n v="9.822542779147625E-11"/>
    <n v="0.12732842122692312"/>
    <n v="421.38"/>
    <n v="109.20000000002256"/>
  </r>
  <r>
    <x v="1"/>
    <d v="2025-11-08T00:00:00"/>
    <s v="3271308832"/>
    <x v="15"/>
    <x v="15"/>
    <s v="NOS"/>
    <s v="ZFG1"/>
    <s v="FG0010"/>
    <n v="310"/>
    <n v="130627.8"/>
    <n v="310"/>
    <n v="310"/>
    <x v="19"/>
    <n v="149779.6"/>
    <s v="RV"/>
    <s v="Billing doc.transfer"/>
    <s v="01"/>
    <x v="0"/>
    <x v="2"/>
    <x v="2"/>
    <x v="0"/>
    <n v="19071.200000000055"/>
    <n v="0.12732842122692312"/>
    <x v="0"/>
    <x v="14"/>
    <n v="310"/>
    <n v="421.37999999999982"/>
    <n v="373.01999999999981"/>
    <n v="22"/>
    <n v="0.26"/>
    <n v="26.1"/>
    <n v="0.26000000000001222"/>
    <n v="130708.39999999995"/>
    <n v="115636.19999999994"/>
    <n v="6820"/>
    <n v="80.600000000000009"/>
    <n v="8171.6"/>
    <n v="6.3664629124104977E-11"/>
    <n v="0.12732842122692312"/>
    <n v="421.38"/>
    <n v="80.600000000011278"/>
  </r>
  <r>
    <x v="1"/>
    <d v="2025-11-08T00:00:00"/>
    <s v="3271308841"/>
    <x v="15"/>
    <x v="15"/>
    <s v="NOS"/>
    <s v="ZFG1"/>
    <s v="FG0010"/>
    <n v="410"/>
    <n v="172765.8"/>
    <n v="410"/>
    <n v="410"/>
    <x v="19"/>
    <n v="198095.6"/>
    <s v="RV"/>
    <s v="Billing doc.transfer"/>
    <s v="01"/>
    <x v="0"/>
    <x v="2"/>
    <x v="2"/>
    <x v="0"/>
    <n v="25223.20000000007"/>
    <n v="0.12732842122692312"/>
    <x v="0"/>
    <x v="14"/>
    <n v="410"/>
    <n v="421.37999999999982"/>
    <n v="373.01999999999981"/>
    <n v="22"/>
    <n v="0.26"/>
    <n v="26.1"/>
    <n v="0.26000000000001222"/>
    <n v="172872.39999999994"/>
    <n v="152938.19999999992"/>
    <n v="9020"/>
    <n v="106.60000000000001"/>
    <n v="10807.6"/>
    <n v="6.3664629124104977E-11"/>
    <n v="0.12732842122692312"/>
    <n v="421.38"/>
    <n v="106.60000000001128"/>
  </r>
  <r>
    <x v="6"/>
    <d v="2025-11-08T00:00:00"/>
    <s v="3271308824"/>
    <x v="61"/>
    <x v="61"/>
    <s v="NOS"/>
    <s v="ZROH"/>
    <s v="RM0001"/>
    <n v="50000"/>
    <n v="45194.96"/>
    <n v="50000"/>
    <n v="50000"/>
    <x v="19"/>
    <n v="45500"/>
    <s v="RV"/>
    <s v="Billing doc.transfer"/>
    <s v="06"/>
    <x v="2"/>
    <x v="19"/>
    <x v="4"/>
    <x v="0"/>
    <n v="45500"/>
    <n v="1"/>
    <x v="0"/>
    <x v="67"/>
    <n v="50000"/>
    <n v="0"/>
    <n v="0"/>
    <n v="0"/>
    <n v="0"/>
    <n v="0"/>
    <n v="0"/>
    <n v="0"/>
    <n v="0"/>
    <n v="0"/>
    <n v="0"/>
    <n v="0"/>
    <n v="45194.96"/>
    <n v="1"/>
    <n v="0.90389920000000001"/>
    <n v="0"/>
  </r>
  <r>
    <x v="1"/>
    <d v="2025-11-08T00:00:00"/>
    <s v="3277064280"/>
    <x v="15"/>
    <x v="15"/>
    <s v="NOS"/>
    <s v="ZFG1"/>
    <s v="FG0010"/>
    <n v="-360"/>
    <n v="-151696.79999999999"/>
    <n v="-360"/>
    <n v="-360"/>
    <x v="19"/>
    <n v="-173937.6"/>
    <s v="RV"/>
    <s v="Billing doc.transfer"/>
    <s v="01"/>
    <x v="0"/>
    <x v="2"/>
    <x v="2"/>
    <x v="0"/>
    <n v="-22147.20000000007"/>
    <n v="0.12732842122692314"/>
    <x v="0"/>
    <x v="14"/>
    <n v="-360"/>
    <n v="421.37999999999982"/>
    <n v="373.01999999999981"/>
    <n v="22"/>
    <n v="0.26"/>
    <n v="26.1"/>
    <n v="0.26000000000001222"/>
    <n v="-151790.39999999994"/>
    <n v="-134287.19999999992"/>
    <n v="-7920"/>
    <n v="-93.600000000000009"/>
    <n v="-9489.6"/>
    <n v="-6.3664629124104977E-11"/>
    <n v="0.12732842122692312"/>
    <n v="421.38"/>
    <n v="-93.600000000011278"/>
  </r>
  <r>
    <x v="0"/>
    <d v="2025-11-07T00:00:00"/>
    <s v="3271308439"/>
    <x v="1"/>
    <x v="1"/>
    <s v="NOS"/>
    <s v="ZFG1"/>
    <s v="FG0011"/>
    <n v="2300"/>
    <n v="1061151"/>
    <n v="2300"/>
    <n v="2300"/>
    <x v="20"/>
    <n v="1509513"/>
    <s v="RV"/>
    <s v="Billing doc.transfer"/>
    <s v="01"/>
    <x v="0"/>
    <x v="0"/>
    <x v="0"/>
    <x v="0"/>
    <n v="447810"/>
    <n v="0.29665859121451754"/>
    <x v="0"/>
    <x v="1"/>
    <n v="2300"/>
    <n v="461.37"/>
    <n v="401.59000000000003"/>
    <n v="28.32"/>
    <n v="0.24"/>
    <n v="31.22"/>
    <n v="0.23999999999997357"/>
    <n v="1061703"/>
    <n v="923657.00000000012"/>
    <n v="65136"/>
    <n v="552"/>
    <n v="72358"/>
    <n v="-1.1641532182693481E-10"/>
    <n v="0.29665859121451754"/>
    <n v="461.37"/>
    <n v="551.99999999988358"/>
  </r>
  <r>
    <x v="1"/>
    <d v="2025-11-07T00:00:00"/>
    <s v="3271308424"/>
    <x v="2"/>
    <x v="2"/>
    <s v="NOS"/>
    <s v="ZSFG"/>
    <s v="SF0045"/>
    <n v="1120"/>
    <n v="165390.39999999999"/>
    <n v="1120"/>
    <n v="1120"/>
    <x v="20"/>
    <n v="182492.79999999999"/>
    <s v="RV"/>
    <s v="Billing doc.transfer"/>
    <s v="01"/>
    <x v="1"/>
    <x v="1"/>
    <x v="1"/>
    <x v="0"/>
    <n v="17102.400000000023"/>
    <n v="9.3715478090094645E-2"/>
    <x v="0"/>
    <x v="2"/>
    <n v="1120"/>
    <n v="147.66999999999996"/>
    <n v="144.21999999999997"/>
    <n v="1.5"/>
    <n v="0"/>
    <n v="1.95"/>
    <n v="-1.1324274851176597E-14"/>
    <n v="165390.39999999997"/>
    <n v="161526.39999999997"/>
    <n v="1680"/>
    <n v="0"/>
    <n v="2184"/>
    <n v="2.9103830456733704E-11"/>
    <n v="9.3715478090094617E-2"/>
    <n v="147.66999999999999"/>
    <n v="0"/>
  </r>
  <r>
    <x v="1"/>
    <d v="2025-11-07T00:00:00"/>
    <s v="3271308684"/>
    <x v="2"/>
    <x v="2"/>
    <s v="NOS"/>
    <s v="ZSFG"/>
    <s v="SF0045"/>
    <n v="2728"/>
    <n v="402843.76"/>
    <n v="2728"/>
    <n v="2728"/>
    <x v="20"/>
    <n v="444500.32"/>
    <s v="RV"/>
    <s v="Billing doc.transfer"/>
    <s v="01"/>
    <x v="1"/>
    <x v="1"/>
    <x v="1"/>
    <x v="0"/>
    <n v="41656.560000000114"/>
    <n v="9.371547809009477E-2"/>
    <x v="0"/>
    <x v="2"/>
    <n v="2728"/>
    <n v="147.66999999999996"/>
    <n v="144.21999999999997"/>
    <n v="1.5"/>
    <n v="0"/>
    <n v="1.95"/>
    <n v="-1.1324274851176597E-14"/>
    <n v="402843.75999999989"/>
    <n v="393432.15999999992"/>
    <n v="4092"/>
    <n v="0"/>
    <n v="5319.5999999999995"/>
    <n v="9.3677954282611609E-11"/>
    <n v="9.3715478090094728E-2"/>
    <n v="147.67000000000002"/>
    <n v="-2.2737367544323206E-11"/>
  </r>
  <r>
    <x v="9"/>
    <d v="2025-11-07T00:00:00"/>
    <s v="3271308732"/>
    <x v="59"/>
    <x v="59"/>
    <s v="NOS"/>
    <s v="ZFG1"/>
    <s v="FG0015"/>
    <n v="175"/>
    <n v="79542.75"/>
    <n v="175"/>
    <n v="175"/>
    <x v="20"/>
    <n v="72782.5"/>
    <s v="RV"/>
    <s v="Billing doc.transfer"/>
    <s v="06"/>
    <x v="0"/>
    <x v="18"/>
    <x v="8"/>
    <x v="0"/>
    <n v="-6790"/>
    <n v="-9.3291656648232746E-2"/>
    <x v="0"/>
    <x v="65"/>
    <n v="175"/>
    <n v="454.53000000000009"/>
    <n v="392.59000000000003"/>
    <n v="29.55"/>
    <n v="0.17"/>
    <n v="32.22"/>
    <n v="0.17000000000005855"/>
    <n v="79572.5"/>
    <n v="68703.25"/>
    <n v="5171.25"/>
    <n v="29.750000000000004"/>
    <n v="5668.25"/>
    <n v="0"/>
    <n v="-9.329165664823269E-2"/>
    <n v="454.53"/>
    <n v="29.75"/>
  </r>
  <r>
    <x v="1"/>
    <d v="2025-11-07T00:00:00"/>
    <s v="3271308810"/>
    <x v="3"/>
    <x v="3"/>
    <s v="NOS"/>
    <s v="ZFG1"/>
    <s v="FG0010"/>
    <n v="928"/>
    <n v="598587.84"/>
    <n v="928"/>
    <n v="928"/>
    <x v="20"/>
    <n v="676103.68000000005"/>
    <s v="RV"/>
    <s v="Billing doc.transfer"/>
    <s v="01"/>
    <x v="0"/>
    <x v="2"/>
    <x v="2"/>
    <x v="0"/>
    <n v="77116.800000000279"/>
    <n v="0.11406061271549398"/>
    <x v="0"/>
    <x v="20"/>
    <n v="928"/>
    <n v="645.02999999999963"/>
    <n v="582.23999999999967"/>
    <n v="29.88"/>
    <n v="0.43"/>
    <n v="32.480000000000004"/>
    <n v="0.42999999999996419"/>
    <n v="598986.87999999977"/>
    <n v="540318.71999999974"/>
    <n v="27728.639999999999"/>
    <n v="399.04"/>
    <n v="30540.480000000003"/>
    <n v="2.255546860396862E-10"/>
    <n v="0.11406061271549395"/>
    <n v="645.03"/>
    <n v="399.04000000002998"/>
  </r>
  <r>
    <x v="1"/>
    <d v="2025-11-07T00:00:00"/>
    <s v="3271308687"/>
    <x v="3"/>
    <x v="3"/>
    <s v="NOS"/>
    <s v="ZFG1"/>
    <s v="FG0010"/>
    <n v="396"/>
    <n v="255431.88"/>
    <n v="396"/>
    <n v="396"/>
    <x v="20"/>
    <n v="288509.76"/>
    <s v="RV"/>
    <s v="Billing doc.transfer"/>
    <s v="01"/>
    <x v="0"/>
    <x v="2"/>
    <x v="2"/>
    <x v="0"/>
    <n v="32907.600000000122"/>
    <n v="0.114060612715494"/>
    <x v="0"/>
    <x v="20"/>
    <n v="396"/>
    <n v="645.02999999999963"/>
    <n v="582.23999999999967"/>
    <n v="29.88"/>
    <n v="0.43"/>
    <n v="32.480000000000004"/>
    <n v="0.42999999999996419"/>
    <n v="255602.15999999989"/>
    <n v="230567.03999999986"/>
    <n v="11832.48"/>
    <n v="170.28"/>
    <n v="13032.360000000002"/>
    <n v="1.4006218407303095E-10"/>
    <n v="0.11406061271549395"/>
    <n v="645.03"/>
    <n v="170.28000000002248"/>
  </r>
  <r>
    <x v="1"/>
    <d v="2025-11-07T00:00:00"/>
    <s v="3271308423"/>
    <x v="60"/>
    <x v="60"/>
    <s v="NOS"/>
    <s v="ZFG1"/>
    <s v="FG0010"/>
    <n v="105"/>
    <n v="34362.300000000003"/>
    <n v="105"/>
    <n v="105"/>
    <x v="20"/>
    <n v="35677.949999999997"/>
    <s v="RV"/>
    <s v="Billing doc.transfer"/>
    <s v="01"/>
    <x v="0"/>
    <x v="2"/>
    <x v="2"/>
    <x v="0"/>
    <n v="1297.8000000000029"/>
    <n v="3.6375408340445656E-2"/>
    <x v="0"/>
    <x v="83"/>
    <n v="105"/>
    <n v="327.26"/>
    <n v="275.87999999999994"/>
    <n v="23.720000000000002"/>
    <n v="0.17"/>
    <n v="27.49"/>
    <n v="0.17000000000005144"/>
    <n v="34380.149999999994"/>
    <n v="28967.399999999994"/>
    <n v="2490.6000000000004"/>
    <n v="17.850000000000001"/>
    <n v="2904.2999999999997"/>
    <n v="8.6401996668428183E-12"/>
    <n v="3.6375408340445614E-2"/>
    <n v="327.26000000000005"/>
    <n v="17.849999999999909"/>
  </r>
  <r>
    <x v="6"/>
    <d v="2025-11-07T00:00:00"/>
    <s v="3271308737"/>
    <x v="88"/>
    <x v="88"/>
    <s v="NOS"/>
    <s v="ZROH"/>
    <s v="RM0004"/>
    <n v="30000"/>
    <n v="78000"/>
    <n v="30000"/>
    <n v="30000"/>
    <x v="20"/>
    <n v="78000"/>
    <s v="RV"/>
    <s v="Billing doc.transfer"/>
    <s v="06"/>
    <x v="2"/>
    <x v="13"/>
    <x v="4"/>
    <x v="0"/>
    <n v="78000"/>
    <n v="1"/>
    <x v="0"/>
    <x v="84"/>
    <n v="30000"/>
    <n v="0"/>
    <n v="0"/>
    <n v="0"/>
    <n v="0"/>
    <n v="0"/>
    <n v="0"/>
    <n v="0"/>
    <n v="0"/>
    <n v="0"/>
    <n v="0"/>
    <n v="0"/>
    <n v="78000"/>
    <n v="1"/>
    <n v="2.6"/>
    <n v="0"/>
  </r>
  <r>
    <x v="6"/>
    <d v="2025-11-07T00:00:00"/>
    <s v="3271308737"/>
    <x v="89"/>
    <x v="89"/>
    <s v="NOS"/>
    <s v="ZROH"/>
    <s v="L002"/>
    <n v="40000"/>
    <n v="110000"/>
    <n v="40000"/>
    <n v="40000"/>
    <x v="20"/>
    <n v="110000"/>
    <s v="RV"/>
    <s v="Billing doc.transfer"/>
    <s v="06"/>
    <x v="2"/>
    <x v="6"/>
    <x v="4"/>
    <x v="0"/>
    <n v="110000"/>
    <n v="1"/>
    <x v="0"/>
    <x v="85"/>
    <n v="40000"/>
    <n v="0"/>
    <n v="0"/>
    <n v="0"/>
    <n v="0"/>
    <n v="0"/>
    <n v="0"/>
    <n v="0"/>
    <n v="0"/>
    <n v="0"/>
    <n v="0"/>
    <n v="0"/>
    <n v="110000"/>
    <n v="1"/>
    <n v="2.75"/>
    <n v="0"/>
  </r>
  <r>
    <x v="6"/>
    <d v="2025-11-07T00:00:00"/>
    <s v="3271308737"/>
    <x v="90"/>
    <x v="90"/>
    <s v="NOS"/>
    <s v="ZROH"/>
    <s v="RM0026"/>
    <n v="39600"/>
    <n v="1268216.29"/>
    <n v="39600"/>
    <n v="39600"/>
    <x v="20"/>
    <n v="1184832"/>
    <s v="RV"/>
    <s v="Billing doc.transfer"/>
    <s v="06"/>
    <x v="2"/>
    <x v="22"/>
    <x v="4"/>
    <x v="0"/>
    <n v="1184832"/>
    <n v="1"/>
    <x v="0"/>
    <x v="86"/>
    <n v="39600"/>
    <n v="0"/>
    <n v="0"/>
    <n v="0"/>
    <n v="0"/>
    <n v="0"/>
    <n v="0"/>
    <n v="0"/>
    <n v="0"/>
    <n v="0"/>
    <n v="0"/>
    <n v="0"/>
    <n v="1268216.29"/>
    <n v="1"/>
    <n v="32.025663888888893"/>
    <n v="0"/>
  </r>
  <r>
    <x v="6"/>
    <d v="2025-11-07T00:00:00"/>
    <s v="3271308737"/>
    <x v="91"/>
    <x v="91"/>
    <s v="NOS"/>
    <s v="ZROH"/>
    <s v="L002"/>
    <n v="5000"/>
    <n v="18750"/>
    <n v="5000"/>
    <n v="5000"/>
    <x v="20"/>
    <n v="18750"/>
    <s v="RV"/>
    <s v="Billing doc.transfer"/>
    <s v="06"/>
    <x v="2"/>
    <x v="6"/>
    <x v="4"/>
    <x v="0"/>
    <n v="18750"/>
    <n v="1"/>
    <x v="0"/>
    <x v="87"/>
    <n v="5000"/>
    <n v="0"/>
    <n v="0"/>
    <n v="0"/>
    <n v="0"/>
    <n v="0"/>
    <n v="0"/>
    <n v="0"/>
    <n v="0"/>
    <n v="0"/>
    <n v="0"/>
    <n v="0"/>
    <n v="18750"/>
    <n v="1"/>
    <n v="3.75"/>
    <n v="0"/>
  </r>
  <r>
    <x v="6"/>
    <d v="2025-11-07T00:00:00"/>
    <s v="3271308737"/>
    <x v="92"/>
    <x v="62"/>
    <s v="NOS"/>
    <s v="ZROH"/>
    <s v="RM0001"/>
    <n v="20000"/>
    <n v="7400"/>
    <n v="20000"/>
    <n v="20000"/>
    <x v="20"/>
    <n v="7400"/>
    <s v="RV"/>
    <s v="Billing doc.transfer"/>
    <s v="06"/>
    <x v="2"/>
    <x v="19"/>
    <x v="4"/>
    <x v="0"/>
    <n v="7400"/>
    <n v="1"/>
    <x v="0"/>
    <x v="68"/>
    <n v="20000"/>
    <n v="0"/>
    <n v="0"/>
    <n v="0"/>
    <n v="0"/>
    <n v="0"/>
    <n v="0"/>
    <n v="0"/>
    <n v="0"/>
    <n v="0"/>
    <n v="0"/>
    <n v="0"/>
    <n v="7400"/>
    <n v="1"/>
    <n v="0.37"/>
    <n v="0"/>
  </r>
  <r>
    <x v="6"/>
    <d v="2025-11-07T00:00:00"/>
    <s v="3271308794"/>
    <x v="52"/>
    <x v="52"/>
    <s v="NOS"/>
    <s v="ZROH"/>
    <s v="RM0009"/>
    <n v="1200"/>
    <n v="9233.2199999999993"/>
    <n v="1200"/>
    <n v="1200"/>
    <x v="20"/>
    <n v="7956"/>
    <s v="RV"/>
    <s v="Billing doc.transfer"/>
    <s v="06"/>
    <x v="2"/>
    <x v="17"/>
    <x v="4"/>
    <x v="0"/>
    <n v="7956"/>
    <n v="1"/>
    <x v="0"/>
    <x v="56"/>
    <n v="1200"/>
    <n v="0"/>
    <n v="0"/>
    <n v="0"/>
    <n v="0"/>
    <n v="0"/>
    <n v="0"/>
    <n v="0"/>
    <n v="0"/>
    <n v="0"/>
    <n v="0"/>
    <n v="0"/>
    <n v="9233.2199999999993"/>
    <n v="1"/>
    <n v="7.6943499999999991"/>
    <n v="0"/>
  </r>
  <r>
    <x v="6"/>
    <d v="2025-11-07T00:00:00"/>
    <s v="3271308794"/>
    <x v="44"/>
    <x v="44"/>
    <s v="NOS"/>
    <s v="ZROH"/>
    <s v="L002"/>
    <n v="3000"/>
    <n v="1503.83"/>
    <n v="3000"/>
    <n v="3000"/>
    <x v="20"/>
    <n v="1680"/>
    <s v="RV"/>
    <s v="Billing doc.transfer"/>
    <s v="06"/>
    <x v="2"/>
    <x v="6"/>
    <x v="4"/>
    <x v="0"/>
    <n v="1680"/>
    <n v="1"/>
    <x v="0"/>
    <x v="88"/>
    <n v="3000"/>
    <n v="0"/>
    <n v="0"/>
    <n v="0"/>
    <n v="0"/>
    <n v="0"/>
    <n v="0"/>
    <n v="0"/>
    <n v="0"/>
    <n v="0"/>
    <n v="0"/>
    <n v="0"/>
    <n v="1503.83"/>
    <n v="1"/>
    <n v="0.50127666666666659"/>
    <n v="0"/>
  </r>
  <r>
    <x v="6"/>
    <d v="2025-11-07T00:00:00"/>
    <s v="3271308794"/>
    <x v="93"/>
    <x v="92"/>
    <s v="NOS"/>
    <s v="ZROH"/>
    <s v="RM0004"/>
    <n v="7500"/>
    <n v="3732.29"/>
    <n v="7500"/>
    <n v="7500"/>
    <x v="20"/>
    <n v="4050"/>
    <s v="RV"/>
    <s v="Billing doc.transfer"/>
    <s v="06"/>
    <x v="2"/>
    <x v="13"/>
    <x v="4"/>
    <x v="0"/>
    <n v="4050"/>
    <n v="1"/>
    <x v="0"/>
    <x v="89"/>
    <n v="7500"/>
    <n v="0"/>
    <n v="0"/>
    <n v="0"/>
    <n v="0"/>
    <n v="0"/>
    <n v="0"/>
    <n v="0"/>
    <n v="0"/>
    <n v="0"/>
    <n v="0"/>
    <n v="0"/>
    <n v="3732.29"/>
    <n v="1"/>
    <n v="0.49763866666666667"/>
    <n v="0"/>
  </r>
  <r>
    <x v="6"/>
    <d v="2025-11-07T00:00:00"/>
    <s v="3271308794"/>
    <x v="94"/>
    <x v="93"/>
    <s v="NOS"/>
    <s v="ZROH"/>
    <s v="RM0007"/>
    <n v="4000"/>
    <n v="3200"/>
    <n v="4000"/>
    <n v="4000"/>
    <x v="20"/>
    <n v="3680"/>
    <s v="RV"/>
    <s v="Billing doc.transfer"/>
    <s v="06"/>
    <x v="2"/>
    <x v="20"/>
    <x v="4"/>
    <x v="0"/>
    <n v="3680"/>
    <n v="1"/>
    <x v="0"/>
    <x v="90"/>
    <n v="4000"/>
    <n v="0"/>
    <n v="0"/>
    <n v="0"/>
    <n v="0"/>
    <n v="0"/>
    <n v="0"/>
    <n v="0"/>
    <n v="0"/>
    <n v="0"/>
    <n v="0"/>
    <n v="0"/>
    <n v="3200"/>
    <n v="1"/>
    <n v="0.8"/>
    <n v="0"/>
  </r>
  <r>
    <x v="6"/>
    <d v="2025-11-07T00:00:00"/>
    <s v="3271308794"/>
    <x v="95"/>
    <x v="94"/>
    <s v="NOS"/>
    <s v="ZROH"/>
    <s v="RM0004"/>
    <n v="3000"/>
    <n v="8153.23"/>
    <n v="3000"/>
    <n v="3000"/>
    <x v="20"/>
    <n v="8370"/>
    <s v="RV"/>
    <s v="Billing doc.transfer"/>
    <s v="06"/>
    <x v="2"/>
    <x v="13"/>
    <x v="4"/>
    <x v="0"/>
    <n v="8370"/>
    <n v="1"/>
    <x v="0"/>
    <x v="91"/>
    <n v="3000"/>
    <n v="0"/>
    <n v="0"/>
    <n v="0"/>
    <n v="0"/>
    <n v="0"/>
    <n v="0"/>
    <n v="0"/>
    <n v="0"/>
    <n v="0"/>
    <n v="0"/>
    <n v="0"/>
    <n v="8153.23"/>
    <n v="1"/>
    <n v="2.7177433333333334"/>
    <n v="0"/>
  </r>
  <r>
    <x v="6"/>
    <d v="2025-11-07T00:00:00"/>
    <s v="3271308794"/>
    <x v="96"/>
    <x v="95"/>
    <s v="NOS"/>
    <s v="ZROH"/>
    <s v="RM0009"/>
    <n v="4000"/>
    <n v="313.95999999999998"/>
    <n v="4000"/>
    <n v="4000"/>
    <x v="20"/>
    <n v="440"/>
    <s v="RV"/>
    <s v="Billing doc.transfer"/>
    <s v="06"/>
    <x v="2"/>
    <x v="17"/>
    <x v="4"/>
    <x v="0"/>
    <n v="440"/>
    <n v="1"/>
    <x v="0"/>
    <x v="92"/>
    <n v="4000"/>
    <n v="0"/>
    <n v="0"/>
    <n v="0"/>
    <n v="0"/>
    <n v="0"/>
    <n v="0"/>
    <n v="0"/>
    <n v="0"/>
    <n v="0"/>
    <n v="0"/>
    <n v="0"/>
    <n v="313.95999999999998"/>
    <n v="1"/>
    <n v="7.848999999999999E-2"/>
    <n v="0"/>
  </r>
  <r>
    <x v="6"/>
    <d v="2025-11-07T00:00:00"/>
    <s v="3271308794"/>
    <x v="97"/>
    <x v="96"/>
    <s v="NOS"/>
    <s v="ZROH"/>
    <s v="RM0009"/>
    <n v="4000"/>
    <n v="519.48"/>
    <n v="4000"/>
    <n v="4000"/>
    <x v="20"/>
    <n v="520"/>
    <s v="RV"/>
    <s v="Billing doc.transfer"/>
    <s v="06"/>
    <x v="2"/>
    <x v="17"/>
    <x v="4"/>
    <x v="0"/>
    <n v="520"/>
    <n v="1"/>
    <x v="0"/>
    <x v="93"/>
    <n v="4000"/>
    <n v="0"/>
    <n v="0"/>
    <n v="0"/>
    <n v="0"/>
    <n v="0"/>
    <n v="0"/>
    <n v="0"/>
    <n v="0"/>
    <n v="0"/>
    <n v="0"/>
    <n v="0"/>
    <n v="519.48"/>
    <n v="1"/>
    <n v="0.12987000000000001"/>
    <n v="0"/>
  </r>
  <r>
    <x v="6"/>
    <d v="2025-11-07T00:00:00"/>
    <s v="3271308794"/>
    <x v="98"/>
    <x v="97"/>
    <s v="NOS"/>
    <s v="ZROH"/>
    <s v="RM0009"/>
    <n v="2500"/>
    <n v="24038.55"/>
    <n v="2500"/>
    <n v="2500"/>
    <x v="20"/>
    <n v="25175"/>
    <s v="RV"/>
    <s v="Billing doc.transfer"/>
    <s v="06"/>
    <x v="2"/>
    <x v="17"/>
    <x v="4"/>
    <x v="0"/>
    <n v="25175"/>
    <n v="1"/>
    <x v="0"/>
    <x v="94"/>
    <n v="2500"/>
    <n v="0"/>
    <n v="0"/>
    <n v="0"/>
    <n v="0"/>
    <n v="0"/>
    <n v="0"/>
    <n v="0"/>
    <n v="0"/>
    <n v="0"/>
    <n v="0"/>
    <n v="0"/>
    <n v="24038.55"/>
    <n v="1"/>
    <n v="9.6154200000000003"/>
    <n v="0"/>
  </r>
  <r>
    <x v="6"/>
    <d v="2025-11-07T00:00:00"/>
    <s v="3271308794"/>
    <x v="99"/>
    <x v="98"/>
    <s v="NOS"/>
    <s v="ZROH"/>
    <s v="RM0009"/>
    <n v="4000"/>
    <n v="16565.82"/>
    <n v="4000"/>
    <n v="4000"/>
    <x v="20"/>
    <n v="16480"/>
    <s v="RV"/>
    <s v="Billing doc.transfer"/>
    <s v="06"/>
    <x v="2"/>
    <x v="17"/>
    <x v="4"/>
    <x v="0"/>
    <n v="16480"/>
    <n v="1"/>
    <x v="0"/>
    <x v="95"/>
    <n v="4000"/>
    <n v="0"/>
    <n v="0"/>
    <n v="0"/>
    <n v="0"/>
    <n v="0"/>
    <n v="0"/>
    <n v="0"/>
    <n v="0"/>
    <n v="0"/>
    <n v="0"/>
    <n v="0"/>
    <n v="16565.82"/>
    <n v="1"/>
    <n v="4.1414549999999997"/>
    <n v="0"/>
  </r>
  <r>
    <x v="6"/>
    <d v="2025-11-07T00:00:00"/>
    <s v="3271308794"/>
    <x v="100"/>
    <x v="99"/>
    <s v="NOS"/>
    <s v="ZROH"/>
    <s v="RM0009"/>
    <n v="3000"/>
    <n v="147650.39000000001"/>
    <n v="3000"/>
    <n v="3000"/>
    <x v="20"/>
    <n v="159210"/>
    <s v="RV"/>
    <s v="Billing doc.transfer"/>
    <s v="06"/>
    <x v="2"/>
    <x v="17"/>
    <x v="4"/>
    <x v="0"/>
    <n v="159210"/>
    <n v="1"/>
    <x v="0"/>
    <x v="96"/>
    <n v="3000"/>
    <n v="0"/>
    <n v="0"/>
    <n v="0"/>
    <n v="0"/>
    <n v="0"/>
    <n v="0"/>
    <n v="0"/>
    <n v="0"/>
    <n v="0"/>
    <n v="0"/>
    <n v="0"/>
    <n v="147650.39000000001"/>
    <n v="1"/>
    <n v="49.216796666666674"/>
    <n v="0"/>
  </r>
  <r>
    <x v="3"/>
    <d v="2025-11-06T00:00:00"/>
    <s v="3271308164"/>
    <x v="1"/>
    <x v="1"/>
    <s v="NOS"/>
    <s v="ZFG1"/>
    <s v="FG0011"/>
    <n v="5000"/>
    <n v="2306850"/>
    <n v="5000"/>
    <n v="5000"/>
    <x v="21"/>
    <n v="3296550"/>
    <s v="RV"/>
    <s v="Billing doc.transfer"/>
    <s v="01"/>
    <x v="0"/>
    <x v="0"/>
    <x v="0"/>
    <x v="0"/>
    <n v="988500"/>
    <n v="0.29985894344087"/>
    <x v="0"/>
    <x v="22"/>
    <n v="5000"/>
    <n v="461.37"/>
    <n v="401.59000000000003"/>
    <n v="28.32"/>
    <n v="0.24"/>
    <n v="31.22"/>
    <n v="0.23999999999997357"/>
    <n v="2308050"/>
    <n v="2007950.0000000002"/>
    <n v="141600"/>
    <n v="1200"/>
    <n v="157300"/>
    <n v="-2.3283064365386963E-10"/>
    <n v="0.29985894344087005"/>
    <n v="461.37"/>
    <n v="1199.9999999997672"/>
  </r>
  <r>
    <x v="1"/>
    <d v="2025-11-06T00:00:00"/>
    <s v="3271308126"/>
    <x v="18"/>
    <x v="18"/>
    <s v="NOS"/>
    <s v="ZSFG"/>
    <s v="SF0045"/>
    <n v="1491"/>
    <n v="284736.27"/>
    <n v="1491"/>
    <n v="1491"/>
    <x v="21"/>
    <n v="309770.15999999997"/>
    <s v="RV"/>
    <s v="Billing doc.transfer"/>
    <s v="01"/>
    <x v="1"/>
    <x v="1"/>
    <x v="1"/>
    <x v="0"/>
    <n v="25033.890000000014"/>
    <n v="8.0814401232191038E-2"/>
    <x v="0"/>
    <x v="21"/>
    <n v="1491"/>
    <n v="190.96999999999997"/>
    <n v="187.51999999999998"/>
    <n v="1.5"/>
    <n v="0"/>
    <n v="1.95"/>
    <n v="-1.1324274851176597E-14"/>
    <n v="284736.26999999996"/>
    <n v="279592.31999999995"/>
    <n v="2236.5"/>
    <n v="0"/>
    <n v="2907.45"/>
    <n v="7.0031092036515474E-11"/>
    <n v="8.081440123219108E-2"/>
    <n v="190.97"/>
    <n v="1.1823431123048067E-11"/>
  </r>
  <r>
    <x v="1"/>
    <d v="2025-11-06T00:00:00"/>
    <s v="3271308159"/>
    <x v="2"/>
    <x v="2"/>
    <s v="NOS"/>
    <s v="ZSFG"/>
    <s v="SF0045"/>
    <n v="2128"/>
    <n v="314241.76"/>
    <n v="2128"/>
    <n v="2128"/>
    <x v="21"/>
    <n v="346736.32"/>
    <s v="RV"/>
    <s v="Billing doc.transfer"/>
    <s v="01"/>
    <x v="1"/>
    <x v="1"/>
    <x v="1"/>
    <x v="0"/>
    <n v="32494.560000000114"/>
    <n v="9.3715478090094839E-2"/>
    <x v="0"/>
    <x v="2"/>
    <n v="2128"/>
    <n v="147.66999999999996"/>
    <n v="144.21999999999997"/>
    <n v="1.5"/>
    <n v="0"/>
    <n v="1.95"/>
    <n v="-1.1324274851176597E-14"/>
    <n v="314241.75999999989"/>
    <n v="306900.15999999992"/>
    <n v="3192"/>
    <n v="0"/>
    <n v="4149.5999999999995"/>
    <n v="9.3677954282611609E-11"/>
    <n v="9.3715478090094839E-2"/>
    <n v="147.67000000000002"/>
    <n v="-2.2737367544323206E-11"/>
  </r>
  <r>
    <x v="1"/>
    <d v="2025-11-06T00:00:00"/>
    <s v="3271308126"/>
    <x v="2"/>
    <x v="2"/>
    <s v="NOS"/>
    <s v="ZSFG"/>
    <s v="SF0045"/>
    <n v="3248"/>
    <n v="479632.16"/>
    <n v="3248"/>
    <n v="3248"/>
    <x v="21"/>
    <n v="529229.12"/>
    <s v="RV"/>
    <s v="Billing doc.transfer"/>
    <s v="01"/>
    <x v="1"/>
    <x v="1"/>
    <x v="1"/>
    <x v="0"/>
    <n v="49596.960000000137"/>
    <n v="9.371547809009477E-2"/>
    <x v="0"/>
    <x v="2"/>
    <n v="3248"/>
    <n v="147.66999999999996"/>
    <n v="144.21999999999997"/>
    <n v="1.5"/>
    <n v="0"/>
    <n v="1.95"/>
    <n v="-1.1324274851176597E-14"/>
    <n v="479632.15999999986"/>
    <n v="468426.55999999988"/>
    <n v="4872"/>
    <n v="0"/>
    <n v="6333.5999999999995"/>
    <n v="9.3677954282611609E-11"/>
    <n v="9.3715478090094728E-2"/>
    <n v="147.66999999999999"/>
    <n v="-2.2737367544323206E-11"/>
  </r>
  <r>
    <x v="1"/>
    <d v="2025-11-06T00:00:00"/>
    <s v="3271308117"/>
    <x v="15"/>
    <x v="15"/>
    <s v="NOS"/>
    <s v="ZFG1"/>
    <s v="FG0010"/>
    <n v="1930"/>
    <n v="813263.4"/>
    <n v="1930"/>
    <n v="1930"/>
    <x v="21"/>
    <n v="932498.8"/>
    <s v="RV"/>
    <s v="Billing doc.transfer"/>
    <s v="01"/>
    <x v="0"/>
    <x v="2"/>
    <x v="2"/>
    <x v="0"/>
    <n v="118733.60000000033"/>
    <n v="0.12732842122692309"/>
    <x v="0"/>
    <x v="14"/>
    <n v="1930"/>
    <n v="421.37999999999982"/>
    <n v="373.01999999999981"/>
    <n v="22"/>
    <n v="0.26"/>
    <n v="26.1"/>
    <n v="0.26000000000001222"/>
    <n v="813765.19999999972"/>
    <n v="719928.59999999963"/>
    <n v="42460"/>
    <n v="501.8"/>
    <n v="50874.8"/>
    <n v="3.92901711165905E-10"/>
    <n v="0.12732842122692312"/>
    <n v="421.38"/>
    <n v="501.80000000009022"/>
  </r>
  <r>
    <x v="8"/>
    <d v="2025-11-06T00:00:00"/>
    <s v="3271308143"/>
    <x v="5"/>
    <x v="5"/>
    <s v="NOS"/>
    <s v="ZFG1"/>
    <s v="FG0010"/>
    <n v="12"/>
    <n v="3925.56"/>
    <n v="12"/>
    <n v="12"/>
    <x v="21"/>
    <n v="4092.84"/>
    <s v="RV"/>
    <s v="Billing doc.transfer"/>
    <s v="03"/>
    <x v="0"/>
    <x v="2"/>
    <x v="2"/>
    <x v="0"/>
    <n v="165.24000000000024"/>
    <n v="4.0372943970446003E-2"/>
    <x v="0"/>
    <x v="5"/>
    <n v="12"/>
    <n v="327.13"/>
    <n v="278.14"/>
    <n v="22.400000000000002"/>
    <n v="0.17"/>
    <n v="26.42"/>
    <n v="0.17000000000000526"/>
    <n v="3927.6"/>
    <n v="3337.68"/>
    <n v="268.8"/>
    <n v="2.04"/>
    <n v="319.08000000000004"/>
    <n v="0"/>
    <n v="4.0372943970445996E-2"/>
    <n v="327.13"/>
    <n v="2.0400000000000205"/>
  </r>
  <r>
    <x v="8"/>
    <d v="2025-11-06T00:00:00"/>
    <s v="3271308121"/>
    <x v="5"/>
    <x v="5"/>
    <s v="NOS"/>
    <s v="ZFG1"/>
    <s v="FG0010"/>
    <n v="35"/>
    <n v="11449.55"/>
    <n v="35"/>
    <n v="35"/>
    <x v="21"/>
    <n v="11937.45"/>
    <s v="RV"/>
    <s v="Billing doc.transfer"/>
    <s v="03"/>
    <x v="0"/>
    <x v="2"/>
    <x v="2"/>
    <x v="0"/>
    <n v="481.95000000000073"/>
    <n v="4.037294397044601E-2"/>
    <x v="0"/>
    <x v="5"/>
    <n v="35"/>
    <n v="327.13"/>
    <n v="278.14"/>
    <n v="22.400000000000002"/>
    <n v="0.17"/>
    <n v="26.42"/>
    <n v="0.17000000000000526"/>
    <n v="11455.5"/>
    <n v="9734.9"/>
    <n v="784.00000000000011"/>
    <n v="5.95"/>
    <n v="930.65000000000009"/>
    <n v="0"/>
    <n v="4.0372943970445996E-2"/>
    <n v="327.13"/>
    <n v="5.9500000000001592"/>
  </r>
  <r>
    <x v="6"/>
    <d v="2025-11-06T00:00:00"/>
    <s v="3271308358"/>
    <x v="52"/>
    <x v="52"/>
    <s v="NOS"/>
    <s v="ZROH"/>
    <s v="RM0009"/>
    <n v="1207"/>
    <n v="9930.7800000000007"/>
    <n v="1207"/>
    <n v="1207"/>
    <x v="21"/>
    <n v="8002.41"/>
    <s v="RV"/>
    <s v="Billing doc.transfer"/>
    <s v="06"/>
    <x v="2"/>
    <x v="17"/>
    <x v="4"/>
    <x v="0"/>
    <n v="8002.41"/>
    <n v="1"/>
    <x v="0"/>
    <x v="56"/>
    <n v="1207"/>
    <n v="0"/>
    <n v="0"/>
    <n v="0"/>
    <n v="0"/>
    <n v="0"/>
    <n v="0"/>
    <n v="0"/>
    <n v="0"/>
    <n v="0"/>
    <n v="0"/>
    <n v="0"/>
    <n v="9930.7800000000007"/>
    <n v="1"/>
    <n v="8.2276553438276725"/>
    <n v="0"/>
  </r>
  <r>
    <x v="3"/>
    <d v="2025-11-06T00:00:00"/>
    <s v="3277064031"/>
    <x v="41"/>
    <x v="41"/>
    <s v="NOS"/>
    <s v="ZSFG"/>
    <s v="SF0056"/>
    <n v="-5"/>
    <n v="-2659.55"/>
    <n v="-5"/>
    <n v="-5"/>
    <x v="21"/>
    <n v="-2834.4"/>
    <s v="RV"/>
    <s v="Billing doc.transfer"/>
    <s v="01"/>
    <x v="1"/>
    <x v="15"/>
    <x v="7"/>
    <x v="0"/>
    <n v="-174.84999999999991"/>
    <n v="6.1688540784645744E-2"/>
    <x v="0"/>
    <x v="97"/>
    <n v="-5"/>
    <n v="531.91000000000008"/>
    <n v="528.46"/>
    <n v="1.5"/>
    <n v="0"/>
    <n v="1.95"/>
    <n v="4.5519144009631418E-14"/>
    <n v="-2659.55"/>
    <n v="-2642.3"/>
    <n v="-7.5"/>
    <n v="0"/>
    <n v="-9.75"/>
    <n v="0"/>
    <n v="6.1688540784645696E-2"/>
    <n v="531.91000000000008"/>
    <n v="0"/>
  </r>
  <r>
    <x v="1"/>
    <d v="2025-11-05T00:00:00"/>
    <s v="3271307942"/>
    <x v="2"/>
    <x v="2"/>
    <s v="NOS"/>
    <s v="ZSFG"/>
    <s v="SF0045"/>
    <n v="1008"/>
    <n v="148851.35999999999"/>
    <n v="1008"/>
    <n v="1008"/>
    <x v="22"/>
    <n v="164243.51999999999"/>
    <s v="RV"/>
    <s v="Billing doc.transfer"/>
    <s v="01"/>
    <x v="1"/>
    <x v="1"/>
    <x v="1"/>
    <x v="0"/>
    <n v="15392.160000000003"/>
    <n v="9.3715478090094534E-2"/>
    <x v="0"/>
    <x v="2"/>
    <n v="1008"/>
    <n v="147.66999999999996"/>
    <n v="144.21999999999997"/>
    <n v="1.5"/>
    <n v="0"/>
    <n v="1.95"/>
    <n v="-1.1324274851176597E-14"/>
    <n v="148851.35999999999"/>
    <n v="145373.75999999998"/>
    <n v="1512"/>
    <n v="0"/>
    <n v="1965.6"/>
    <n v="5.9117155615240335E-12"/>
    <n v="9.3715478090094506E-2"/>
    <n v="147.66999999999999"/>
    <n v="5.9117155615240335E-12"/>
  </r>
  <r>
    <x v="1"/>
    <d v="2025-11-05T00:00:00"/>
    <s v="3271307847"/>
    <x v="2"/>
    <x v="2"/>
    <s v="NOS"/>
    <s v="ZSFG"/>
    <s v="SF0045"/>
    <n v="2088"/>
    <n v="308334.96000000002"/>
    <n v="2088"/>
    <n v="2088"/>
    <x v="22"/>
    <n v="340218.72"/>
    <s v="RV"/>
    <s v="Billing doc.transfer"/>
    <s v="01"/>
    <x v="1"/>
    <x v="1"/>
    <x v="1"/>
    <x v="0"/>
    <n v="31883.760000000068"/>
    <n v="9.3715478090094714E-2"/>
    <x v="0"/>
    <x v="2"/>
    <n v="2088"/>
    <n v="147.66999999999996"/>
    <n v="144.21999999999997"/>
    <n v="1.5"/>
    <n v="0"/>
    <n v="1.95"/>
    <n v="-1.1324274851176597E-14"/>
    <n v="308334.9599999999"/>
    <n v="301131.35999999993"/>
    <n v="3132"/>
    <n v="0"/>
    <n v="4071.6"/>
    <n v="9.3223206931725144E-11"/>
    <n v="9.3715478090094728E-2"/>
    <n v="147.67000000000002"/>
    <n v="-2.319211489520967E-11"/>
  </r>
  <r>
    <x v="1"/>
    <d v="2025-11-05T00:00:00"/>
    <s v="3271307930"/>
    <x v="8"/>
    <x v="8"/>
    <s v="NOS"/>
    <s v="ZFG1"/>
    <s v="FG0010"/>
    <n v="360"/>
    <n v="117072"/>
    <n v="360"/>
    <n v="360"/>
    <x v="22"/>
    <n v="130881.60000000001"/>
    <s v="RV"/>
    <s v="Billing doc.transfer"/>
    <s v="01"/>
    <x v="0"/>
    <x v="2"/>
    <x v="2"/>
    <x v="0"/>
    <n v="13716.000000000015"/>
    <n v="0.10479700737154814"/>
    <x v="0"/>
    <x v="23"/>
    <n v="360"/>
    <n v="325.19999999999993"/>
    <n v="271.52999999999997"/>
    <n v="23.84"/>
    <n v="0.26"/>
    <n v="29.569999999999997"/>
    <n v="0.25999999999996248"/>
    <n v="117165.59999999999"/>
    <n v="97750.799999999988"/>
    <n v="8582.4"/>
    <n v="93.600000000000009"/>
    <n v="10738.8"/>
    <n v="0"/>
    <n v="0.10479700737154818"/>
    <n v="325.2"/>
    <n v="93.600000000004002"/>
  </r>
  <r>
    <x v="1"/>
    <d v="2025-11-05T00:00:00"/>
    <s v="3271307845"/>
    <x v="8"/>
    <x v="8"/>
    <s v="NOS"/>
    <s v="ZFG1"/>
    <s v="FG0010"/>
    <n v="200"/>
    <n v="65040"/>
    <n v="200"/>
    <n v="200"/>
    <x v="22"/>
    <n v="72712"/>
    <s v="RV"/>
    <s v="Billing doc.transfer"/>
    <s v="01"/>
    <x v="0"/>
    <x v="2"/>
    <x v="2"/>
    <x v="0"/>
    <n v="7620.0000000000073"/>
    <n v="0.10479700737154812"/>
    <x v="0"/>
    <x v="23"/>
    <n v="200"/>
    <n v="325.19999999999993"/>
    <n v="271.52999999999997"/>
    <n v="23.84"/>
    <n v="0.26"/>
    <n v="29.569999999999997"/>
    <n v="0.25999999999996248"/>
    <n v="65091.999999999993"/>
    <n v="54305.999999999993"/>
    <n v="4768"/>
    <n v="52"/>
    <n v="5965.9999999999991"/>
    <n v="8.1854523159563541E-12"/>
    <n v="0.10479700737154818"/>
    <n v="325.2"/>
    <n v="52.000000000000909"/>
  </r>
  <r>
    <x v="9"/>
    <d v="2025-11-05T00:00:00"/>
    <s v="3271307939"/>
    <x v="59"/>
    <x v="59"/>
    <s v="NOS"/>
    <s v="ZFG1"/>
    <s v="FG0015"/>
    <n v="105"/>
    <n v="47725.65"/>
    <n v="105"/>
    <n v="105"/>
    <x v="22"/>
    <n v="43669.5"/>
    <s v="RV"/>
    <s v="Billing doc.transfer"/>
    <s v="06"/>
    <x v="0"/>
    <x v="18"/>
    <x v="8"/>
    <x v="0"/>
    <n v="-4074"/>
    <n v="-9.3291656648232746E-2"/>
    <x v="0"/>
    <x v="65"/>
    <n v="105"/>
    <n v="454.53000000000009"/>
    <n v="392.59000000000003"/>
    <n v="29.55"/>
    <n v="0.17"/>
    <n v="32.22"/>
    <n v="0.17000000000005855"/>
    <n v="47743.5"/>
    <n v="41221.950000000004"/>
    <n v="3102.75"/>
    <n v="17.850000000000001"/>
    <n v="3400.95"/>
    <n v="0"/>
    <n v="-9.329165664823269E-2"/>
    <n v="454.53000000000003"/>
    <n v="17.849999999995816"/>
  </r>
  <r>
    <x v="1"/>
    <d v="2025-11-05T00:00:00"/>
    <s v="3271307846"/>
    <x v="101"/>
    <x v="100"/>
    <s v="NOS"/>
    <s v="ZFG1"/>
    <s v="FG0010"/>
    <n v="380"/>
    <n v="124343.6"/>
    <n v="380"/>
    <n v="380"/>
    <x v="22"/>
    <n v="129120.2"/>
    <s v="RV"/>
    <s v="Billing doc.transfer"/>
    <s v="01"/>
    <x v="0"/>
    <x v="2"/>
    <x v="2"/>
    <x v="0"/>
    <n v="4708.199999999968"/>
    <n v="3.6463698166514368E-2"/>
    <x v="0"/>
    <x v="66"/>
    <n v="380"/>
    <n v="327.23000000000008"/>
    <n v="275.85000000000002"/>
    <n v="23.720000000000002"/>
    <n v="0.17"/>
    <n v="27.49"/>
    <n v="0.17000000000005144"/>
    <n v="124412.00000000003"/>
    <n v="104823.00000000001"/>
    <n v="9013.6"/>
    <n v="64.600000000000009"/>
    <n v="10510.8"/>
    <n v="-3.8000000000083674"/>
    <n v="3.6463698166514402E-2"/>
    <n v="327.22000000000003"/>
    <n v="64.600000000014916"/>
  </r>
  <r>
    <x v="1"/>
    <d v="2025-11-05T00:00:00"/>
    <s v="3271308116"/>
    <x v="3"/>
    <x v="3"/>
    <s v="NOS"/>
    <s v="ZFG1"/>
    <s v="FG0010"/>
    <n v="175"/>
    <n v="112880.25"/>
    <n v="175"/>
    <n v="175"/>
    <x v="22"/>
    <n v="127498"/>
    <s v="RV"/>
    <s v="Billing doc.transfer"/>
    <s v="01"/>
    <x v="0"/>
    <x v="2"/>
    <x v="2"/>
    <x v="0"/>
    <n v="14542.500000000058"/>
    <n v="0.11406061271549403"/>
    <x v="0"/>
    <x v="3"/>
    <n v="175"/>
    <n v="645.02999999999963"/>
    <n v="582.23999999999967"/>
    <n v="29.88"/>
    <n v="0.43"/>
    <n v="32.480000000000004"/>
    <n v="0.42999999999996419"/>
    <n v="112955.49999999994"/>
    <n v="101891.99999999994"/>
    <n v="5229"/>
    <n v="75.25"/>
    <n v="5759.2500000000009"/>
    <n v="5.7298166211694479E-11"/>
    <n v="0.11406061271549406"/>
    <n v="645.03"/>
    <n v="75.249999999999091"/>
  </r>
  <r>
    <x v="1"/>
    <d v="2025-11-05T00:00:00"/>
    <s v="3271307929"/>
    <x v="3"/>
    <x v="3"/>
    <s v="NOS"/>
    <s v="ZFG1"/>
    <s v="FG0010"/>
    <n v="245"/>
    <n v="158032.35"/>
    <n v="245"/>
    <n v="245"/>
    <x v="22"/>
    <n v="178497.2"/>
    <s v="RV"/>
    <s v="Billing doc.transfer"/>
    <s v="01"/>
    <x v="0"/>
    <x v="2"/>
    <x v="2"/>
    <x v="0"/>
    <n v="20359.500000000058"/>
    <n v="0.11406061271549389"/>
    <x v="0"/>
    <x v="20"/>
    <n v="245"/>
    <n v="645.02999999999963"/>
    <n v="582.23999999999967"/>
    <n v="29.88"/>
    <n v="0.43"/>
    <n v="32.480000000000004"/>
    <n v="0.42999999999996419"/>
    <n v="158137.69999999995"/>
    <n v="142648.79999999993"/>
    <n v="7320.5999999999995"/>
    <n v="105.35"/>
    <n v="8062.9500000000016"/>
    <n v="7.4578565545380116E-11"/>
    <n v="0.11406061271549395"/>
    <n v="645.03"/>
    <n v="105.35000000002219"/>
  </r>
  <r>
    <x v="1"/>
    <d v="2025-11-05T00:00:00"/>
    <s v="3271307848"/>
    <x v="3"/>
    <x v="3"/>
    <s v="NOS"/>
    <s v="ZFG1"/>
    <s v="FG0010"/>
    <n v="240"/>
    <n v="154807.20000000001"/>
    <n v="240"/>
    <n v="240"/>
    <x v="22"/>
    <n v="174854.39999999999"/>
    <s v="RV"/>
    <s v="Billing doc.transfer"/>
    <s v="01"/>
    <x v="0"/>
    <x v="2"/>
    <x v="2"/>
    <x v="0"/>
    <n v="19944.000000000058"/>
    <n v="0.11406061271549392"/>
    <x v="0"/>
    <x v="3"/>
    <n v="240"/>
    <n v="645.02999999999963"/>
    <n v="582.23999999999967"/>
    <n v="29.88"/>
    <n v="0.43"/>
    <n v="32.480000000000004"/>
    <n v="0.42999999999996419"/>
    <n v="154910.39999999994"/>
    <n v="139737.59999999992"/>
    <n v="7171.2"/>
    <n v="103.2"/>
    <n v="7898.4000000000005"/>
    <n v="9.276845958083868E-11"/>
    <n v="0.11406061271549395"/>
    <n v="645.03000000000009"/>
    <n v="103.2000000000171"/>
  </r>
  <r>
    <x v="1"/>
    <d v="2025-11-05T00:00:00"/>
    <s v="3271307929"/>
    <x v="11"/>
    <x v="11"/>
    <s v="NOS"/>
    <s v="ZFG1"/>
    <s v="FG0010"/>
    <n v="1095"/>
    <n v="358207.35"/>
    <n v="1095"/>
    <n v="1095"/>
    <x v="22"/>
    <n v="373471.65"/>
    <s v="RV"/>
    <s v="Billing doc.transfer"/>
    <s v="01"/>
    <x v="0"/>
    <x v="2"/>
    <x v="2"/>
    <x v="0"/>
    <n v="15078.149999999965"/>
    <n v="4.037294397044585E-2"/>
    <x v="0"/>
    <x v="5"/>
    <n v="1095"/>
    <n v="327.13000000000005"/>
    <n v="278.14000000000004"/>
    <n v="22.400000000000002"/>
    <n v="0.17"/>
    <n v="26.42"/>
    <n v="0.17000000000000526"/>
    <n v="358393.50000000006"/>
    <n v="304563.30000000005"/>
    <n v="24528.000000000004"/>
    <n v="186.15"/>
    <n v="29116.050000000003"/>
    <n v="-7.6397554948925972E-11"/>
    <n v="4.0372943970445885E-2"/>
    <n v="327.13"/>
    <n v="186.15000000000509"/>
  </r>
  <r>
    <x v="1"/>
    <d v="2025-11-05T00:00:00"/>
    <s v="3271307846"/>
    <x v="4"/>
    <x v="4"/>
    <s v="NOS"/>
    <s v="ZFG1"/>
    <s v="FG0010"/>
    <n v="1210"/>
    <n v="509906.1"/>
    <n v="1210"/>
    <n v="1210"/>
    <x v="22"/>
    <n v="584623.6"/>
    <s v="RV"/>
    <s v="Billing doc.transfer"/>
    <s v="01"/>
    <x v="0"/>
    <x v="2"/>
    <x v="2"/>
    <x v="0"/>
    <n v="74402.900000000198"/>
    <n v="0.12726632999420517"/>
    <x v="0"/>
    <x v="4"/>
    <n v="1210"/>
    <n v="421.40999999999985"/>
    <n v="373.04999999999984"/>
    <n v="22"/>
    <n v="0.26"/>
    <n v="26.1"/>
    <n v="0.26000000000001222"/>
    <n v="510220.69999999978"/>
    <n v="451390.49999999983"/>
    <n v="26620"/>
    <n v="314.60000000000002"/>
    <n v="31895.599999999999"/>
    <n v="1.5279510989785194E-10"/>
    <n v="0.12726632999420517"/>
    <n v="421.40999999999997"/>
    <n v="314.59999999995489"/>
  </r>
  <r>
    <x v="1"/>
    <d v="2025-11-05T00:00:00"/>
    <s v="3271308116"/>
    <x v="15"/>
    <x v="15"/>
    <s v="NOS"/>
    <s v="ZFG1"/>
    <s v="FG0010"/>
    <n v="360"/>
    <n v="151696.79999999999"/>
    <n v="360"/>
    <n v="360"/>
    <x v="22"/>
    <n v="173937.6"/>
    <s v="RV"/>
    <s v="Billing doc.transfer"/>
    <s v="01"/>
    <x v="0"/>
    <x v="2"/>
    <x v="2"/>
    <x v="0"/>
    <n v="22147.20000000007"/>
    <n v="0.12732842122692314"/>
    <x v="0"/>
    <x v="14"/>
    <n v="360"/>
    <n v="421.37999999999982"/>
    <n v="373.01999999999981"/>
    <n v="22"/>
    <n v="0.26"/>
    <n v="26.1"/>
    <n v="0.26000000000001222"/>
    <n v="151790.39999999994"/>
    <n v="134287.19999999992"/>
    <n v="7920"/>
    <n v="93.600000000000009"/>
    <n v="9489.6"/>
    <n v="6.3664629124104977E-11"/>
    <n v="0.12732842122692312"/>
    <n v="421.38"/>
    <n v="93.600000000011278"/>
  </r>
  <r>
    <x v="1"/>
    <d v="2025-11-05T00:00:00"/>
    <s v="3271307946"/>
    <x v="15"/>
    <x v="15"/>
    <s v="NOS"/>
    <s v="ZFG1"/>
    <s v="FG0010"/>
    <n v="210"/>
    <n v="88489.8"/>
    <n v="210"/>
    <n v="210"/>
    <x v="22"/>
    <n v="101463.6"/>
    <s v="RV"/>
    <s v="Billing doc.transfer"/>
    <s v="01"/>
    <x v="0"/>
    <x v="2"/>
    <x v="2"/>
    <x v="0"/>
    <n v="12919.200000000041"/>
    <n v="0.12732842122692314"/>
    <x v="0"/>
    <x v="14"/>
    <n v="210"/>
    <n v="421.37999999999982"/>
    <n v="373.01999999999981"/>
    <n v="22"/>
    <n v="0.26"/>
    <n v="26.1"/>
    <n v="0.26000000000001222"/>
    <n v="88544.399999999965"/>
    <n v="78334.199999999953"/>
    <n v="4620"/>
    <n v="54.6"/>
    <n v="5535.6"/>
    <n v="4.9112713895738125E-11"/>
    <n v="0.12732842122692312"/>
    <n v="421.38"/>
    <n v="54.600000000011278"/>
  </r>
  <r>
    <x v="1"/>
    <d v="2025-11-05T00:00:00"/>
    <s v="3271307846"/>
    <x v="5"/>
    <x v="5"/>
    <s v="NOS"/>
    <s v="ZFG1"/>
    <s v="FG0010"/>
    <n v="555"/>
    <n v="181557.15"/>
    <n v="555"/>
    <n v="555"/>
    <x v="22"/>
    <n v="189293.85"/>
    <s v="RV"/>
    <s v="Billing doc.transfer"/>
    <s v="01"/>
    <x v="0"/>
    <x v="2"/>
    <x v="2"/>
    <x v="0"/>
    <n v="7642.3500000000058"/>
    <n v="4.0372943970445982E-2"/>
    <x v="0"/>
    <x v="5"/>
    <n v="555"/>
    <n v="327.13"/>
    <n v="278.14"/>
    <n v="22.400000000000002"/>
    <n v="0.17"/>
    <n v="26.42"/>
    <n v="0.17000000000000526"/>
    <n v="181651.5"/>
    <n v="154367.69999999998"/>
    <n v="12432.000000000002"/>
    <n v="94.350000000000009"/>
    <n v="14757.45"/>
    <n v="0"/>
    <n v="4.0372943970445996E-2"/>
    <n v="327.13"/>
    <n v="94.350000000014916"/>
  </r>
  <r>
    <x v="1"/>
    <d v="2025-11-05T00:00:00"/>
    <s v="3271308116"/>
    <x v="102"/>
    <x v="101"/>
    <s v="NOS"/>
    <s v="ZFG1"/>
    <s v="FG0010"/>
    <n v="490"/>
    <n v="160279"/>
    <n v="490"/>
    <n v="490"/>
    <x v="22"/>
    <n v="167124.29999999999"/>
    <s v="RV"/>
    <s v="Billing doc.transfer"/>
    <s v="01"/>
    <x v="0"/>
    <x v="2"/>
    <x v="2"/>
    <x v="0"/>
    <n v="6762.0000000000291"/>
    <n v="4.0460902454041867E-2"/>
    <x v="0"/>
    <x v="5"/>
    <n v="490"/>
    <n v="327.09999999999991"/>
    <n v="278.1099999999999"/>
    <n v="22.400000000000002"/>
    <n v="0.17"/>
    <n v="26.42"/>
    <n v="0.17000000000000526"/>
    <n v="160362.29999999996"/>
    <n v="136273.89999999997"/>
    <n v="10976.000000000002"/>
    <n v="83.300000000000011"/>
    <n v="13029.1"/>
    <n v="3.2741809263825417E-11"/>
    <n v="4.046090245404188E-2"/>
    <n v="327.10000000000002"/>
    <n v="83.299999999991996"/>
  </r>
  <r>
    <x v="1"/>
    <d v="2025-11-05T00:00:00"/>
    <s v="3277063954"/>
    <x v="103"/>
    <x v="102"/>
    <s v="NOS"/>
    <s v="ZFG1"/>
    <s v="FG0012"/>
    <n v="-4"/>
    <n v="-2787.6"/>
    <n v="-4"/>
    <n v="-4"/>
    <x v="22"/>
    <n v="-3448.96"/>
    <s v="RV"/>
    <s v="Billing doc.transfer"/>
    <s v="01"/>
    <x v="0"/>
    <x v="9"/>
    <x v="5"/>
    <x v="0"/>
    <n v="-659.84000000000151"/>
    <n v="0.19131564297643391"/>
    <x v="0"/>
    <x v="98"/>
    <n v="-4"/>
    <n v="696.91999999999973"/>
    <n v="623.88999999999965"/>
    <n v="28.97"/>
    <n v="0.36"/>
    <n v="43.699999999999996"/>
    <n v="0.3600000000000918"/>
    <n v="-2789.1199999999985"/>
    <n v="-2495.5599999999986"/>
    <n v="-115.88"/>
    <n v="-1.44"/>
    <n v="-176.23999999999998"/>
    <n v="7.9999999998648263E-2"/>
    <n v="0.19131564297643389"/>
    <n v="696.9"/>
    <n v="-1.4399999999999693"/>
  </r>
  <r>
    <x v="1"/>
    <d v="2025-11-04T00:00:00"/>
    <s v="3271307567"/>
    <x v="18"/>
    <x v="18"/>
    <s v="NOS"/>
    <s v="ZSFG"/>
    <s v="SF0045"/>
    <n v="2240"/>
    <n v="427772.8"/>
    <n v="2240"/>
    <n v="2240"/>
    <x v="23"/>
    <n v="465382.40000000002"/>
    <s v="RV"/>
    <s v="Billing doc.transfer"/>
    <s v="01"/>
    <x v="1"/>
    <x v="1"/>
    <x v="1"/>
    <x v="0"/>
    <n v="37609.600000000093"/>
    <n v="8.0814401232191191E-2"/>
    <x v="0"/>
    <x v="99"/>
    <n v="2240"/>
    <n v="190.96999999999997"/>
    <n v="187.51999999999998"/>
    <n v="1.5"/>
    <n v="0"/>
    <n v="1.95"/>
    <n v="-1.1324274851176597E-14"/>
    <n v="427772.79999999993"/>
    <n v="420044.79999999993"/>
    <n v="3360"/>
    <n v="0"/>
    <n v="4368"/>
    <n v="5.8207660913467407E-11"/>
    <n v="8.0814401232191191E-2"/>
    <n v="190.97"/>
    <n v="0"/>
  </r>
  <r>
    <x v="1"/>
    <d v="2025-11-04T00:00:00"/>
    <s v="3271307570"/>
    <x v="18"/>
    <x v="18"/>
    <s v="NOS"/>
    <s v="ZSFG"/>
    <s v="SF0045"/>
    <n v="708"/>
    <n v="135206.76"/>
    <n v="708"/>
    <n v="708"/>
    <x v="23"/>
    <n v="147094.07999999999"/>
    <s v="RV"/>
    <s v="Billing doc.transfer"/>
    <s v="01"/>
    <x v="1"/>
    <x v="1"/>
    <x v="1"/>
    <x v="0"/>
    <n v="11887.320000000007"/>
    <n v="8.0814401232191038E-2"/>
    <x v="0"/>
    <x v="21"/>
    <n v="708"/>
    <n v="190.96999999999997"/>
    <n v="187.51999999999998"/>
    <n v="1.5"/>
    <n v="0"/>
    <n v="1.95"/>
    <n v="-1.1324274851176597E-14"/>
    <n v="135206.75999999998"/>
    <n v="132764.15999999997"/>
    <n v="1062"/>
    <n v="0"/>
    <n v="1380.6"/>
    <n v="3.5015546018257737E-11"/>
    <n v="8.081440123219108E-2"/>
    <n v="190.97000000000003"/>
    <n v="5.9117155615240335E-12"/>
  </r>
  <r>
    <x v="1"/>
    <d v="2025-11-04T00:00:00"/>
    <s v="3271307573"/>
    <x v="2"/>
    <x v="2"/>
    <s v="NOS"/>
    <s v="ZSFG"/>
    <s v="SF0045"/>
    <n v="1840"/>
    <n v="271712.8"/>
    <n v="1840"/>
    <n v="1840"/>
    <x v="23"/>
    <n v="299809.59999999998"/>
    <s v="RV"/>
    <s v="Billing doc.transfer"/>
    <s v="01"/>
    <x v="1"/>
    <x v="1"/>
    <x v="1"/>
    <x v="0"/>
    <n v="28096.800000000047"/>
    <n v="9.3715478090094673E-2"/>
    <x v="0"/>
    <x v="2"/>
    <n v="1840"/>
    <n v="147.66999999999996"/>
    <n v="144.21999999999997"/>
    <n v="1.5"/>
    <n v="0"/>
    <n v="1.95"/>
    <n v="-1.1324274851176597E-14"/>
    <n v="271712.79999999993"/>
    <n v="265364.79999999993"/>
    <n v="2760"/>
    <n v="0"/>
    <n v="3588"/>
    <n v="5.8207660913467407E-11"/>
    <n v="9.3715478090094728E-2"/>
    <n v="147.66999999999999"/>
    <n v="0"/>
  </r>
  <r>
    <x v="1"/>
    <d v="2025-11-04T00:00:00"/>
    <s v="3271307841"/>
    <x v="2"/>
    <x v="2"/>
    <s v="NOS"/>
    <s v="ZSFG"/>
    <s v="SF0045"/>
    <n v="1120"/>
    <n v="165390.39999999999"/>
    <n v="1120"/>
    <n v="1120"/>
    <x v="23"/>
    <n v="182492.79999999999"/>
    <s v="RV"/>
    <s v="Billing doc.transfer"/>
    <s v="01"/>
    <x v="1"/>
    <x v="1"/>
    <x v="1"/>
    <x v="0"/>
    <n v="17102.400000000023"/>
    <n v="9.3715478090094645E-2"/>
    <x v="0"/>
    <x v="2"/>
    <n v="1120"/>
    <n v="147.66999999999996"/>
    <n v="144.21999999999997"/>
    <n v="1.5"/>
    <n v="0"/>
    <n v="1.95"/>
    <n v="-1.1324274851176597E-14"/>
    <n v="165390.39999999997"/>
    <n v="161526.39999999997"/>
    <n v="1680"/>
    <n v="0"/>
    <n v="2184"/>
    <n v="2.9103830456733704E-11"/>
    <n v="9.3715478090094617E-2"/>
    <n v="147.66999999999999"/>
    <n v="0"/>
  </r>
  <r>
    <x v="1"/>
    <d v="2025-11-04T00:00:00"/>
    <s v="3271307568"/>
    <x v="3"/>
    <x v="3"/>
    <s v="NOS"/>
    <s v="ZFG1"/>
    <s v="FG0010"/>
    <n v="175"/>
    <n v="112880.25"/>
    <n v="175"/>
    <n v="175"/>
    <x v="23"/>
    <n v="127498"/>
    <s v="RV"/>
    <s v="Billing doc.transfer"/>
    <s v="01"/>
    <x v="0"/>
    <x v="2"/>
    <x v="2"/>
    <x v="0"/>
    <n v="14542.500000000058"/>
    <n v="0.11406061271549403"/>
    <x v="0"/>
    <x v="3"/>
    <n v="175"/>
    <n v="645.02999999999963"/>
    <n v="582.23999999999967"/>
    <n v="29.88"/>
    <n v="0.43"/>
    <n v="32.480000000000004"/>
    <n v="0.42999999999996419"/>
    <n v="112955.49999999994"/>
    <n v="101891.99999999994"/>
    <n v="5229"/>
    <n v="75.25"/>
    <n v="5759.2500000000009"/>
    <n v="5.7298166211694479E-11"/>
    <n v="0.11406061271549406"/>
    <n v="645.03"/>
    <n v="75.249999999999091"/>
  </r>
  <r>
    <x v="1"/>
    <d v="2025-11-04T00:00:00"/>
    <s v="3271307565"/>
    <x v="3"/>
    <x v="3"/>
    <s v="NOS"/>
    <s v="ZFG1"/>
    <s v="FG0010"/>
    <n v="175"/>
    <n v="112880.25"/>
    <n v="175"/>
    <n v="175"/>
    <x v="23"/>
    <n v="127498"/>
    <s v="RV"/>
    <s v="Billing doc.transfer"/>
    <s v="01"/>
    <x v="0"/>
    <x v="2"/>
    <x v="2"/>
    <x v="0"/>
    <n v="14542.500000000058"/>
    <n v="0.11406061271549403"/>
    <x v="0"/>
    <x v="3"/>
    <n v="175"/>
    <n v="645.02999999999963"/>
    <n v="582.23999999999967"/>
    <n v="29.88"/>
    <n v="0.43"/>
    <n v="32.480000000000004"/>
    <n v="0.42999999999996419"/>
    <n v="112955.49999999994"/>
    <n v="101891.99999999994"/>
    <n v="5229"/>
    <n v="75.25"/>
    <n v="5759.2500000000009"/>
    <n v="5.7298166211694479E-11"/>
    <n v="0.11406061271549406"/>
    <n v="645.03"/>
    <n v="75.249999999999091"/>
  </r>
  <r>
    <x v="1"/>
    <d v="2025-11-04T00:00:00"/>
    <s v="3271307569"/>
    <x v="11"/>
    <x v="11"/>
    <s v="NOS"/>
    <s v="ZFG1"/>
    <s v="FG0010"/>
    <n v="1026"/>
    <n v="335635.38"/>
    <n v="1026"/>
    <n v="1026"/>
    <x v="23"/>
    <n v="349937.82"/>
    <s v="RV"/>
    <s v="Billing doc.transfer"/>
    <s v="01"/>
    <x v="0"/>
    <x v="2"/>
    <x v="2"/>
    <x v="0"/>
    <n v="14128.019999999902"/>
    <n v="4.037294397044567E-2"/>
    <x v="0"/>
    <x v="5"/>
    <n v="1026"/>
    <n v="327.13000000000005"/>
    <n v="278.14000000000004"/>
    <n v="22.400000000000002"/>
    <n v="0.17"/>
    <n v="26.42"/>
    <n v="0.17000000000000526"/>
    <n v="335809.8000000001"/>
    <n v="285371.64000000007"/>
    <n v="22982.400000000001"/>
    <n v="174.42000000000002"/>
    <n v="27281.34"/>
    <n v="-6.9121597334742546E-11"/>
    <n v="4.0372943970445663E-2"/>
    <n v="327.13"/>
    <n v="174.420000000031"/>
  </r>
  <r>
    <x v="1"/>
    <d v="2025-11-04T00:00:00"/>
    <s v="3271307569"/>
    <x v="8"/>
    <x v="8"/>
    <s v="NOS"/>
    <s v="ZFG1"/>
    <s v="FG0010"/>
    <n v="372"/>
    <n v="120974.39999999999"/>
    <n v="372"/>
    <n v="372"/>
    <x v="23"/>
    <n v="135244.32"/>
    <s v="RV"/>
    <s v="Billing doc.transfer"/>
    <s v="01"/>
    <x v="0"/>
    <x v="2"/>
    <x v="2"/>
    <x v="0"/>
    <n v="14173.200000000026"/>
    <n v="0.10479700737154821"/>
    <x v="0"/>
    <x v="23"/>
    <n v="372"/>
    <n v="325.19999999999993"/>
    <n v="271.52999999999997"/>
    <n v="23.84"/>
    <n v="0.26"/>
    <n v="29.569999999999997"/>
    <n v="0.25999999999996248"/>
    <n v="121071.11999999998"/>
    <n v="101009.15999999999"/>
    <n v="8868.48"/>
    <n v="96.72"/>
    <n v="11096.759999999998"/>
    <n v="0"/>
    <n v="0.10479700737154818"/>
    <n v="325.2"/>
    <n v="96.719999999993888"/>
  </r>
  <r>
    <x v="1"/>
    <d v="2025-11-04T00:00:00"/>
    <s v="3271307565"/>
    <x v="8"/>
    <x v="8"/>
    <s v="NOS"/>
    <s v="ZFG1"/>
    <s v="FG0010"/>
    <n v="100"/>
    <n v="32520"/>
    <n v="100"/>
    <n v="100"/>
    <x v="23"/>
    <n v="36356"/>
    <s v="RV"/>
    <s v="Billing doc.transfer"/>
    <s v="01"/>
    <x v="0"/>
    <x v="2"/>
    <x v="2"/>
    <x v="0"/>
    <n v="3810.0000000000036"/>
    <n v="0.10479700737154812"/>
    <x v="0"/>
    <x v="23"/>
    <n v="100"/>
    <n v="325.19999999999993"/>
    <n v="271.52999999999997"/>
    <n v="23.84"/>
    <n v="0.26"/>
    <n v="29.569999999999997"/>
    <n v="0.25999999999996248"/>
    <n v="32545.999999999996"/>
    <n v="27152.999999999996"/>
    <n v="2384"/>
    <n v="26"/>
    <n v="2982.9999999999995"/>
    <n v="4.0927261579781771E-12"/>
    <n v="0.10479700737154818"/>
    <n v="325.2"/>
    <n v="26.000000000000455"/>
  </r>
  <r>
    <x v="1"/>
    <d v="2025-11-04T00:00:00"/>
    <s v="3271307569"/>
    <x v="4"/>
    <x v="4"/>
    <s v="NOS"/>
    <s v="ZFG1"/>
    <s v="FG0010"/>
    <n v="1225"/>
    <n v="516227.25"/>
    <n v="1225"/>
    <n v="1225"/>
    <x v="23"/>
    <n v="591871"/>
    <s v="RV"/>
    <s v="Billing doc.transfer"/>
    <s v="01"/>
    <x v="0"/>
    <x v="2"/>
    <x v="2"/>
    <x v="0"/>
    <n v="75325.250000000175"/>
    <n v="0.12726632999420512"/>
    <x v="0"/>
    <x v="14"/>
    <n v="1225"/>
    <n v="421.40999999999985"/>
    <n v="373.04999999999984"/>
    <n v="22"/>
    <n v="0.26"/>
    <n v="26.1"/>
    <n v="0.26000000000001222"/>
    <n v="516545.74999999983"/>
    <n v="456986.24999999983"/>
    <n v="26950"/>
    <n v="318.5"/>
    <n v="32291"/>
    <n v="1.7462298274040222E-10"/>
    <n v="0.12726632999420506"/>
    <n v="421.41"/>
    <n v="318.5"/>
  </r>
  <r>
    <x v="1"/>
    <d v="2025-11-04T00:00:00"/>
    <s v="3271307569"/>
    <x v="28"/>
    <x v="28"/>
    <s v="NOS"/>
    <s v="ZFG1"/>
    <s v="FG0010"/>
    <n v="210"/>
    <n v="88489.8"/>
    <n v="210"/>
    <n v="210"/>
    <x v="23"/>
    <n v="101463.6"/>
    <s v="RV"/>
    <s v="Billing doc.transfer"/>
    <s v="01"/>
    <x v="0"/>
    <x v="2"/>
    <x v="2"/>
    <x v="0"/>
    <n v="12919.200000000041"/>
    <n v="0.12732842122692314"/>
    <x v="0"/>
    <x v="14"/>
    <n v="210"/>
    <n v="421.37999999999982"/>
    <n v="373.01999999999981"/>
    <n v="22"/>
    <n v="0.26"/>
    <n v="26.1"/>
    <n v="0.26000000000001222"/>
    <n v="88544.399999999965"/>
    <n v="78334.199999999953"/>
    <n v="4620"/>
    <n v="54.6"/>
    <n v="5535.6"/>
    <n v="4.9112713895738125E-11"/>
    <n v="0.12732842122692312"/>
    <n v="421.38"/>
    <n v="54.600000000011278"/>
  </r>
  <r>
    <x v="1"/>
    <d v="2025-11-04T00:00:00"/>
    <s v="3271307566"/>
    <x v="28"/>
    <x v="28"/>
    <s v="NOS"/>
    <s v="ZFG1"/>
    <s v="FG0010"/>
    <n v="210"/>
    <n v="88489.8"/>
    <n v="210"/>
    <n v="210"/>
    <x v="23"/>
    <n v="101463.6"/>
    <s v="RV"/>
    <s v="Billing doc.transfer"/>
    <s v="01"/>
    <x v="0"/>
    <x v="2"/>
    <x v="2"/>
    <x v="0"/>
    <n v="12919.200000000041"/>
    <n v="0.12732842122692314"/>
    <x v="0"/>
    <x v="14"/>
    <n v="210"/>
    <n v="421.37999999999982"/>
    <n v="373.01999999999981"/>
    <n v="22"/>
    <n v="0.26"/>
    <n v="26.1"/>
    <n v="0.26000000000001222"/>
    <n v="88544.399999999965"/>
    <n v="78334.199999999953"/>
    <n v="4620"/>
    <n v="54.6"/>
    <n v="5535.6"/>
    <n v="4.9112713895738125E-11"/>
    <n v="0.12732842122692312"/>
    <n v="421.38"/>
    <n v="54.600000000011278"/>
  </r>
  <r>
    <x v="1"/>
    <d v="2025-11-04T00:00:00"/>
    <s v="3271307569"/>
    <x v="5"/>
    <x v="5"/>
    <s v="NOS"/>
    <s v="ZFG1"/>
    <s v="FG0010"/>
    <n v="1745"/>
    <n v="570841.85"/>
    <n v="1745"/>
    <n v="1745"/>
    <x v="23"/>
    <n v="595167.15"/>
    <s v="RV"/>
    <s v="Billing doc.transfer"/>
    <s v="01"/>
    <x v="0"/>
    <x v="2"/>
    <x v="2"/>
    <x v="0"/>
    <n v="24028.649999999907"/>
    <n v="4.0372943970445795E-2"/>
    <x v="0"/>
    <x v="5"/>
    <n v="1745"/>
    <n v="327.13"/>
    <n v="278.14"/>
    <n v="22.400000000000002"/>
    <n v="0.17"/>
    <n v="26.42"/>
    <n v="0.17000000000000526"/>
    <n v="571138.50000000012"/>
    <n v="485354.3"/>
    <n v="39088.000000000007"/>
    <n v="296.65000000000003"/>
    <n v="46399.55"/>
    <n v="0"/>
    <n v="4.0372943970445774E-2"/>
    <n v="327.13"/>
    <n v="296.65000000011787"/>
  </r>
  <r>
    <x v="1"/>
    <d v="2025-11-04T00:00:00"/>
    <s v="3271307565"/>
    <x v="5"/>
    <x v="5"/>
    <s v="NOS"/>
    <s v="ZFG1"/>
    <s v="FG0010"/>
    <n v="900"/>
    <n v="294417"/>
    <n v="900"/>
    <n v="900"/>
    <x v="23"/>
    <n v="306963"/>
    <s v="RV"/>
    <s v="Billing doc.transfer"/>
    <s v="01"/>
    <x v="0"/>
    <x v="2"/>
    <x v="2"/>
    <x v="0"/>
    <n v="12393"/>
    <n v="4.0372943970445947E-2"/>
    <x v="0"/>
    <x v="5"/>
    <n v="900"/>
    <n v="327.13"/>
    <n v="278.14"/>
    <n v="22.400000000000002"/>
    <n v="0.17"/>
    <n v="26.42"/>
    <n v="0.17000000000000526"/>
    <n v="294570"/>
    <n v="250326"/>
    <n v="20160.000000000004"/>
    <n v="153"/>
    <n v="23931"/>
    <n v="0"/>
    <n v="4.0372943970445996E-2"/>
    <n v="327.13"/>
    <n v="152.99999999999636"/>
  </r>
  <r>
    <x v="7"/>
    <d v="2025-11-04T00:00:00"/>
    <s v="3271307572"/>
    <x v="45"/>
    <x v="45"/>
    <s v="NOS"/>
    <s v="ZROH"/>
    <s v="RM0005"/>
    <n v="20000"/>
    <n v="183220.06"/>
    <n v="20000"/>
    <n v="20000"/>
    <x v="23"/>
    <n v="183600"/>
    <s v="RV"/>
    <s v="Billing doc.transfer"/>
    <s v="06"/>
    <x v="2"/>
    <x v="4"/>
    <x v="4"/>
    <x v="0"/>
    <n v="183600"/>
    <n v="1"/>
    <x v="0"/>
    <x v="49"/>
    <n v="20000"/>
    <n v="0"/>
    <n v="0"/>
    <n v="0"/>
    <n v="0"/>
    <n v="0"/>
    <n v="0"/>
    <n v="0"/>
    <n v="0"/>
    <n v="0"/>
    <n v="0"/>
    <n v="0"/>
    <n v="183220.06"/>
    <n v="1"/>
    <n v="9.1610029999999991"/>
    <n v="0"/>
  </r>
  <r>
    <x v="1"/>
    <d v="2025-11-04T00:00:00"/>
    <s v="3271307844"/>
    <x v="101"/>
    <x v="100"/>
    <s v="NOS"/>
    <s v="ZFG1"/>
    <s v="FG0010"/>
    <n v="350"/>
    <n v="114527"/>
    <n v="350"/>
    <n v="350"/>
    <x v="23"/>
    <n v="118926.5"/>
    <s v="RV"/>
    <s v="Billing doc.transfer"/>
    <s v="01"/>
    <x v="0"/>
    <x v="2"/>
    <x v="2"/>
    <x v="0"/>
    <n v="4336.4999999999854"/>
    <n v="3.6463698166514492E-2"/>
    <x v="0"/>
    <x v="66"/>
    <n v="350"/>
    <n v="327.23000000000008"/>
    <n v="275.85000000000002"/>
    <n v="23.720000000000002"/>
    <n v="0.17"/>
    <n v="27.49"/>
    <n v="0.17000000000005144"/>
    <n v="114590.00000000001"/>
    <n v="96547.500000000015"/>
    <n v="8302"/>
    <n v="59.500000000000007"/>
    <n v="9681"/>
    <n v="-3.5000000000145519"/>
    <n v="3.6463698166514513E-2"/>
    <n v="327.22000000000003"/>
    <n v="59.5"/>
  </r>
  <r>
    <x v="1"/>
    <d v="2025-11-04T00:00:00"/>
    <s v="3271307842"/>
    <x v="3"/>
    <x v="3"/>
    <s v="NOS"/>
    <s v="ZFG1"/>
    <s v="FG0010"/>
    <n v="350"/>
    <n v="225760.5"/>
    <n v="350"/>
    <n v="350"/>
    <x v="23"/>
    <n v="254996"/>
    <s v="RV"/>
    <s v="Billing doc.transfer"/>
    <s v="01"/>
    <x v="0"/>
    <x v="2"/>
    <x v="2"/>
    <x v="0"/>
    <n v="29085.000000000116"/>
    <n v="0.11406061271549403"/>
    <x v="0"/>
    <x v="3"/>
    <n v="350"/>
    <n v="645.02999999999963"/>
    <n v="582.23999999999967"/>
    <n v="29.88"/>
    <n v="0.43"/>
    <n v="32.480000000000004"/>
    <n v="0.42999999999996419"/>
    <n v="225910.99999999988"/>
    <n v="203783.99999999988"/>
    <n v="10458"/>
    <n v="150.5"/>
    <n v="11518.500000000002"/>
    <n v="1.1459633242338896E-10"/>
    <n v="0.11406061271549406"/>
    <n v="645.03"/>
    <n v="150.49999999999818"/>
  </r>
  <r>
    <x v="1"/>
    <d v="2025-11-04T00:00:00"/>
    <s v="3271307844"/>
    <x v="5"/>
    <x v="5"/>
    <s v="NOS"/>
    <s v="ZFG1"/>
    <s v="FG0010"/>
    <n v="1115"/>
    <n v="364749.95"/>
    <n v="1115"/>
    <n v="1115"/>
    <x v="23"/>
    <n v="380293.05"/>
    <s v="RV"/>
    <s v="Billing doc.transfer"/>
    <s v="01"/>
    <x v="0"/>
    <x v="2"/>
    <x v="2"/>
    <x v="0"/>
    <n v="15353.550000000047"/>
    <n v="4.0372943970446072E-2"/>
    <x v="0"/>
    <x v="5"/>
    <n v="1115"/>
    <n v="327.13"/>
    <n v="278.14"/>
    <n v="22.400000000000002"/>
    <n v="0.17"/>
    <n v="26.42"/>
    <n v="0.17000000000000526"/>
    <n v="364939.49999999994"/>
    <n v="310126.09999999998"/>
    <n v="24976.000000000004"/>
    <n v="189.55"/>
    <n v="29647.850000000002"/>
    <n v="2.9103830456733704E-11"/>
    <n v="4.0372943970446107E-2"/>
    <n v="327.13"/>
    <n v="189.54999999995925"/>
  </r>
  <r>
    <x v="1"/>
    <d v="2025-11-04T00:00:00"/>
    <s v="3271307842"/>
    <x v="5"/>
    <x v="5"/>
    <s v="NOS"/>
    <s v="ZFG1"/>
    <s v="FG0010"/>
    <n v="310"/>
    <n v="101410.3"/>
    <n v="310"/>
    <n v="310"/>
    <x v="23"/>
    <n v="105731.7"/>
    <s v="RV"/>
    <s v="Billing doc.transfer"/>
    <s v="01"/>
    <x v="0"/>
    <x v="2"/>
    <x v="2"/>
    <x v="0"/>
    <n v="4268.7000000000116"/>
    <n v="4.0372943970446058E-2"/>
    <x v="0"/>
    <x v="5"/>
    <n v="310"/>
    <n v="327.13"/>
    <n v="278.14"/>
    <n v="22.400000000000002"/>
    <n v="0.17"/>
    <n v="26.42"/>
    <n v="0.17000000000000526"/>
    <n v="101462.99999999999"/>
    <n v="86223.4"/>
    <n v="6944.0000000000009"/>
    <n v="52.7"/>
    <n v="8242.9000000000015"/>
    <n v="0"/>
    <n v="4.0372943970446107E-2"/>
    <n v="327.13"/>
    <n v="52.699999999989814"/>
  </r>
  <r>
    <x v="1"/>
    <d v="2025-11-03T00:00:00"/>
    <s v="3271307554"/>
    <x v="60"/>
    <x v="60"/>
    <s v="NOS"/>
    <s v="ZFG1"/>
    <s v="FG0010"/>
    <n v="70"/>
    <n v="22908.2"/>
    <n v="70"/>
    <n v="70"/>
    <x v="24"/>
    <n v="24651.200000000001"/>
    <s v="RV"/>
    <s v="Billing doc.transfer"/>
    <s v="01"/>
    <x v="0"/>
    <x v="2"/>
    <x v="2"/>
    <x v="0"/>
    <n v="1731.1000000000022"/>
    <n v="7.0223761926397177E-2"/>
    <x v="0"/>
    <x v="100"/>
    <n v="70"/>
    <n v="327.26"/>
    <n v="275.87999999999994"/>
    <n v="23.720000000000002"/>
    <n v="0.17"/>
    <n v="27.49"/>
    <n v="0.17000000000005144"/>
    <n v="22920.1"/>
    <n v="19311.599999999995"/>
    <n v="1660.4"/>
    <n v="11.9"/>
    <n v="1936.2"/>
    <n v="5.6843418860808015E-12"/>
    <n v="7.0223761926397232E-2"/>
    <n v="327.26"/>
    <n v="11.900000000003502"/>
  </r>
  <r>
    <x v="1"/>
    <d v="2025-11-03T00:00:00"/>
    <s v="3271307541"/>
    <x v="2"/>
    <x v="2"/>
    <s v="NOS"/>
    <s v="ZSFG"/>
    <s v="SF0045"/>
    <n v="896"/>
    <n v="132312.32000000001"/>
    <n v="896"/>
    <n v="896"/>
    <x v="24"/>
    <n v="145994.23999999999"/>
    <s v="RV"/>
    <s v="Billing doc.transfer"/>
    <s v="01"/>
    <x v="1"/>
    <x v="1"/>
    <x v="1"/>
    <x v="0"/>
    <n v="13681.920000000013"/>
    <n v="9.3715478090094603E-2"/>
    <x v="0"/>
    <x v="2"/>
    <n v="896"/>
    <n v="147.66999999999996"/>
    <n v="144.21999999999997"/>
    <n v="1.5"/>
    <n v="0"/>
    <n v="1.95"/>
    <n v="-1.1324274851176597E-14"/>
    <n v="132312.31999999998"/>
    <n v="129221.11999999997"/>
    <n v="1344"/>
    <n v="0"/>
    <n v="1747.2"/>
    <n v="4.0699887904338539E-11"/>
    <n v="9.3715478090094617E-2"/>
    <n v="147.67000000000002"/>
    <n v="1.1596057447604835E-11"/>
  </r>
  <r>
    <x v="1"/>
    <d v="2025-11-03T00:00:00"/>
    <s v="3271307124"/>
    <x v="2"/>
    <x v="2"/>
    <s v="NOS"/>
    <s v="ZSFG"/>
    <s v="SF0045"/>
    <n v="2256"/>
    <n v="333143.52"/>
    <n v="2256"/>
    <n v="2256"/>
    <x v="24"/>
    <n v="367592.64"/>
    <s v="RV"/>
    <s v="Billing doc.transfer"/>
    <s v="01"/>
    <x v="1"/>
    <x v="1"/>
    <x v="1"/>
    <x v="0"/>
    <n v="34449.120000000054"/>
    <n v="9.3715478090094659E-2"/>
    <x v="0"/>
    <x v="2"/>
    <n v="2256"/>
    <n v="147.66999999999996"/>
    <n v="144.21999999999997"/>
    <n v="1.5"/>
    <n v="0"/>
    <n v="1.95"/>
    <n v="-1.1324274851176597E-14"/>
    <n v="333143.51999999996"/>
    <n v="325360.31999999995"/>
    <n v="3384"/>
    <n v="0"/>
    <n v="4399.2"/>
    <n v="7.0031092036515474E-11"/>
    <n v="9.3715478090094617E-2"/>
    <n v="147.67000000000002"/>
    <n v="1.1823431123048067E-11"/>
  </r>
  <r>
    <x v="1"/>
    <d v="2025-11-03T00:00:00"/>
    <s v="3271307001"/>
    <x v="15"/>
    <x v="15"/>
    <s v="NOS"/>
    <s v="ZFG1"/>
    <s v="FG0010"/>
    <n v="1093"/>
    <n v="460568.34"/>
    <n v="1093"/>
    <n v="1093"/>
    <x v="24"/>
    <n v="528093.88"/>
    <s v="RV"/>
    <s v="Billing doc.transfer"/>
    <s v="01"/>
    <x v="0"/>
    <x v="2"/>
    <x v="2"/>
    <x v="0"/>
    <n v="67241.360000000219"/>
    <n v="0.12732842122692317"/>
    <x v="0"/>
    <x v="14"/>
    <n v="1093"/>
    <n v="421.37999999999982"/>
    <n v="373.01999999999981"/>
    <n v="22"/>
    <n v="0.26"/>
    <n v="26.1"/>
    <n v="0.26000000000001222"/>
    <n v="460852.51999999979"/>
    <n v="407710.85999999981"/>
    <n v="24046"/>
    <n v="284.18"/>
    <n v="28811.480000000003"/>
    <n v="2.1100277081131935E-10"/>
    <n v="0.12732842122692312"/>
    <n v="421.38"/>
    <n v="284.17999999997119"/>
  </r>
  <r>
    <x v="1"/>
    <d v="2025-11-03T00:00:00"/>
    <s v="3271307029"/>
    <x v="20"/>
    <x v="20"/>
    <s v="NOS"/>
    <s v="ZFG1"/>
    <s v="FG0010"/>
    <n v="175"/>
    <n v="73741.5"/>
    <n v="175"/>
    <n v="175"/>
    <x v="24"/>
    <n v="84553"/>
    <s v="RV"/>
    <s v="Billing doc.transfer"/>
    <s v="01"/>
    <x v="0"/>
    <x v="2"/>
    <x v="2"/>
    <x v="0"/>
    <n v="10766.000000000029"/>
    <n v="0.12732842122692312"/>
    <x v="0"/>
    <x v="14"/>
    <n v="175"/>
    <n v="421.37999999999982"/>
    <n v="373.01999999999981"/>
    <n v="22"/>
    <n v="0.26"/>
    <n v="26.1"/>
    <n v="0.26000000000001222"/>
    <n v="73786.999999999971"/>
    <n v="65278.499999999964"/>
    <n v="3850"/>
    <n v="45.5"/>
    <n v="4613"/>
    <n v="3.637978807091713E-11"/>
    <n v="0.12732842122692312"/>
    <n v="421.38"/>
    <n v="45.500000000007276"/>
  </r>
  <r>
    <x v="1"/>
    <d v="2025-11-03T00:00:00"/>
    <s v="3271307540"/>
    <x v="101"/>
    <x v="100"/>
    <s v="NOS"/>
    <s v="ZFG1"/>
    <s v="FG0010"/>
    <n v="105"/>
    <n v="34358.1"/>
    <n v="105"/>
    <n v="105"/>
    <x v="24"/>
    <n v="35677.949999999997"/>
    <s v="RV"/>
    <s v="Billing doc.transfer"/>
    <s v="01"/>
    <x v="0"/>
    <x v="2"/>
    <x v="2"/>
    <x v="0"/>
    <n v="1300.9499999999898"/>
    <n v="3.6463698166514333E-2"/>
    <x v="0"/>
    <x v="83"/>
    <n v="105"/>
    <n v="327.23000000000008"/>
    <n v="275.85000000000002"/>
    <n v="23.720000000000002"/>
    <n v="0.17"/>
    <n v="27.49"/>
    <n v="0.17000000000005144"/>
    <n v="34377.000000000007"/>
    <n v="28964.250000000004"/>
    <n v="2490.6000000000004"/>
    <n v="17.850000000000001"/>
    <n v="2904.2999999999997"/>
    <n v="-1.0500000000051841"/>
    <n v="3.6463698166514291E-2"/>
    <n v="327.21999999999997"/>
    <n v="17.850000000003547"/>
  </r>
  <r>
    <x v="1"/>
    <d v="2025-11-03T00:00:00"/>
    <s v="3271307000"/>
    <x v="3"/>
    <x v="3"/>
    <s v="NOS"/>
    <s v="ZFG1"/>
    <s v="FG0010"/>
    <n v="280"/>
    <n v="180608.4"/>
    <n v="280"/>
    <n v="280"/>
    <x v="24"/>
    <n v="203996.79999999999"/>
    <s v="RV"/>
    <s v="Billing doc.transfer"/>
    <s v="01"/>
    <x v="0"/>
    <x v="2"/>
    <x v="2"/>
    <x v="0"/>
    <n v="23268.000000000116"/>
    <n v="0.11406061271549416"/>
    <x v="0"/>
    <x v="3"/>
    <n v="280"/>
    <n v="645.02999999999963"/>
    <n v="582.23999999999967"/>
    <n v="29.88"/>
    <n v="0.43"/>
    <n v="32.480000000000004"/>
    <n v="0.42999999999996419"/>
    <n v="180728.79999999987"/>
    <n v="163027.1999999999"/>
    <n v="8366.4"/>
    <n v="120.39999999999999"/>
    <n v="9214.8000000000011"/>
    <n v="9.822542779147625E-11"/>
    <n v="0.11406061271549417"/>
    <n v="645.03"/>
    <n v="120.39999999997599"/>
  </r>
  <r>
    <x v="1"/>
    <d v="2025-11-03T00:00:00"/>
    <s v="3271307540"/>
    <x v="3"/>
    <x v="3"/>
    <s v="NOS"/>
    <s v="ZFG1"/>
    <s v="FG0010"/>
    <n v="135"/>
    <n v="87079.05"/>
    <n v="135"/>
    <n v="135"/>
    <x v="24"/>
    <n v="98355.6"/>
    <s v="RV"/>
    <s v="Billing doc.transfer"/>
    <s v="01"/>
    <x v="0"/>
    <x v="2"/>
    <x v="2"/>
    <x v="0"/>
    <n v="11218.500000000044"/>
    <n v="0.11406061271549402"/>
    <x v="0"/>
    <x v="20"/>
    <n v="135"/>
    <n v="645.02999999999963"/>
    <n v="582.23999999999967"/>
    <n v="29.88"/>
    <n v="0.43"/>
    <n v="32.480000000000004"/>
    <n v="0.42999999999996419"/>
    <n v="87137.099999999962"/>
    <n v="78602.399999999951"/>
    <n v="4033.7999999999997"/>
    <n v="58.05"/>
    <n v="4442.8500000000004"/>
    <n v="5.2750692702829838E-11"/>
    <n v="0.11406061271549406"/>
    <n v="645.03"/>
    <n v="58.050000000012005"/>
  </r>
  <r>
    <x v="1"/>
    <d v="2025-11-03T00:00:00"/>
    <s v="3271307000"/>
    <x v="11"/>
    <x v="11"/>
    <s v="NOS"/>
    <s v="ZFG1"/>
    <s v="FG0010"/>
    <n v="1120"/>
    <n v="366385.6"/>
    <n v="1120"/>
    <n v="1120"/>
    <x v="24"/>
    <n v="381998.4"/>
    <s v="RV"/>
    <s v="Billing doc.transfer"/>
    <s v="01"/>
    <x v="0"/>
    <x v="2"/>
    <x v="2"/>
    <x v="0"/>
    <n v="15422.399999999965"/>
    <n v="4.0372943970445857E-2"/>
    <x v="0"/>
    <x v="5"/>
    <n v="1120"/>
    <n v="327.13000000000005"/>
    <n v="278.14000000000004"/>
    <n v="22.400000000000002"/>
    <n v="0.17"/>
    <n v="26.42"/>
    <n v="0.17000000000000526"/>
    <n v="366576.00000000006"/>
    <n v="311516.80000000005"/>
    <n v="25088.000000000004"/>
    <n v="190.4"/>
    <n v="29780.800000000003"/>
    <n v="-7.6397554948925972E-11"/>
    <n v="4.0372943970445885E-2"/>
    <n v="327.13"/>
    <n v="190.40000000000509"/>
  </r>
  <r>
    <x v="1"/>
    <d v="2025-11-03T00:00:00"/>
    <s v="3271307555"/>
    <x v="8"/>
    <x v="8"/>
    <s v="NOS"/>
    <s v="ZFG1"/>
    <s v="FG0010"/>
    <n v="140"/>
    <n v="45528"/>
    <n v="140"/>
    <n v="140"/>
    <x v="24"/>
    <n v="50898.400000000001"/>
    <s v="RV"/>
    <s v="Billing doc.transfer"/>
    <s v="01"/>
    <x v="0"/>
    <x v="2"/>
    <x v="2"/>
    <x v="0"/>
    <n v="5334.0000000000073"/>
    <n v="0.10479700737154816"/>
    <x v="0"/>
    <x v="23"/>
    <n v="140"/>
    <n v="325.19999999999993"/>
    <n v="271.52999999999997"/>
    <n v="23.84"/>
    <n v="0.26"/>
    <n v="29.569999999999997"/>
    <n v="0.25999999999996248"/>
    <n v="45564.399999999994"/>
    <n v="38014.199999999997"/>
    <n v="3337.6"/>
    <n v="36.4"/>
    <n v="4176.1999999999989"/>
    <n v="0"/>
    <n v="0.10479700737154818"/>
    <n v="325.2"/>
    <n v="36.399999999997817"/>
  </r>
  <r>
    <x v="1"/>
    <d v="2025-11-03T00:00:00"/>
    <s v="3271307020"/>
    <x v="8"/>
    <x v="8"/>
    <s v="NOS"/>
    <s v="ZFG1"/>
    <s v="FG0010"/>
    <n v="300"/>
    <n v="97560"/>
    <n v="300"/>
    <n v="300"/>
    <x v="24"/>
    <n v="109068"/>
    <s v="RV"/>
    <s v="Billing doc.transfer"/>
    <s v="01"/>
    <x v="0"/>
    <x v="2"/>
    <x v="2"/>
    <x v="0"/>
    <n v="11430.000000000015"/>
    <n v="0.10479700737154816"/>
    <x v="0"/>
    <x v="23"/>
    <n v="300"/>
    <n v="325.19999999999993"/>
    <n v="271.52999999999997"/>
    <n v="23.84"/>
    <n v="0.26"/>
    <n v="29.569999999999997"/>
    <n v="0.25999999999996248"/>
    <n v="97637.999999999985"/>
    <n v="81458.999999999985"/>
    <n v="7152"/>
    <n v="78"/>
    <n v="8948.9999999999982"/>
    <n v="1.6370904631912708E-11"/>
    <n v="0.10479700737154818"/>
    <n v="325.2"/>
    <n v="78.000000000001819"/>
  </r>
  <r>
    <x v="1"/>
    <d v="2025-11-03T00:00:00"/>
    <s v="3271307540"/>
    <x v="8"/>
    <x v="8"/>
    <s v="NOS"/>
    <s v="ZFG1"/>
    <s v="FG0010"/>
    <n v="335"/>
    <n v="108942"/>
    <n v="335"/>
    <n v="335"/>
    <x v="24"/>
    <n v="121792.6"/>
    <s v="RV"/>
    <s v="Billing doc.transfer"/>
    <s v="01"/>
    <x v="0"/>
    <x v="2"/>
    <x v="2"/>
    <x v="0"/>
    <n v="12763.500000000015"/>
    <n v="0.10479700737154814"/>
    <x v="0"/>
    <x v="23"/>
    <n v="335"/>
    <n v="325.19999999999993"/>
    <n v="271.52999999999997"/>
    <n v="23.84"/>
    <n v="0.26"/>
    <n v="29.569999999999997"/>
    <n v="0.25999999999996248"/>
    <n v="109029.09999999999"/>
    <n v="90962.549999999988"/>
    <n v="7986.4"/>
    <n v="87.100000000000009"/>
    <n v="9993.0499999999993"/>
    <n v="0"/>
    <n v="0.10479700737154818"/>
    <n v="325.2"/>
    <n v="87.100000000004002"/>
  </r>
  <r>
    <x v="1"/>
    <d v="2025-11-03T00:00:00"/>
    <s v="3271307020"/>
    <x v="4"/>
    <x v="4"/>
    <s v="NOS"/>
    <s v="ZFG1"/>
    <s v="FG0010"/>
    <n v="1120"/>
    <n v="471979.2"/>
    <n v="1120"/>
    <n v="1120"/>
    <x v="24"/>
    <n v="541139.19999999995"/>
    <s v="RV"/>
    <s v="Billing doc.transfer"/>
    <s v="01"/>
    <x v="0"/>
    <x v="2"/>
    <x v="2"/>
    <x v="0"/>
    <n v="68868.800000000105"/>
    <n v="0.12726632999420504"/>
    <x v="0"/>
    <x v="4"/>
    <n v="1120"/>
    <n v="421.40999999999985"/>
    <n v="373.04999999999984"/>
    <n v="22"/>
    <n v="0.26"/>
    <n v="26.1"/>
    <n v="0.26000000000001222"/>
    <n v="472270.39999999985"/>
    <n v="417815.99999999983"/>
    <n v="24640"/>
    <n v="291.2"/>
    <n v="29523.200000000001"/>
    <n v="1.8553691916167736E-10"/>
    <n v="0.12726632999420506"/>
    <n v="421.41"/>
    <n v="291.20000000002256"/>
  </r>
  <r>
    <x v="1"/>
    <d v="2025-11-03T00:00:00"/>
    <s v="3271307555"/>
    <x v="28"/>
    <x v="28"/>
    <s v="NOS"/>
    <s v="ZFG1"/>
    <s v="FG0010"/>
    <n v="350"/>
    <n v="147483"/>
    <n v="350"/>
    <n v="350"/>
    <x v="24"/>
    <n v="169106"/>
    <s v="RV"/>
    <s v="Billing doc.transfer"/>
    <s v="01"/>
    <x v="0"/>
    <x v="2"/>
    <x v="2"/>
    <x v="0"/>
    <n v="21532.000000000058"/>
    <n v="0.12732842122692312"/>
    <x v="0"/>
    <x v="14"/>
    <n v="350"/>
    <n v="421.37999999999982"/>
    <n v="373.01999999999981"/>
    <n v="22"/>
    <n v="0.26"/>
    <n v="26.1"/>
    <n v="0.26000000000001222"/>
    <n v="147573.99999999994"/>
    <n v="130556.99999999993"/>
    <n v="7700"/>
    <n v="91"/>
    <n v="9226"/>
    <n v="7.2759576141834259E-11"/>
    <n v="0.12732842122692312"/>
    <n v="421.38"/>
    <n v="91.000000000014552"/>
  </r>
  <r>
    <x v="1"/>
    <d v="2025-11-03T00:00:00"/>
    <s v="3271307540"/>
    <x v="28"/>
    <x v="28"/>
    <s v="NOS"/>
    <s v="ZFG1"/>
    <s v="FG0010"/>
    <n v="350"/>
    <n v="147483"/>
    <n v="350"/>
    <n v="350"/>
    <x v="24"/>
    <n v="169106"/>
    <s v="RV"/>
    <s v="Billing doc.transfer"/>
    <s v="01"/>
    <x v="0"/>
    <x v="2"/>
    <x v="2"/>
    <x v="0"/>
    <n v="21532.000000000058"/>
    <n v="0.12732842122692312"/>
    <x v="0"/>
    <x v="14"/>
    <n v="350"/>
    <n v="421.37999999999982"/>
    <n v="373.01999999999981"/>
    <n v="22"/>
    <n v="0.26"/>
    <n v="26.1"/>
    <n v="0.26000000000001222"/>
    <n v="147573.99999999994"/>
    <n v="130556.99999999993"/>
    <n v="7700"/>
    <n v="91"/>
    <n v="9226"/>
    <n v="7.2759576141834259E-11"/>
    <n v="0.12732842122692312"/>
    <n v="421.38"/>
    <n v="91.000000000014552"/>
  </r>
  <r>
    <x v="1"/>
    <d v="2025-11-03T00:00:00"/>
    <s v="3271307020"/>
    <x v="16"/>
    <x v="16"/>
    <s v="NOS"/>
    <s v="ZFG1"/>
    <s v="FG0010"/>
    <n v="1080"/>
    <n v="352371.6"/>
    <n v="1080"/>
    <n v="1080"/>
    <x v="24"/>
    <n v="392644.8"/>
    <s v="RV"/>
    <s v="Billing doc.transfer"/>
    <s v="01"/>
    <x v="0"/>
    <x v="2"/>
    <x v="2"/>
    <x v="0"/>
    <n v="40003.200000000012"/>
    <n v="0.10188139509296956"/>
    <x v="0"/>
    <x v="23"/>
    <n v="1080"/>
    <n v="326.27"/>
    <n v="271.52999999999997"/>
    <n v="20.94"/>
    <n v="0.25"/>
    <n v="33.550000000000004"/>
    <n v="0.25000000000000711"/>
    <n v="352641.6"/>
    <n v="293252.39999999997"/>
    <n v="22615.200000000001"/>
    <n v="270"/>
    <n v="36504.000000000007"/>
    <n v="0"/>
    <n v="0.10188139509296956"/>
    <n v="326.27"/>
    <n v="270.00000000000728"/>
  </r>
  <r>
    <x v="1"/>
    <d v="2025-11-03T00:00:00"/>
    <s v="3271307020"/>
    <x v="5"/>
    <x v="5"/>
    <s v="NOS"/>
    <s v="ZFG1"/>
    <s v="FG0010"/>
    <n v="4480"/>
    <n v="1465542.4"/>
    <n v="4480"/>
    <n v="4480"/>
    <x v="24"/>
    <n v="1527993.6"/>
    <s v="RV"/>
    <s v="Billing doc.transfer"/>
    <s v="01"/>
    <x v="0"/>
    <x v="2"/>
    <x v="2"/>
    <x v="0"/>
    <n v="61689.600000000093"/>
    <n v="4.037294397044601E-2"/>
    <x v="0"/>
    <x v="5"/>
    <n v="4480"/>
    <n v="327.13"/>
    <n v="278.14"/>
    <n v="22.400000000000002"/>
    <n v="0.17"/>
    <n v="26.42"/>
    <n v="0.17000000000000526"/>
    <n v="1466304"/>
    <n v="1246067.2"/>
    <n v="100352.00000000001"/>
    <n v="761.6"/>
    <n v="119123.20000000001"/>
    <n v="0"/>
    <n v="4.0372943970445996E-2"/>
    <n v="327.13"/>
    <n v="761.60000000002037"/>
  </r>
  <r>
    <x v="1"/>
    <d v="2025-11-03T00:00:00"/>
    <s v="3271307555"/>
    <x v="5"/>
    <x v="5"/>
    <s v="NOS"/>
    <s v="ZFG1"/>
    <s v="FG0010"/>
    <n v="840"/>
    <n v="274789.2"/>
    <n v="840"/>
    <n v="840"/>
    <x v="24"/>
    <n v="286498.8"/>
    <s v="RV"/>
    <s v="Billing doc.transfer"/>
    <s v="01"/>
    <x v="0"/>
    <x v="2"/>
    <x v="2"/>
    <x v="0"/>
    <n v="11566.800000000047"/>
    <n v="4.0372943970446114E-2"/>
    <x v="0"/>
    <x v="5"/>
    <n v="840"/>
    <n v="327.13"/>
    <n v="278.14"/>
    <n v="22.400000000000002"/>
    <n v="0.17"/>
    <n v="26.42"/>
    <n v="0.17000000000000526"/>
    <n v="274931.99999999994"/>
    <n v="233637.59999999998"/>
    <n v="18816"/>
    <n v="142.80000000000001"/>
    <n v="22335.600000000002"/>
    <n v="3.2741809263825417E-11"/>
    <n v="4.0372943970446107E-2"/>
    <n v="327.13"/>
    <n v="142.79999999996289"/>
  </r>
  <r>
    <x v="3"/>
    <d v="2025-11-01T00:00:00"/>
    <s v="3271306675"/>
    <x v="1"/>
    <x v="1"/>
    <s v="NOS"/>
    <s v="ZFG1"/>
    <s v="FG0011"/>
    <n v="2400"/>
    <n v="1107288"/>
    <n v="2400"/>
    <n v="2400"/>
    <x v="25"/>
    <n v="1582344"/>
    <s v="RV"/>
    <s v="Billing doc.transfer"/>
    <s v="01"/>
    <x v="0"/>
    <x v="0"/>
    <x v="0"/>
    <x v="0"/>
    <n v="474480"/>
    <n v="0.29985894344087"/>
    <x v="0"/>
    <x v="22"/>
    <n v="2400"/>
    <n v="461.37"/>
    <n v="401.59000000000003"/>
    <n v="28.32"/>
    <n v="0.24"/>
    <n v="31.22"/>
    <n v="0.23999999999997357"/>
    <n v="1107864"/>
    <n v="963816.00000000012"/>
    <n v="67968"/>
    <n v="576"/>
    <n v="75504"/>
    <n v="-1.1641532182693481E-10"/>
    <n v="0.29985894344087005"/>
    <n v="461.37"/>
    <n v="575.99999999988358"/>
  </r>
  <r>
    <x v="1"/>
    <d v="2025-11-01T00:00:00"/>
    <s v="3271306603"/>
    <x v="18"/>
    <x v="18"/>
    <s v="NOS"/>
    <s v="ZSFG"/>
    <s v="SF0045"/>
    <n v="2240"/>
    <n v="427974.40000000002"/>
    <n v="2240"/>
    <n v="2240"/>
    <x v="25"/>
    <n v="465382.40000000002"/>
    <s v="RV"/>
    <s v="Billing doc.transfer"/>
    <s v="01"/>
    <x v="1"/>
    <x v="1"/>
    <x v="1"/>
    <x v="0"/>
    <n v="37609.600000000093"/>
    <n v="8.0814401232191191E-2"/>
    <x v="0"/>
    <x v="99"/>
    <n v="2240"/>
    <n v="190.96999999999997"/>
    <n v="187.51999999999998"/>
    <n v="1.5"/>
    <n v="0"/>
    <n v="1.95"/>
    <n v="-1.1324274851176597E-14"/>
    <n v="427772.79999999993"/>
    <n v="420044.79999999993"/>
    <n v="3360"/>
    <n v="0"/>
    <n v="4368"/>
    <n v="201.60000000009313"/>
    <n v="8.0814401232191191E-2"/>
    <n v="191.06"/>
    <n v="0"/>
  </r>
  <r>
    <x v="1"/>
    <d v="2025-11-01T00:00:00"/>
    <s v="3271306603"/>
    <x v="2"/>
    <x v="2"/>
    <s v="NOS"/>
    <s v="ZSFG"/>
    <s v="SF0045"/>
    <n v="1120"/>
    <n v="165491.20000000001"/>
    <n v="1120"/>
    <n v="1120"/>
    <x v="25"/>
    <n v="182492.79999999999"/>
    <s v="RV"/>
    <s v="Billing doc.transfer"/>
    <s v="01"/>
    <x v="1"/>
    <x v="1"/>
    <x v="1"/>
    <x v="0"/>
    <n v="17102.400000000023"/>
    <n v="9.3715478090094645E-2"/>
    <x v="0"/>
    <x v="2"/>
    <n v="1120"/>
    <n v="147.66999999999996"/>
    <n v="144.21999999999997"/>
    <n v="1.5"/>
    <n v="0"/>
    <n v="1.95"/>
    <n v="-1.1324274851176597E-14"/>
    <n v="165390.39999999997"/>
    <n v="161526.39999999997"/>
    <n v="1680"/>
    <n v="0"/>
    <n v="2184"/>
    <n v="100.80000000004657"/>
    <n v="9.3715478090094617E-2"/>
    <n v="147.76000000000002"/>
    <n v="0"/>
  </r>
  <r>
    <x v="1"/>
    <d v="2025-11-01T00:00:00"/>
    <s v="3271306998"/>
    <x v="2"/>
    <x v="2"/>
    <s v="NOS"/>
    <s v="ZSFG"/>
    <s v="SF0045"/>
    <n v="840"/>
    <n v="124118.39999999999"/>
    <n v="840"/>
    <n v="840"/>
    <x v="25"/>
    <n v="136869.6"/>
    <s v="RV"/>
    <s v="Billing doc.transfer"/>
    <s v="01"/>
    <x v="1"/>
    <x v="1"/>
    <x v="1"/>
    <x v="0"/>
    <n v="12826.800000000032"/>
    <n v="9.3715478090094742E-2"/>
    <x v="0"/>
    <x v="2"/>
    <n v="840"/>
    <n v="147.66999999999996"/>
    <n v="144.21999999999997"/>
    <n v="1.5"/>
    <n v="0"/>
    <n v="1.95"/>
    <n v="-1.1324274851176597E-14"/>
    <n v="124042.79999999997"/>
    <n v="121144.79999999997"/>
    <n v="1260"/>
    <n v="0"/>
    <n v="1638"/>
    <n v="75.600000000020373"/>
    <n v="9.3715478090094728E-2"/>
    <n v="147.76"/>
    <n v="0"/>
  </r>
  <r>
    <x v="1"/>
    <d v="2025-11-01T00:00:00"/>
    <s v="3271306604"/>
    <x v="35"/>
    <x v="35"/>
    <s v="NOS"/>
    <s v="ZSFG"/>
    <s v="SF0045"/>
    <n v="2275"/>
    <n v="284875.5"/>
    <n v="2275"/>
    <n v="2275"/>
    <x v="25"/>
    <n v="301187.25"/>
    <s v="RV"/>
    <s v="Billing doc.transfer"/>
    <s v="01"/>
    <x v="1"/>
    <x v="1"/>
    <x v="1"/>
    <x v="0"/>
    <n v="16516.5"/>
    <n v="5.4837978699297532E-2"/>
    <x v="0"/>
    <x v="62"/>
    <n v="2275"/>
    <n v="125.13"/>
    <n v="121.67999999999999"/>
    <n v="1.5"/>
    <n v="0"/>
    <n v="1.95"/>
    <n v="2.886579864025407E-15"/>
    <n v="284670.75"/>
    <n v="276822"/>
    <n v="3412.5"/>
    <n v="0"/>
    <n v="4436.25"/>
    <n v="204.75"/>
    <n v="5.4837978699297518E-2"/>
    <n v="125.22"/>
    <n v="0"/>
  </r>
  <r>
    <x v="1"/>
    <d v="2025-11-01T00:00:00"/>
    <s v="3271306999"/>
    <x v="3"/>
    <x v="3"/>
    <s v="NOS"/>
    <s v="ZFG1"/>
    <s v="FG0010"/>
    <n v="315"/>
    <n v="203184.45"/>
    <n v="315"/>
    <n v="315"/>
    <x v="25"/>
    <n v="229496.4"/>
    <s v="RV"/>
    <s v="Billing doc.transfer"/>
    <s v="01"/>
    <x v="0"/>
    <x v="2"/>
    <x v="2"/>
    <x v="0"/>
    <n v="26176.500000000087"/>
    <n v="0.11406061271549396"/>
    <x v="0"/>
    <x v="3"/>
    <n v="315"/>
    <n v="645.02999999999963"/>
    <n v="582.23999999999967"/>
    <n v="29.88"/>
    <n v="0.43"/>
    <n v="32.480000000000004"/>
    <n v="0.42999999999996419"/>
    <n v="203319.89999999991"/>
    <n v="183405.59999999989"/>
    <n v="9412.1999999999989"/>
    <n v="135.44999999999999"/>
    <n v="10366.650000000001"/>
    <n v="1.2187229003757238E-10"/>
    <n v="0.11406061271549395"/>
    <n v="645.03000000000009"/>
    <n v="135.4500000000171"/>
  </r>
  <r>
    <x v="1"/>
    <d v="2025-11-01T00:00:00"/>
    <s v="3271306594"/>
    <x v="3"/>
    <x v="3"/>
    <s v="NOS"/>
    <s v="ZFG1"/>
    <s v="FG0010"/>
    <n v="234"/>
    <n v="150937.01999999999"/>
    <n v="234"/>
    <n v="234"/>
    <x v="25"/>
    <n v="170483.04"/>
    <s v="RV"/>
    <s v="Billing doc.transfer"/>
    <s v="01"/>
    <x v="0"/>
    <x v="2"/>
    <x v="2"/>
    <x v="0"/>
    <n v="19445.400000000081"/>
    <n v="0.11406061271549404"/>
    <x v="0"/>
    <x v="20"/>
    <n v="234"/>
    <n v="645.02999999999963"/>
    <n v="582.23999999999967"/>
    <n v="29.88"/>
    <n v="0.43"/>
    <n v="32.480000000000004"/>
    <n v="0.42999999999996419"/>
    <n v="151037.63999999993"/>
    <n v="136244.15999999992"/>
    <n v="6991.92"/>
    <n v="100.62"/>
    <n v="7700.9400000000005"/>
    <n v="7.2759576141834259E-11"/>
    <n v="0.11406061271549406"/>
    <n v="645.03"/>
    <n v="100.6200000000099"/>
  </r>
  <r>
    <x v="1"/>
    <d v="2025-11-01T00:00:00"/>
    <s v="3271306999"/>
    <x v="8"/>
    <x v="8"/>
    <s v="NOS"/>
    <s v="ZFG1"/>
    <s v="FG0010"/>
    <n v="120"/>
    <n v="39024"/>
    <n v="120"/>
    <n v="120"/>
    <x v="25"/>
    <n v="43627.199999999997"/>
    <s v="RV"/>
    <s v="Billing doc.transfer"/>
    <s v="01"/>
    <x v="0"/>
    <x v="2"/>
    <x v="2"/>
    <x v="0"/>
    <n v="4572"/>
    <n v="0.10479700737154803"/>
    <x v="0"/>
    <x v="23"/>
    <n v="120"/>
    <n v="325.19999999999993"/>
    <n v="271.52999999999997"/>
    <n v="23.84"/>
    <n v="0.26"/>
    <n v="29.569999999999997"/>
    <n v="0.25999999999996248"/>
    <n v="39055.199999999997"/>
    <n v="32583.599999999999"/>
    <n v="2860.8"/>
    <n v="31.200000000000003"/>
    <n v="3579.5999999999995"/>
    <n v="0"/>
    <n v="0.10479700737154807"/>
    <n v="325.2"/>
    <n v="31.199999999998909"/>
  </r>
  <r>
    <x v="1"/>
    <d v="2025-11-01T00:00:00"/>
    <s v="3271306999"/>
    <x v="9"/>
    <x v="9"/>
    <s v="NOS"/>
    <s v="ZFG1"/>
    <s v="FG0010"/>
    <n v="96"/>
    <n v="20793.599999999999"/>
    <n v="96"/>
    <n v="96"/>
    <x v="25"/>
    <n v="21554.880000000001"/>
    <s v="RV"/>
    <s v="Billing doc.transfer"/>
    <s v="01"/>
    <x v="0"/>
    <x v="2"/>
    <x v="2"/>
    <x v="0"/>
    <n v="757.4400000000096"/>
    <n v="3.5140070369216139E-2"/>
    <x v="0"/>
    <x v="64"/>
    <n v="96"/>
    <n v="216.59999999999994"/>
    <n v="174.98999999999995"/>
    <n v="18.389999999999997"/>
    <n v="0.04"/>
    <n v="23.18"/>
    <n v="3.9999999999988489E-2"/>
    <n v="20797.439999999991"/>
    <n v="16799.039999999994"/>
    <n v="1765.4399999999996"/>
    <n v="3.84"/>
    <n v="2229.12"/>
    <n v="5.4569682106375694E-12"/>
    <n v="3.5140070369216181E-2"/>
    <n v="216.6"/>
    <n v="3.8399999999983265"/>
  </r>
  <r>
    <x v="1"/>
    <d v="2025-11-01T00:00:00"/>
    <s v="3271306593"/>
    <x v="4"/>
    <x v="4"/>
    <s v="NOS"/>
    <s v="ZFG1"/>
    <s v="FG0010"/>
    <n v="1120"/>
    <n v="471979.2"/>
    <n v="1120"/>
    <n v="1120"/>
    <x v="25"/>
    <n v="541139.19999999995"/>
    <s v="RV"/>
    <s v="Billing doc.transfer"/>
    <s v="01"/>
    <x v="0"/>
    <x v="2"/>
    <x v="2"/>
    <x v="0"/>
    <n v="68868.800000000105"/>
    <n v="0.12726632999420504"/>
    <x v="0"/>
    <x v="4"/>
    <n v="1120"/>
    <n v="421.40999999999985"/>
    <n v="373.04999999999984"/>
    <n v="22"/>
    <n v="0.26"/>
    <n v="26.1"/>
    <n v="0.26000000000001222"/>
    <n v="472270.39999999985"/>
    <n v="417815.99999999983"/>
    <n v="24640"/>
    <n v="291.2"/>
    <n v="29523.200000000001"/>
    <n v="1.8553691916167736E-10"/>
    <n v="0.12726632999420506"/>
    <n v="421.41"/>
    <n v="291.20000000002256"/>
  </r>
  <r>
    <x v="1"/>
    <d v="2025-11-01T00:00:00"/>
    <s v="3271306602"/>
    <x v="4"/>
    <x v="4"/>
    <s v="NOS"/>
    <s v="ZFG1"/>
    <s v="FG0010"/>
    <n v="1120"/>
    <n v="471979.2"/>
    <n v="1120"/>
    <n v="1120"/>
    <x v="25"/>
    <n v="541139.19999999995"/>
    <s v="RV"/>
    <s v="Billing doc.transfer"/>
    <s v="01"/>
    <x v="0"/>
    <x v="2"/>
    <x v="2"/>
    <x v="0"/>
    <n v="68868.800000000105"/>
    <n v="0.12726632999420504"/>
    <x v="0"/>
    <x v="4"/>
    <n v="1120"/>
    <n v="421.40999999999985"/>
    <n v="373.04999999999984"/>
    <n v="22"/>
    <n v="0.26"/>
    <n v="26.1"/>
    <n v="0.26000000000001222"/>
    <n v="472270.39999999985"/>
    <n v="417815.99999999983"/>
    <n v="24640"/>
    <n v="291.2"/>
    <n v="29523.200000000001"/>
    <n v="1.8553691916167736E-10"/>
    <n v="0.12726632999420506"/>
    <n v="421.41"/>
    <n v="291.20000000002256"/>
  </r>
  <r>
    <x v="1"/>
    <d v="2025-11-01T00:00:00"/>
    <s v="3271306602"/>
    <x v="16"/>
    <x v="16"/>
    <s v="NOS"/>
    <s v="ZFG1"/>
    <s v="FG0010"/>
    <n v="1080"/>
    <n v="352371.6"/>
    <n v="1080"/>
    <n v="1080"/>
    <x v="25"/>
    <n v="392644.8"/>
    <s v="RV"/>
    <s v="Billing doc.transfer"/>
    <s v="01"/>
    <x v="0"/>
    <x v="2"/>
    <x v="2"/>
    <x v="0"/>
    <n v="40003.200000000012"/>
    <n v="0.10188139509296956"/>
    <x v="0"/>
    <x v="23"/>
    <n v="1080"/>
    <n v="326.27"/>
    <n v="271.52999999999997"/>
    <n v="20.94"/>
    <n v="0.25"/>
    <n v="33.550000000000004"/>
    <n v="0.25000000000000711"/>
    <n v="352641.6"/>
    <n v="293252.39999999997"/>
    <n v="22615.200000000001"/>
    <n v="270"/>
    <n v="36504.000000000007"/>
    <n v="0"/>
    <n v="0.10188139509296956"/>
    <n v="326.27"/>
    <n v="270.00000000000728"/>
  </r>
  <r>
    <x v="1"/>
    <d v="2025-11-01T00:00:00"/>
    <s v="3271306999"/>
    <x v="5"/>
    <x v="5"/>
    <s v="NOS"/>
    <s v="ZFG1"/>
    <s v="FG0010"/>
    <n v="300"/>
    <n v="98139"/>
    <n v="300"/>
    <n v="300"/>
    <x v="25"/>
    <n v="102321"/>
    <s v="RV"/>
    <s v="Billing doc.transfer"/>
    <s v="01"/>
    <x v="0"/>
    <x v="2"/>
    <x v="2"/>
    <x v="0"/>
    <n v="4131"/>
    <n v="4.0372943970445947E-2"/>
    <x v="0"/>
    <x v="5"/>
    <n v="300"/>
    <n v="327.13"/>
    <n v="278.14"/>
    <n v="22.400000000000002"/>
    <n v="0.17"/>
    <n v="26.42"/>
    <n v="0.17000000000000526"/>
    <n v="98190"/>
    <n v="83442"/>
    <n v="6720.0000000000009"/>
    <n v="51.000000000000007"/>
    <n v="7977.0000000000009"/>
    <n v="0"/>
    <n v="4.0372943970445996E-2"/>
    <n v="327.13"/>
    <n v="50.999999999998181"/>
  </r>
  <r>
    <x v="1"/>
    <d v="2025-11-01T00:00:00"/>
    <s v="3271306593"/>
    <x v="5"/>
    <x v="5"/>
    <s v="NOS"/>
    <s v="ZFG1"/>
    <s v="FG0010"/>
    <n v="1120"/>
    <n v="366385.6"/>
    <n v="1120"/>
    <n v="1120"/>
    <x v="25"/>
    <n v="381998.4"/>
    <s v="RV"/>
    <s v="Billing doc.transfer"/>
    <s v="01"/>
    <x v="0"/>
    <x v="2"/>
    <x v="2"/>
    <x v="0"/>
    <n v="15422.400000000023"/>
    <n v="4.037294397044601E-2"/>
    <x v="0"/>
    <x v="5"/>
    <n v="1120"/>
    <n v="327.13"/>
    <n v="278.14"/>
    <n v="22.400000000000002"/>
    <n v="0.17"/>
    <n v="26.42"/>
    <n v="0.17000000000000526"/>
    <n v="366576"/>
    <n v="311516.79999999999"/>
    <n v="25088.000000000004"/>
    <n v="190.4"/>
    <n v="29780.800000000003"/>
    <n v="0"/>
    <n v="4.0372943970445996E-2"/>
    <n v="327.13"/>
    <n v="190.40000000000509"/>
  </r>
  <r>
    <x v="1"/>
    <d v="2025-11-01T00:00:00"/>
    <s v="3271306594"/>
    <x v="5"/>
    <x v="5"/>
    <s v="NOS"/>
    <s v="ZFG1"/>
    <s v="FG0010"/>
    <n v="1120"/>
    <n v="366385.6"/>
    <n v="1120"/>
    <n v="1120"/>
    <x v="25"/>
    <n v="381998.4"/>
    <s v="RV"/>
    <s v="Billing doc.transfer"/>
    <s v="01"/>
    <x v="0"/>
    <x v="2"/>
    <x v="2"/>
    <x v="0"/>
    <n v="15422.400000000023"/>
    <n v="4.037294397044601E-2"/>
    <x v="0"/>
    <x v="5"/>
    <n v="1120"/>
    <n v="327.13"/>
    <n v="278.14"/>
    <n v="22.400000000000002"/>
    <n v="0.17"/>
    <n v="26.42"/>
    <n v="0.17000000000000526"/>
    <n v="366576"/>
    <n v="311516.79999999999"/>
    <n v="25088.000000000004"/>
    <n v="190.4"/>
    <n v="29780.800000000003"/>
    <n v="0"/>
    <n v="4.0372943970445996E-2"/>
    <n v="327.13"/>
    <n v="190.40000000000509"/>
  </r>
  <r>
    <x v="1"/>
    <d v="2025-11-01T00:00:00"/>
    <s v="3271306602"/>
    <x v="5"/>
    <x v="5"/>
    <s v="NOS"/>
    <s v="ZFG1"/>
    <s v="FG0010"/>
    <n v="2250"/>
    <n v="736042.5"/>
    <n v="2250"/>
    <n v="2250"/>
    <x v="25"/>
    <n v="767407.5"/>
    <s v="RV"/>
    <s v="Billing doc.transfer"/>
    <s v="01"/>
    <x v="0"/>
    <x v="2"/>
    <x v="2"/>
    <x v="0"/>
    <n v="30982.5"/>
    <n v="4.0372943970445947E-2"/>
    <x v="0"/>
    <x v="5"/>
    <n v="2250"/>
    <n v="327.13"/>
    <n v="278.14"/>
    <n v="22.400000000000002"/>
    <n v="0.17"/>
    <n v="26.42"/>
    <n v="0.17000000000000526"/>
    <n v="736425"/>
    <n v="625815"/>
    <n v="50400.000000000007"/>
    <n v="382.5"/>
    <n v="59827.500000000007"/>
    <n v="0"/>
    <n v="4.0372943970445996E-2"/>
    <n v="327.13"/>
    <n v="382.49999999998545"/>
  </r>
  <r>
    <x v="1"/>
    <d v="2025-11-01T00:00:00"/>
    <s v="3271306594"/>
    <x v="7"/>
    <x v="7"/>
    <s v="NOS"/>
    <s v="ZFG1"/>
    <s v="FG0010"/>
    <n v="1260"/>
    <n v="412146"/>
    <n v="1260"/>
    <n v="1260"/>
    <x v="25"/>
    <n v="429748.2"/>
    <s v="RV"/>
    <s v="Billing doc.transfer"/>
    <s v="01"/>
    <x v="0"/>
    <x v="2"/>
    <x v="2"/>
    <x v="0"/>
    <n v="17388.000000000116"/>
    <n v="4.0460902454041964E-2"/>
    <x v="0"/>
    <x v="5"/>
    <n v="1260"/>
    <n v="327.09999999999991"/>
    <n v="278.1099999999999"/>
    <n v="22.400000000000002"/>
    <n v="0.17"/>
    <n v="26.42"/>
    <n v="0.17000000000000526"/>
    <n v="412360.1999999999"/>
    <n v="350418.59999999986"/>
    <n v="28224.000000000004"/>
    <n v="214.20000000000002"/>
    <n v="33503.4"/>
    <n v="1.3824319466948509E-10"/>
    <n v="4.0460902454041991E-2"/>
    <n v="327.10000000000002"/>
    <n v="214.20000000003347"/>
  </r>
  <r>
    <x v="1"/>
    <d v="2025-11-01T00:00:00"/>
    <s v="3271306602"/>
    <x v="7"/>
    <x v="7"/>
    <s v="NOS"/>
    <s v="ZFG1"/>
    <s v="FG0010"/>
    <n v="770"/>
    <n v="251867"/>
    <n v="770"/>
    <n v="770"/>
    <x v="25"/>
    <n v="262623.90000000002"/>
    <s v="RV"/>
    <s v="Billing doc.transfer"/>
    <s v="01"/>
    <x v="0"/>
    <x v="2"/>
    <x v="2"/>
    <x v="0"/>
    <n v="10626.000000000087"/>
    <n v="4.0460902454042019E-2"/>
    <x v="0"/>
    <x v="6"/>
    <n v="770"/>
    <n v="327.09999999999991"/>
    <n v="278.1099999999999"/>
    <n v="22.400000000000002"/>
    <n v="0.17"/>
    <n v="26.42"/>
    <n v="0.17000000000000526"/>
    <n v="251997.89999999994"/>
    <n v="214144.69999999992"/>
    <n v="17248"/>
    <n v="130.9"/>
    <n v="20474.300000000003"/>
    <n v="7.2759576141834259E-11"/>
    <n v="4.0460902454041991E-2"/>
    <n v="327.10000000000002"/>
    <n v="130.90000000000873"/>
  </r>
  <r>
    <x v="4"/>
    <d v="2025-11-01T00:00:00"/>
    <s v="3271306674"/>
    <x v="75"/>
    <x v="75"/>
    <s v="NOS"/>
    <s v="ZROH"/>
    <s v="RM0007"/>
    <n v="28000"/>
    <n v="54600"/>
    <n v="28000"/>
    <n v="28000"/>
    <x v="25"/>
    <n v="54600"/>
    <s v="RV"/>
    <s v="Billing doc.transfer"/>
    <s v="01"/>
    <x v="2"/>
    <x v="20"/>
    <x v="4"/>
    <x v="0"/>
    <n v="54600"/>
    <n v="1"/>
    <x v="0"/>
    <x v="75"/>
    <n v="28000"/>
    <n v="0"/>
    <n v="0"/>
    <n v="0"/>
    <n v="0"/>
    <n v="0"/>
    <n v="0"/>
    <n v="0"/>
    <n v="0"/>
    <n v="0"/>
    <n v="0"/>
    <n v="0"/>
    <n v="54600"/>
    <n v="1"/>
    <n v="1.95"/>
    <n v="0"/>
  </r>
  <r>
    <x v="4"/>
    <d v="2025-11-01T00:00:00"/>
    <s v="3271306674"/>
    <x v="104"/>
    <x v="103"/>
    <s v="NOS"/>
    <s v="ZROH"/>
    <s v="RM0005"/>
    <n v="48000"/>
    <n v="499199.62"/>
    <n v="48000"/>
    <n v="48000"/>
    <x v="25"/>
    <n v="502080"/>
    <s v="RV"/>
    <s v="Billing doc.transfer"/>
    <s v="01"/>
    <x v="2"/>
    <x v="4"/>
    <x v="4"/>
    <x v="0"/>
    <n v="502080"/>
    <n v="1"/>
    <x v="0"/>
    <x v="101"/>
    <n v="48000"/>
    <n v="0"/>
    <n v="0"/>
    <n v="0"/>
    <n v="0"/>
    <n v="0"/>
    <n v="0"/>
    <n v="0"/>
    <n v="0"/>
    <n v="0"/>
    <n v="0"/>
    <n v="0"/>
    <n v="499199.62"/>
    <n v="1"/>
    <n v="10.399992083333332"/>
    <n v="0"/>
  </r>
  <r>
    <x v="4"/>
    <d v="2025-11-01T00:00:00"/>
    <s v="3271306674"/>
    <x v="105"/>
    <x v="104"/>
    <s v="NOS"/>
    <s v="ZROH"/>
    <s v="RM0005"/>
    <n v="39000"/>
    <n v="478092.29"/>
    <n v="39000"/>
    <n v="39000"/>
    <x v="25"/>
    <n v="477360"/>
    <s v="RV"/>
    <s v="Billing doc.transfer"/>
    <s v="01"/>
    <x v="2"/>
    <x v="4"/>
    <x v="4"/>
    <x v="0"/>
    <n v="477360"/>
    <n v="1"/>
    <x v="0"/>
    <x v="102"/>
    <n v="39000"/>
    <n v="0"/>
    <n v="0"/>
    <n v="0"/>
    <n v="0"/>
    <n v="0"/>
    <n v="0"/>
    <n v="0"/>
    <n v="0"/>
    <n v="0"/>
    <n v="0"/>
    <n v="0"/>
    <n v="478092.29"/>
    <n v="1"/>
    <n v="12.258776666666666"/>
    <n v="0"/>
  </r>
  <r>
    <x v="4"/>
    <d v="2025-11-01T00:00:00"/>
    <s v="3271306674"/>
    <x v="63"/>
    <x v="63"/>
    <s v="NOS"/>
    <s v="ZROH"/>
    <s v="RM0001"/>
    <n v="99000"/>
    <n v="62418.45"/>
    <n v="99000"/>
    <n v="99000"/>
    <x v="25"/>
    <n v="62370"/>
    <s v="RV"/>
    <s v="Billing doc.transfer"/>
    <s v="01"/>
    <x v="2"/>
    <x v="19"/>
    <x v="4"/>
    <x v="0"/>
    <n v="62370"/>
    <n v="1"/>
    <x v="0"/>
    <x v="69"/>
    <n v="99000"/>
    <n v="0"/>
    <n v="0"/>
    <n v="0"/>
    <n v="0"/>
    <n v="0"/>
    <n v="0"/>
    <n v="0"/>
    <n v="0"/>
    <n v="0"/>
    <n v="0"/>
    <n v="0"/>
    <n v="62418.45"/>
    <n v="1"/>
    <n v="0.63048939393939396"/>
    <n v="0"/>
  </r>
  <r>
    <x v="4"/>
    <d v="2025-11-01T00:00:00"/>
    <s v="3271306674"/>
    <x v="80"/>
    <x v="80"/>
    <s v="NOS"/>
    <s v="ZROH"/>
    <s v="RM0001"/>
    <n v="14400"/>
    <n v="144436.87"/>
    <n v="14400"/>
    <n v="14400"/>
    <x v="25"/>
    <n v="149760"/>
    <s v="RV"/>
    <s v="Billing doc.transfer"/>
    <s v="01"/>
    <x v="2"/>
    <x v="19"/>
    <x v="4"/>
    <x v="0"/>
    <n v="149760"/>
    <n v="1"/>
    <x v="0"/>
    <x v="78"/>
    <n v="14400"/>
    <n v="0"/>
    <n v="0"/>
    <n v="0"/>
    <n v="0"/>
    <n v="0"/>
    <n v="0"/>
    <n v="0"/>
    <n v="0"/>
    <n v="0"/>
    <n v="0"/>
    <n v="0"/>
    <n v="144436.87"/>
    <n v="1"/>
    <n v="10.030338194444445"/>
    <n v="0"/>
  </r>
  <r>
    <x v="4"/>
    <d v="2025-11-01T00:00:00"/>
    <s v="3271306674"/>
    <x v="106"/>
    <x v="105"/>
    <s v="NOS"/>
    <s v="ZROH"/>
    <s v="RM0002"/>
    <n v="19500"/>
    <n v="205725"/>
    <n v="19500"/>
    <n v="19500"/>
    <x v="25"/>
    <n v="205725"/>
    <s v="RV"/>
    <s v="Billing doc.transfer"/>
    <s v="01"/>
    <x v="2"/>
    <x v="5"/>
    <x v="4"/>
    <x v="0"/>
    <n v="205725"/>
    <n v="1"/>
    <x v="0"/>
    <x v="103"/>
    <n v="19500"/>
    <n v="0"/>
    <n v="0"/>
    <n v="0"/>
    <n v="0"/>
    <n v="0"/>
    <n v="0"/>
    <n v="0"/>
    <n v="0"/>
    <n v="0"/>
    <n v="0"/>
    <n v="0"/>
    <n v="205725"/>
    <n v="1"/>
    <n v="10.55"/>
    <n v="0"/>
  </r>
  <r>
    <x v="4"/>
    <d v="2025-11-01T00:00:00"/>
    <s v="3271306674"/>
    <x v="107"/>
    <x v="106"/>
    <s v="NOS"/>
    <s v="ZROH"/>
    <s v="L002"/>
    <n v="49800"/>
    <n v="283362"/>
    <n v="49800"/>
    <n v="49800"/>
    <x v="25"/>
    <n v="283362"/>
    <s v="RV"/>
    <s v="Billing doc.transfer"/>
    <s v="01"/>
    <x v="2"/>
    <x v="6"/>
    <x v="4"/>
    <x v="0"/>
    <n v="283362"/>
    <n v="1"/>
    <x v="0"/>
    <x v="104"/>
    <n v="49800"/>
    <n v="0"/>
    <n v="0"/>
    <n v="0"/>
    <n v="0"/>
    <n v="0"/>
    <n v="0"/>
    <n v="0"/>
    <n v="0"/>
    <n v="0"/>
    <n v="0"/>
    <n v="0"/>
    <n v="283362"/>
    <n v="1"/>
    <n v="5.69"/>
    <n v="0"/>
  </r>
  <r>
    <x v="4"/>
    <d v="2025-11-01T00:00:00"/>
    <s v="3271306674"/>
    <x v="108"/>
    <x v="107"/>
    <s v="NOS"/>
    <s v="ZROH"/>
    <s v="RM0026"/>
    <n v="37455"/>
    <n v="136588.82999999999"/>
    <n v="37455"/>
    <n v="37455"/>
    <x v="25"/>
    <n v="151318.20000000001"/>
    <s v="RV"/>
    <s v="Billing doc.transfer"/>
    <s v="01"/>
    <x v="2"/>
    <x v="22"/>
    <x v="4"/>
    <x v="0"/>
    <n v="151318.20000000001"/>
    <n v="1"/>
    <x v="0"/>
    <x v="105"/>
    <n v="37455"/>
    <n v="0"/>
    <n v="0"/>
    <n v="0"/>
    <n v="0"/>
    <n v="0"/>
    <n v="0"/>
    <n v="0"/>
    <n v="0"/>
    <n v="0"/>
    <n v="0"/>
    <n v="0"/>
    <n v="136588.82999999999"/>
    <n v="1"/>
    <n v="3.646744893872647"/>
    <n v="0"/>
  </r>
  <r>
    <x v="4"/>
    <d v="2025-11-01T00:00:00"/>
    <s v="3271306674"/>
    <x v="109"/>
    <x v="108"/>
    <s v="NOS"/>
    <s v="ZROH"/>
    <s v="RM0009"/>
    <n v="40500"/>
    <n v="1026910.49"/>
    <n v="40500"/>
    <n v="40500"/>
    <x v="25"/>
    <n v="1138860"/>
    <s v="RV"/>
    <s v="Billing doc.transfer"/>
    <s v="01"/>
    <x v="2"/>
    <x v="17"/>
    <x v="4"/>
    <x v="0"/>
    <n v="1138860"/>
    <n v="1"/>
    <x v="0"/>
    <x v="106"/>
    <n v="40500"/>
    <n v="0"/>
    <n v="0"/>
    <n v="0"/>
    <n v="0"/>
    <n v="0"/>
    <n v="0"/>
    <n v="0"/>
    <n v="0"/>
    <n v="0"/>
    <n v="0"/>
    <n v="0"/>
    <n v="1026910.49"/>
    <n v="1"/>
    <n v="25.355814567901234"/>
    <n v="0"/>
  </r>
  <r>
    <x v="4"/>
    <d v="2025-11-01T00:00:00"/>
    <s v="3271306674"/>
    <x v="67"/>
    <x v="67"/>
    <s v="NOS"/>
    <s v="ZROH"/>
    <s v="RM0005"/>
    <n v="14950"/>
    <n v="1448103.19"/>
    <n v="14950"/>
    <n v="14950"/>
    <x v="25"/>
    <n v="1463904"/>
    <s v="RV"/>
    <s v="Billing doc.transfer"/>
    <s v="01"/>
    <x v="2"/>
    <x v="4"/>
    <x v="4"/>
    <x v="0"/>
    <n v="1463904"/>
    <n v="1"/>
    <x v="0"/>
    <x v="72"/>
    <n v="14950"/>
    <n v="0"/>
    <n v="0"/>
    <n v="0"/>
    <n v="0"/>
    <n v="0"/>
    <n v="0"/>
    <n v="0"/>
    <n v="0"/>
    <n v="0"/>
    <n v="0"/>
    <n v="0"/>
    <n v="1448103.19"/>
    <n v="1"/>
    <n v="96.86308963210702"/>
    <n v="0"/>
  </r>
  <r>
    <x v="4"/>
    <d v="2025-11-01T00:00:00"/>
    <s v="3271306674"/>
    <x v="110"/>
    <x v="109"/>
    <s v="NOS"/>
    <s v="ZROH"/>
    <s v="RM0009"/>
    <n v="39150"/>
    <n v="1302346.57"/>
    <n v="39150"/>
    <n v="39150"/>
    <x v="25"/>
    <n v="1350675"/>
    <s v="RV"/>
    <s v="Billing doc.transfer"/>
    <s v="01"/>
    <x v="2"/>
    <x v="17"/>
    <x v="4"/>
    <x v="0"/>
    <n v="385627.5"/>
    <n v="0.28550724637681157"/>
    <x v="0"/>
    <x v="107"/>
    <n v="39150"/>
    <n v="24.65"/>
    <n v="24.65"/>
    <n v="0"/>
    <n v="0"/>
    <n v="0"/>
    <n v="0"/>
    <n v="965047.5"/>
    <n v="965047.5"/>
    <n v="0"/>
    <n v="0"/>
    <n v="0"/>
    <n v="337299.07000000007"/>
    <n v="0.28550724637681157"/>
    <n v="33.265557343550448"/>
    <n v="0"/>
  </r>
  <r>
    <x v="4"/>
    <d v="2025-11-01T00:00:00"/>
    <s v="3271306674"/>
    <x v="62"/>
    <x v="62"/>
    <s v="NOS"/>
    <s v="ZROH"/>
    <s v="RM0001"/>
    <n v="50000"/>
    <n v="18500"/>
    <n v="50000"/>
    <n v="50000"/>
    <x v="25"/>
    <n v="18500"/>
    <s v="RV"/>
    <s v="Billing doc.transfer"/>
    <s v="01"/>
    <x v="2"/>
    <x v="19"/>
    <x v="4"/>
    <x v="0"/>
    <n v="18500"/>
    <n v="1"/>
    <x v="0"/>
    <x v="68"/>
    <n v="50000"/>
    <n v="0"/>
    <n v="0"/>
    <n v="0"/>
    <n v="0"/>
    <n v="0"/>
    <n v="0"/>
    <n v="0"/>
    <n v="0"/>
    <n v="0"/>
    <n v="0"/>
    <n v="0"/>
    <n v="18500"/>
    <n v="1"/>
    <n v="0.37"/>
    <n v="0"/>
  </r>
  <r>
    <x v="4"/>
    <d v="2025-11-01T00:00:00"/>
    <s v="3271306674"/>
    <x v="66"/>
    <x v="66"/>
    <s v="NOS"/>
    <s v="ZROH"/>
    <s v="RM0007"/>
    <n v="60000"/>
    <n v="3359.99"/>
    <n v="60000"/>
    <n v="60000"/>
    <x v="25"/>
    <n v="3600"/>
    <s v="RV"/>
    <s v="Billing doc.transfer"/>
    <s v="01"/>
    <x v="2"/>
    <x v="20"/>
    <x v="4"/>
    <x v="0"/>
    <n v="3600"/>
    <n v="1"/>
    <x v="0"/>
    <x v="71"/>
    <n v="60000"/>
    <n v="0"/>
    <n v="0"/>
    <n v="0"/>
    <n v="0"/>
    <n v="0"/>
    <n v="0"/>
    <n v="0"/>
    <n v="0"/>
    <n v="0"/>
    <n v="0"/>
    <n v="0"/>
    <n v="3359.99"/>
    <n v="1"/>
    <n v="5.5999833333333332E-2"/>
    <n v="0"/>
  </r>
  <r>
    <x v="4"/>
    <d v="2025-11-01T00:00:00"/>
    <s v="3271306674"/>
    <x v="74"/>
    <x v="74"/>
    <s v="NOS"/>
    <s v="ZROH"/>
    <s v="RM0007"/>
    <n v="30000"/>
    <n v="1681.06"/>
    <n v="30000"/>
    <n v="30000"/>
    <x v="25"/>
    <n v="1800"/>
    <s v="RV"/>
    <s v="Billing doc.transfer"/>
    <s v="01"/>
    <x v="2"/>
    <x v="20"/>
    <x v="4"/>
    <x v="0"/>
    <n v="1800"/>
    <n v="1"/>
    <x v="0"/>
    <x v="71"/>
    <n v="30000"/>
    <n v="0"/>
    <n v="0"/>
    <n v="0"/>
    <n v="0"/>
    <n v="0"/>
    <n v="0"/>
    <n v="0"/>
    <n v="0"/>
    <n v="0"/>
    <n v="0"/>
    <n v="0"/>
    <n v="1681.06"/>
    <n v="1"/>
    <n v="5.6035333333333333E-2"/>
    <n v="0"/>
  </r>
  <r>
    <x v="4"/>
    <d v="2025-11-01T00:00:00"/>
    <s v="3271306674"/>
    <x v="61"/>
    <x v="61"/>
    <s v="NOS"/>
    <s v="ZROH"/>
    <s v="RM0001"/>
    <n v="50000"/>
    <n v="45194.96"/>
    <n v="50000"/>
    <n v="50000"/>
    <x v="25"/>
    <n v="45500"/>
    <s v="RV"/>
    <s v="Billing doc.transfer"/>
    <s v="01"/>
    <x v="2"/>
    <x v="19"/>
    <x v="4"/>
    <x v="0"/>
    <n v="45500"/>
    <n v="1"/>
    <x v="0"/>
    <x v="67"/>
    <n v="50000"/>
    <n v="0"/>
    <n v="0"/>
    <n v="0"/>
    <n v="0"/>
    <n v="0"/>
    <n v="0"/>
    <n v="0"/>
    <n v="0"/>
    <n v="0"/>
    <n v="0"/>
    <n v="0"/>
    <n v="45194.96"/>
    <n v="1"/>
    <n v="0.90389920000000001"/>
    <n v="0"/>
  </r>
  <r>
    <x v="4"/>
    <d v="2025-11-01T00:00:00"/>
    <s v="3271306674"/>
    <x v="68"/>
    <x v="68"/>
    <s v="NOS"/>
    <s v="ZROH"/>
    <s v="L002"/>
    <n v="60000"/>
    <n v="33792.51"/>
    <n v="60000"/>
    <n v="60000"/>
    <x v="25"/>
    <n v="28800"/>
    <s v="RV"/>
    <s v="Billing doc.transfer"/>
    <s v="01"/>
    <x v="2"/>
    <x v="6"/>
    <x v="4"/>
    <x v="0"/>
    <n v="28800"/>
    <n v="1"/>
    <x v="0"/>
    <x v="73"/>
    <n v="60000"/>
    <n v="0"/>
    <n v="0"/>
    <n v="0"/>
    <n v="0"/>
    <n v="0"/>
    <n v="0"/>
    <n v="0"/>
    <n v="0"/>
    <n v="0"/>
    <n v="0"/>
    <n v="0"/>
    <n v="33792.51"/>
    <n v="1"/>
    <n v="0.5632085"/>
    <n v="0"/>
  </r>
  <r>
    <x v="4"/>
    <d v="2025-11-01T00:00:00"/>
    <s v="3271306674"/>
    <x v="73"/>
    <x v="73"/>
    <s v="NOS"/>
    <s v="ZROH"/>
    <s v="L002"/>
    <n v="40000"/>
    <n v="280000"/>
    <n v="40000"/>
    <n v="40000"/>
    <x v="25"/>
    <n v="280000"/>
    <s v="RV"/>
    <s v="Billing doc.transfer"/>
    <s v="01"/>
    <x v="2"/>
    <x v="6"/>
    <x v="4"/>
    <x v="0"/>
    <n v="280000"/>
    <n v="1"/>
    <x v="0"/>
    <x v="74"/>
    <n v="40000"/>
    <n v="0"/>
    <n v="0"/>
    <n v="0"/>
    <n v="0"/>
    <n v="0"/>
    <n v="0"/>
    <n v="0"/>
    <n v="0"/>
    <n v="0"/>
    <n v="0"/>
    <n v="0"/>
    <n v="280000"/>
    <n v="1"/>
    <n v="7"/>
    <n v="0"/>
  </r>
  <r>
    <x v="4"/>
    <d v="2025-11-01T00:00:00"/>
    <s v="3271306674"/>
    <x v="111"/>
    <x v="110"/>
    <s v="NOS"/>
    <s v="ZROH"/>
    <s v="RM0001"/>
    <n v="20000"/>
    <n v="144473.04999999999"/>
    <n v="20000"/>
    <n v="20000"/>
    <x v="25"/>
    <n v="145600"/>
    <s v="RV"/>
    <s v="Billing doc.transfer"/>
    <s v="01"/>
    <x v="2"/>
    <x v="19"/>
    <x v="4"/>
    <x v="0"/>
    <n v="145600"/>
    <n v="1"/>
    <x v="0"/>
    <x v="108"/>
    <n v="20000"/>
    <n v="0"/>
    <n v="0"/>
    <n v="0"/>
    <n v="0"/>
    <n v="0"/>
    <n v="0"/>
    <n v="0"/>
    <n v="0"/>
    <n v="0"/>
    <n v="0"/>
    <n v="0"/>
    <n v="144473.04999999999"/>
    <n v="1"/>
    <n v="7.2236524999999991"/>
    <n v="0"/>
  </r>
  <r>
    <x v="4"/>
    <d v="2025-11-01T00:00:00"/>
    <s v="3271306674"/>
    <x v="76"/>
    <x v="76"/>
    <s v="NOS"/>
    <s v="ZROH"/>
    <s v="RM0007"/>
    <n v="40000"/>
    <n v="2240"/>
    <n v="40000"/>
    <n v="40000"/>
    <x v="25"/>
    <n v="2400"/>
    <s v="RV"/>
    <s v="Billing doc.transfer"/>
    <s v="01"/>
    <x v="2"/>
    <x v="20"/>
    <x v="4"/>
    <x v="0"/>
    <n v="2400"/>
    <n v="1"/>
    <x v="0"/>
    <x v="71"/>
    <n v="40000"/>
    <n v="0"/>
    <n v="0"/>
    <n v="0"/>
    <n v="0"/>
    <n v="0"/>
    <n v="0"/>
    <n v="0"/>
    <n v="0"/>
    <n v="0"/>
    <n v="0"/>
    <n v="0"/>
    <n v="2240"/>
    <n v="1"/>
    <n v="5.6000000000000001E-2"/>
    <n v="0"/>
  </r>
  <r>
    <x v="4"/>
    <d v="2025-11-01T00:00:00"/>
    <s v="3271306674"/>
    <x v="71"/>
    <x v="71"/>
    <s v="NOS"/>
    <s v="ZROH"/>
    <s v="RM0007"/>
    <n v="40000"/>
    <n v="2239.9899999999998"/>
    <n v="40000"/>
    <n v="40000"/>
    <x v="25"/>
    <n v="2400"/>
    <s v="RV"/>
    <s v="Billing doc.transfer"/>
    <s v="01"/>
    <x v="2"/>
    <x v="20"/>
    <x v="4"/>
    <x v="0"/>
    <n v="2400"/>
    <n v="1"/>
    <x v="0"/>
    <x v="71"/>
    <n v="40000"/>
    <n v="0"/>
    <n v="0"/>
    <n v="0"/>
    <n v="0"/>
    <n v="0"/>
    <n v="0"/>
    <n v="0"/>
    <n v="0"/>
    <n v="0"/>
    <n v="0"/>
    <n v="0"/>
    <n v="2239.9899999999998"/>
    <n v="1"/>
    <n v="5.5999749999999994E-2"/>
    <n v="0"/>
  </r>
  <r>
    <x v="4"/>
    <d v="2025-11-01T00:00:00"/>
    <s v="3271306674"/>
    <x v="72"/>
    <x v="72"/>
    <s v="NOS"/>
    <s v="ZROH"/>
    <s v="RM0007"/>
    <n v="40000"/>
    <n v="2240"/>
    <n v="40000"/>
    <n v="40000"/>
    <x v="25"/>
    <n v="2400"/>
    <s v="RV"/>
    <s v="Billing doc.transfer"/>
    <s v="01"/>
    <x v="2"/>
    <x v="20"/>
    <x v="4"/>
    <x v="0"/>
    <n v="2400"/>
    <n v="1"/>
    <x v="0"/>
    <x v="71"/>
    <n v="40000"/>
    <n v="0"/>
    <n v="0"/>
    <n v="0"/>
    <n v="0"/>
    <n v="0"/>
    <n v="0"/>
    <n v="0"/>
    <n v="0"/>
    <n v="0"/>
    <n v="0"/>
    <n v="0"/>
    <n v="2240"/>
    <n v="1"/>
    <n v="5.6000000000000001E-2"/>
    <n v="0"/>
  </r>
  <r>
    <x v="4"/>
    <d v="2025-11-01T00:00:00"/>
    <s v="3271306674"/>
    <x v="79"/>
    <x v="79"/>
    <s v="NOS"/>
    <s v="ZROH"/>
    <s v="RM0007"/>
    <n v="40000"/>
    <n v="3560"/>
    <n v="40000"/>
    <n v="40000"/>
    <x v="25"/>
    <n v="3600"/>
    <s v="RV"/>
    <s v="Billing doc.transfer"/>
    <s v="01"/>
    <x v="2"/>
    <x v="20"/>
    <x v="4"/>
    <x v="0"/>
    <n v="3600"/>
    <n v="1"/>
    <x v="0"/>
    <x v="77"/>
    <n v="40000"/>
    <n v="0"/>
    <n v="0"/>
    <n v="0"/>
    <n v="0"/>
    <n v="0"/>
    <n v="0"/>
    <n v="0"/>
    <n v="0"/>
    <n v="0"/>
    <n v="0"/>
    <n v="0"/>
    <n v="3560"/>
    <n v="1"/>
    <n v="8.8999999999999996E-2"/>
    <n v="0"/>
  </r>
  <r>
    <x v="4"/>
    <d v="2025-11-01T00:00:00"/>
    <s v="3271306674"/>
    <x v="78"/>
    <x v="78"/>
    <s v="NOS"/>
    <s v="ZROH"/>
    <s v="RM0007"/>
    <n v="40000"/>
    <n v="2880"/>
    <n v="40000"/>
    <n v="40000"/>
    <x v="25"/>
    <n v="2800"/>
    <s v="RV"/>
    <s v="Billing doc.transfer"/>
    <s v="01"/>
    <x v="2"/>
    <x v="20"/>
    <x v="4"/>
    <x v="0"/>
    <n v="2800"/>
    <n v="1"/>
    <x v="0"/>
    <x v="76"/>
    <n v="40000"/>
    <n v="0"/>
    <n v="0"/>
    <n v="0"/>
    <n v="0"/>
    <n v="0"/>
    <n v="0"/>
    <n v="0"/>
    <n v="0"/>
    <n v="0"/>
    <n v="0"/>
    <n v="0"/>
    <n v="2880"/>
    <n v="1"/>
    <n v="7.1999999999999995E-2"/>
    <n v="0"/>
  </r>
  <r>
    <x v="4"/>
    <d v="2025-11-01T00:00:00"/>
    <s v="3271306674"/>
    <x v="70"/>
    <x v="70"/>
    <s v="NOS"/>
    <s v="ZROH"/>
    <s v="RM0007"/>
    <n v="100000"/>
    <n v="5599.98"/>
    <n v="100000"/>
    <n v="100000"/>
    <x v="25"/>
    <n v="6000"/>
    <s v="RV"/>
    <s v="Billing doc.transfer"/>
    <s v="01"/>
    <x v="2"/>
    <x v="20"/>
    <x v="4"/>
    <x v="0"/>
    <n v="6000"/>
    <n v="1"/>
    <x v="0"/>
    <x v="71"/>
    <n v="100000"/>
    <n v="0"/>
    <n v="0"/>
    <n v="0"/>
    <n v="0"/>
    <n v="0"/>
    <n v="0"/>
    <n v="0"/>
    <n v="0"/>
    <n v="0"/>
    <n v="0"/>
    <n v="0"/>
    <n v="5599.98"/>
    <n v="1"/>
    <n v="5.5999799999999995E-2"/>
    <n v="0"/>
  </r>
  <r>
    <x v="4"/>
    <d v="2025-11-01T00:00:00"/>
    <s v="3271306674"/>
    <x v="64"/>
    <x v="64"/>
    <s v="NOS"/>
    <s v="ZROH"/>
    <s v="RM0001"/>
    <n v="100000"/>
    <n v="166000"/>
    <n v="100000"/>
    <n v="100000"/>
    <x v="25"/>
    <n v="166000"/>
    <s v="RV"/>
    <s v="Billing doc.transfer"/>
    <s v="01"/>
    <x v="2"/>
    <x v="19"/>
    <x v="4"/>
    <x v="0"/>
    <n v="166000"/>
    <n v="1"/>
    <x v="0"/>
    <x v="70"/>
    <n v="100000"/>
    <n v="0"/>
    <n v="0"/>
    <n v="0"/>
    <n v="0"/>
    <n v="0"/>
    <n v="0"/>
    <n v="0"/>
    <n v="0"/>
    <n v="0"/>
    <n v="0"/>
    <n v="0"/>
    <n v="166000"/>
    <n v="1"/>
    <n v="1.66"/>
    <n v="0"/>
  </r>
  <r>
    <x v="4"/>
    <d v="2025-11-01T00:00:00"/>
    <s v="3271306674"/>
    <x v="65"/>
    <x v="65"/>
    <s v="NOS"/>
    <s v="ZROH"/>
    <s v="RM0001"/>
    <n v="100000"/>
    <n v="50005.05"/>
    <n v="100000"/>
    <n v="100000"/>
    <x v="25"/>
    <n v="50000"/>
    <s v="RV"/>
    <s v="Billing doc.transfer"/>
    <s v="01"/>
    <x v="2"/>
    <x v="19"/>
    <x v="4"/>
    <x v="0"/>
    <n v="50000"/>
    <n v="1"/>
    <x v="0"/>
    <x v="48"/>
    <n v="100000"/>
    <n v="0"/>
    <n v="0"/>
    <n v="0"/>
    <n v="0"/>
    <n v="0"/>
    <n v="0"/>
    <n v="0"/>
    <n v="0"/>
    <n v="0"/>
    <n v="0"/>
    <n v="0"/>
    <n v="50005.05"/>
    <n v="1"/>
    <n v="0.50005050000000006"/>
    <n v="0"/>
  </r>
  <r>
    <x v="4"/>
    <d v="2025-11-01T00:00:00"/>
    <s v="3271306674"/>
    <x v="112"/>
    <x v="111"/>
    <s v="NOS"/>
    <s v="ZROH"/>
    <s v="RM0007"/>
    <n v="40000"/>
    <n v="2240.0100000000002"/>
    <n v="40000"/>
    <n v="40000"/>
    <x v="25"/>
    <n v="2400"/>
    <s v="RV"/>
    <s v="Billing doc.transfer"/>
    <s v="01"/>
    <x v="2"/>
    <x v="20"/>
    <x v="4"/>
    <x v="0"/>
    <n v="2400"/>
    <n v="1"/>
    <x v="0"/>
    <x v="71"/>
    <n v="40000"/>
    <n v="0"/>
    <n v="0"/>
    <n v="0"/>
    <n v="0"/>
    <n v="0"/>
    <n v="0"/>
    <n v="0"/>
    <n v="0"/>
    <n v="0"/>
    <n v="0"/>
    <n v="0"/>
    <n v="2240.0100000000002"/>
    <n v="1"/>
    <n v="5.6000250000000008E-2"/>
    <n v="0"/>
  </r>
  <r>
    <x v="4"/>
    <d v="2025-11-01T00:00:00"/>
    <s v="3271306674"/>
    <x v="69"/>
    <x v="69"/>
    <s v="NOS"/>
    <s v="ZROH"/>
    <s v="RM0007"/>
    <n v="300000"/>
    <n v="18000"/>
    <n v="300000"/>
    <n v="300000"/>
    <x v="25"/>
    <n v="18000"/>
    <s v="RV"/>
    <s v="Billing doc.transfer"/>
    <s v="01"/>
    <x v="2"/>
    <x v="20"/>
    <x v="4"/>
    <x v="0"/>
    <n v="18000"/>
    <n v="1"/>
    <x v="0"/>
    <x v="71"/>
    <n v="300000"/>
    <n v="0"/>
    <n v="0"/>
    <n v="0"/>
    <n v="0"/>
    <n v="0"/>
    <n v="0"/>
    <n v="0"/>
    <n v="0"/>
    <n v="0"/>
    <n v="0"/>
    <n v="0"/>
    <n v="18000"/>
    <n v="1"/>
    <n v="0.06"/>
    <n v="0"/>
  </r>
  <r>
    <x v="4"/>
    <d v="2025-11-01T00:00:00"/>
    <s v="3271306674"/>
    <x v="113"/>
    <x v="112"/>
    <s v="NOS"/>
    <s v="ZROH"/>
    <s v="RM0007"/>
    <n v="40000"/>
    <n v="800"/>
    <n v="40000"/>
    <n v="40000"/>
    <x v="25"/>
    <n v="800"/>
    <s v="RV"/>
    <s v="Billing doc.transfer"/>
    <s v="01"/>
    <x v="2"/>
    <x v="20"/>
    <x v="4"/>
    <x v="0"/>
    <n v="800"/>
    <n v="1"/>
    <x v="0"/>
    <x v="81"/>
    <n v="40000"/>
    <n v="0"/>
    <n v="0"/>
    <n v="0"/>
    <n v="0"/>
    <n v="0"/>
    <n v="0"/>
    <n v="0"/>
    <n v="0"/>
    <n v="0"/>
    <n v="0"/>
    <n v="0"/>
    <n v="800"/>
    <n v="1"/>
    <n v="0.02"/>
    <n v="0"/>
  </r>
  <r>
    <x v="4"/>
    <d v="2025-11-01T00:00:00"/>
    <s v="3271306674"/>
    <x v="77"/>
    <x v="77"/>
    <s v="NOS"/>
    <s v="ZROH"/>
    <s v="RM0007"/>
    <n v="40000"/>
    <n v="2240"/>
    <n v="40000"/>
    <n v="40000"/>
    <x v="25"/>
    <n v="2400"/>
    <s v="RV"/>
    <s v="Billing doc.transfer"/>
    <s v="01"/>
    <x v="2"/>
    <x v="20"/>
    <x v="4"/>
    <x v="0"/>
    <n v="2400"/>
    <n v="1"/>
    <x v="0"/>
    <x v="71"/>
    <n v="40000"/>
    <n v="0"/>
    <n v="0"/>
    <n v="0"/>
    <n v="0"/>
    <n v="0"/>
    <n v="0"/>
    <n v="0"/>
    <n v="0"/>
    <n v="0"/>
    <n v="0"/>
    <n v="0"/>
    <n v="2240"/>
    <n v="1"/>
    <n v="5.6000000000000001E-2"/>
    <n v="0"/>
  </r>
  <r>
    <x v="4"/>
    <d v="2025-11-01T00:00:00"/>
    <s v="3271306674"/>
    <x v="114"/>
    <x v="113"/>
    <s v="NOS"/>
    <s v="ZROH"/>
    <s v="RM0007"/>
    <n v="30000"/>
    <n v="600"/>
    <n v="30000"/>
    <n v="30000"/>
    <x v="25"/>
    <n v="600"/>
    <s v="RV"/>
    <s v="Billing doc.transfer"/>
    <s v="01"/>
    <x v="2"/>
    <x v="20"/>
    <x v="4"/>
    <x v="0"/>
    <n v="600"/>
    <n v="1"/>
    <x v="0"/>
    <x v="81"/>
    <n v="30000"/>
    <n v="0"/>
    <n v="0"/>
    <n v="0"/>
    <n v="0"/>
    <n v="0"/>
    <n v="0"/>
    <n v="0"/>
    <n v="0"/>
    <n v="0"/>
    <n v="0"/>
    <n v="0"/>
    <n v="600"/>
    <n v="1"/>
    <n v="0.02"/>
    <n v="0"/>
  </r>
  <r>
    <x v="4"/>
    <d v="2025-11-01T00:00:00"/>
    <s v="3271306674"/>
    <x v="115"/>
    <x v="114"/>
    <s v="NOS"/>
    <s v="ZROH"/>
    <s v="RM0009"/>
    <n v="20000"/>
    <n v="89600"/>
    <n v="20000"/>
    <n v="20000"/>
    <x v="25"/>
    <n v="89600"/>
    <s v="RV"/>
    <s v="Billing doc.transfer"/>
    <s v="01"/>
    <x v="2"/>
    <x v="17"/>
    <x v="4"/>
    <x v="0"/>
    <n v="89600"/>
    <n v="1"/>
    <x v="0"/>
    <x v="109"/>
    <n v="20000"/>
    <n v="0"/>
    <n v="0"/>
    <n v="0"/>
    <n v="0"/>
    <n v="0"/>
    <n v="0"/>
    <n v="0"/>
    <n v="0"/>
    <n v="0"/>
    <n v="0"/>
    <n v="0"/>
    <n v="89600"/>
    <n v="1"/>
    <n v="4.4800000000000004"/>
    <n v="0"/>
  </r>
  <r>
    <x v="4"/>
    <d v="2025-11-01T00:00:00"/>
    <s v="3271306674"/>
    <x v="83"/>
    <x v="83"/>
    <s v="NOS"/>
    <s v="ZROH"/>
    <s v="RM0009"/>
    <n v="50000"/>
    <n v="385540.35"/>
    <n v="50000"/>
    <n v="50000"/>
    <x v="25"/>
    <n v="392000"/>
    <s v="RV"/>
    <s v="Billing doc.transfer"/>
    <s v="01"/>
    <x v="2"/>
    <x v="17"/>
    <x v="4"/>
    <x v="0"/>
    <n v="392000"/>
    <n v="1"/>
    <x v="0"/>
    <x v="80"/>
    <n v="50000"/>
    <n v="0"/>
    <n v="0"/>
    <n v="0"/>
    <n v="0"/>
    <n v="0"/>
    <n v="0"/>
    <n v="0"/>
    <n v="0"/>
    <n v="0"/>
    <n v="0"/>
    <n v="0"/>
    <n v="385540.35"/>
    <n v="1"/>
    <n v="7.710807"/>
    <n v="0"/>
  </r>
  <r>
    <x v="4"/>
    <d v="2025-11-01T00:00:00"/>
    <s v="3271306674"/>
    <x v="116"/>
    <x v="84"/>
    <s v="NOS"/>
    <s v="ZROH"/>
    <s v="RM0009"/>
    <n v="30000"/>
    <n v="600"/>
    <n v="30000"/>
    <n v="30000"/>
    <x v="25"/>
    <n v="600"/>
    <s v="RV"/>
    <s v="Billing doc.transfer"/>
    <s v="01"/>
    <x v="2"/>
    <x v="17"/>
    <x v="4"/>
    <x v="0"/>
    <n v="600"/>
    <n v="1"/>
    <x v="0"/>
    <x v="81"/>
    <n v="30000"/>
    <n v="0"/>
    <n v="0"/>
    <n v="0"/>
    <n v="0"/>
    <n v="0"/>
    <n v="0"/>
    <n v="0"/>
    <n v="0"/>
    <n v="0"/>
    <n v="0"/>
    <n v="0"/>
    <n v="600"/>
    <n v="1"/>
    <n v="0.02"/>
    <n v="0"/>
  </r>
  <r>
    <x v="4"/>
    <d v="2025-11-01T00:00:00"/>
    <s v="3271306674"/>
    <x v="117"/>
    <x v="115"/>
    <s v="NOS"/>
    <s v="ZROH"/>
    <s v="RM0009"/>
    <n v="40000"/>
    <n v="3802.71"/>
    <n v="40000"/>
    <n v="40000"/>
    <x v="25"/>
    <n v="4000"/>
    <s v="RV"/>
    <s v="Billing doc.transfer"/>
    <s v="01"/>
    <x v="2"/>
    <x v="17"/>
    <x v="4"/>
    <x v="0"/>
    <n v="4000"/>
    <n v="1"/>
    <x v="0"/>
    <x v="110"/>
    <n v="40000"/>
    <n v="0"/>
    <n v="0"/>
    <n v="0"/>
    <n v="0"/>
    <n v="0"/>
    <n v="0"/>
    <n v="0"/>
    <n v="0"/>
    <n v="0"/>
    <n v="0"/>
    <n v="0"/>
    <n v="3802.71"/>
    <n v="1"/>
    <n v="9.5067750000000006E-2"/>
    <n v="0"/>
  </r>
  <r>
    <x v="4"/>
    <d v="2025-11-01T00:00:00"/>
    <s v="3271306674"/>
    <x v="81"/>
    <x v="81"/>
    <s v="NOS"/>
    <s v="ZROH"/>
    <s v="RM0009"/>
    <n v="50000"/>
    <n v="250000"/>
    <n v="50000"/>
    <n v="50000"/>
    <x v="25"/>
    <n v="250000"/>
    <s v="RV"/>
    <s v="Billing doc.transfer"/>
    <s v="01"/>
    <x v="2"/>
    <x v="17"/>
    <x v="4"/>
    <x v="0"/>
    <n v="250000"/>
    <n v="1"/>
    <x v="0"/>
    <x v="79"/>
    <n v="50000"/>
    <n v="0"/>
    <n v="0"/>
    <n v="0"/>
    <n v="0"/>
    <n v="0"/>
    <n v="0"/>
    <n v="0"/>
    <n v="0"/>
    <n v="0"/>
    <n v="0"/>
    <n v="0"/>
    <n v="250000"/>
    <n v="1"/>
    <n v="5"/>
    <n v="0"/>
  </r>
  <r>
    <x v="4"/>
    <d v="2025-11-01T00:00:00"/>
    <s v="3271306674"/>
    <x v="82"/>
    <x v="82"/>
    <s v="NOS"/>
    <s v="ZROH"/>
    <s v="RM0009"/>
    <n v="50000"/>
    <n v="24218.75"/>
    <n v="50000"/>
    <n v="50000"/>
    <x v="25"/>
    <n v="21500"/>
    <s v="RV"/>
    <s v="Billing doc.transfer"/>
    <s v="01"/>
    <x v="2"/>
    <x v="17"/>
    <x v="4"/>
    <x v="0"/>
    <n v="21500"/>
    <n v="1"/>
    <x v="0"/>
    <x v="53"/>
    <n v="50000"/>
    <n v="0"/>
    <n v="0"/>
    <n v="0"/>
    <n v="0"/>
    <n v="0"/>
    <n v="0"/>
    <n v="0"/>
    <n v="0"/>
    <n v="0"/>
    <n v="0"/>
    <n v="0"/>
    <n v="24218.75"/>
    <n v="1"/>
    <n v="0.484375"/>
    <n v="0"/>
  </r>
  <r>
    <x v="4"/>
    <d v="2025-11-01T00:00:00"/>
    <s v="3271306662"/>
    <x v="118"/>
    <x v="116"/>
    <s v="NOS"/>
    <s v="ZROH"/>
    <s v="RM0005"/>
    <n v="30000"/>
    <n v="1919351.16"/>
    <n v="30000"/>
    <n v="30000"/>
    <x v="25"/>
    <n v="1960500"/>
    <s v="RV"/>
    <s v="Billing doc.transfer"/>
    <s v="01"/>
    <x v="2"/>
    <x v="4"/>
    <x v="4"/>
    <x v="0"/>
    <n v="1960500"/>
    <n v="1"/>
    <x v="0"/>
    <x v="111"/>
    <n v="30000"/>
    <n v="0"/>
    <n v="0"/>
    <n v="0"/>
    <n v="0"/>
    <n v="0"/>
    <n v="0"/>
    <n v="0"/>
    <n v="0"/>
    <n v="0"/>
    <n v="0"/>
    <n v="0"/>
    <n v="1919351.16"/>
    <n v="1"/>
    <n v="63.978372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1">
  <r>
    <s v="GODREJ &amp; BOYCE MFG. CO. LTD Shirwal"/>
    <d v="2025-11-29T00:00:00"/>
    <s v="3271316537"/>
    <x v="0"/>
    <x v="0"/>
    <s v="NOS"/>
    <s v="ZFG1"/>
    <s v="FG0011"/>
    <n v="1000"/>
    <n v="464890"/>
    <n v="1000"/>
    <n v="1000"/>
    <d v="2025-11-29T00:00:00"/>
    <n v="659300"/>
    <s v="RV"/>
    <s v="Billing doc.transfer"/>
    <s v="01"/>
    <s v="Finished Goods"/>
    <s v="FG-PCB-Ref"/>
    <s v="FG-PCB-Ref"/>
    <b v="0"/>
    <n v="194169.99999999994"/>
    <n v="0.29450932807523122"/>
    <s v="November-25"/>
    <n v="659.3"/>
    <n v="1000"/>
    <n v="464.8900000000001"/>
    <n v="405.11000000000007"/>
    <n v="28.32"/>
    <n v="0.24"/>
    <n v="31.22"/>
    <n v="0.24000000000003041"/>
    <n v="465130.00000000006"/>
    <n v="405110.00000000006"/>
    <n v="28320"/>
    <n v="240"/>
    <n v="31460"/>
    <n v="-5.8207660913467407E-11"/>
    <n v="0.29450932807523122"/>
    <n v="464.89"/>
    <n v="240"/>
    <n v="2.3199999999999998"/>
    <n v="20.59"/>
    <n v="8.31"/>
    <n v="405110.00000000006"/>
    <n v="28320"/>
    <n v="2320"/>
    <n v="20590"/>
    <n v="8310"/>
    <n v="240"/>
    <n v="0"/>
  </r>
  <r>
    <s v="GODREJ &amp; BOYCE MFG. CO. LTD Shirwal"/>
    <d v="2025-11-29T00:00:00"/>
    <s v="3271316534"/>
    <x v="1"/>
    <x v="1"/>
    <s v="NOS"/>
    <s v="ZFG1"/>
    <s v="FG0011"/>
    <n v="1500"/>
    <n v="692055"/>
    <n v="1500"/>
    <n v="1500"/>
    <d v="2025-11-29T00:00:00"/>
    <n v="984465"/>
    <s v="RV"/>
    <s v="Billing doc.transfer"/>
    <s v="01"/>
    <s v="Finished Goods"/>
    <s v="FG-PCB-Ref"/>
    <s v="FG-PCB-Ref"/>
    <b v="0"/>
    <n v="292050"/>
    <n v="0.29665859121451754"/>
    <s v="November-25"/>
    <n v="656.31"/>
    <n v="1500"/>
    <n v="461.37"/>
    <n v="401.59000000000003"/>
    <n v="28.32"/>
    <n v="0.24"/>
    <n v="31.22"/>
    <n v="0.23999999999997357"/>
    <n v="692415"/>
    <n v="602385"/>
    <n v="42480"/>
    <n v="360"/>
    <n v="47190"/>
    <n v="0"/>
    <n v="0.29665859121451754"/>
    <n v="461.37"/>
    <n v="360"/>
    <n v="2.3199999999999998"/>
    <n v="20.59"/>
    <n v="8.31"/>
    <n v="602385"/>
    <n v="42480"/>
    <n v="3479.9999999999995"/>
    <n v="30885"/>
    <n v="12465"/>
    <n v="360"/>
    <n v="0"/>
  </r>
  <r>
    <s v="Atomberg Technologies Private Limit"/>
    <d v="2025-11-29T00:00:00"/>
    <s v="3271316602"/>
    <x v="2"/>
    <x v="2"/>
    <s v="NOS"/>
    <s v="ZSFG"/>
    <s v="SF0045"/>
    <n v="2872"/>
    <n v="424108.24"/>
    <n v="2872"/>
    <n v="2872"/>
    <d v="2025-11-29T00:00:00"/>
    <n v="467963.68"/>
    <s v="RV"/>
    <s v="Billing doc.transfer"/>
    <s v="01"/>
    <s v="Semi-Finished Goods"/>
    <s v="SFG-GV5 Stator"/>
    <s v="Sub Ass.-Mech Stator"/>
    <b v="0"/>
    <n v="43855.440000000061"/>
    <n v="9.3715478090094645E-2"/>
    <s v="November-25"/>
    <n v="162.94"/>
    <n v="2872"/>
    <n v="147.66999999999996"/>
    <n v="144.21999999999997"/>
    <n v="1.5"/>
    <n v="0"/>
    <n v="1.95"/>
    <n v="-1.1324274851176597E-14"/>
    <n v="424108.23999999993"/>
    <n v="414199.83999999991"/>
    <n v="4308"/>
    <n v="0"/>
    <n v="5600.4"/>
    <n v="8.1854523159563541E-11"/>
    <n v="9.3715478090094617E-2"/>
    <n v="147.66999999999999"/>
    <n v="2.3646862246096134E-11"/>
    <n v="0.05"/>
    <n v="0.4"/>
    <n v="1.5"/>
    <n v="414199.83999999991"/>
    <n v="4308"/>
    <n v="143.6"/>
    <n v="1148.8"/>
    <n v="4308"/>
    <n v="0"/>
    <n v="0"/>
  </r>
  <r>
    <s v="Atomberg Technologies Private Limit"/>
    <d v="2025-11-29T00:00:00"/>
    <s v="3271316494"/>
    <x v="3"/>
    <x v="3"/>
    <s v="NOS"/>
    <s v="ZFG1"/>
    <s v="FG0010"/>
    <n v="213"/>
    <n v="137391.39000000001"/>
    <n v="213"/>
    <n v="213"/>
    <d v="2025-11-29T00:00:00"/>
    <n v="155183.28"/>
    <s v="RV"/>
    <s v="Billing doc.transfer"/>
    <s v="01"/>
    <s v="Finished Goods"/>
    <s v="FG-PCB-CF"/>
    <s v="FG-PCB-CF"/>
    <b v="0"/>
    <n v="17700.300000000076"/>
    <n v="0.11406061271549406"/>
    <s v="November-25"/>
    <n v="728.56"/>
    <n v="213"/>
    <n v="645.02999999999963"/>
    <n v="582.23999999999967"/>
    <n v="29.88"/>
    <n v="0.43"/>
    <n v="32.480000000000004"/>
    <n v="0.42999999999996419"/>
    <n v="137482.97999999992"/>
    <n v="124017.11999999992"/>
    <n v="6364.44"/>
    <n v="91.59"/>
    <n v="7009.8300000000008"/>
    <n v="9.0949470177292824E-11"/>
    <n v="0.11406061271549406"/>
    <n v="645.03000000000009"/>
    <n v="91.590000000000146"/>
    <n v="2.4500000000000002"/>
    <n v="21.72"/>
    <n v="8.31"/>
    <n v="124017.11999999992"/>
    <n v="6364.44"/>
    <n v="521.85"/>
    <n v="4626.3599999999997"/>
    <n v="1770.0300000000002"/>
    <n v="91.59"/>
    <n v="0"/>
  </r>
  <r>
    <s v="Atomberg Technologies Private Limit"/>
    <d v="2025-11-29T00:00:00"/>
    <s v="3271316601"/>
    <x v="4"/>
    <x v="4"/>
    <s v="NOS"/>
    <s v="ZFG1"/>
    <s v="FG0010"/>
    <n v="1185"/>
    <n v="499370.85"/>
    <n v="1185"/>
    <n v="1185"/>
    <d v="2025-11-29T00:00:00"/>
    <n v="572544.6"/>
    <s v="RV"/>
    <s v="Billing doc.transfer"/>
    <s v="01"/>
    <s v="Finished Goods"/>
    <s v="FG-PCB-CF"/>
    <s v="FG-PCB-CF"/>
    <b v="0"/>
    <n v="72865.650000000198"/>
    <n v="0.12726632999420517"/>
    <s v="November-25"/>
    <n v="483.15999999999997"/>
    <n v="1185"/>
    <n v="421.40999999999985"/>
    <n v="373.04999999999984"/>
    <n v="22"/>
    <n v="0.26"/>
    <n v="26.1"/>
    <n v="0.26000000000001222"/>
    <n v="499678.94999999978"/>
    <n v="442064.24999999983"/>
    <n v="26070"/>
    <n v="308.10000000000002"/>
    <n v="31236.6"/>
    <n v="1.5279510989785194E-10"/>
    <n v="0.12726632999420517"/>
    <n v="421.40999999999997"/>
    <n v="308.09999999995489"/>
    <n v="1.8"/>
    <n v="15.99"/>
    <n v="8.31"/>
    <n v="442064.24999999983"/>
    <n v="26070"/>
    <n v="2133"/>
    <n v="18948.150000000001"/>
    <n v="9847.35"/>
    <n v="308.10000000000002"/>
    <n v="0"/>
  </r>
  <r>
    <s v="Atomberg Technologies Private Limit"/>
    <d v="2025-11-29T00:00:00"/>
    <s v="3271316601"/>
    <x v="5"/>
    <x v="5"/>
    <s v="NOS"/>
    <s v="ZFG1"/>
    <s v="FG0010"/>
    <n v="2970"/>
    <n v="971576.1"/>
    <n v="2970"/>
    <n v="2970"/>
    <d v="2025-11-29T00:00:00"/>
    <n v="1012977.9"/>
    <s v="RV"/>
    <s v="Billing doc.transfer"/>
    <s v="01"/>
    <s v="Finished Goods"/>
    <s v="FG-PCB-CF"/>
    <s v="FG-PCB-CF"/>
    <b v="0"/>
    <n v="40896.900000000023"/>
    <n v="4.0372943970445975E-2"/>
    <s v="November-25"/>
    <n v="341.07"/>
    <n v="2970"/>
    <n v="327.13"/>
    <n v="278.14"/>
    <n v="22.400000000000002"/>
    <n v="0.17"/>
    <n v="26.42"/>
    <n v="0.17000000000000526"/>
    <n v="972081"/>
    <n v="826075.79999999993"/>
    <n v="66528"/>
    <n v="504.90000000000003"/>
    <n v="78972.3"/>
    <n v="0"/>
    <n v="4.0372943970445996E-2"/>
    <n v="327.13"/>
    <n v="504.90000000006694"/>
    <n v="1.8299999999999998"/>
    <n v="16.28"/>
    <n v="8.31"/>
    <n v="826075.79999999993"/>
    <n v="66528"/>
    <n v="5435.0999999999995"/>
    <n v="48351.600000000006"/>
    <n v="24680.7"/>
    <n v="504.90000000000003"/>
    <n v="0"/>
  </r>
  <r>
    <s v="Atomberg Technologies Private Limit"/>
    <d v="2025-11-29T00:00:00"/>
    <s v="3271316601"/>
    <x v="6"/>
    <x v="6"/>
    <s v="NOS"/>
    <s v="ZFG1"/>
    <s v="FG0010"/>
    <n v="887"/>
    <n v="290137.7"/>
    <n v="887"/>
    <n v="887"/>
    <d v="2025-11-29T00:00:00"/>
    <n v="302529.09000000003"/>
    <s v="RV"/>
    <s v="Billing doc.transfer"/>
    <s v="01"/>
    <s v="Finished Goods"/>
    <s v="FG-PCB-CF"/>
    <s v="FG-PCB-CF"/>
    <b v="0"/>
    <n v="12240.599999999977"/>
    <n v="4.046090245404161E-2"/>
    <s v="November-25"/>
    <n v="341.07000000000005"/>
    <n v="887"/>
    <n v="327.10000000000008"/>
    <n v="278.11000000000007"/>
    <n v="22.400000000000002"/>
    <n v="0.17"/>
    <n v="26.42"/>
    <n v="0.17000000000000526"/>
    <n v="290288.49000000005"/>
    <n v="246683.57000000007"/>
    <n v="19868.800000000003"/>
    <n v="150.79000000000002"/>
    <n v="23585.33"/>
    <n v="-5.8207660913467407E-11"/>
    <n v="4.0460902454041658E-2"/>
    <n v="327.10000000000002"/>
    <n v="150.78999999997905"/>
    <n v="1.8299999999999998"/>
    <n v="16.28"/>
    <n v="8.31"/>
    <n v="246683.57000000007"/>
    <n v="19868.800000000003"/>
    <n v="1623.2099999999998"/>
    <n v="14440.36"/>
    <n v="7370.97"/>
    <n v="150.79000000000002"/>
    <n v="0"/>
  </r>
  <r>
    <s v="Atomberg Technologies Private Limit"/>
    <d v="2025-11-29T00:00:00"/>
    <s v="3271316494"/>
    <x v="7"/>
    <x v="7"/>
    <s v="NOS"/>
    <s v="ZFG1"/>
    <s v="FG0010"/>
    <n v="1220"/>
    <n v="399062"/>
    <n v="1220"/>
    <n v="1220"/>
    <d v="2025-11-29T00:00:00"/>
    <n v="416105.4"/>
    <s v="RV"/>
    <s v="Billing doc.transfer"/>
    <s v="01"/>
    <s v="Finished Goods"/>
    <s v="FG-PCB-CF"/>
    <s v="FG-PCB-CF"/>
    <b v="0"/>
    <n v="16836.000000000116"/>
    <n v="4.0460902454041971E-2"/>
    <s v="November-25"/>
    <n v="341.07"/>
    <n v="1220"/>
    <n v="327.09999999999991"/>
    <n v="278.1099999999999"/>
    <n v="22.400000000000002"/>
    <n v="0.17"/>
    <n v="26.42"/>
    <n v="0.17000000000000526"/>
    <n v="399269.39999999991"/>
    <n v="339294.1999999999"/>
    <n v="27328.000000000004"/>
    <n v="207.4"/>
    <n v="32439.800000000003"/>
    <n v="9.822542779147625E-11"/>
    <n v="4.0460902454041991E-2"/>
    <n v="327.10000000000002"/>
    <n v="207.40000000000509"/>
    <n v="1.8299999999999998"/>
    <n v="16.28"/>
    <n v="8.31"/>
    <n v="339294.1999999999"/>
    <n v="27328.000000000004"/>
    <n v="2232.6"/>
    <n v="19861.600000000002"/>
    <n v="10138.200000000001"/>
    <n v="207.4"/>
    <n v="0"/>
  </r>
  <r>
    <s v="Atomberg Technologies Private Limit"/>
    <d v="2025-11-29T00:00:00"/>
    <s v="3271316494"/>
    <x v="8"/>
    <x v="8"/>
    <s v="NOS"/>
    <s v="ZFG1"/>
    <s v="FG0010"/>
    <n v="675"/>
    <n v="219510"/>
    <n v="675"/>
    <n v="675"/>
    <d v="2025-11-29T00:00:00"/>
    <n v="239638.5"/>
    <s v="RV"/>
    <s v="Billing doc.transfer"/>
    <s v="01"/>
    <s v="Finished Goods"/>
    <s v="FG-PCB-CF"/>
    <s v="FG-PCB-CF"/>
    <b v="0"/>
    <n v="19953.000000000029"/>
    <n v="8.3262914765365459E-2"/>
    <s v="November-25"/>
    <n v="355.02"/>
    <n v="675"/>
    <n v="325.19999999999993"/>
    <n v="271.52999999999997"/>
    <n v="23.84"/>
    <n v="0.26"/>
    <n v="29.569999999999997"/>
    <n v="0.25999999999996248"/>
    <n v="219685.49999999997"/>
    <n v="183282.74999999997"/>
    <n v="16092"/>
    <n v="175.5"/>
    <n v="20135.249999999996"/>
    <n v="3.2741809263825417E-11"/>
    <n v="8.3262914765365403E-2"/>
    <n v="325.2"/>
    <n v="175.50000000000364"/>
    <n v="1.9500000000000002"/>
    <n v="17.329999999999998"/>
    <n v="10.29"/>
    <n v="183282.74999999997"/>
    <n v="16092"/>
    <n v="1316.2500000000002"/>
    <n v="11697.749999999998"/>
    <n v="6945.7499999999991"/>
    <n v="175.5"/>
    <n v="0"/>
  </r>
  <r>
    <s v="Atomberg Technologies Private Limit"/>
    <d v="2025-11-29T00:00:00"/>
    <s v="3271316601"/>
    <x v="8"/>
    <x v="8"/>
    <s v="NOS"/>
    <s v="ZFG1"/>
    <s v="FG0010"/>
    <n v="867"/>
    <n v="281948.40000000002"/>
    <n v="867"/>
    <n v="867"/>
    <d v="2025-11-29T00:00:00"/>
    <n v="307802.34000000003"/>
    <s v="RV"/>
    <s v="Billing doc.transfer"/>
    <s v="01"/>
    <s v="Finished Goods"/>
    <s v="FG-PCB-CF"/>
    <s v="FG-PCB-CF"/>
    <b v="0"/>
    <n v="25628.520000000077"/>
    <n v="8.326291476536557E-2"/>
    <s v="November-25"/>
    <n v="355.02000000000004"/>
    <n v="867"/>
    <n v="325.19999999999993"/>
    <n v="271.52999999999997"/>
    <n v="23.84"/>
    <n v="0.26"/>
    <n v="29.569999999999997"/>
    <n v="0.25999999999996248"/>
    <n v="282173.81999999995"/>
    <n v="235416.50999999998"/>
    <n v="20669.28"/>
    <n v="225.42000000000002"/>
    <n v="25862.609999999997"/>
    <n v="4.7293724492192268E-11"/>
    <n v="8.3262914765365625E-2"/>
    <n v="325.20000000000005"/>
    <n v="225.41999999997279"/>
    <n v="1.9500000000000002"/>
    <n v="17.329999999999998"/>
    <n v="10.29"/>
    <n v="235416.50999999998"/>
    <n v="20669.28"/>
    <n v="1690.65"/>
    <n v="15025.109999999999"/>
    <n v="8921.4299999999985"/>
    <n v="225.42000000000002"/>
    <n v="0"/>
  </r>
  <r>
    <s v="Atomberg Technologies Private Limit"/>
    <d v="2025-11-29T00:00:00"/>
    <s v="3271316601"/>
    <x v="9"/>
    <x v="9"/>
    <s v="NOS"/>
    <s v="ZFG1"/>
    <s v="FG0010"/>
    <n v="444"/>
    <n v="96170.4"/>
    <n v="444"/>
    <n v="444"/>
    <d v="2025-11-29T00:00:00"/>
    <n v="98501.4"/>
    <s v="RV"/>
    <s v="Billing doc.transfer"/>
    <s v="01"/>
    <s v="Finished Goods"/>
    <s v="FG-PCB-CF"/>
    <s v="FG-PCB-CF"/>
    <b v="0"/>
    <n v="2313.2400000000052"/>
    <n v="2.3484336263240983E-2"/>
    <s v="November-25"/>
    <n v="221.85"/>
    <n v="444"/>
    <n v="216.59999999999994"/>
    <n v="174.98999999999995"/>
    <n v="18.389999999999997"/>
    <n v="0.04"/>
    <n v="23.18"/>
    <n v="3.9999999999988489E-2"/>
    <n v="96188.159999999989"/>
    <n v="77695.559999999983"/>
    <n v="8165.1599999999989"/>
    <n v="17.760000000000002"/>
    <n v="10309.68"/>
    <n v="0"/>
    <n v="2.3484336263240979E-2"/>
    <n v="216.6"/>
    <n v="17.760000000005675"/>
    <n v="1.5"/>
    <n v="13.37"/>
    <n v="8.31"/>
    <n v="77695.559999999983"/>
    <n v="8165.1599999999989"/>
    <n v="666"/>
    <n v="5936.28"/>
    <n v="3689.6400000000003"/>
    <n v="17.760000000000002"/>
    <n v="0"/>
  </r>
  <r>
    <s v="Atomberg Technologies Private Limit"/>
    <d v="2025-11-29T00:00:00"/>
    <s v="3271316494"/>
    <x v="9"/>
    <x v="9"/>
    <s v="NOS"/>
    <s v="ZFG1"/>
    <s v="FG0010"/>
    <n v="792"/>
    <n v="171547.2"/>
    <n v="792"/>
    <n v="792"/>
    <d v="2025-11-29T00:00:00"/>
    <n v="175705.2"/>
    <s v="RV"/>
    <s v="Billing doc.transfer"/>
    <s v="01"/>
    <s v="Finished Goods"/>
    <s v="FG-PCB-CF"/>
    <s v="FG-PCB-CF"/>
    <b v="0"/>
    <n v="4126.3200000000652"/>
    <n v="2.3484336263241298E-2"/>
    <s v="November-25"/>
    <n v="221.85000000000002"/>
    <n v="792"/>
    <n v="216.59999999999994"/>
    <n v="174.98999999999995"/>
    <n v="18.389999999999997"/>
    <n v="0.04"/>
    <n v="23.18"/>
    <n v="3.9999999999988489E-2"/>
    <n v="171578.87999999995"/>
    <n v="138592.07999999996"/>
    <n v="14564.879999999997"/>
    <n v="31.68"/>
    <n v="18390.240000000002"/>
    <n v="5.4569682106375694E-11"/>
    <n v="2.3484336263241312E-2"/>
    <n v="216.60000000000002"/>
    <n v="31.679999999989377"/>
    <n v="1.5"/>
    <n v="13.37"/>
    <n v="8.31"/>
    <n v="138592.07999999996"/>
    <n v="14564.879999999997"/>
    <n v="1188"/>
    <n v="10589.039999999999"/>
    <n v="6581.52"/>
    <n v="31.68"/>
    <n v="0"/>
  </r>
  <r>
    <s v="Atomberg Technologies Private Limit"/>
    <d v="2025-11-29T00:00:00"/>
    <s v="3271316746"/>
    <x v="10"/>
    <x v="10"/>
    <s v="NOS"/>
    <s v="ZFG1"/>
    <s v="FG0025"/>
    <n v="88"/>
    <n v="46208.800000000003"/>
    <n v="88"/>
    <n v="88"/>
    <d v="2025-11-29T00:00:00"/>
    <n v="85785.919999999998"/>
    <s v="RV"/>
    <s v="Billing doc.transfer"/>
    <s v="01"/>
    <s v="Finished Goods"/>
    <s v="FG-PCB-Ped"/>
    <s v="FG-PCB-Ped"/>
    <b v="0"/>
    <n v="39548.959999999985"/>
    <n v="0.46101924418366075"/>
    <s v="November-25"/>
    <n v="974.84"/>
    <n v="88"/>
    <n v="525.10000000000014"/>
    <n v="451.65000000000009"/>
    <n v="26.66"/>
    <n v="0.32"/>
    <n v="46.469999999999992"/>
    <n v="0.32000000000005713"/>
    <n v="46236.960000000014"/>
    <n v="39745.200000000012"/>
    <n v="2346.08"/>
    <n v="28.16"/>
    <n v="4117.5199999999995"/>
    <n v="-8.1854523159563541E-12"/>
    <n v="0.46101924418366069"/>
    <n v="525.1"/>
    <n v="28.160000000002583"/>
    <n v="2.87"/>
    <n v="22.919999999999998"/>
    <n v="20.68"/>
    <n v="39745.200000000012"/>
    <n v="2346.08"/>
    <n v="252.56"/>
    <n v="2016.9599999999998"/>
    <n v="1819.84"/>
    <n v="28.16"/>
    <n v="0"/>
  </r>
  <r>
    <s v="GODREJ &amp; BOYCE MFG. CO. LTD Shirwal"/>
    <d v="2025-11-28T00:00:00"/>
    <s v="3271316205"/>
    <x v="0"/>
    <x v="0"/>
    <s v="NOS"/>
    <s v="ZFG1"/>
    <s v="FG0011"/>
    <n v="1500"/>
    <n v="697335"/>
    <n v="1500"/>
    <n v="1500"/>
    <d v="2025-11-28T00:00:00"/>
    <n v="988950"/>
    <s v="RV"/>
    <s v="Billing doc.transfer"/>
    <s v="01"/>
    <s v="Finished Goods"/>
    <s v="FG-PCB-Ref"/>
    <s v="FG-PCB-Ref"/>
    <b v="0"/>
    <n v="291254.99999999988"/>
    <n v="0.29450932807523117"/>
    <s v="November-25"/>
    <n v="659.3"/>
    <n v="1500"/>
    <n v="464.8900000000001"/>
    <n v="405.11000000000007"/>
    <n v="28.32"/>
    <n v="0.24"/>
    <n v="31.22"/>
    <n v="0.24000000000003041"/>
    <n v="697695.00000000012"/>
    <n v="607665.00000000012"/>
    <n v="42480"/>
    <n v="360"/>
    <n v="47190"/>
    <n v="-1.1641532182693481E-10"/>
    <n v="0.29450932807523122"/>
    <n v="464.89"/>
    <n v="360"/>
    <n v="2.3199999999999998"/>
    <n v="20.59"/>
    <n v="8.31"/>
    <n v="607665.00000000012"/>
    <n v="42480"/>
    <n v="3479.9999999999995"/>
    <n v="30885"/>
    <n v="12465"/>
    <n v="360"/>
    <n v="0"/>
  </r>
  <r>
    <s v="Atomberg Technologies Private Limit"/>
    <d v="2025-11-28T00:00:00"/>
    <s v="3271316144"/>
    <x v="2"/>
    <x v="2"/>
    <s v="NOS"/>
    <s v="ZSFG"/>
    <s v="SF0045"/>
    <n v="6384"/>
    <n v="942725.28"/>
    <n v="6384"/>
    <n v="6384"/>
    <d v="2025-11-28T00:00:00"/>
    <n v="1040208.96"/>
    <s v="RV"/>
    <s v="Billing doc.transfer"/>
    <s v="01"/>
    <s v="Semi-Finished Goods"/>
    <s v="SFG-GV5 Stator"/>
    <s v="Sub Ass.-Mech Stator"/>
    <b v="0"/>
    <n v="97483.680000000051"/>
    <n v="9.3715478090094562E-2"/>
    <s v="November-25"/>
    <n v="162.94"/>
    <n v="6384"/>
    <n v="147.66999999999996"/>
    <n v="144.21999999999997"/>
    <n v="1.5"/>
    <n v="0"/>
    <n v="1.95"/>
    <n v="-1.1324274851176597E-14"/>
    <n v="942725.27999999991"/>
    <n v="920700.47999999986"/>
    <n v="9576"/>
    <n v="0"/>
    <n v="12448.8"/>
    <n v="1.6370904631912708E-10"/>
    <n v="9.3715478090094617E-2"/>
    <n v="147.67000000000002"/>
    <n v="4.7293724492192268E-11"/>
    <n v="0.05"/>
    <n v="0.4"/>
    <n v="1.5"/>
    <n v="920700.47999999986"/>
    <n v="9576"/>
    <n v="319.20000000000005"/>
    <n v="2553.6000000000004"/>
    <n v="9576"/>
    <n v="0"/>
    <n v="0"/>
  </r>
  <r>
    <s v="Atomberg Technologies Private Limit"/>
    <d v="2025-11-28T00:00:00"/>
    <s v="3271316320"/>
    <x v="2"/>
    <x v="2"/>
    <s v="NOS"/>
    <s v="ZSFG"/>
    <s v="SF0045"/>
    <n v="2240"/>
    <n v="330780.79999999999"/>
    <n v="2240"/>
    <n v="2240"/>
    <d v="2025-11-28T00:00:00"/>
    <n v="364985.59999999998"/>
    <s v="RV"/>
    <s v="Billing doc.transfer"/>
    <s v="01"/>
    <s v="Semi-Finished Goods"/>
    <s v="SFG-GV5 Stator"/>
    <s v="Sub Ass.-Mech Stator"/>
    <b v="0"/>
    <n v="34204.800000000047"/>
    <n v="9.3715478090094645E-2"/>
    <s v="November-25"/>
    <n v="162.94"/>
    <n v="2240"/>
    <n v="147.66999999999996"/>
    <n v="144.21999999999997"/>
    <n v="1.5"/>
    <n v="0"/>
    <n v="1.95"/>
    <n v="-1.1324274851176597E-14"/>
    <n v="330780.79999999993"/>
    <n v="323052.79999999993"/>
    <n v="3360"/>
    <n v="0"/>
    <n v="4368"/>
    <n v="5.8207660913467407E-11"/>
    <n v="9.3715478090094617E-2"/>
    <n v="147.66999999999999"/>
    <n v="0"/>
    <n v="0.05"/>
    <n v="0.4"/>
    <n v="1.5"/>
    <n v="323052.79999999993"/>
    <n v="3360"/>
    <n v="112"/>
    <n v="896"/>
    <n v="3360"/>
    <n v="0"/>
    <n v="0"/>
  </r>
  <r>
    <s v="Atomberg Technologies Private Limit"/>
    <d v="2025-11-28T00:00:00"/>
    <s v="3271316291"/>
    <x v="2"/>
    <x v="2"/>
    <s v="NOS"/>
    <s v="ZSFG"/>
    <s v="SF0045"/>
    <n v="3596"/>
    <n v="531021.31999999995"/>
    <n v="3596"/>
    <n v="3596"/>
    <d v="2025-11-28T00:00:00"/>
    <n v="585932.24"/>
    <s v="RV"/>
    <s v="Billing doc.transfer"/>
    <s v="01"/>
    <s v="Semi-Finished Goods"/>
    <s v="SFG-GV5 Stator"/>
    <s v="Sub Ass.-Mech Stator"/>
    <b v="0"/>
    <n v="54910.920000000158"/>
    <n v="9.3715478090094784E-2"/>
    <s v="November-25"/>
    <n v="162.94"/>
    <n v="3596"/>
    <n v="147.66999999999996"/>
    <n v="144.21999999999997"/>
    <n v="1.5"/>
    <n v="0"/>
    <n v="1.95"/>
    <n v="-1.1324274851176597E-14"/>
    <n v="531021.31999999983"/>
    <n v="518615.11999999988"/>
    <n v="5394"/>
    <n v="0"/>
    <n v="7012.2"/>
    <n v="7.0031092036515474E-11"/>
    <n v="9.3715478090094839E-2"/>
    <n v="147.66999999999999"/>
    <n v="-4.638422979041934E-11"/>
    <n v="0.05"/>
    <n v="0.4"/>
    <n v="1.5"/>
    <n v="518615.11999999988"/>
    <n v="5394"/>
    <n v="179.8"/>
    <n v="1438.4"/>
    <n v="5394"/>
    <n v="0"/>
    <n v="0"/>
  </r>
  <r>
    <s v="Atomberg Technologies Private Limit"/>
    <d v="2025-11-28T00:00:00"/>
    <s v="3271316101"/>
    <x v="3"/>
    <x v="3"/>
    <s v="NOS"/>
    <s v="ZFG1"/>
    <s v="FG0010"/>
    <n v="60"/>
    <n v="38701.800000000003"/>
    <n v="60"/>
    <n v="60"/>
    <d v="2025-11-28T00:00:00"/>
    <n v="43713.599999999999"/>
    <s v="RV"/>
    <s v="Billing doc.transfer"/>
    <s v="01"/>
    <s v="Finished Goods"/>
    <s v="FG-PCB-CF"/>
    <s v="FG-PCB-CF"/>
    <b v="0"/>
    <n v="4986.0000000000146"/>
    <n v="0.11406061271549392"/>
    <s v="November-25"/>
    <n v="728.56"/>
    <n v="60"/>
    <n v="645.02999999999963"/>
    <n v="582.23999999999967"/>
    <n v="29.88"/>
    <n v="0.43"/>
    <n v="32.480000000000004"/>
    <n v="0.42999999999996419"/>
    <n v="38727.599999999984"/>
    <n v="34934.39999999998"/>
    <n v="1792.8"/>
    <n v="25.8"/>
    <n v="1974.6000000000001"/>
    <n v="2.319211489520967E-11"/>
    <n v="0.11406061271549395"/>
    <n v="645.03000000000009"/>
    <n v="25.800000000004275"/>
    <n v="2.4500000000000002"/>
    <n v="21.72"/>
    <n v="8.31"/>
    <n v="34934.39999999998"/>
    <n v="1792.8"/>
    <n v="147"/>
    <n v="1303.1999999999998"/>
    <n v="498.6"/>
    <n v="25.8"/>
    <n v="0"/>
  </r>
  <r>
    <s v="Atomberg Technologies Private Limit"/>
    <d v="2025-11-28T00:00:00"/>
    <s v="3271316297"/>
    <x v="11"/>
    <x v="11"/>
    <s v="NOS"/>
    <s v="ZFG1"/>
    <s v="FG0010"/>
    <n v="935"/>
    <n v="305866.55"/>
    <n v="935"/>
    <n v="935"/>
    <d v="2025-11-28T00:00:00"/>
    <n v="318900.45"/>
    <s v="RV"/>
    <s v="Billing doc.transfer"/>
    <s v="01"/>
    <s v="Finished Goods"/>
    <s v="FG-PCB-CF"/>
    <s v="FG-PCB-CF"/>
    <b v="0"/>
    <n v="12874.949999999895"/>
    <n v="4.0372943970445621E-2"/>
    <s v="November-25"/>
    <n v="341.07"/>
    <n v="935"/>
    <n v="327.13000000000005"/>
    <n v="278.14000000000004"/>
    <n v="22.400000000000002"/>
    <n v="0.17"/>
    <n v="26.42"/>
    <n v="0.17000000000000526"/>
    <n v="306025.50000000012"/>
    <n v="260060.90000000005"/>
    <n v="20944.000000000004"/>
    <n v="158.95000000000002"/>
    <n v="24861.65"/>
    <n v="-6.9121597334742546E-11"/>
    <n v="4.0372943970445663E-2"/>
    <n v="327.13"/>
    <n v="158.95000000005894"/>
    <n v="1.8299999999999998"/>
    <n v="16.28"/>
    <n v="8.31"/>
    <n v="260060.90000000005"/>
    <n v="20944.000000000004"/>
    <n v="1711.05"/>
    <n v="15221.800000000001"/>
    <n v="7769.85"/>
    <n v="158.95000000000002"/>
    <n v="0"/>
  </r>
  <r>
    <s v="Atomberg Technologies Private Limit"/>
    <d v="2025-11-28T00:00:00"/>
    <s v="3271316101"/>
    <x v="4"/>
    <x v="4"/>
    <s v="NOS"/>
    <s v="ZFG1"/>
    <s v="FG0010"/>
    <n v="930"/>
    <n v="391911.3"/>
    <n v="930"/>
    <n v="930"/>
    <d v="2025-11-28T00:00:00"/>
    <n v="449338.8"/>
    <s v="RV"/>
    <s v="Billing doc.transfer"/>
    <s v="01"/>
    <s v="Finished Goods"/>
    <s v="FG-PCB-CF"/>
    <s v="FG-PCB-CF"/>
    <b v="0"/>
    <n v="57185.700000000186"/>
    <n v="0.12726632999420523"/>
    <s v="November-25"/>
    <n v="483.15999999999997"/>
    <n v="930"/>
    <n v="421.40999999999985"/>
    <n v="373.04999999999984"/>
    <n v="22"/>
    <n v="0.26"/>
    <n v="26.1"/>
    <n v="0.26000000000001222"/>
    <n v="392153.0999999998"/>
    <n v="346936.49999999983"/>
    <n v="20460"/>
    <n v="241.8"/>
    <n v="24514.799999999999"/>
    <n v="1.6370904631912708E-10"/>
    <n v="0.12726632999420529"/>
    <n v="421.40999999999997"/>
    <n v="241.79999999997744"/>
    <n v="1.8"/>
    <n v="15.99"/>
    <n v="8.31"/>
    <n v="346936.49999999983"/>
    <n v="20460"/>
    <n v="1674"/>
    <n v="14870.7"/>
    <n v="7728.3"/>
    <n v="241.8"/>
    <n v="0"/>
  </r>
  <r>
    <s v="Atomberg Technologies Private Limit"/>
    <d v="2025-11-28T00:00:00"/>
    <s v="3271316297"/>
    <x v="5"/>
    <x v="5"/>
    <s v="NOS"/>
    <s v="ZFG1"/>
    <s v="FG0010"/>
    <n v="2740"/>
    <n v="896336.2"/>
    <n v="2740"/>
    <n v="2740"/>
    <d v="2025-11-28T00:00:00"/>
    <n v="934531.8"/>
    <s v="RV"/>
    <s v="Billing doc.transfer"/>
    <s v="01"/>
    <s v="Finished Goods"/>
    <s v="FG-PCB-CF"/>
    <s v="FG-PCB-CF"/>
    <b v="0"/>
    <n v="37729.800000000047"/>
    <n v="4.0372943970445996E-2"/>
    <s v="November-25"/>
    <n v="341.07"/>
    <n v="2740"/>
    <n v="327.13"/>
    <n v="278.14"/>
    <n v="22.400000000000002"/>
    <n v="0.17"/>
    <n v="26.42"/>
    <n v="0.17000000000000526"/>
    <n v="896802"/>
    <n v="762103.6"/>
    <n v="61376.000000000007"/>
    <n v="465.8"/>
    <n v="72856.600000000006"/>
    <n v="0"/>
    <n v="4.0372943970445996E-2"/>
    <n v="327.13"/>
    <n v="465.80000000001746"/>
    <n v="1.8299999999999998"/>
    <n v="16.28"/>
    <n v="8.31"/>
    <n v="762103.6"/>
    <n v="61376.000000000007"/>
    <n v="5014.2"/>
    <n v="44607.200000000004"/>
    <n v="22769.4"/>
    <n v="465.8"/>
    <n v="0"/>
  </r>
  <r>
    <s v="Atomberg Technologies Private Limit"/>
    <d v="2025-11-28T00:00:00"/>
    <s v="3271316170"/>
    <x v="5"/>
    <x v="5"/>
    <s v="NOS"/>
    <s v="ZFG1"/>
    <s v="FG0010"/>
    <n v="2520"/>
    <n v="824367.6"/>
    <n v="2520"/>
    <n v="2520"/>
    <d v="2025-11-28T00:00:00"/>
    <n v="859496.4"/>
    <s v="RV"/>
    <s v="Billing doc.transfer"/>
    <s v="01"/>
    <s v="Finished Goods"/>
    <s v="FG-PCB-CF"/>
    <s v="FG-PCB-CF"/>
    <b v="0"/>
    <n v="34700.400000000023"/>
    <n v="4.0372943970445975E-2"/>
    <s v="November-25"/>
    <n v="341.07"/>
    <n v="2520"/>
    <n v="327.13"/>
    <n v="278.14"/>
    <n v="22.400000000000002"/>
    <n v="0.17"/>
    <n v="26.42"/>
    <n v="0.17000000000000526"/>
    <n v="824796"/>
    <n v="700912.79999999993"/>
    <n v="56448.000000000007"/>
    <n v="428.40000000000003"/>
    <n v="67006.8"/>
    <n v="0"/>
    <n v="4.0372943970445996E-2"/>
    <n v="327.13"/>
    <n v="428.40000000006694"/>
    <n v="1.8299999999999998"/>
    <n v="16.28"/>
    <n v="8.31"/>
    <n v="700912.79999999993"/>
    <n v="56448.000000000007"/>
    <n v="4611.5999999999995"/>
    <n v="41025.600000000006"/>
    <n v="20941.2"/>
    <n v="428.40000000000003"/>
    <n v="0"/>
  </r>
  <r>
    <s v="Atomberg Technologies Private Limit"/>
    <d v="2025-11-28T00:00:00"/>
    <s v="3271316101"/>
    <x v="8"/>
    <x v="8"/>
    <s v="NOS"/>
    <s v="ZFG1"/>
    <s v="FG0010"/>
    <n v="420"/>
    <n v="136584"/>
    <n v="420"/>
    <n v="420"/>
    <d v="2025-11-28T00:00:00"/>
    <n v="149108.4"/>
    <s v="RV"/>
    <s v="Billing doc.transfer"/>
    <s v="01"/>
    <s v="Finished Goods"/>
    <s v="FG-PCB-CF"/>
    <s v="FG-PCB-CF"/>
    <b v="0"/>
    <n v="12415.199999999983"/>
    <n v="8.3262914765365223E-2"/>
    <s v="November-25"/>
    <n v="355.02"/>
    <n v="420"/>
    <n v="325.19999999999993"/>
    <n v="271.52999999999997"/>
    <n v="23.84"/>
    <n v="0.26"/>
    <n v="29.569999999999997"/>
    <n v="0.25999999999996248"/>
    <n v="136693.20000000001"/>
    <n v="114042.59999999999"/>
    <n v="10012.799999999999"/>
    <n v="109.2"/>
    <n v="12528.599999999999"/>
    <n v="0"/>
    <n v="8.3262914765365181E-2"/>
    <n v="325.2"/>
    <n v="109.20000000002256"/>
    <n v="1.9500000000000002"/>
    <n v="17.329999999999998"/>
    <n v="10.29"/>
    <n v="114042.59999999999"/>
    <n v="10012.799999999999"/>
    <n v="819.00000000000011"/>
    <n v="7278.5999999999995"/>
    <n v="4321.7999999999993"/>
    <n v="109.2"/>
    <n v="0"/>
  </r>
  <r>
    <s v="Atomberg Technologies Private Limit"/>
    <d v="2025-11-28T00:00:00"/>
    <s v="3271316297"/>
    <x v="8"/>
    <x v="8"/>
    <s v="NOS"/>
    <s v="ZFG1"/>
    <s v="FG0010"/>
    <n v="120"/>
    <n v="39024"/>
    <n v="120"/>
    <n v="120"/>
    <d v="2025-11-28T00:00:00"/>
    <n v="42602.400000000001"/>
    <s v="RV"/>
    <s v="Billing doc.transfer"/>
    <s v="01"/>
    <s v="Finished Goods"/>
    <s v="FG-PCB-CF"/>
    <s v="FG-PCB-CF"/>
    <b v="0"/>
    <n v="3547.2000000000044"/>
    <n v="8.3262914765365431E-2"/>
    <s v="November-25"/>
    <n v="355.02000000000004"/>
    <n v="120"/>
    <n v="325.19999999999993"/>
    <n v="271.52999999999997"/>
    <n v="23.84"/>
    <n v="0.26"/>
    <n v="29.569999999999997"/>
    <n v="0.25999999999996248"/>
    <n v="39055.199999999997"/>
    <n v="32583.599999999999"/>
    <n v="2860.8"/>
    <n v="31.200000000000003"/>
    <n v="3579.5999999999995"/>
    <n v="0"/>
    <n v="8.3262914765365403E-2"/>
    <n v="325.2"/>
    <n v="31.199999999998909"/>
    <n v="1.9500000000000002"/>
    <n v="17.329999999999998"/>
    <n v="10.29"/>
    <n v="32583.599999999999"/>
    <n v="2860.8"/>
    <n v="234.00000000000003"/>
    <n v="2079.6"/>
    <n v="1234.8"/>
    <n v="31.200000000000003"/>
    <n v="0"/>
  </r>
  <r>
    <s v="Atomberg Technologies Private Limit"/>
    <d v="2025-11-28T00:00:00"/>
    <s v="3271316101"/>
    <x v="9"/>
    <x v="9"/>
    <s v="NOS"/>
    <s v="ZFG1"/>
    <s v="FG0010"/>
    <n v="299"/>
    <n v="64763.4"/>
    <n v="299"/>
    <n v="299"/>
    <d v="2025-11-28T00:00:00"/>
    <n v="66333.149999999994"/>
    <s v="RV"/>
    <s v="Billing doc.transfer"/>
    <s v="01"/>
    <s v="Finished Goods"/>
    <s v="FG-PCB-CF"/>
    <s v="FG-PCB-CF"/>
    <b v="0"/>
    <n v="1557.7900000000081"/>
    <n v="2.3484336263241052E-2"/>
    <s v="November-25"/>
    <n v="221.85"/>
    <n v="299"/>
    <n v="216.59999999999994"/>
    <n v="174.98999999999995"/>
    <n v="18.389999999999997"/>
    <n v="0.04"/>
    <n v="23.18"/>
    <n v="3.9999999999988489E-2"/>
    <n v="64775.359999999986"/>
    <n v="52322.009999999987"/>
    <n v="5498.6099999999988"/>
    <n v="11.96"/>
    <n v="6942.78"/>
    <n v="1.546140993013978E-11"/>
    <n v="2.348433626324109E-2"/>
    <n v="216.6"/>
    <n v="11.960000000000036"/>
    <n v="1.5"/>
    <n v="13.37"/>
    <n v="8.31"/>
    <n v="52322.009999999987"/>
    <n v="5498.6099999999988"/>
    <n v="448.5"/>
    <n v="3997.6299999999997"/>
    <n v="2484.69"/>
    <n v="11.96"/>
    <n v="0"/>
  </r>
  <r>
    <s v="Atomberg Technologies Private Limit"/>
    <d v="2025-11-28T00:00:00"/>
    <s v="3271316491"/>
    <x v="12"/>
    <x v="12"/>
    <s v="NOS"/>
    <s v="ZFG1"/>
    <s v="FG0010"/>
    <n v="1260"/>
    <n v="412435.8"/>
    <n v="1260"/>
    <n v="1260"/>
    <d v="2025-11-28T00:00:00"/>
    <n v="429748.2"/>
    <s v="RV"/>
    <s v="Billing doc.transfer"/>
    <s v="01"/>
    <s v="Finished Goods"/>
    <s v="FG-PCB-CF"/>
    <s v="FG-PCB-CF"/>
    <b v="0"/>
    <n v="17110.79999999993"/>
    <n v="3.9815873574339418E-2"/>
    <s v="November-25"/>
    <n v="341.07"/>
    <n v="1260"/>
    <n v="327.32000000000005"/>
    <n v="278.11"/>
    <n v="20.62"/>
    <n v="0.17"/>
    <n v="28.42"/>
    <n v="0.17000000000003368"/>
    <n v="412637.40000000008"/>
    <n v="350418.60000000003"/>
    <n v="25981.200000000001"/>
    <n v="214.20000000000002"/>
    <n v="36023.4"/>
    <n v="12.599999999954889"/>
    <n v="3.9815873574339467E-2"/>
    <n v="327.33"/>
    <n v="214.20000000004802"/>
    <n v="2.21"/>
    <n v="17.73"/>
    <n v="8.48"/>
    <n v="350418.60000000003"/>
    <n v="25981.200000000001"/>
    <n v="2784.6"/>
    <n v="22339.8"/>
    <n v="10684.800000000001"/>
    <n v="214.20000000000002"/>
    <n v="0"/>
  </r>
  <r>
    <s v="Atomberg Technologies Private Limit"/>
    <d v="2025-11-28T00:00:00"/>
    <s v="3271316319"/>
    <x v="13"/>
    <x v="13"/>
    <s v="NOS"/>
    <s v="ZROH"/>
    <s v="RM0005"/>
    <n v="4000"/>
    <n v="254844.77"/>
    <n v="4000"/>
    <n v="4000"/>
    <d v="2025-11-28T00:00:00"/>
    <n v="260880"/>
    <s v="RV"/>
    <s v="Billing doc.transfer"/>
    <s v="01"/>
    <s v="Raw Material"/>
    <s v="RM-Eletro-IC"/>
    <s v="Raw Material"/>
    <b v="0"/>
    <n v="260880"/>
    <n v="1"/>
    <s v="November-25"/>
    <n v="65.22"/>
    <n v="4000"/>
    <n v="0"/>
    <n v="0"/>
    <n v="0"/>
    <n v="0"/>
    <n v="0"/>
    <n v="0"/>
    <n v="0"/>
    <n v="0"/>
    <n v="0"/>
    <n v="0"/>
    <n v="0"/>
    <n v="254844.77"/>
    <n v="1"/>
    <n v="63.711192499999996"/>
    <n v="0"/>
    <n v="0"/>
    <n v="0"/>
    <n v="0"/>
    <n v="254844.77"/>
    <n v="0"/>
    <n v="0"/>
    <n v="0"/>
    <n v="0"/>
    <n v="0"/>
    <n v="0"/>
  </r>
  <r>
    <s v="SUNITI ELECTRICALS"/>
    <d v="2025-11-27T00:00:00"/>
    <s v="3271315803"/>
    <x v="14"/>
    <x v="14"/>
    <s v="NOS"/>
    <s v="ZFG1"/>
    <s v="FG0010"/>
    <n v="3000"/>
    <n v="62430"/>
    <n v="3000"/>
    <n v="3000"/>
    <d v="2025-11-27T00:00:00"/>
    <n v="43020"/>
    <s v="RV"/>
    <s v="Billing doc.transfer"/>
    <s v="01"/>
    <s v="Finished Goods"/>
    <s v="FG-PCB-CF"/>
    <s v="FG-PCB-CF"/>
    <b v="0"/>
    <n v="-19410"/>
    <n v="-0.4511854951185495"/>
    <s v="November-25"/>
    <n v="14.34"/>
    <n v="3000"/>
    <n v="20.810000000000002"/>
    <n v="8.3800000000000008"/>
    <n v="11.49"/>
    <n v="0"/>
    <n v="0.94"/>
    <n v="1.3322676295501878E-15"/>
    <n v="62430"/>
    <n v="25140.000000000004"/>
    <n v="34470"/>
    <n v="0"/>
    <n v="2820"/>
    <n v="0"/>
    <n v="-0.45118549511854944"/>
    <n v="20.81"/>
    <n v="0"/>
    <n v="0.94"/>
    <n v="0"/>
    <n v="0"/>
    <n v="62430"/>
    <n v="34470"/>
    <n v="2820"/>
    <n v="0"/>
    <n v="0"/>
    <n v="0"/>
    <n v="0"/>
  </r>
  <r>
    <s v="Atomberg Technologies Private Limit"/>
    <d v="2025-11-27T00:00:00"/>
    <s v="3271315682"/>
    <x v="2"/>
    <x v="2"/>
    <s v="NOS"/>
    <s v="ZSFG"/>
    <s v="SF0045"/>
    <n v="2240"/>
    <n v="330780.79999999999"/>
    <n v="2240"/>
    <n v="2240"/>
    <d v="2025-11-27T00:00:00"/>
    <n v="364985.59999999998"/>
    <s v="RV"/>
    <s v="Billing doc.transfer"/>
    <s v="01"/>
    <s v="Semi-Finished Goods"/>
    <s v="SFG-GV5 Stator"/>
    <s v="Sub Ass.-Mech Stator"/>
    <b v="0"/>
    <n v="34204.800000000047"/>
    <n v="9.3715478090094645E-2"/>
    <s v="November-25"/>
    <n v="162.94"/>
    <n v="2240"/>
    <n v="147.66999999999996"/>
    <n v="144.21999999999997"/>
    <n v="1.5"/>
    <n v="0"/>
    <n v="1.95"/>
    <n v="-1.1324274851176597E-14"/>
    <n v="330780.79999999993"/>
    <n v="323052.79999999993"/>
    <n v="3360"/>
    <n v="0"/>
    <n v="4368"/>
    <n v="5.8207660913467407E-11"/>
    <n v="9.3715478090094617E-2"/>
    <n v="147.66999999999999"/>
    <n v="0"/>
    <n v="0.05"/>
    <n v="0.4"/>
    <n v="1.5"/>
    <n v="330780.79999999999"/>
    <n v="3360"/>
    <n v="112"/>
    <n v="896"/>
    <n v="3360"/>
    <n v="0"/>
    <n v="0"/>
  </r>
  <r>
    <s v="Atomberg Technologies Private Limit"/>
    <d v="2025-11-27T00:00:00"/>
    <s v="3271315800"/>
    <x v="2"/>
    <x v="2"/>
    <s v="NOS"/>
    <s v="ZSFG"/>
    <s v="SF0045"/>
    <n v="8812"/>
    <n v="1301268.04"/>
    <n v="8812"/>
    <n v="8812"/>
    <d v="2025-11-27T00:00:00"/>
    <n v="1435827.28"/>
    <s v="RV"/>
    <s v="Billing doc.transfer"/>
    <s v="01"/>
    <s v="Semi-Finished Goods"/>
    <s v="SFG-GV5 Stator"/>
    <s v="Sub Ass.-Mech Stator"/>
    <b v="0"/>
    <n v="134559.24000000046"/>
    <n v="9.3715478090094825E-2"/>
    <s v="November-25"/>
    <n v="162.94"/>
    <n v="8812"/>
    <n v="147.66999999999996"/>
    <n v="144.21999999999997"/>
    <n v="1.5"/>
    <n v="0"/>
    <n v="1.95"/>
    <n v="-1.1324274851176597E-14"/>
    <n v="1301268.0399999996"/>
    <n v="1270866.6399999997"/>
    <n v="13218"/>
    <n v="0"/>
    <n v="17183.399999999998"/>
    <n v="3.7471181713044643E-10"/>
    <n v="9.3715478090094839E-2"/>
    <n v="147.67000000000002"/>
    <n v="-9.0949470177292824E-11"/>
    <n v="0.05"/>
    <n v="0.4"/>
    <n v="1.5"/>
    <n v="1301268.04"/>
    <n v="13218"/>
    <n v="440.6"/>
    <n v="3524.8"/>
    <n v="13218"/>
    <n v="0"/>
    <n v="0"/>
  </r>
  <r>
    <s v="Atomberg Technologies Private Limit"/>
    <d v="2025-11-27T00:00:00"/>
    <s v="3271315685"/>
    <x v="3"/>
    <x v="3"/>
    <s v="NOS"/>
    <s v="ZFG1"/>
    <s v="FG0010"/>
    <n v="36"/>
    <n v="23221.08"/>
    <n v="36"/>
    <n v="36"/>
    <d v="2025-11-27T00:00:00"/>
    <n v="26228.16"/>
    <s v="RV"/>
    <s v="Billing doc.transfer"/>
    <s v="01"/>
    <s v="Finished Goods"/>
    <s v="FG-PCB-CF"/>
    <s v="FG-PCB-CF"/>
    <b v="0"/>
    <n v="2991.6000000000131"/>
    <n v="0.11406061271549407"/>
    <s v="November-25"/>
    <n v="728.56"/>
    <n v="36"/>
    <n v="645.02999999999963"/>
    <n v="582.23999999999967"/>
    <n v="29.88"/>
    <n v="0.43"/>
    <n v="32.480000000000004"/>
    <n v="0.42999999999996419"/>
    <n v="23236.559999999987"/>
    <n v="20960.639999999989"/>
    <n v="1075.68"/>
    <n v="15.48"/>
    <n v="1184.7600000000002"/>
    <n v="1.2960299500264227E-11"/>
    <n v="0.11406061271549406"/>
    <n v="645.03000000000009"/>
    <n v="15.479999999997972"/>
    <n v="2.4500000000000002"/>
    <n v="21.72"/>
    <n v="8.31"/>
    <n v="23221.08"/>
    <n v="1075.68"/>
    <n v="88.2"/>
    <n v="781.92"/>
    <n v="299.16000000000003"/>
    <n v="15.48"/>
    <n v="0"/>
  </r>
  <r>
    <s v="Atomberg Technologies Private Limit"/>
    <d v="2025-11-27T00:00:00"/>
    <s v="3271315666"/>
    <x v="3"/>
    <x v="3"/>
    <s v="NOS"/>
    <s v="ZFG1"/>
    <s v="FG0010"/>
    <n v="140"/>
    <n v="90304.2"/>
    <n v="140"/>
    <n v="140"/>
    <d v="2025-11-27T00:00:00"/>
    <n v="101998.39999999999"/>
    <s v="RV"/>
    <s v="Billing doc.transfer"/>
    <s v="01"/>
    <s v="Finished Goods"/>
    <s v="FG-PCB-CF"/>
    <s v="FG-PCB-CF"/>
    <b v="0"/>
    <n v="11634.000000000058"/>
    <n v="0.11406061271549416"/>
    <s v="November-25"/>
    <n v="728.56"/>
    <n v="140"/>
    <n v="645.02999999999963"/>
    <n v="582.23999999999967"/>
    <n v="29.88"/>
    <n v="0.43"/>
    <n v="32.480000000000004"/>
    <n v="0.42999999999996419"/>
    <n v="90364.399999999936"/>
    <n v="81513.599999999948"/>
    <n v="4183.2"/>
    <n v="60.199999999999996"/>
    <n v="4607.4000000000005"/>
    <n v="4.9112713895738125E-11"/>
    <n v="0.11406061271549417"/>
    <n v="645.03"/>
    <n v="60.199999999987995"/>
    <n v="2.4500000000000002"/>
    <n v="21.72"/>
    <n v="8.31"/>
    <n v="90304.2"/>
    <n v="4183.2"/>
    <n v="343"/>
    <n v="3040.7999999999997"/>
    <n v="1163.4000000000001"/>
    <n v="60.199999999999996"/>
    <n v="0"/>
  </r>
  <r>
    <s v="Atomberg Technologies Private Limit"/>
    <d v="2025-11-27T00:00:00"/>
    <s v="3271315685"/>
    <x v="11"/>
    <x v="11"/>
    <s v="NOS"/>
    <s v="ZFG1"/>
    <s v="FG0010"/>
    <n v="1045"/>
    <n v="341850.85"/>
    <n v="1045"/>
    <n v="1045"/>
    <d v="2025-11-27T00:00:00"/>
    <n v="356418.15"/>
    <s v="RV"/>
    <s v="Billing doc.transfer"/>
    <s v="01"/>
    <s v="Finished Goods"/>
    <s v="FG-PCB-CF"/>
    <s v="FG-PCB-CF"/>
    <b v="0"/>
    <n v="14389.649999999965"/>
    <n v="4.037294397044585E-2"/>
    <s v="November-25"/>
    <n v="341.07000000000005"/>
    <n v="1045"/>
    <n v="327.13000000000005"/>
    <n v="278.14000000000004"/>
    <n v="22.400000000000002"/>
    <n v="0.17"/>
    <n v="26.42"/>
    <n v="0.17000000000000526"/>
    <n v="342028.50000000006"/>
    <n v="290656.30000000005"/>
    <n v="23408.000000000004"/>
    <n v="177.65"/>
    <n v="27786.550000000003"/>
    <n v="-7.6397554948925972E-11"/>
    <n v="4.0372943970445885E-2"/>
    <n v="327.13"/>
    <n v="177.65000000000509"/>
    <n v="1.8299999999999998"/>
    <n v="16.28"/>
    <n v="8.31"/>
    <n v="341850.85"/>
    <n v="23408.000000000004"/>
    <n v="1912.35"/>
    <n v="17012.600000000002"/>
    <n v="8683.9500000000007"/>
    <n v="177.65"/>
    <n v="0"/>
  </r>
  <r>
    <s v="Atomberg Technologies Private Limit"/>
    <d v="2025-11-27T00:00:00"/>
    <s v="3271315666"/>
    <x v="4"/>
    <x v="4"/>
    <s v="NOS"/>
    <s v="ZFG1"/>
    <s v="FG0010"/>
    <n v="1205"/>
    <n v="507799.05"/>
    <n v="1205"/>
    <n v="1205"/>
    <d v="2025-11-27T00:00:00"/>
    <n v="582207.80000000005"/>
    <s v="RV"/>
    <s v="Billing doc.transfer"/>
    <s v="01"/>
    <s v="Finished Goods"/>
    <s v="FG-PCB-CF"/>
    <s v="FG-PCB-CF"/>
    <b v="0"/>
    <n v="74095.450000000244"/>
    <n v="0.12726632999420523"/>
    <s v="November-25"/>
    <n v="483.16"/>
    <n v="1205"/>
    <n v="421.40999999999985"/>
    <n v="373.04999999999984"/>
    <n v="22"/>
    <n v="0.26"/>
    <n v="26.1"/>
    <n v="0.26000000000001222"/>
    <n v="508112.3499999998"/>
    <n v="449525.24999999983"/>
    <n v="26510"/>
    <n v="313.3"/>
    <n v="31763.8"/>
    <n v="1.6370904631912708E-10"/>
    <n v="0.12726632999420517"/>
    <n v="421.40999999999997"/>
    <n v="313.29999999997744"/>
    <n v="1.8"/>
    <n v="15.99"/>
    <n v="8.31"/>
    <n v="507799.05"/>
    <n v="26510"/>
    <n v="2169"/>
    <n v="19267.95"/>
    <n v="10013.550000000001"/>
    <n v="313.3"/>
    <n v="0"/>
  </r>
  <r>
    <s v="Atomberg Technologies Private Limit"/>
    <d v="2025-11-27T00:00:00"/>
    <s v="3271315685"/>
    <x v="5"/>
    <x v="5"/>
    <s v="NOS"/>
    <s v="ZFG1"/>
    <s v="FG0010"/>
    <n v="4750"/>
    <n v="1553867.5"/>
    <n v="4750"/>
    <n v="4750"/>
    <d v="2025-11-27T00:00:00"/>
    <n v="1620082.5"/>
    <s v="RV"/>
    <s v="Billing doc.transfer"/>
    <s v="01"/>
    <s v="Finished Goods"/>
    <s v="FG-PCB-CF"/>
    <s v="FG-PCB-CF"/>
    <b v="0"/>
    <n v="65407.5"/>
    <n v="4.0372943970445947E-2"/>
    <s v="November-25"/>
    <n v="341.07"/>
    <n v="4750"/>
    <n v="327.13"/>
    <n v="278.14"/>
    <n v="22.400000000000002"/>
    <n v="0.17"/>
    <n v="26.42"/>
    <n v="0.17000000000000526"/>
    <n v="1554675"/>
    <n v="1321165"/>
    <n v="106400.00000000001"/>
    <n v="807.50000000000011"/>
    <n v="126302.50000000001"/>
    <n v="0"/>
    <n v="4.0372943970445996E-2"/>
    <n v="327.13"/>
    <n v="807.4999999999709"/>
    <n v="1.8299999999999998"/>
    <n v="16.28"/>
    <n v="8.31"/>
    <n v="1553867.5"/>
    <n v="106400.00000000001"/>
    <n v="8692.5"/>
    <n v="77330"/>
    <n v="39472.5"/>
    <n v="807.50000000000011"/>
    <n v="0"/>
  </r>
  <r>
    <s v="Atomberg Technologies Private Limit"/>
    <d v="2025-11-27T00:00:00"/>
    <s v="3271315666"/>
    <x v="8"/>
    <x v="8"/>
    <s v="NOS"/>
    <s v="ZFG1"/>
    <s v="FG0010"/>
    <n v="471"/>
    <n v="153169.20000000001"/>
    <n v="471"/>
    <n v="471"/>
    <d v="2025-11-27T00:00:00"/>
    <n v="167214.42000000001"/>
    <s v="RV"/>
    <s v="Billing doc.transfer"/>
    <s v="01"/>
    <s v="Finished Goods"/>
    <s v="FG-PCB-CF"/>
    <s v="FG-PCB-CF"/>
    <b v="0"/>
    <n v="13922.760000000038"/>
    <n v="8.3262914765365556E-2"/>
    <s v="November-25"/>
    <n v="355.02000000000004"/>
    <n v="471"/>
    <n v="325.19999999999993"/>
    <n v="271.52999999999997"/>
    <n v="23.84"/>
    <n v="0.26"/>
    <n v="29.569999999999997"/>
    <n v="0.25999999999996248"/>
    <n v="153291.65999999997"/>
    <n v="127890.62999999999"/>
    <n v="11228.64"/>
    <n v="122.46000000000001"/>
    <n v="14049.929999999998"/>
    <n v="2.3646862246096134E-11"/>
    <n v="8.3262914765365514E-2"/>
    <n v="325.20000000000005"/>
    <n v="122.45999999998639"/>
    <n v="1.9500000000000002"/>
    <n v="17.329999999999998"/>
    <n v="10.29"/>
    <n v="153169.20000000001"/>
    <n v="11228.64"/>
    <n v="918.45"/>
    <n v="8162.4299999999994"/>
    <n v="4846.5899999999992"/>
    <n v="122.46000000000001"/>
    <n v="0"/>
  </r>
  <r>
    <s v="Atomberg Technologies Private Limit"/>
    <d v="2025-11-27T00:00:00"/>
    <s v="3271315685"/>
    <x v="8"/>
    <x v="8"/>
    <s v="NOS"/>
    <s v="ZFG1"/>
    <s v="FG0010"/>
    <n v="320"/>
    <n v="104064"/>
    <n v="320"/>
    <n v="320"/>
    <d v="2025-11-27T00:00:00"/>
    <n v="113606.39999999999"/>
    <s v="RV"/>
    <s v="Billing doc.transfer"/>
    <s v="01"/>
    <s v="Finished Goods"/>
    <s v="FG-PCB-CF"/>
    <s v="FG-PCB-CF"/>
    <b v="0"/>
    <n v="9459.1999999999971"/>
    <n v="8.3262914765365306E-2"/>
    <s v="November-25"/>
    <n v="355.02"/>
    <n v="320"/>
    <n v="325.19999999999993"/>
    <n v="271.52999999999997"/>
    <n v="23.84"/>
    <n v="0.26"/>
    <n v="29.569999999999997"/>
    <n v="0.25999999999996248"/>
    <n v="104147.2"/>
    <n v="86889.599999999991"/>
    <n v="7628.8"/>
    <n v="83.2"/>
    <n v="9545.6"/>
    <n v="0"/>
    <n v="8.3262914765365292E-2"/>
    <n v="325.2"/>
    <n v="83.200000000006185"/>
    <n v="1.9500000000000002"/>
    <n v="17.329999999999998"/>
    <n v="10.29"/>
    <n v="104064"/>
    <n v="7628.8"/>
    <n v="624"/>
    <n v="5545.5999999999995"/>
    <n v="3292.7999999999997"/>
    <n v="83.2"/>
    <n v="0"/>
  </r>
  <r>
    <s v="Atomberg Technologies Private Limit"/>
    <d v="2025-11-27T00:00:00"/>
    <s v="3271316044"/>
    <x v="8"/>
    <x v="8"/>
    <s v="NOS"/>
    <s v="ZFG1"/>
    <s v="FG0010"/>
    <n v="380"/>
    <n v="123576"/>
    <n v="380"/>
    <n v="380"/>
    <d v="2025-11-27T00:00:00"/>
    <n v="134907.6"/>
    <s v="RV"/>
    <s v="Billing doc.transfer"/>
    <s v="01"/>
    <s v="Finished Goods"/>
    <s v="FG-PCB-CF"/>
    <s v="FG-PCB-CF"/>
    <b v="0"/>
    <n v="11232.800000000017"/>
    <n v="8.3262914765365459E-2"/>
    <s v="November-25"/>
    <n v="355.02000000000004"/>
    <n v="380"/>
    <n v="325.19999999999993"/>
    <n v="271.52999999999997"/>
    <n v="23.84"/>
    <n v="0.26"/>
    <n v="29.569999999999997"/>
    <n v="0.25999999999996248"/>
    <n v="123674.79999999999"/>
    <n v="103181.4"/>
    <n v="9059.2000000000007"/>
    <n v="98.8"/>
    <n v="11335.399999999998"/>
    <n v="0"/>
    <n v="8.3262914765365403E-2"/>
    <n v="325.2"/>
    <n v="98.799999999995634"/>
    <n v="1.9500000000000002"/>
    <n v="17.329999999999998"/>
    <n v="10.29"/>
    <n v="123576"/>
    <n v="9059.2000000000007"/>
    <n v="741.00000000000011"/>
    <n v="6585.4"/>
    <n v="3910.2"/>
    <n v="98.8"/>
    <n v="0"/>
  </r>
  <r>
    <s v="Atomberg Technologies Private Limit"/>
    <d v="2025-11-27T00:00:00"/>
    <s v="3271316044"/>
    <x v="9"/>
    <x v="9"/>
    <s v="NOS"/>
    <s v="ZFG1"/>
    <s v="FG0010"/>
    <n v="120"/>
    <n v="25992"/>
    <n v="120"/>
    <n v="120"/>
    <d v="2025-11-27T00:00:00"/>
    <n v="26622"/>
    <s v="RV"/>
    <s v="Billing doc.transfer"/>
    <s v="01"/>
    <s v="Finished Goods"/>
    <s v="FG-PCB-CF"/>
    <s v="FG-PCB-CF"/>
    <b v="0"/>
    <n v="625.20000000000437"/>
    <n v="2.3484336263241094E-2"/>
    <s v="November-25"/>
    <n v="221.85"/>
    <n v="120"/>
    <n v="216.59999999999994"/>
    <n v="174.98999999999995"/>
    <n v="18.389999999999997"/>
    <n v="0.04"/>
    <n v="23.18"/>
    <n v="3.9999999999988489E-2"/>
    <n v="25996.799999999996"/>
    <n v="20998.799999999996"/>
    <n v="2206.7999999999997"/>
    <n v="4.8"/>
    <n v="2786.4"/>
    <n v="4.5474735088646412E-12"/>
    <n v="2.348433626324109E-2"/>
    <n v="216.6"/>
    <n v="4.8000000000001819"/>
    <n v="1.5"/>
    <n v="13.37"/>
    <n v="8.31"/>
    <n v="25992"/>
    <n v="2206.7999999999997"/>
    <n v="180"/>
    <n v="1604.3999999999999"/>
    <n v="997.2"/>
    <n v="4.8"/>
    <n v="0"/>
  </r>
  <r>
    <s v="Atomberg Technologies Private Limit"/>
    <d v="2025-11-27T00:00:00"/>
    <s v="3271315666"/>
    <x v="9"/>
    <x v="9"/>
    <s v="NOS"/>
    <s v="ZFG1"/>
    <s v="FG0010"/>
    <n v="276"/>
    <n v="59781.599999999999"/>
    <n v="276"/>
    <n v="276"/>
    <d v="2025-11-27T00:00:00"/>
    <n v="61230.6"/>
    <s v="RV"/>
    <s v="Billing doc.transfer"/>
    <s v="01"/>
    <s v="Finished Goods"/>
    <s v="FG-PCB-CF"/>
    <s v="FG-PCB-CF"/>
    <b v="0"/>
    <n v="1437.9600000000137"/>
    <n v="2.3484336263241153E-2"/>
    <s v="November-25"/>
    <n v="221.85"/>
    <n v="276"/>
    <n v="216.59999999999994"/>
    <n v="174.98999999999995"/>
    <n v="18.389999999999997"/>
    <n v="0.04"/>
    <n v="23.18"/>
    <n v="3.9999999999988489E-2"/>
    <n v="59792.639999999985"/>
    <n v="48297.239999999983"/>
    <n v="5075.6399999999994"/>
    <n v="11.040000000000001"/>
    <n v="6408.72"/>
    <n v="1.546140993013978E-11"/>
    <n v="2.3484336263241201E-2"/>
    <n v="216.6"/>
    <n v="11.040000000001783"/>
    <n v="1.5"/>
    <n v="13.37"/>
    <n v="8.31"/>
    <n v="59781.599999999999"/>
    <n v="5075.6399999999994"/>
    <n v="414"/>
    <n v="3690.12"/>
    <n v="2293.56"/>
    <n v="11.040000000000001"/>
    <n v="0"/>
  </r>
  <r>
    <s v="Atomberg Technologies Private Limit"/>
    <d v="2025-11-27T00:00:00"/>
    <s v="3277067099"/>
    <x v="11"/>
    <x v="11"/>
    <s v="NOS"/>
    <s v="ZFG1"/>
    <s v="FG0010"/>
    <n v="-4"/>
    <n v="-1308.52"/>
    <n v="-4"/>
    <n v="-4"/>
    <d v="2025-11-27T00:00:00"/>
    <n v="-1364.28"/>
    <s v="RV"/>
    <s v="Billing doc.transfer"/>
    <s v="01"/>
    <s v="Finished Goods"/>
    <s v="FG-PCB-CF"/>
    <s v="FG-PCB-CF"/>
    <b v="0"/>
    <n v="-55.079999999999927"/>
    <n v="4.0372943970445899E-2"/>
    <s v="November-25"/>
    <n v="341.07"/>
    <n v="-4"/>
    <n v="327.13000000000005"/>
    <n v="278.14000000000004"/>
    <n v="22.400000000000002"/>
    <n v="0.17"/>
    <n v="26.42"/>
    <n v="0.17000000000000526"/>
    <n v="-1309.2"/>
    <n v="-1112.5600000000002"/>
    <n v="-89.600000000000009"/>
    <n v="-0.68"/>
    <n v="-106.36000000000001"/>
    <n v="2.1316282072803006E-13"/>
    <n v="4.0372943970445885E-2"/>
    <n v="327.13"/>
    <n v="-0.6799999999998505"/>
    <n v="1.8299999999999998"/>
    <n v="16.28"/>
    <n v="8.31"/>
    <n v="-1308.52"/>
    <n v="-89.600000000000009"/>
    <n v="-7.3199999999999994"/>
    <n v="-65.12"/>
    <n v="-33.24"/>
    <n v="-0.68"/>
    <n v="0"/>
  </r>
  <r>
    <s v="Atomberg Technologies Private Limit"/>
    <d v="2025-11-27T00:00:00"/>
    <s v="3277067099"/>
    <x v="7"/>
    <x v="7"/>
    <s v="NOS"/>
    <s v="ZFG1"/>
    <s v="FG0010"/>
    <n v="-8"/>
    <n v="-2616.8000000000002"/>
    <n v="-8"/>
    <n v="-8"/>
    <d v="2025-11-27T00:00:00"/>
    <n v="-2728.56"/>
    <s v="RV"/>
    <s v="Billing doc.transfer"/>
    <s v="01"/>
    <s v="Finished Goods"/>
    <s v="FG-PCB-CF"/>
    <s v="FG-PCB-CF"/>
    <b v="0"/>
    <n v="-110.40000000000055"/>
    <n v="4.0460902454041894E-2"/>
    <s v="November-25"/>
    <n v="341.07"/>
    <n v="-8"/>
    <n v="327.09999999999991"/>
    <n v="278.1099999999999"/>
    <n v="22.400000000000002"/>
    <n v="0.17"/>
    <n v="26.42"/>
    <n v="0.17000000000000526"/>
    <n v="-2618.1599999999994"/>
    <n v="-2224.8799999999992"/>
    <n v="-179.20000000000002"/>
    <n v="-1.36"/>
    <n v="-212.72000000000003"/>
    <n v="-9.3791641120333225E-13"/>
    <n v="4.046090245404188E-2"/>
    <n v="327.10000000000002"/>
    <n v="-1.3600000000001558"/>
    <n v="1.8299999999999998"/>
    <n v="16.28"/>
    <n v="8.31"/>
    <n v="-2616.8000000000002"/>
    <n v="-179.20000000000002"/>
    <n v="-14.639999999999999"/>
    <n v="-130.24"/>
    <n v="-66.48"/>
    <n v="-1.36"/>
    <n v="0"/>
  </r>
  <r>
    <s v="Atomberg Technologies Private Limit"/>
    <d v="2025-11-27T00:00:00"/>
    <s v="3277067089"/>
    <x v="15"/>
    <x v="15"/>
    <s v="NOS"/>
    <s v="ZFG1"/>
    <s v="FG0010"/>
    <n v="-1135"/>
    <n v="-478266.3"/>
    <n v="-1135"/>
    <n v="-1135"/>
    <d v="2025-11-27T00:00:00"/>
    <n v="-548386.6"/>
    <s v="RV"/>
    <s v="Billing doc.transfer"/>
    <s v="01"/>
    <s v="Finished Goods"/>
    <s v="FG-PCB-CF"/>
    <s v="FG-PCB-CF"/>
    <b v="0"/>
    <n v="-69825.200000000244"/>
    <n v="0.1273284212269232"/>
    <s v="November-25"/>
    <n v="483.15999999999997"/>
    <n v="-1135"/>
    <n v="421.37999999999982"/>
    <n v="373.01999999999981"/>
    <n v="22"/>
    <n v="0.26"/>
    <n v="26.1"/>
    <n v="0.26000000000001222"/>
    <n v="-478561.39999999973"/>
    <n v="-423377.69999999978"/>
    <n v="-24970"/>
    <n v="-295.10000000000002"/>
    <n v="-29918.6"/>
    <n v="-2.1100277081131935E-10"/>
    <n v="0.12732842122692323"/>
    <n v="421.38"/>
    <n v="-295.09999999995489"/>
    <n v="1.8"/>
    <n v="15.99"/>
    <n v="8.31"/>
    <n v="-478266.3"/>
    <n v="-24970"/>
    <n v="-2043"/>
    <n v="-18148.650000000001"/>
    <n v="-9431.85"/>
    <n v="-295.10000000000002"/>
    <n v="0"/>
  </r>
  <r>
    <s v="Atomberg Technologies Private Limit"/>
    <d v="2025-11-27T00:00:00"/>
    <s v="3277067090"/>
    <x v="15"/>
    <x v="15"/>
    <s v="NOS"/>
    <s v="ZFG1"/>
    <s v="FG0010"/>
    <n v="-895"/>
    <n v="-377135.1"/>
    <n v="-895"/>
    <n v="-895"/>
    <d v="2025-11-27T00:00:00"/>
    <n v="-432428.2"/>
    <s v="RV"/>
    <s v="Billing doc.transfer"/>
    <s v="01"/>
    <s v="Finished Goods"/>
    <s v="FG-PCB-CF"/>
    <s v="FG-PCB-CF"/>
    <b v="0"/>
    <n v="-55060.40000000014"/>
    <n v="0.12732842122692309"/>
    <s v="November-25"/>
    <n v="483.16"/>
    <n v="-895"/>
    <n v="421.37999999999982"/>
    <n v="373.01999999999981"/>
    <n v="22"/>
    <n v="0.26"/>
    <n v="26.1"/>
    <n v="0.26000000000001222"/>
    <n v="-377367.79999999987"/>
    <n v="-333852.89999999985"/>
    <n v="-19690"/>
    <n v="-232.70000000000002"/>
    <n v="-23592.2"/>
    <n v="-1.2732925824820995E-10"/>
    <n v="0.12732842122692312"/>
    <n v="421.38"/>
    <n v="-232.70000000002256"/>
    <n v="1.8"/>
    <n v="15.99"/>
    <n v="8.31"/>
    <n v="-377135.1"/>
    <n v="-19690"/>
    <n v="-1611"/>
    <n v="-14311.050000000001"/>
    <n v="-7437.4500000000007"/>
    <n v="-232.70000000000002"/>
    <n v="0"/>
  </r>
  <r>
    <s v="Atomberg Technologies Private Limit"/>
    <d v="2025-11-27T00:00:00"/>
    <s v="3277067091"/>
    <x v="15"/>
    <x v="15"/>
    <s v="NOS"/>
    <s v="ZFG1"/>
    <s v="FG0010"/>
    <n v="-580"/>
    <n v="-244400.4"/>
    <n v="-580"/>
    <n v="-580"/>
    <d v="2025-11-27T00:00:00"/>
    <n v="-280232.8"/>
    <s v="RV"/>
    <s v="Billing doc.transfer"/>
    <s v="01"/>
    <s v="Finished Goods"/>
    <s v="FG-PCB-CF"/>
    <s v="FG-PCB-CF"/>
    <b v="0"/>
    <n v="-35681.600000000122"/>
    <n v="0.1273284212269232"/>
    <s v="November-25"/>
    <n v="483.15999999999997"/>
    <n v="-580"/>
    <n v="421.37999999999982"/>
    <n v="373.01999999999981"/>
    <n v="22"/>
    <n v="0.26"/>
    <n v="26.1"/>
    <n v="0.26000000000001222"/>
    <n v="-244551.19999999987"/>
    <n v="-216351.59999999989"/>
    <n v="-12760"/>
    <n v="-150.80000000000001"/>
    <n v="-15288.8"/>
    <n v="-1.0550138540565968E-10"/>
    <n v="0.12732842122692323"/>
    <n v="421.38"/>
    <n v="-150.79999999997744"/>
    <n v="1.8"/>
    <n v="15.99"/>
    <n v="8.31"/>
    <n v="-244400.4"/>
    <n v="-12760"/>
    <n v="-1044"/>
    <n v="-9274.2000000000007"/>
    <n v="-4819.8"/>
    <n v="-150.80000000000001"/>
    <n v="0"/>
  </r>
  <r>
    <s v="Atomberg Technologies Private Limit"/>
    <d v="2025-11-27T00:00:00"/>
    <s v="3277067092"/>
    <x v="15"/>
    <x v="15"/>
    <s v="NOS"/>
    <s v="ZFG1"/>
    <s v="FG0010"/>
    <n v="-350"/>
    <n v="-147483"/>
    <n v="-350"/>
    <n v="-350"/>
    <d v="2025-11-27T00:00:00"/>
    <n v="-169106"/>
    <s v="RV"/>
    <s v="Billing doc.transfer"/>
    <s v="01"/>
    <s v="Finished Goods"/>
    <s v="FG-PCB-CF"/>
    <s v="FG-PCB-CF"/>
    <b v="0"/>
    <n v="-21532.000000000058"/>
    <n v="0.12732842122692312"/>
    <s v="November-25"/>
    <n v="483.16"/>
    <n v="-350"/>
    <n v="421.37999999999982"/>
    <n v="373.01999999999981"/>
    <n v="22"/>
    <n v="0.26"/>
    <n v="26.1"/>
    <n v="0.26000000000001222"/>
    <n v="-147573.99999999994"/>
    <n v="-130556.99999999993"/>
    <n v="-7700"/>
    <n v="-91"/>
    <n v="-9226"/>
    <n v="-7.2759576141834259E-11"/>
    <n v="0.12732842122692312"/>
    <n v="421.38"/>
    <n v="-91.000000000014552"/>
    <n v="1.8"/>
    <n v="15.99"/>
    <n v="8.31"/>
    <n v="-147483"/>
    <n v="-7700"/>
    <n v="-630"/>
    <n v="-5596.5"/>
    <n v="-2908.5"/>
    <n v="-91"/>
    <n v="0"/>
  </r>
  <r>
    <s v="Atomberg Technologies Private Limit"/>
    <d v="2025-11-27T00:00:00"/>
    <s v="3277067093"/>
    <x v="9"/>
    <x v="9"/>
    <s v="NOS"/>
    <s v="ZFG1"/>
    <s v="FG0010"/>
    <n v="-1"/>
    <n v="-216.6"/>
    <n v="-1"/>
    <n v="-1"/>
    <d v="2025-11-27T00:00:00"/>
    <n v="-230.41"/>
    <s v="RV"/>
    <s v="Billing doc.transfer"/>
    <s v="01"/>
    <s v="Finished Goods"/>
    <s v="FG-PCB-CF"/>
    <s v="FG-PCB-CF"/>
    <b v="0"/>
    <n v="-13.770000000000067"/>
    <n v="5.9763031118441334E-2"/>
    <s v="November-25"/>
    <n v="230.41"/>
    <n v="-1"/>
    <n v="216.59999999999994"/>
    <n v="174.98999999999995"/>
    <n v="18.389999999999997"/>
    <n v="0.04"/>
    <n v="23.18"/>
    <n v="3.9999999999988489E-2"/>
    <n v="-216.63999999999993"/>
    <n v="-174.98999999999995"/>
    <n v="-18.389999999999997"/>
    <n v="-0.04"/>
    <n v="-23.22"/>
    <n v="-4.6185277824406512E-14"/>
    <n v="5.9763031118441279E-2"/>
    <n v="216.6"/>
    <n v="-3.9999999999981384E-2"/>
    <n v="1.5"/>
    <n v="13.37"/>
    <n v="8.31"/>
    <n v="-216.6"/>
    <n v="-18.389999999999997"/>
    <n v="-1.5"/>
    <n v="-13.37"/>
    <n v="-8.31"/>
    <n v="-0.04"/>
    <n v="0"/>
  </r>
  <r>
    <s v="Atomberg Technologies Private Limit"/>
    <d v="2025-11-27T00:00:00"/>
    <s v="3277067094"/>
    <x v="15"/>
    <x v="15"/>
    <s v="NOS"/>
    <s v="ZFG1"/>
    <s v="FG0010"/>
    <n v="-1"/>
    <n v="-421.38"/>
    <n v="-1"/>
    <n v="-1"/>
    <d v="2025-11-27T00:00:00"/>
    <n v="-483.16"/>
    <s v="RV"/>
    <s v="Billing doc.transfer"/>
    <s v="01"/>
    <s v="Finished Goods"/>
    <s v="FG-PCB-CF"/>
    <s v="FG-PCB-CF"/>
    <b v="0"/>
    <n v="-61.520000000000209"/>
    <n v="0.12732842122692317"/>
    <s v="November-25"/>
    <n v="483.16"/>
    <n v="-1"/>
    <n v="421.37999999999982"/>
    <n v="373.01999999999981"/>
    <n v="22"/>
    <n v="0.26"/>
    <n v="26.1"/>
    <n v="0.26000000000001222"/>
    <n v="-421.63999999999982"/>
    <n v="-373.01999999999981"/>
    <n v="-22"/>
    <n v="-0.26"/>
    <n v="-26.360000000000003"/>
    <n v="-1.8118839761882555E-13"/>
    <n v="0.12732842122692323"/>
    <n v="421.38"/>
    <n v="-0.26000000000000156"/>
    <n v="1.8"/>
    <n v="15.99"/>
    <n v="8.31"/>
    <n v="-421.38"/>
    <n v="-22"/>
    <n v="-1.8"/>
    <n v="-15.99"/>
    <n v="-8.31"/>
    <n v="-0.26"/>
    <n v="0"/>
  </r>
  <r>
    <s v="Atomberg Technologies Private Limit"/>
    <d v="2025-11-27T00:00:00"/>
    <s v="3277067095"/>
    <x v="7"/>
    <x v="7"/>
    <s v="NOS"/>
    <s v="ZFG1"/>
    <s v="FG0010"/>
    <n v="-3"/>
    <n v="-981.3"/>
    <n v="-3"/>
    <n v="-3"/>
    <d v="2025-11-27T00:00:00"/>
    <n v="-1074.8699999999999"/>
    <s v="RV"/>
    <s v="Billing doc.transfer"/>
    <s v="01"/>
    <s v="Finished Goods"/>
    <s v="FG-PCB-CF"/>
    <s v="FG-PCB-CF"/>
    <b v="0"/>
    <n v="-93.060000000000173"/>
    <n v="8.6577911747467304E-2"/>
    <s v="November-25"/>
    <n v="358.28999999999996"/>
    <n v="-3"/>
    <n v="327.09999999999991"/>
    <n v="278.1099999999999"/>
    <n v="22.400000000000002"/>
    <n v="0.17"/>
    <n v="26.42"/>
    <n v="0.17000000000000526"/>
    <n v="-981.80999999999972"/>
    <n v="-834.3299999999997"/>
    <n v="-67.2"/>
    <n v="-0.51"/>
    <n v="-79.77000000000001"/>
    <n v="-2.4158453015843406E-13"/>
    <n v="8.6577911747467318E-2"/>
    <n v="327.09999999999997"/>
    <n v="-0.51000000000000512"/>
    <n v="1.8299999999999998"/>
    <n v="16.28"/>
    <n v="8.31"/>
    <n v="-981.3"/>
    <n v="-67.2"/>
    <n v="-5.4899999999999993"/>
    <n v="-48.84"/>
    <n v="-24.93"/>
    <n v="-0.51"/>
    <n v="0"/>
  </r>
  <r>
    <s v="Atomberg Technologies Private Limit"/>
    <d v="2025-11-27T00:00:00"/>
    <s v="3277067095"/>
    <x v="11"/>
    <x v="11"/>
    <s v="NOS"/>
    <s v="ZFG1"/>
    <s v="FG0010"/>
    <n v="-3"/>
    <n v="-981.39"/>
    <n v="-3"/>
    <n v="-3"/>
    <d v="2025-11-27T00:00:00"/>
    <n v="-1074.8699999999999"/>
    <s v="RV"/>
    <s v="Billing doc.transfer"/>
    <s v="01"/>
    <s v="Finished Goods"/>
    <s v="FG-PCB-CF"/>
    <s v="FG-PCB-CF"/>
    <b v="0"/>
    <n v="-92.9699999999998"/>
    <n v="8.649418069161835E-2"/>
    <s v="November-25"/>
    <n v="358.28999999999996"/>
    <n v="-3"/>
    <n v="327.13000000000005"/>
    <n v="278.14000000000004"/>
    <n v="22.400000000000002"/>
    <n v="0.17"/>
    <n v="26.42"/>
    <n v="0.17000000000000526"/>
    <n v="-981.90000000000009"/>
    <n v="-834.42000000000007"/>
    <n v="-67.2"/>
    <n v="-0.51"/>
    <n v="-79.77000000000001"/>
    <n v="0"/>
    <n v="8.6494180691618294E-2"/>
    <n v="327.13"/>
    <n v="-0.51000000000000512"/>
    <n v="1.8299999999999998"/>
    <n v="16.28"/>
    <n v="8.31"/>
    <n v="-981.39"/>
    <n v="-67.2"/>
    <n v="-5.4899999999999993"/>
    <n v="-48.84"/>
    <n v="-24.93"/>
    <n v="-0.51"/>
    <n v="0"/>
  </r>
  <r>
    <s v="Atomberg Technologies Private Limit"/>
    <d v="2025-11-27T00:00:00"/>
    <s v="3277067096"/>
    <x v="16"/>
    <x v="16"/>
    <s v="NOS"/>
    <s v="ZFG1"/>
    <s v="FG0010"/>
    <n v="-4"/>
    <n v="-1305.08"/>
    <n v="-4"/>
    <n v="-4"/>
    <d v="2025-11-27T00:00:00"/>
    <n v="-1463.52"/>
    <s v="RV"/>
    <s v="Billing doc.transfer"/>
    <s v="01"/>
    <s v="Finished Goods"/>
    <s v="FG-PCB-CF"/>
    <s v="FG-PCB-CF"/>
    <b v="0"/>
    <n v="-157.44000000000005"/>
    <n v="0.10757625450967534"/>
    <s v="November-25"/>
    <n v="365.88"/>
    <n v="-4"/>
    <n v="326.27"/>
    <n v="271.52999999999997"/>
    <n v="20.94"/>
    <n v="0.25"/>
    <n v="33.550000000000004"/>
    <n v="0.25000000000000711"/>
    <n v="-1306.08"/>
    <n v="-1086.1199999999999"/>
    <n v="-83.76"/>
    <n v="-1"/>
    <n v="-135.20000000000002"/>
    <n v="0"/>
    <n v="0.10757625450967534"/>
    <n v="326.27"/>
    <n v="-1.0000000000000284"/>
    <n v="1.7100000000000002"/>
    <n v="15.22"/>
    <n v="16.62"/>
    <n v="-1305.08"/>
    <n v="-83.76"/>
    <n v="-6.8400000000000007"/>
    <n v="-60.88"/>
    <n v="-66.48"/>
    <n v="-1"/>
    <n v="0"/>
  </r>
  <r>
    <s v="Atomberg Technologies Private Limit"/>
    <d v="2025-11-27T00:00:00"/>
    <s v="3277067098"/>
    <x v="5"/>
    <x v="5"/>
    <s v="NOS"/>
    <s v="ZFG1"/>
    <s v="FG0010"/>
    <n v="-14"/>
    <n v="-4579.82"/>
    <n v="-14"/>
    <n v="-14"/>
    <d v="2025-11-27T00:00:00"/>
    <n v="-5016.0600000000004"/>
    <s v="RV"/>
    <s v="Billing doc.transfer"/>
    <s v="01"/>
    <s v="Finished Goods"/>
    <s v="FG-PCB-CF"/>
    <s v="FG-PCB-CF"/>
    <b v="0"/>
    <n v="-433.85999999999967"/>
    <n v="8.6494180691618447E-2"/>
    <s v="November-25"/>
    <n v="358.29"/>
    <n v="-14"/>
    <n v="327.13"/>
    <n v="278.14"/>
    <n v="22.400000000000002"/>
    <n v="0.17"/>
    <n v="26.42"/>
    <n v="0.17000000000000526"/>
    <n v="-4582.2000000000007"/>
    <n v="-3893.96"/>
    <n v="-313.60000000000002"/>
    <n v="-2.3800000000000003"/>
    <n v="-372.26"/>
    <n v="0"/>
    <n v="8.6494180691618405E-2"/>
    <n v="327.13"/>
    <n v="-2.3800000000006776"/>
    <n v="1.8299999999999998"/>
    <n v="16.28"/>
    <n v="8.31"/>
    <n v="-4579.82"/>
    <n v="-313.60000000000002"/>
    <n v="-25.619999999999997"/>
    <n v="-227.92000000000002"/>
    <n v="-116.34"/>
    <n v="-2.3800000000000003"/>
    <n v="0"/>
  </r>
  <r>
    <s v="Atomberg Technologies Private Limit"/>
    <d v="2025-11-27T00:00:00"/>
    <s v="3277067098"/>
    <x v="4"/>
    <x v="4"/>
    <s v="NOS"/>
    <s v="ZFG1"/>
    <s v="FG0010"/>
    <n v="-6"/>
    <n v="-2528.46"/>
    <n v="-6"/>
    <n v="-6"/>
    <d v="2025-11-27T00:00:00"/>
    <n v="-2898.96"/>
    <s v="RV"/>
    <s v="Billing doc.transfer"/>
    <s v="01"/>
    <s v="Finished Goods"/>
    <s v="FG-PCB-CF"/>
    <s v="FG-PCB-CF"/>
    <b v="0"/>
    <n v="-368.94000000000096"/>
    <n v="0.12726632999420515"/>
    <s v="November-25"/>
    <n v="483.16"/>
    <n v="-6"/>
    <n v="421.40999999999985"/>
    <n v="373.04999999999984"/>
    <n v="22"/>
    <n v="0.26"/>
    <n v="26.1"/>
    <n v="0.26000000000001222"/>
    <n v="-2530.0199999999991"/>
    <n v="-2238.2999999999993"/>
    <n v="-132"/>
    <n v="-1.56"/>
    <n v="-158.16000000000003"/>
    <n v="-7.3896444519050419E-13"/>
    <n v="0.12726632999420517"/>
    <n v="421.41"/>
    <n v="-1.5599999999997749"/>
    <n v="1.8"/>
    <n v="15.99"/>
    <n v="8.31"/>
    <n v="-2528.46"/>
    <n v="-132"/>
    <n v="-10.8"/>
    <n v="-95.94"/>
    <n v="-49.86"/>
    <n v="-1.56"/>
    <n v="0"/>
  </r>
  <r>
    <s v="Atomberg Technologies Private Limit"/>
    <d v="2025-11-27T00:00:00"/>
    <s v="3277067098"/>
    <x v="16"/>
    <x v="16"/>
    <s v="NOS"/>
    <s v="ZFG1"/>
    <s v="FG0010"/>
    <n v="-20"/>
    <n v="-6525.4"/>
    <n v="-20"/>
    <n v="-20"/>
    <d v="2025-11-27T00:00:00"/>
    <n v="-7317.6"/>
    <s v="RV"/>
    <s v="Billing doc.transfer"/>
    <s v="01"/>
    <s v="Finished Goods"/>
    <s v="FG-PCB-CF"/>
    <s v="FG-PCB-CF"/>
    <b v="0"/>
    <n v="-787.20000000000073"/>
    <n v="0.1075762545096754"/>
    <s v="November-25"/>
    <n v="365.88"/>
    <n v="-20"/>
    <n v="326.27"/>
    <n v="271.52999999999997"/>
    <n v="20.94"/>
    <n v="0.25"/>
    <n v="33.550000000000004"/>
    <n v="0.25000000000000711"/>
    <n v="-6530.4"/>
    <n v="-5430.5999999999995"/>
    <n v="-418.8"/>
    <n v="-5"/>
    <n v="-676.00000000000011"/>
    <n v="0"/>
    <n v="0.10757625450967545"/>
    <n v="326.27"/>
    <n v="-5.0000000000001137"/>
    <n v="1.7100000000000002"/>
    <n v="15.22"/>
    <n v="16.62"/>
    <n v="-6525.4"/>
    <n v="-418.8"/>
    <n v="-34.200000000000003"/>
    <n v="-304.40000000000003"/>
    <n v="-332.40000000000003"/>
    <n v="-5"/>
    <n v="0"/>
  </r>
  <r>
    <s v="Atomberg Technologies Private Limit"/>
    <d v="2025-11-27T00:00:00"/>
    <s v="3277067101"/>
    <x v="17"/>
    <x v="17"/>
    <s v="NOS"/>
    <s v="ZFG1"/>
    <s v="FG0010"/>
    <n v="-2"/>
    <n v="-931.8"/>
    <n v="-2"/>
    <n v="-2"/>
    <d v="2025-11-27T00:00:00"/>
    <n v="-990"/>
    <s v="RV"/>
    <s v="Billing doc.transfer"/>
    <s v="01"/>
    <s v="Finished Goods"/>
    <s v="FG-PCB-CF"/>
    <s v="FG-PCB-CF"/>
    <b v="0"/>
    <n v="-57.660000000000423"/>
    <n v="5.8242424242424672E-2"/>
    <s v="November-25"/>
    <n v="495"/>
    <n v="-2"/>
    <n v="465.89999999999981"/>
    <n v="393.01999999999981"/>
    <n v="35.550000000000004"/>
    <n v="0.27"/>
    <n v="37.06"/>
    <n v="0.26999999999998892"/>
    <n v="-932.33999999999958"/>
    <n v="-786.03999999999962"/>
    <n v="-71.100000000000009"/>
    <n v="-0.54"/>
    <n v="-74.660000000000011"/>
    <n v="-3.1263880373444408E-13"/>
    <n v="5.8242424242424651E-2"/>
    <n v="465.9"/>
    <n v="-0.5399999999999352"/>
    <n v="2.91"/>
    <n v="25.840000000000003"/>
    <n v="8.31"/>
    <n v="-931.8"/>
    <n v="-71.100000000000009"/>
    <n v="-5.82"/>
    <n v="-51.680000000000007"/>
    <n v="-16.62"/>
    <n v="-0.54"/>
    <n v="0"/>
  </r>
  <r>
    <s v="Atomberg Technologies Private Limit"/>
    <d v="2025-11-27T00:00:00"/>
    <s v="3277067126"/>
    <x v="3"/>
    <x v="3"/>
    <s v="NOS"/>
    <s v="ZFG1"/>
    <s v="FG0010"/>
    <n v="-188"/>
    <n v="-121265.64"/>
    <n v="-188"/>
    <n v="-188"/>
    <d v="2025-11-27T00:00:00"/>
    <n v="-136969.28"/>
    <s v="RV"/>
    <s v="Billing doc.transfer"/>
    <s v="01"/>
    <s v="Finished Goods"/>
    <s v="FG-PCB-CF"/>
    <s v="FG-PCB-CF"/>
    <b v="0"/>
    <n v="-15622.800000000061"/>
    <n v="0.11406061271549402"/>
    <s v="November-25"/>
    <n v="728.56"/>
    <n v="-188"/>
    <n v="645.02999999999963"/>
    <n v="582.23999999999967"/>
    <n v="29.88"/>
    <n v="0.43"/>
    <n v="32.480000000000004"/>
    <n v="0.42999999999996419"/>
    <n v="-121346.47999999994"/>
    <n v="-109461.11999999994"/>
    <n v="-5617.44"/>
    <n v="-80.84"/>
    <n v="-6187.0800000000008"/>
    <n v="-6.184563972055912E-11"/>
    <n v="0.11406061271549406"/>
    <n v="645.03"/>
    <n v="-80.840000000000146"/>
    <n v="2.4500000000000002"/>
    <n v="21.72"/>
    <n v="8.31"/>
    <n v="-121265.64"/>
    <n v="-5617.44"/>
    <n v="-460.6"/>
    <n v="-4083.3599999999997"/>
    <n v="-1562.2800000000002"/>
    <n v="-80.84"/>
    <n v="0"/>
  </r>
  <r>
    <s v="Atomberg Technologies Private Limit"/>
    <d v="2025-11-27T00:00:00"/>
    <s v="3277067136"/>
    <x v="3"/>
    <x v="3"/>
    <s v="NOS"/>
    <s v="ZFG1"/>
    <s v="FG0010"/>
    <n v="-70"/>
    <n v="-45152.1"/>
    <n v="-70"/>
    <n v="-70"/>
    <d v="2025-11-27T00:00:00"/>
    <n v="-50999.199999999997"/>
    <s v="RV"/>
    <s v="Billing doc.transfer"/>
    <s v="01"/>
    <s v="Finished Goods"/>
    <s v="FG-PCB-CF"/>
    <s v="FG-PCB-CF"/>
    <b v="0"/>
    <n v="-5817.0000000000291"/>
    <n v="0.11406061271549416"/>
    <s v="November-25"/>
    <n v="728.56"/>
    <n v="-70"/>
    <n v="645.02999999999963"/>
    <n v="582.23999999999967"/>
    <n v="29.88"/>
    <n v="0.43"/>
    <n v="32.480000000000004"/>
    <n v="0.42999999999996419"/>
    <n v="-45182.199999999968"/>
    <n v="-40756.799999999974"/>
    <n v="-2091.6"/>
    <n v="-30.099999999999998"/>
    <n v="-2303.7000000000003"/>
    <n v="-2.4556356947869062E-11"/>
    <n v="0.11406061271549417"/>
    <n v="645.03"/>
    <n v="-30.099999999993997"/>
    <n v="2.4500000000000002"/>
    <n v="21.72"/>
    <n v="8.31"/>
    <n v="-45152.1"/>
    <n v="-2091.6"/>
    <n v="-171.5"/>
    <n v="-1520.3999999999999"/>
    <n v="-581.70000000000005"/>
    <n v="-30.099999999999998"/>
    <n v="0"/>
  </r>
  <r>
    <s v="Atomberg Technologies Private Limit"/>
    <d v="2025-11-27T00:00:00"/>
    <s v="3277067137"/>
    <x v="3"/>
    <x v="3"/>
    <s v="NOS"/>
    <s v="ZFG1"/>
    <s v="FG0010"/>
    <n v="-105"/>
    <n v="-67728.149999999994"/>
    <n v="-105"/>
    <n v="-105"/>
    <d v="2025-11-27T00:00:00"/>
    <n v="-76498.8"/>
    <s v="RV"/>
    <s v="Billing doc.transfer"/>
    <s v="01"/>
    <s v="Finished Goods"/>
    <s v="FG-PCB-CF"/>
    <s v="FG-PCB-CF"/>
    <b v="0"/>
    <n v="-8725.5000000000437"/>
    <n v="0.11406061271549414"/>
    <s v="November-25"/>
    <n v="728.56000000000006"/>
    <n v="-105"/>
    <n v="645.02999999999963"/>
    <n v="582.23999999999967"/>
    <n v="29.88"/>
    <n v="0.43"/>
    <n v="32.480000000000004"/>
    <n v="0.42999999999996419"/>
    <n v="-67773.299999999959"/>
    <n v="-61135.199999999968"/>
    <n v="-3137.4"/>
    <n v="-45.15"/>
    <n v="-3455.5500000000006"/>
    <n v="-2.5465851649641991E-11"/>
    <n v="0.11406061271549417"/>
    <n v="645.03"/>
    <n v="-45.149999999990541"/>
    <n v="2.4500000000000002"/>
    <n v="21.72"/>
    <n v="8.31"/>
    <n v="-67728.149999999994"/>
    <n v="-3137.4"/>
    <n v="-257.25"/>
    <n v="-2280.6"/>
    <n v="-872.55000000000007"/>
    <n v="-45.15"/>
    <n v="0"/>
  </r>
  <r>
    <s v="Atomberg Technologies Private Limit"/>
    <d v="2025-11-27T00:00:00"/>
    <s v="3277067139"/>
    <x v="15"/>
    <x v="15"/>
    <s v="NOS"/>
    <s v="ZFG1"/>
    <s v="FG0010"/>
    <n v="-3"/>
    <n v="-1264.1400000000001"/>
    <n v="-3"/>
    <n v="-3"/>
    <d v="2025-11-27T00:00:00"/>
    <n v="-1449.48"/>
    <s v="RV"/>
    <s v="Billing doc.transfer"/>
    <s v="01"/>
    <s v="Finished Goods"/>
    <s v="FG-PCB-CF"/>
    <s v="FG-PCB-CF"/>
    <b v="0"/>
    <n v="-184.56000000000063"/>
    <n v="0.1273284212269232"/>
    <s v="November-25"/>
    <n v="483.16"/>
    <n v="-3"/>
    <n v="421.37999999999982"/>
    <n v="373.01999999999981"/>
    <n v="22"/>
    <n v="0.26"/>
    <n v="26.1"/>
    <n v="0.26000000000001222"/>
    <n v="-1264.9199999999994"/>
    <n v="-1119.0599999999995"/>
    <n v="-66"/>
    <n v="-0.78"/>
    <n v="-79.080000000000013"/>
    <n v="-5.9685589803848416E-13"/>
    <n v="0.12732842122692323"/>
    <n v="421.38000000000005"/>
    <n v="-0.77999999999988745"/>
    <n v="1.8"/>
    <n v="15.99"/>
    <n v="8.31"/>
    <n v="-1264.1400000000001"/>
    <n v="-66"/>
    <n v="-5.4"/>
    <n v="-47.97"/>
    <n v="-24.93"/>
    <n v="-0.78"/>
    <n v="0"/>
  </r>
  <r>
    <s v="Atomberg Technologies Private Limit"/>
    <d v="2025-11-27T00:00:00"/>
    <s v="3277067142"/>
    <x v="18"/>
    <x v="18"/>
    <s v="NOS"/>
    <s v="ZSFG"/>
    <s v="SF0045"/>
    <n v="-76"/>
    <n v="-14513.72"/>
    <n v="-76"/>
    <n v="-76"/>
    <d v="2025-11-27T00:00:00"/>
    <n v="-15789.76"/>
    <s v="RV"/>
    <s v="Billing doc.transfer"/>
    <s v="01"/>
    <s v="Semi-Finished Goods"/>
    <s v="SFG-GV5 Stator"/>
    <s v="Sub Ass.-Mech Stator"/>
    <b v="0"/>
    <n v="-1276.0400000000009"/>
    <n v="8.0814401232191038E-2"/>
    <s v="November-25"/>
    <n v="207.76"/>
    <n v="-76"/>
    <n v="190.96999999999997"/>
    <n v="187.51999999999998"/>
    <n v="1.5"/>
    <n v="0"/>
    <n v="1.95"/>
    <n v="-1.1324274851176597E-14"/>
    <n v="-14513.72"/>
    <n v="-14251.519999999999"/>
    <n v="-114"/>
    <n v="0"/>
    <n v="-148.19999999999999"/>
    <n v="-7.3896444519050419E-13"/>
    <n v="8.081440123219108E-2"/>
    <n v="190.97"/>
    <n v="-7.3896444519050419E-13"/>
    <n v="0.05"/>
    <n v="0.4"/>
    <n v="1.5"/>
    <n v="-14513.72"/>
    <n v="-114"/>
    <n v="-3.8000000000000003"/>
    <n v="-30.400000000000002"/>
    <n v="-114"/>
    <n v="0"/>
    <n v="0"/>
  </r>
  <r>
    <s v="GODREJ &amp; BOYCE MFG. CO. LTD  MOHALI"/>
    <d v="2025-11-26T00:00:00"/>
    <s v="3271315340"/>
    <x v="1"/>
    <x v="1"/>
    <s v="NOS"/>
    <s v="ZFG1"/>
    <s v="FG0011"/>
    <n v="4100"/>
    <n v="1891617"/>
    <n v="4100"/>
    <n v="4100"/>
    <d v="2025-11-26T00:00:00"/>
    <n v="2703171"/>
    <s v="RV"/>
    <s v="Billing doc.transfer"/>
    <s v="01"/>
    <s v="Finished Goods"/>
    <s v="FG-PCB-Ref"/>
    <s v="FG-PCB-Ref"/>
    <b v="0"/>
    <n v="810569.99999999977"/>
    <n v="0.29985894344086994"/>
    <s v="November-25"/>
    <n v="659.31"/>
    <n v="4100"/>
    <n v="461.37"/>
    <n v="401.59000000000003"/>
    <n v="28.32"/>
    <n v="0.24"/>
    <n v="31.22"/>
    <n v="0.23999999999997357"/>
    <n v="1892601.0000000002"/>
    <n v="1646519.0000000002"/>
    <n v="116112"/>
    <n v="984"/>
    <n v="128986"/>
    <n v="-2.3283064365386963E-10"/>
    <n v="0.29985894344086994"/>
    <n v="461.37"/>
    <n v="984"/>
    <n v="2.3199999999999998"/>
    <n v="20.59"/>
    <n v="8.31"/>
    <n v="1891617"/>
    <n v="116112"/>
    <n v="9512"/>
    <n v="84419"/>
    <n v="34071"/>
    <n v="984"/>
    <n v="0"/>
  </r>
  <r>
    <s v="Atomberg Technologies Private Limit"/>
    <d v="2025-11-26T00:00:00"/>
    <s v="3271315292"/>
    <x v="16"/>
    <x v="16"/>
    <s v="NOS"/>
    <s v="ZFG1"/>
    <s v="FG0010"/>
    <n v="1080"/>
    <n v="352371.6"/>
    <n v="1080"/>
    <n v="1080"/>
    <d v="2025-11-26T00:00:00"/>
    <n v="392644.8"/>
    <s v="RV"/>
    <s v="Billing doc.transfer"/>
    <s v="01"/>
    <s v="Finished Goods"/>
    <s v="FG-PCB-CF"/>
    <s v="FG-PCB-CF"/>
    <b v="0"/>
    <n v="40003.200000000012"/>
    <n v="0.10188139509296956"/>
    <s v="November-25"/>
    <n v="363.56"/>
    <n v="1080"/>
    <n v="326.27"/>
    <n v="271.52999999999997"/>
    <n v="20.94"/>
    <n v="0.25"/>
    <n v="33.550000000000004"/>
    <n v="0.25000000000000711"/>
    <n v="352641.6"/>
    <n v="293252.39999999997"/>
    <n v="22615.200000000001"/>
    <n v="270"/>
    <n v="36504.000000000007"/>
    <n v="0"/>
    <n v="0.10188139509296956"/>
    <n v="326.27"/>
    <n v="270.00000000000728"/>
    <n v="1.7100000000000002"/>
    <n v="15.22"/>
    <n v="16.62"/>
    <n v="352371.6"/>
    <n v="22615.200000000001"/>
    <n v="1846.8000000000002"/>
    <n v="16437.600000000002"/>
    <n v="17949.600000000002"/>
    <n v="270"/>
    <n v="0"/>
  </r>
  <r>
    <s v="Atomberg Technologies Private Limit"/>
    <d v="2025-11-26T00:00:00"/>
    <s v="3271315336"/>
    <x v="11"/>
    <x v="11"/>
    <s v="NOS"/>
    <s v="ZFG1"/>
    <s v="FG0010"/>
    <n v="1154"/>
    <n v="377508.02"/>
    <n v="1154"/>
    <n v="1154"/>
    <d v="2025-11-26T00:00:00"/>
    <n v="393594.78"/>
    <s v="RV"/>
    <s v="Billing doc.transfer"/>
    <s v="01"/>
    <s v="Finished Goods"/>
    <s v="FG-PCB-CF"/>
    <s v="FG-PCB-CF"/>
    <b v="0"/>
    <n v="15890.580000000016"/>
    <n v="4.0372943970445989E-2"/>
    <s v="November-25"/>
    <n v="341.07000000000005"/>
    <n v="1154"/>
    <n v="327.13000000000005"/>
    <n v="278.14000000000004"/>
    <n v="22.400000000000002"/>
    <n v="0.17"/>
    <n v="26.42"/>
    <n v="0.17000000000000526"/>
    <n v="377704.2"/>
    <n v="320973.56000000006"/>
    <n v="25849.600000000002"/>
    <n v="196.18"/>
    <n v="30684.86"/>
    <n v="-4.0017766878008842E-11"/>
    <n v="4.0372943970445996E-2"/>
    <n v="327.13"/>
    <n v="196.179999999953"/>
    <n v="1.8299999999999998"/>
    <n v="16.28"/>
    <n v="8.31"/>
    <n v="377508.02"/>
    <n v="25849.600000000002"/>
    <n v="2111.8199999999997"/>
    <n v="18787.120000000003"/>
    <n v="9589.74"/>
    <n v="196.18"/>
    <n v="0"/>
  </r>
  <r>
    <s v="Atomberg Technologies Private Limit"/>
    <d v="2025-11-26T00:00:00"/>
    <s v="3271315336"/>
    <x v="4"/>
    <x v="4"/>
    <s v="NOS"/>
    <s v="ZFG1"/>
    <s v="FG0010"/>
    <n v="1100"/>
    <n v="463551"/>
    <n v="1100"/>
    <n v="1100"/>
    <d v="2025-11-26T00:00:00"/>
    <n v="531476"/>
    <s v="RV"/>
    <s v="Billing doc.transfer"/>
    <s v="01"/>
    <s v="Finished Goods"/>
    <s v="FG-PCB-CF"/>
    <s v="FG-PCB-CF"/>
    <b v="0"/>
    <n v="67639.000000000175"/>
    <n v="0.12726632999420515"/>
    <s v="November-25"/>
    <n v="483.16"/>
    <n v="1100"/>
    <n v="421.40999999999985"/>
    <n v="373.04999999999984"/>
    <n v="22"/>
    <n v="0.26"/>
    <n v="26.1"/>
    <n v="0.26000000000001222"/>
    <n v="463836.99999999983"/>
    <n v="410354.99999999983"/>
    <n v="24200"/>
    <n v="286"/>
    <n v="28996"/>
    <n v="1.7462298274040222E-10"/>
    <n v="0.12726632999420517"/>
    <n v="421.41"/>
    <n v="286"/>
    <n v="1.8"/>
    <n v="15.99"/>
    <n v="8.31"/>
    <n v="463551"/>
    <n v="24200"/>
    <n v="1980"/>
    <n v="17589"/>
    <n v="9141"/>
    <n v="286"/>
    <n v="0"/>
  </r>
  <r>
    <s v="Atomberg Technologies Private Limit"/>
    <d v="2025-11-26T00:00:00"/>
    <s v="3271315289"/>
    <x v="5"/>
    <x v="5"/>
    <s v="NOS"/>
    <s v="ZFG1"/>
    <s v="FG0010"/>
    <n v="1120"/>
    <n v="366385.6"/>
    <n v="1120"/>
    <n v="1120"/>
    <d v="2025-11-26T00:00:00"/>
    <n v="381998.4"/>
    <s v="RV"/>
    <s v="Billing doc.transfer"/>
    <s v="01"/>
    <s v="Finished Goods"/>
    <s v="FG-PCB-CF"/>
    <s v="FG-PCB-CF"/>
    <b v="0"/>
    <n v="15422.400000000023"/>
    <n v="4.037294397044601E-2"/>
    <s v="November-25"/>
    <n v="341.07"/>
    <n v="1120"/>
    <n v="327.13"/>
    <n v="278.14"/>
    <n v="22.400000000000002"/>
    <n v="0.17"/>
    <n v="26.42"/>
    <n v="0.17000000000000526"/>
    <n v="366576"/>
    <n v="311516.79999999999"/>
    <n v="25088.000000000004"/>
    <n v="190.4"/>
    <n v="29780.800000000003"/>
    <n v="0"/>
    <n v="4.0372943970445996E-2"/>
    <n v="327.13"/>
    <n v="190.40000000000509"/>
    <n v="1.8299999999999998"/>
    <n v="16.28"/>
    <n v="8.31"/>
    <n v="366385.6"/>
    <n v="25088.000000000004"/>
    <n v="2049.6"/>
    <n v="18233.600000000002"/>
    <n v="9307.2000000000007"/>
    <n v="190.4"/>
    <n v="0"/>
  </r>
  <r>
    <s v="Atomberg Technologies Private Limit"/>
    <d v="2025-11-26T00:00:00"/>
    <s v="3271315336"/>
    <x v="5"/>
    <x v="5"/>
    <s v="NOS"/>
    <s v="ZFG1"/>
    <s v="FG0010"/>
    <n v="4200"/>
    <n v="1373946"/>
    <n v="4200"/>
    <n v="4200"/>
    <d v="2025-11-26T00:00:00"/>
    <n v="1432494"/>
    <s v="RV"/>
    <s v="Billing doc.transfer"/>
    <s v="01"/>
    <s v="Finished Goods"/>
    <s v="FG-PCB-CF"/>
    <s v="FG-PCB-CF"/>
    <b v="0"/>
    <n v="57834"/>
    <n v="4.0372943970445947E-2"/>
    <s v="November-25"/>
    <n v="341.07"/>
    <n v="4200"/>
    <n v="327.13"/>
    <n v="278.14"/>
    <n v="22.400000000000002"/>
    <n v="0.17"/>
    <n v="26.42"/>
    <n v="0.17000000000000526"/>
    <n v="1374660"/>
    <n v="1168188"/>
    <n v="94080.000000000015"/>
    <n v="714"/>
    <n v="111678"/>
    <n v="0"/>
    <n v="4.0372943970445996E-2"/>
    <n v="327.13"/>
    <n v="713.99999999998545"/>
    <n v="1.8299999999999998"/>
    <n v="16.28"/>
    <n v="8.31"/>
    <n v="1373946"/>
    <n v="94080.000000000015"/>
    <n v="7685.9999999999991"/>
    <n v="68376"/>
    <n v="34902"/>
    <n v="714"/>
    <n v="0"/>
  </r>
  <r>
    <s v="Atomberg Technologies Private Limit"/>
    <d v="2025-11-26T00:00:00"/>
    <s v="3271315427"/>
    <x v="5"/>
    <x v="5"/>
    <s v="NOS"/>
    <s v="ZFG1"/>
    <s v="FG0010"/>
    <n v="840"/>
    <n v="274789.2"/>
    <n v="840"/>
    <n v="840"/>
    <d v="2025-11-26T00:00:00"/>
    <n v="286498.8"/>
    <s v="RV"/>
    <s v="Billing doc.transfer"/>
    <s v="01"/>
    <s v="Finished Goods"/>
    <s v="FG-PCB-CF"/>
    <s v="FG-PCB-CF"/>
    <b v="0"/>
    <n v="11566.800000000047"/>
    <n v="4.0372943970446114E-2"/>
    <s v="November-25"/>
    <n v="341.07"/>
    <n v="840"/>
    <n v="327.13"/>
    <n v="278.14"/>
    <n v="22.400000000000002"/>
    <n v="0.17"/>
    <n v="26.42"/>
    <n v="0.17000000000000526"/>
    <n v="274931.99999999994"/>
    <n v="233637.59999999998"/>
    <n v="18816"/>
    <n v="142.80000000000001"/>
    <n v="22335.600000000002"/>
    <n v="3.2741809263825417E-11"/>
    <n v="4.0372943970446107E-2"/>
    <n v="327.13"/>
    <n v="142.79999999996289"/>
    <n v="1.8299999999999998"/>
    <n v="16.28"/>
    <n v="8.31"/>
    <n v="274789.2"/>
    <n v="18816"/>
    <n v="1537.1999999999998"/>
    <n v="13675.2"/>
    <n v="6980.4000000000005"/>
    <n v="142.80000000000001"/>
    <n v="0"/>
  </r>
  <r>
    <s v="Atomberg Technologies Private Limit"/>
    <d v="2025-11-26T00:00:00"/>
    <s v="3271315336"/>
    <x v="8"/>
    <x v="8"/>
    <s v="NOS"/>
    <s v="ZFG1"/>
    <s v="FG0010"/>
    <n v="580"/>
    <n v="188616"/>
    <n v="580"/>
    <n v="580"/>
    <d v="2025-11-26T00:00:00"/>
    <n v="205911.6"/>
    <s v="RV"/>
    <s v="Billing doc.transfer"/>
    <s v="01"/>
    <s v="Finished Goods"/>
    <s v="FG-PCB-CF"/>
    <s v="FG-PCB-CF"/>
    <b v="0"/>
    <n v="17144.800000000017"/>
    <n v="8.3262914765365417E-2"/>
    <s v="November-25"/>
    <n v="355.02"/>
    <n v="580"/>
    <n v="325.19999999999993"/>
    <n v="271.52999999999997"/>
    <n v="23.84"/>
    <n v="0.26"/>
    <n v="29.569999999999997"/>
    <n v="0.25999999999996248"/>
    <n v="188766.8"/>
    <n v="157487.4"/>
    <n v="13827.2"/>
    <n v="150.80000000000001"/>
    <n v="17301.399999999998"/>
    <n v="0"/>
    <n v="8.3262914765365403E-2"/>
    <n v="325.2"/>
    <n v="150.79999999999563"/>
    <n v="1.9500000000000002"/>
    <n v="17.329999999999998"/>
    <n v="10.29"/>
    <n v="188616"/>
    <n v="13827.2"/>
    <n v="1131"/>
    <n v="10051.4"/>
    <n v="5968.2"/>
    <n v="150.80000000000001"/>
    <n v="0"/>
  </r>
  <r>
    <s v="Atomberg Technologies Private Limit"/>
    <d v="2025-11-26T00:00:00"/>
    <s v="3271315289"/>
    <x v="9"/>
    <x v="9"/>
    <s v="NOS"/>
    <s v="ZFG1"/>
    <s v="FG0010"/>
    <n v="371"/>
    <n v="80358.600000000006"/>
    <n v="371"/>
    <n v="371"/>
    <d v="2025-11-26T00:00:00"/>
    <n v="82306.350000000006"/>
    <s v="RV"/>
    <s v="Billing doc.transfer"/>
    <s v="01"/>
    <s v="Finished Goods"/>
    <s v="FG-PCB-CF"/>
    <s v="FG-PCB-CF"/>
    <b v="0"/>
    <n v="1932.9100000000326"/>
    <n v="2.3484336263241323E-2"/>
    <s v="November-25"/>
    <n v="221.85000000000002"/>
    <n v="371"/>
    <n v="216.59999999999994"/>
    <n v="174.98999999999995"/>
    <n v="18.389999999999997"/>
    <n v="0.04"/>
    <n v="23.18"/>
    <n v="3.9999999999988489E-2"/>
    <n v="80373.439999999973"/>
    <n v="64921.289999999979"/>
    <n v="6822.6899999999987"/>
    <n v="14.84"/>
    <n v="8614.6200000000008"/>
    <n v="2.7284841053187847E-11"/>
    <n v="2.3484336263241312E-2"/>
    <n v="216.60000000000002"/>
    <n v="14.839999999994689"/>
    <n v="1.5"/>
    <n v="13.37"/>
    <n v="8.31"/>
    <n v="80358.600000000006"/>
    <n v="6822.6899999999987"/>
    <n v="556.5"/>
    <n v="4960.2699999999995"/>
    <n v="3083.01"/>
    <n v="14.84"/>
    <n v="0"/>
  </r>
  <r>
    <s v="Atomberg Technologies Private Limit"/>
    <d v="2025-11-26T00:00:00"/>
    <s v="3271315424"/>
    <x v="12"/>
    <x v="12"/>
    <s v="NOS"/>
    <s v="ZFG1"/>
    <s v="FG0010"/>
    <n v="105"/>
    <n v="34369.65"/>
    <n v="105"/>
    <n v="105"/>
    <d v="2025-11-26T00:00:00"/>
    <n v="35812.35"/>
    <s v="RV"/>
    <s v="Billing doc.transfer"/>
    <s v="01"/>
    <s v="Finished Goods"/>
    <s v="FG-PCB-CF"/>
    <s v="FG-PCB-CF"/>
    <b v="0"/>
    <n v="1425.9000000000015"/>
    <n v="3.9815873574339619E-2"/>
    <s v="November-25"/>
    <n v="341.07"/>
    <n v="105"/>
    <n v="327.32000000000005"/>
    <n v="278.11"/>
    <n v="20.62"/>
    <n v="0.17"/>
    <n v="28.42"/>
    <n v="0.17000000000003368"/>
    <n v="34386.449999999997"/>
    <n v="29201.550000000003"/>
    <n v="2165.1"/>
    <n v="17.850000000000001"/>
    <n v="3001.9500000000003"/>
    <n v="1.0499999999983629"/>
    <n v="3.9815873574339578E-2"/>
    <n v="327.33000000000004"/>
    <n v="17.849999999993997"/>
    <n v="2.21"/>
    <n v="17.73"/>
    <n v="8.48"/>
    <n v="34369.65"/>
    <n v="2165.1"/>
    <n v="232.04999999999998"/>
    <n v="1861.65"/>
    <n v="890.40000000000009"/>
    <n v="17.850000000000001"/>
    <n v="0"/>
  </r>
  <r>
    <s v="INYANTRA TECHNOLOGIES PRIVATE LIMIT"/>
    <d v="2025-11-26T00:00:00"/>
    <s v="3271315302"/>
    <x v="19"/>
    <x v="19"/>
    <s v="NOS"/>
    <s v="ZROH"/>
    <s v="RM0002"/>
    <n v="14913"/>
    <n v="114079.03"/>
    <n v="14913"/>
    <n v="14913"/>
    <d v="2025-11-26T00:00:00"/>
    <n v="114084.45"/>
    <s v="RV"/>
    <s v="Billing doc.transfer"/>
    <s v="01"/>
    <s v="Raw Material"/>
    <s v="RM-Eletro-Connecter"/>
    <s v="Raw Material"/>
    <b v="0"/>
    <n v="114084.45"/>
    <n v="1"/>
    <s v="November-25"/>
    <n v="7.6499999999999995"/>
    <n v="14913"/>
    <n v="0"/>
    <n v="0"/>
    <n v="0"/>
    <n v="0"/>
    <n v="0"/>
    <n v="0"/>
    <n v="0"/>
    <n v="0"/>
    <n v="0"/>
    <n v="0"/>
    <n v="0"/>
    <n v="114079.03"/>
    <n v="1"/>
    <n v="7.6496365587071677"/>
    <n v="0"/>
    <n v="0"/>
    <n v="0"/>
    <n v="0"/>
    <n v="114079.03"/>
    <n v="0"/>
    <n v="0"/>
    <n v="0"/>
    <n v="0"/>
    <n v="0"/>
    <n v="0"/>
  </r>
  <r>
    <s v="Atomberg Technologies Private Limit"/>
    <d v="2025-11-25T00:00:00"/>
    <s v="3271314894"/>
    <x v="16"/>
    <x v="16"/>
    <s v="NOS"/>
    <s v="ZFG1"/>
    <s v="FG0010"/>
    <n v="985"/>
    <n v="321375.95"/>
    <n v="985"/>
    <n v="985"/>
    <d v="2025-11-25T00:00:00"/>
    <n v="358106.6"/>
    <s v="RV"/>
    <s v="Billing doc.transfer"/>
    <s v="01"/>
    <s v="Finished Goods"/>
    <s v="FG-PCB-CF"/>
    <s v="FG-PCB-CF"/>
    <b v="0"/>
    <n v="36484.399999999965"/>
    <n v="0.10188139509296944"/>
    <s v="November-25"/>
    <n v="363.56"/>
    <n v="985"/>
    <n v="326.27"/>
    <n v="271.52999999999997"/>
    <n v="20.94"/>
    <n v="0.25"/>
    <n v="33.550000000000004"/>
    <n v="0.25000000000000711"/>
    <n v="321622.2"/>
    <n v="267457.05"/>
    <n v="20625.900000000001"/>
    <n v="246.25"/>
    <n v="33293.000000000007"/>
    <n v="0"/>
    <n v="0.10188139509296945"/>
    <n v="326.27000000000004"/>
    <n v="246.25000000001455"/>
    <n v="1.7100000000000002"/>
    <n v="15.22"/>
    <n v="16.62"/>
    <n v="321375.95"/>
    <n v="20625.900000000001"/>
    <n v="1684.3500000000001"/>
    <n v="14991.7"/>
    <n v="16370.7"/>
    <n v="246.25"/>
    <n v="0"/>
  </r>
  <r>
    <s v="Atomberg Technologies Private Limit"/>
    <d v="2025-11-25T00:00:00"/>
    <s v="3271314893"/>
    <x v="3"/>
    <x v="3"/>
    <s v="NOS"/>
    <s v="ZFG1"/>
    <s v="FG0010"/>
    <n v="70"/>
    <n v="45152.1"/>
    <n v="70"/>
    <n v="70"/>
    <d v="2025-11-25T00:00:00"/>
    <n v="50999.199999999997"/>
    <s v="RV"/>
    <s v="Billing doc.transfer"/>
    <s v="01"/>
    <s v="Finished Goods"/>
    <s v="FG-PCB-CF"/>
    <s v="FG-PCB-CF"/>
    <b v="0"/>
    <n v="5817.0000000000291"/>
    <n v="0.11406061271549416"/>
    <s v="November-25"/>
    <n v="728.56"/>
    <n v="70"/>
    <n v="645.02999999999963"/>
    <n v="582.23999999999967"/>
    <n v="29.88"/>
    <n v="0.43"/>
    <n v="32.480000000000004"/>
    <n v="0.42999999999996419"/>
    <n v="45182.199999999968"/>
    <n v="40756.799999999974"/>
    <n v="2091.6"/>
    <n v="30.099999999999998"/>
    <n v="2303.7000000000003"/>
    <n v="2.4556356947869062E-11"/>
    <n v="0.11406061271549417"/>
    <n v="645.03"/>
    <n v="30.099999999993997"/>
    <n v="2.4500000000000002"/>
    <n v="21.72"/>
    <n v="8.31"/>
    <n v="45152.1"/>
    <n v="2091.6"/>
    <n v="171.5"/>
    <n v="1520.3999999999999"/>
    <n v="581.70000000000005"/>
    <n v="30.099999999999998"/>
    <n v="0"/>
  </r>
  <r>
    <s v="Atomberg Technologies Private Limit"/>
    <d v="2025-11-25T00:00:00"/>
    <s v="3271314929"/>
    <x v="11"/>
    <x v="11"/>
    <s v="NOS"/>
    <s v="ZFG1"/>
    <s v="FG0010"/>
    <n v="1255"/>
    <n v="410548.15"/>
    <n v="1255"/>
    <n v="1255"/>
    <d v="2025-11-25T00:00:00"/>
    <n v="428042.85"/>
    <s v="RV"/>
    <s v="Billing doc.transfer"/>
    <s v="01"/>
    <s v="Finished Goods"/>
    <s v="FG-PCB-CF"/>
    <s v="FG-PCB-CF"/>
    <b v="0"/>
    <n v="17281.349999999919"/>
    <n v="4.037294397044576E-2"/>
    <s v="November-25"/>
    <n v="341.07"/>
    <n v="1255"/>
    <n v="327.13000000000005"/>
    <n v="278.14000000000004"/>
    <n v="22.400000000000002"/>
    <n v="0.17"/>
    <n v="26.42"/>
    <n v="0.17000000000000526"/>
    <n v="410761.50000000006"/>
    <n v="349065.70000000007"/>
    <n v="28112.000000000004"/>
    <n v="213.35000000000002"/>
    <n v="33370.449999999997"/>
    <n v="0"/>
    <n v="4.0372943970445774E-2"/>
    <n v="327.13"/>
    <n v="213.34999999999127"/>
    <n v="1.8299999999999998"/>
    <n v="16.28"/>
    <n v="8.31"/>
    <n v="410548.15"/>
    <n v="28112.000000000004"/>
    <n v="2296.6499999999996"/>
    <n v="20431.400000000001"/>
    <n v="10429.050000000001"/>
    <n v="213.35000000000002"/>
    <n v="0"/>
  </r>
  <r>
    <s v="Atomberg Technologies Private Limit"/>
    <d v="2025-11-25T00:00:00"/>
    <s v="3271314929"/>
    <x v="4"/>
    <x v="4"/>
    <s v="NOS"/>
    <s v="ZFG1"/>
    <s v="FG0010"/>
    <n v="1265"/>
    <n v="533083.65"/>
    <n v="1265"/>
    <n v="1265"/>
    <d v="2025-11-25T00:00:00"/>
    <n v="611197.4"/>
    <s v="RV"/>
    <s v="Billing doc.transfer"/>
    <s v="01"/>
    <s v="Finished Goods"/>
    <s v="FG-PCB-CF"/>
    <s v="FG-PCB-CF"/>
    <b v="0"/>
    <n v="77784.85000000021"/>
    <n v="0.12726632999420515"/>
    <s v="November-25"/>
    <n v="483.16"/>
    <n v="1265"/>
    <n v="421.40999999999985"/>
    <n v="373.04999999999984"/>
    <n v="22"/>
    <n v="0.26"/>
    <n v="26.1"/>
    <n v="0.26000000000001222"/>
    <n v="533412.54999999981"/>
    <n v="471908.24999999983"/>
    <n v="27830"/>
    <n v="328.90000000000003"/>
    <n v="33345.4"/>
    <n v="1.964508555829525E-10"/>
    <n v="0.12726632999420517"/>
    <n v="421.41"/>
    <n v="328.8999999999869"/>
    <n v="1.8"/>
    <n v="15.99"/>
    <n v="8.31"/>
    <n v="533083.65"/>
    <n v="27830"/>
    <n v="2277"/>
    <n v="20227.349999999999"/>
    <n v="10512.150000000001"/>
    <n v="328.90000000000003"/>
    <n v="0"/>
  </r>
  <r>
    <s v="Atomberg Technologies Private Limit"/>
    <d v="2025-11-25T00:00:00"/>
    <s v="3271314937"/>
    <x v="20"/>
    <x v="20"/>
    <s v="NOS"/>
    <s v="ZFG1"/>
    <s v="FG0010"/>
    <n v="335"/>
    <n v="141162.29999999999"/>
    <n v="335"/>
    <n v="335"/>
    <d v="2025-11-25T00:00:00"/>
    <n v="161858.6"/>
    <s v="RV"/>
    <s v="Billing doc.transfer"/>
    <s v="01"/>
    <s v="Finished Goods"/>
    <s v="FG-PCB-CF"/>
    <s v="FG-PCB-CF"/>
    <b v="0"/>
    <n v="20609.200000000041"/>
    <n v="0.12732842122692301"/>
    <s v="November-25"/>
    <n v="483.16"/>
    <n v="335"/>
    <n v="421.37999999999982"/>
    <n v="373.01999999999981"/>
    <n v="22"/>
    <n v="0.26"/>
    <n v="26.1"/>
    <n v="0.26000000000001222"/>
    <n v="141249.39999999997"/>
    <n v="124961.69999999994"/>
    <n v="7370"/>
    <n v="87.100000000000009"/>
    <n v="8830.6"/>
    <n v="4.9112713895738125E-11"/>
    <n v="0.12732842122692301"/>
    <n v="421.37999999999994"/>
    <n v="87.10000000002583"/>
    <n v="1.8"/>
    <n v="15.99"/>
    <n v="8.31"/>
    <n v="141162.29999999999"/>
    <n v="7370"/>
    <n v="603"/>
    <n v="5356.65"/>
    <n v="2783.8500000000004"/>
    <n v="87.100000000000009"/>
    <n v="0"/>
  </r>
  <r>
    <s v="Atomberg Technologies Private Limit"/>
    <d v="2025-11-25T00:00:00"/>
    <s v="3271314893"/>
    <x v="5"/>
    <x v="5"/>
    <s v="NOS"/>
    <s v="ZFG1"/>
    <s v="FG0010"/>
    <n v="1030"/>
    <n v="336943.9"/>
    <n v="1030"/>
    <n v="1030"/>
    <d v="2025-11-25T00:00:00"/>
    <n v="351302.1"/>
    <s v="RV"/>
    <s v="Billing doc.transfer"/>
    <s v="01"/>
    <s v="Finished Goods"/>
    <s v="FG-PCB-CF"/>
    <s v="FG-PCB-CF"/>
    <b v="0"/>
    <n v="14183.099999999977"/>
    <n v="4.0372943970445885E-2"/>
    <s v="November-25"/>
    <n v="341.07"/>
    <n v="1030"/>
    <n v="327.13"/>
    <n v="278.14"/>
    <n v="22.400000000000002"/>
    <n v="0.17"/>
    <n v="26.42"/>
    <n v="0.17000000000000526"/>
    <n v="337119"/>
    <n v="286484.2"/>
    <n v="23072.000000000004"/>
    <n v="175.10000000000002"/>
    <n v="27387.7"/>
    <n v="0"/>
    <n v="4.0372943970445885E-2"/>
    <n v="327.13"/>
    <n v="175.09999999998399"/>
    <n v="1.8299999999999998"/>
    <n v="16.28"/>
    <n v="8.31"/>
    <n v="336943.9"/>
    <n v="23072.000000000004"/>
    <n v="1884.8999999999999"/>
    <n v="16768.400000000001"/>
    <n v="8559.3000000000011"/>
    <n v="175.10000000000002"/>
    <n v="0"/>
  </r>
  <r>
    <s v="Atomberg Technologies Private Limit"/>
    <d v="2025-11-25T00:00:00"/>
    <s v="3271314929"/>
    <x v="5"/>
    <x v="5"/>
    <s v="NOS"/>
    <s v="ZFG1"/>
    <s v="FG0010"/>
    <n v="3455"/>
    <n v="1130234.1499999999"/>
    <n v="3455"/>
    <n v="3455"/>
    <d v="2025-11-25T00:00:00"/>
    <n v="1178396.8500000001"/>
    <s v="RV"/>
    <s v="Billing doc.transfer"/>
    <s v="01"/>
    <s v="Finished Goods"/>
    <s v="FG-PCB-CF"/>
    <s v="FG-PCB-CF"/>
    <b v="0"/>
    <n v="47575.350000000093"/>
    <n v="4.0372943970446024E-2"/>
    <s v="November-25"/>
    <n v="341.07000000000005"/>
    <n v="3455"/>
    <n v="327.13"/>
    <n v="278.14"/>
    <n v="22.400000000000002"/>
    <n v="0.17"/>
    <n v="26.42"/>
    <n v="0.17000000000000526"/>
    <n v="1130821.5"/>
    <n v="960973.7"/>
    <n v="77392.000000000015"/>
    <n v="587.35"/>
    <n v="91868.450000000012"/>
    <n v="0"/>
    <n v="4.0372943970445996E-2"/>
    <n v="327.13"/>
    <n v="587.35000000002037"/>
    <n v="1.8299999999999998"/>
    <n v="16.28"/>
    <n v="8.31"/>
    <n v="1130234.1499999999"/>
    <n v="77392.000000000015"/>
    <n v="6322.65"/>
    <n v="56247.4"/>
    <n v="28711.050000000003"/>
    <n v="587.35"/>
    <n v="0"/>
  </r>
  <r>
    <s v="Atomberg Technologies Private Limit"/>
    <d v="2025-11-25T00:00:00"/>
    <s v="3271315285"/>
    <x v="5"/>
    <x v="5"/>
    <s v="NOS"/>
    <s v="ZFG1"/>
    <s v="FG0010"/>
    <n v="840"/>
    <n v="274789.2"/>
    <n v="840"/>
    <n v="840"/>
    <d v="2025-11-25T00:00:00"/>
    <n v="286498.8"/>
    <s v="RV"/>
    <s v="Billing doc.transfer"/>
    <s v="01"/>
    <s v="Finished Goods"/>
    <s v="FG-PCB-CF"/>
    <s v="FG-PCB-CF"/>
    <b v="0"/>
    <n v="11566.800000000047"/>
    <n v="4.0372943970446114E-2"/>
    <s v="November-25"/>
    <n v="341.07"/>
    <n v="840"/>
    <n v="327.13"/>
    <n v="278.14"/>
    <n v="22.400000000000002"/>
    <n v="0.17"/>
    <n v="26.42"/>
    <n v="0.17000000000000526"/>
    <n v="274931.99999999994"/>
    <n v="233637.59999999998"/>
    <n v="18816"/>
    <n v="142.80000000000001"/>
    <n v="22335.600000000002"/>
    <n v="3.2741809263825417E-11"/>
    <n v="4.0372943970446107E-2"/>
    <n v="327.13"/>
    <n v="142.79999999996289"/>
    <n v="1.8299999999999998"/>
    <n v="16.28"/>
    <n v="8.31"/>
    <n v="274789.2"/>
    <n v="18816"/>
    <n v="1537.1999999999998"/>
    <n v="13675.2"/>
    <n v="6980.4000000000005"/>
    <n v="142.80000000000001"/>
    <n v="0"/>
  </r>
  <r>
    <s v="Atomberg Technologies Private Limit"/>
    <d v="2025-11-25T00:00:00"/>
    <s v="3271314929"/>
    <x v="8"/>
    <x v="8"/>
    <s v="NOS"/>
    <s v="ZFG1"/>
    <s v="FG0010"/>
    <n v="140"/>
    <n v="45528"/>
    <n v="140"/>
    <n v="140"/>
    <d v="2025-11-25T00:00:00"/>
    <n v="49702.8"/>
    <s v="RV"/>
    <s v="Billing doc.transfer"/>
    <s v="01"/>
    <s v="Finished Goods"/>
    <s v="FG-PCB-CF"/>
    <s v="FG-PCB-CF"/>
    <b v="0"/>
    <n v="4138.4000000000087"/>
    <n v="8.3262914765365501E-2"/>
    <s v="November-25"/>
    <n v="355.02000000000004"/>
    <n v="140"/>
    <n v="325.19999999999993"/>
    <n v="271.52999999999997"/>
    <n v="23.84"/>
    <n v="0.26"/>
    <n v="29.569999999999997"/>
    <n v="0.25999999999996248"/>
    <n v="45564.399999999994"/>
    <n v="38014.199999999997"/>
    <n v="3337.6"/>
    <n v="36.4"/>
    <n v="4176.1999999999989"/>
    <n v="0"/>
    <n v="8.3262914765365514E-2"/>
    <n v="325.2"/>
    <n v="36.399999999997817"/>
    <n v="1.9500000000000002"/>
    <n v="17.329999999999998"/>
    <n v="10.29"/>
    <n v="45528"/>
    <n v="3337.6"/>
    <n v="273"/>
    <n v="2426.1999999999998"/>
    <n v="1440.6"/>
    <n v="36.4"/>
    <n v="0"/>
  </r>
  <r>
    <s v="Atomberg Technologies Private Limit"/>
    <d v="2025-11-25T00:00:00"/>
    <s v="3271315285"/>
    <x v="8"/>
    <x v="8"/>
    <s v="NOS"/>
    <s v="ZFG1"/>
    <s v="FG0010"/>
    <n v="220"/>
    <n v="71544"/>
    <n v="220"/>
    <n v="220"/>
    <d v="2025-11-25T00:00:00"/>
    <n v="78104.399999999994"/>
    <s v="RV"/>
    <s v="Billing doc.transfer"/>
    <s v="01"/>
    <s v="Finished Goods"/>
    <s v="FG-PCB-CF"/>
    <s v="FG-PCB-CF"/>
    <b v="0"/>
    <n v="6503.1999999999971"/>
    <n v="8.3262914765365306E-2"/>
    <s v="November-25"/>
    <n v="355.02"/>
    <n v="220"/>
    <n v="325.19999999999993"/>
    <n v="271.52999999999997"/>
    <n v="23.84"/>
    <n v="0.26"/>
    <n v="29.569999999999997"/>
    <n v="0.25999999999996248"/>
    <n v="71601.2"/>
    <n v="59736.599999999991"/>
    <n v="5244.8"/>
    <n v="57.2"/>
    <n v="6562.5999999999995"/>
    <n v="9.0949470177292824E-12"/>
    <n v="8.3262914765365292E-2"/>
    <n v="325.2"/>
    <n v="57.200000000006185"/>
    <n v="1.9500000000000002"/>
    <n v="17.329999999999998"/>
    <n v="10.29"/>
    <n v="71544"/>
    <n v="5244.8"/>
    <n v="429.00000000000006"/>
    <n v="3812.5999999999995"/>
    <n v="2263.7999999999997"/>
    <n v="57.2"/>
    <n v="0"/>
  </r>
  <r>
    <s v="Atomberg Technologies Private Limit"/>
    <d v="2025-11-25T00:00:00"/>
    <s v="3271314893"/>
    <x v="9"/>
    <x v="9"/>
    <s v="NOS"/>
    <s v="ZFG1"/>
    <s v="FG0010"/>
    <n v="560"/>
    <n v="121296"/>
    <n v="560"/>
    <n v="560"/>
    <d v="2025-11-25T00:00:00"/>
    <n v="124236"/>
    <s v="RV"/>
    <s v="Billing doc.transfer"/>
    <s v="01"/>
    <s v="Finished Goods"/>
    <s v="FG-PCB-CF"/>
    <s v="FG-PCB-CF"/>
    <b v="0"/>
    <n v="2917.6000000000349"/>
    <n v="2.3484336263241208E-2"/>
    <s v="November-25"/>
    <n v="221.85"/>
    <n v="560"/>
    <n v="216.59999999999994"/>
    <n v="174.98999999999995"/>
    <n v="18.389999999999997"/>
    <n v="0.04"/>
    <n v="23.18"/>
    <n v="3.9999999999988489E-2"/>
    <n v="121318.39999999997"/>
    <n v="97994.39999999998"/>
    <n v="10298.399999999998"/>
    <n v="22.400000000000002"/>
    <n v="13003.199999999999"/>
    <n v="2.3646862246096134E-11"/>
    <n v="2.3484336263241201E-2"/>
    <n v="216.6"/>
    <n v="22.399999999988722"/>
    <n v="1.5"/>
    <n v="13.37"/>
    <n v="8.31"/>
    <n v="121296"/>
    <n v="10298.399999999998"/>
    <n v="840"/>
    <n v="7487.2"/>
    <n v="4653.6000000000004"/>
    <n v="22.400000000000002"/>
    <n v="0"/>
  </r>
  <r>
    <s v="Atomberg Technologies Private Limit"/>
    <d v="2025-11-25T00:00:00"/>
    <s v="3271314929"/>
    <x v="9"/>
    <x v="9"/>
    <s v="NOS"/>
    <s v="ZFG1"/>
    <s v="FG0010"/>
    <n v="120"/>
    <n v="25992"/>
    <n v="120"/>
    <n v="120"/>
    <d v="2025-11-25T00:00:00"/>
    <n v="26622"/>
    <s v="RV"/>
    <s v="Billing doc.transfer"/>
    <s v="01"/>
    <s v="Finished Goods"/>
    <s v="FG-PCB-CF"/>
    <s v="FG-PCB-CF"/>
    <b v="0"/>
    <n v="625.20000000000437"/>
    <n v="2.3484336263241094E-2"/>
    <s v="November-25"/>
    <n v="221.85"/>
    <n v="120"/>
    <n v="216.59999999999994"/>
    <n v="174.98999999999995"/>
    <n v="18.389999999999997"/>
    <n v="0.04"/>
    <n v="23.18"/>
    <n v="3.9999999999988489E-2"/>
    <n v="25996.799999999996"/>
    <n v="20998.799999999996"/>
    <n v="2206.7999999999997"/>
    <n v="4.8"/>
    <n v="2786.4"/>
    <n v="4.5474735088646412E-12"/>
    <n v="2.348433626324109E-2"/>
    <n v="216.6"/>
    <n v="4.8000000000001819"/>
    <n v="1.5"/>
    <n v="13.37"/>
    <n v="8.31"/>
    <n v="25992"/>
    <n v="2206.7999999999997"/>
    <n v="180"/>
    <n v="1604.3999999999999"/>
    <n v="997.2"/>
    <n v="4.8"/>
    <n v="0"/>
  </r>
  <r>
    <s v="Atomberg Technologies Private Limit"/>
    <d v="2025-11-25T00:00:00"/>
    <s v="3271315285"/>
    <x v="9"/>
    <x v="9"/>
    <s v="NOS"/>
    <s v="ZFG1"/>
    <s v="FG0010"/>
    <n v="175"/>
    <n v="37905"/>
    <n v="175"/>
    <n v="175"/>
    <d v="2025-11-25T00:00:00"/>
    <n v="38823.75"/>
    <s v="RV"/>
    <s v="Billing doc.transfer"/>
    <s v="01"/>
    <s v="Finished Goods"/>
    <s v="FG-PCB-CF"/>
    <s v="FG-PCB-CF"/>
    <b v="0"/>
    <n v="911.75000000000728"/>
    <n v="2.3484336263241114E-2"/>
    <s v="November-25"/>
    <n v="221.85"/>
    <n v="175"/>
    <n v="216.59999999999994"/>
    <n v="174.98999999999995"/>
    <n v="18.389999999999997"/>
    <n v="0.04"/>
    <n v="23.18"/>
    <n v="3.9999999999988489E-2"/>
    <n v="37911.999999999993"/>
    <n v="30623.249999999993"/>
    <n v="3218.2499999999995"/>
    <n v="7"/>
    <n v="4063.5"/>
    <n v="7.73070496506989E-12"/>
    <n v="2.348433626324109E-2"/>
    <n v="216.6"/>
    <n v="7.0000000000004547"/>
    <n v="1.5"/>
    <n v="13.37"/>
    <n v="8.31"/>
    <n v="37905"/>
    <n v="3218.2499999999995"/>
    <n v="262.5"/>
    <n v="2339.75"/>
    <n v="1454.25"/>
    <n v="7"/>
    <n v="0"/>
  </r>
  <r>
    <s v="Atomberg Technologies Private Limit"/>
    <d v="2025-11-25T00:00:00"/>
    <s v="3271314929"/>
    <x v="21"/>
    <x v="21"/>
    <s v="NOS"/>
    <s v="ZFG1"/>
    <s v="FG0010"/>
    <n v="205"/>
    <n v="66666"/>
    <n v="205"/>
    <n v="205"/>
    <d v="2025-11-25T00:00:00"/>
    <n v="72779.100000000006"/>
    <s v="RV"/>
    <s v="Billing doc.transfer"/>
    <s v="01"/>
    <s v="Finished Goods"/>
    <s v="FG-PCB-CF"/>
    <s v="FG-PCB-CF"/>
    <b v="0"/>
    <n v="6059.8000000000175"/>
    <n v="8.326291476536557E-2"/>
    <s v="November-25"/>
    <n v="355.02000000000004"/>
    <n v="205"/>
    <n v="325.19999999999993"/>
    <n v="271.52999999999997"/>
    <n v="23.84"/>
    <n v="0.26"/>
    <n v="29.569999999999997"/>
    <n v="0.25999999999996248"/>
    <n v="66719.299999999988"/>
    <n v="55663.649999999994"/>
    <n v="4887.2"/>
    <n v="53.300000000000004"/>
    <n v="6115.15"/>
    <n v="0"/>
    <n v="8.3262914765365514E-2"/>
    <n v="325.2"/>
    <n v="53.299999999994725"/>
    <n v="1.9500000000000002"/>
    <n v="17.329999999999998"/>
    <n v="10.290000000000001"/>
    <n v="66666"/>
    <n v="4887.2"/>
    <n v="399.75000000000006"/>
    <n v="3552.6499999999996"/>
    <n v="2109.4500000000003"/>
    <n v="53.300000000000004"/>
    <n v="0"/>
  </r>
  <r>
    <s v="Atomberg Technologies Private Limit"/>
    <d v="2025-11-25T00:00:00"/>
    <s v="3271315283"/>
    <x v="10"/>
    <x v="10"/>
    <s v="NOS"/>
    <s v="ZFG1"/>
    <s v="FG0025"/>
    <n v="70"/>
    <n v="36757"/>
    <n v="70"/>
    <n v="70"/>
    <d v="2025-11-25T00:00:00"/>
    <n v="68238.8"/>
    <s v="RV"/>
    <s v="Billing doc.transfer"/>
    <s v="01"/>
    <s v="Finished Goods"/>
    <s v="FG-PCB-Ped"/>
    <s v="FG-PCB-Ped"/>
    <b v="0"/>
    <n v="31459.399999999994"/>
    <n v="0.4610192441836608"/>
    <s v="November-25"/>
    <n v="974.84"/>
    <n v="70"/>
    <n v="525.10000000000014"/>
    <n v="451.65000000000009"/>
    <n v="26.66"/>
    <n v="0.32"/>
    <n v="46.469999999999992"/>
    <n v="0.32000000000005713"/>
    <n v="36779.400000000009"/>
    <n v="31615.500000000007"/>
    <n v="1866.2"/>
    <n v="22.400000000000002"/>
    <n v="3275.2999999999997"/>
    <n v="-6.8212102632969618E-12"/>
    <n v="0.4610192441836608"/>
    <n v="525.1"/>
    <n v="22.40000000000191"/>
    <n v="2.87"/>
    <n v="22.919999999999998"/>
    <n v="20.68"/>
    <n v="36757"/>
    <n v="1866.2"/>
    <n v="200.9"/>
    <n v="1604.3999999999999"/>
    <n v="1447.6"/>
    <n v="22.400000000000002"/>
    <n v="0"/>
  </r>
  <r>
    <s v="Atomberg Technologies Private Limit"/>
    <d v="2025-11-25T00:00:00"/>
    <s v="3271315283"/>
    <x v="22"/>
    <x v="22"/>
    <s v="NOS"/>
    <s v="ZFG1"/>
    <s v="FG0025"/>
    <n v="51"/>
    <n v="3102.33"/>
    <n v="51"/>
    <n v="51"/>
    <d v="2025-11-25T00:00:00"/>
    <n v="6162.84"/>
    <s v="RV"/>
    <s v="Billing doc.transfer"/>
    <s v="01"/>
    <s v="Finished Goods"/>
    <s v="FG-PCB-Ped"/>
    <s v="FG-PCB-Ped"/>
    <b v="0"/>
    <n v="3059.4900000000002"/>
    <n v="0.49644157563720626"/>
    <s v="November-25"/>
    <n v="120.84"/>
    <n v="51"/>
    <n v="60.830000000000005"/>
    <n v="48.79"/>
    <n v="12.02"/>
    <n v="0.02"/>
    <n v="0"/>
    <n v="2.0000000000006679E-2"/>
    <n v="3103.35"/>
    <n v="2488.29"/>
    <n v="613.02"/>
    <n v="1.02"/>
    <n v="1.02"/>
    <n v="-1.8207657603852567E-14"/>
    <n v="0.49644157563720626"/>
    <n v="60.83"/>
    <n v="1.0199999999999636"/>
    <n v="0"/>
    <n v="0"/>
    <n v="0"/>
    <n v="3102.33"/>
    <n v="613.02"/>
    <n v="0"/>
    <n v="0"/>
    <n v="0"/>
    <n v="1.02"/>
    <n v="0"/>
  </r>
  <r>
    <s v="Atomberg Technologies Private Limit"/>
    <d v="2025-11-25T00:00:00"/>
    <s v="3271314943"/>
    <x v="23"/>
    <x v="23"/>
    <s v="NOS"/>
    <s v="ZROH"/>
    <s v="L002"/>
    <n v="5000"/>
    <n v="29500"/>
    <n v="5000"/>
    <n v="5000"/>
    <d v="2025-11-25T00:00:00"/>
    <n v="29500"/>
    <s v="RV"/>
    <s v="Billing doc.transfer"/>
    <s v="01"/>
    <s v="Raw Material"/>
    <s v="Raw Materials"/>
    <s v="Raw Material"/>
    <b v="0"/>
    <n v="29500"/>
    <n v="1"/>
    <s v="November-25"/>
    <n v="5.9"/>
    <n v="5000"/>
    <n v="0"/>
    <n v="0"/>
    <n v="0"/>
    <n v="0"/>
    <n v="0"/>
    <n v="0"/>
    <n v="0"/>
    <n v="0"/>
    <n v="0"/>
    <n v="0"/>
    <n v="0"/>
    <n v="29500"/>
    <n v="1"/>
    <n v="5.9"/>
    <n v="0"/>
    <n v="0"/>
    <n v="0"/>
    <n v="0"/>
    <n v="29500"/>
    <n v="0"/>
    <n v="0"/>
    <n v="0"/>
    <n v="0"/>
    <n v="0"/>
    <n v="0"/>
  </r>
  <r>
    <s v="GODREJ &amp; BOYCE MFG. CO. LTD  MOHALI"/>
    <d v="2025-11-25T00:00:00"/>
    <s v="3277066759"/>
    <x v="1"/>
    <x v="1"/>
    <s v="NOS"/>
    <s v="ZFG1"/>
    <s v="FG0011"/>
    <n v="-18"/>
    <n v="-8304.66"/>
    <n v="-18"/>
    <n v="-18"/>
    <d v="2025-11-25T00:00:00"/>
    <n v="-11867.58"/>
    <s v="RV"/>
    <s v="Billing doc.transfer"/>
    <s v="01"/>
    <s v="Finished Goods"/>
    <s v="FG-PCB-Ref"/>
    <s v="FG-PCB-Ref"/>
    <b v="0"/>
    <n v="-3558.5999999999985"/>
    <n v="0.29985894344086989"/>
    <s v="November-25"/>
    <n v="659.31"/>
    <n v="-18"/>
    <n v="461.37"/>
    <n v="401.59000000000003"/>
    <n v="28.32"/>
    <n v="0.24"/>
    <n v="31.22"/>
    <n v="0.23999999999997357"/>
    <n v="-8308.9800000000014"/>
    <n v="-7228.6200000000008"/>
    <n v="-509.76"/>
    <n v="-4.32"/>
    <n v="-566.28000000000009"/>
    <n v="1.0231815394945443E-12"/>
    <n v="0.29985894344086983"/>
    <n v="461.37"/>
    <n v="-4.3200000000005048"/>
    <n v="2.3199999999999998"/>
    <n v="20.59"/>
    <n v="8.31"/>
    <n v="-8304.66"/>
    <n v="-509.76"/>
    <n v="-41.76"/>
    <n v="-370.62"/>
    <n v="-149.58000000000001"/>
    <n v="-4.32"/>
    <n v="0"/>
  </r>
  <r>
    <s v="SUNITI ELECTRICALS"/>
    <d v="2025-11-24T00:00:00"/>
    <s v="3271314474"/>
    <x v="14"/>
    <x v="14"/>
    <s v="NOS"/>
    <s v="ZFG1"/>
    <s v="FG0010"/>
    <n v="5000"/>
    <n v="104050"/>
    <n v="5000"/>
    <n v="5000"/>
    <d v="2025-11-24T00:00:00"/>
    <n v="71700"/>
    <s v="RV"/>
    <s v="Billing doc.transfer"/>
    <s v="01"/>
    <s v="Finished Goods"/>
    <s v="FG-PCB-CF"/>
    <s v="FG-PCB-CF"/>
    <b v="0"/>
    <n v="-32350"/>
    <n v="-0.4511854951185495"/>
    <s v="November-25"/>
    <n v="14.34"/>
    <n v="5000"/>
    <n v="20.810000000000002"/>
    <n v="8.3800000000000008"/>
    <n v="11.49"/>
    <n v="0"/>
    <n v="0.94"/>
    <n v="1.3322676295501878E-15"/>
    <n v="104050"/>
    <n v="41900.000000000007"/>
    <n v="57450"/>
    <n v="0"/>
    <n v="4700"/>
    <n v="-7.2759576141834259E-12"/>
    <n v="-0.45118549511854944"/>
    <n v="20.81"/>
    <n v="-7.2759576141834259E-12"/>
    <n v="0.94"/>
    <n v="0"/>
    <n v="0"/>
    <n v="104050"/>
    <n v="57450"/>
    <n v="4700"/>
    <n v="0"/>
    <n v="0"/>
    <n v="0"/>
    <n v="0"/>
  </r>
  <r>
    <s v="Atomberg Technologies Private Limit"/>
    <d v="2025-11-24T00:00:00"/>
    <s v="3271314491"/>
    <x v="24"/>
    <x v="24"/>
    <s v="NOS"/>
    <s v="ZSFG"/>
    <s v="SF0013"/>
    <n v="1000"/>
    <n v="144620"/>
    <n v="1000"/>
    <n v="1000"/>
    <d v="2025-11-24T00:00:00"/>
    <n v="150220"/>
    <s v="RV"/>
    <s v="Billing doc.transfer"/>
    <s v="01"/>
    <s v="Semi-Finished Goods"/>
    <s v="Sub Ass.-Mech Stator"/>
    <s v="Sub Ass.-Mech Stator"/>
    <b v="0"/>
    <n v="5600.0000000000291"/>
    <n v="3.7278657968313332E-2"/>
    <s v="November-25"/>
    <n v="150.22"/>
    <n v="1000"/>
    <n v="144.61999999999998"/>
    <n v="141.07999999999998"/>
    <n v="1.63"/>
    <n v="0"/>
    <n v="1.9100000000000001"/>
    <n v="-7.9936057773011271E-15"/>
    <n v="144619.99999999997"/>
    <n v="141079.99999999997"/>
    <n v="1630"/>
    <n v="0"/>
    <n v="1910.0000000000002"/>
    <n v="2.8876456781290472E-11"/>
    <n v="3.7278657968313311E-2"/>
    <n v="144.62"/>
    <n v="0"/>
    <n v="0.04"/>
    <n v="0.37"/>
    <n v="1.5"/>
    <n v="144620"/>
    <n v="1630"/>
    <n v="40"/>
    <n v="370"/>
    <n v="1500"/>
    <n v="0"/>
    <n v="0"/>
  </r>
  <r>
    <s v="Atomberg Technologies Private Limit"/>
    <d v="2025-11-24T00:00:00"/>
    <s v="3271314434"/>
    <x v="16"/>
    <x v="16"/>
    <s v="NOS"/>
    <s v="ZFG1"/>
    <s v="FG0010"/>
    <n v="984"/>
    <n v="321049.68"/>
    <n v="984"/>
    <n v="984"/>
    <d v="2025-11-24T00:00:00"/>
    <n v="357743.04"/>
    <s v="RV"/>
    <s v="Billing doc.transfer"/>
    <s v="01"/>
    <s v="Finished Goods"/>
    <s v="FG-PCB-CF"/>
    <s v="FG-PCB-CF"/>
    <b v="0"/>
    <n v="36447.359999999986"/>
    <n v="0.10188139509296949"/>
    <s v="November-25"/>
    <n v="363.56"/>
    <n v="984"/>
    <n v="326.27"/>
    <n v="271.52999999999997"/>
    <n v="20.94"/>
    <n v="0.25"/>
    <n v="33.550000000000004"/>
    <n v="0.25000000000000711"/>
    <n v="321295.68"/>
    <n v="267185.51999999996"/>
    <n v="20604.960000000003"/>
    <n v="246"/>
    <n v="33259.200000000004"/>
    <n v="0"/>
    <n v="0.10188139509296945"/>
    <n v="326.27"/>
    <n v="246.00000000002183"/>
    <n v="1.7100000000000002"/>
    <n v="15.22"/>
    <n v="16.62"/>
    <n v="321049.68"/>
    <n v="20604.960000000003"/>
    <n v="1682.64"/>
    <n v="14976.480000000001"/>
    <n v="16354.080000000002"/>
    <n v="246"/>
    <n v="0"/>
  </r>
  <r>
    <s v="Atomberg Technologies Private Limit"/>
    <d v="2025-11-24T00:00:00"/>
    <s v="3271314885"/>
    <x v="3"/>
    <x v="3"/>
    <s v="NOS"/>
    <s v="ZFG1"/>
    <s v="FG0010"/>
    <n v="186"/>
    <n v="119975.58"/>
    <n v="186"/>
    <n v="186"/>
    <d v="2025-11-24T00:00:00"/>
    <n v="135512.16"/>
    <s v="RV"/>
    <s v="Billing doc.transfer"/>
    <s v="01"/>
    <s v="Finished Goods"/>
    <s v="FG-PCB-CF"/>
    <s v="FG-PCB-CF"/>
    <b v="0"/>
    <n v="15456.600000000079"/>
    <n v="0.11406061271549416"/>
    <s v="November-25"/>
    <n v="728.56000000000006"/>
    <n v="186"/>
    <n v="645.02999999999963"/>
    <n v="582.23999999999967"/>
    <n v="29.88"/>
    <n v="0.43"/>
    <n v="32.480000000000004"/>
    <n v="0.42999999999996419"/>
    <n v="120055.55999999992"/>
    <n v="108296.63999999994"/>
    <n v="5557.6799999999994"/>
    <n v="79.98"/>
    <n v="6121.26"/>
    <n v="6.0936145018786192E-11"/>
    <n v="0.11406061271549417"/>
    <n v="645.03"/>
    <n v="79.979999999984102"/>
    <n v="2.4500000000000002"/>
    <n v="21.72"/>
    <n v="8.31"/>
    <n v="119975.58"/>
    <n v="5557.6799999999994"/>
    <n v="455.70000000000005"/>
    <n v="4039.9199999999996"/>
    <n v="1545.66"/>
    <n v="79.98"/>
    <n v="0"/>
  </r>
  <r>
    <s v="Atomberg Technologies Private Limit"/>
    <d v="2025-11-24T00:00:00"/>
    <s v="3271314433"/>
    <x v="3"/>
    <x v="3"/>
    <s v="NOS"/>
    <s v="ZFG1"/>
    <s v="FG0010"/>
    <n v="88"/>
    <n v="56762.64"/>
    <n v="88"/>
    <n v="88"/>
    <d v="2025-11-24T00:00:00"/>
    <n v="64113.279999999999"/>
    <s v="RV"/>
    <s v="Billing doc.transfer"/>
    <s v="01"/>
    <s v="Finished Goods"/>
    <s v="FG-PCB-CF"/>
    <s v="FG-PCB-CF"/>
    <b v="0"/>
    <n v="7312.8000000000247"/>
    <n v="0.11406061271549396"/>
    <s v="November-25"/>
    <n v="728.56"/>
    <n v="88"/>
    <n v="645.02999999999963"/>
    <n v="582.23999999999967"/>
    <n v="29.88"/>
    <n v="0.43"/>
    <n v="32.480000000000004"/>
    <n v="0.42999999999996419"/>
    <n v="56800.479999999974"/>
    <n v="51237.119999999974"/>
    <n v="2629.44"/>
    <n v="37.839999999999996"/>
    <n v="2896.0800000000004"/>
    <n v="2.5465851649641991E-11"/>
    <n v="0.11406061271549395"/>
    <n v="645.03"/>
    <n v="37.840000000000146"/>
    <n v="2.4500000000000002"/>
    <n v="21.72"/>
    <n v="8.31"/>
    <n v="56762.64"/>
    <n v="2629.44"/>
    <n v="215.60000000000002"/>
    <n v="1911.36"/>
    <n v="731.28000000000009"/>
    <n v="37.839999999999996"/>
    <n v="0"/>
  </r>
  <r>
    <s v="Atomberg Technologies Private Limit"/>
    <d v="2025-11-24T00:00:00"/>
    <s v="3271314490"/>
    <x v="11"/>
    <x v="11"/>
    <s v="NOS"/>
    <s v="ZFG1"/>
    <s v="FG0010"/>
    <n v="1085"/>
    <n v="354936.05"/>
    <n v="1085"/>
    <n v="1085"/>
    <d v="2025-11-24T00:00:00"/>
    <n v="370060.95"/>
    <s v="RV"/>
    <s v="Billing doc.transfer"/>
    <s v="01"/>
    <s v="Finished Goods"/>
    <s v="FG-PCB-CF"/>
    <s v="FG-PCB-CF"/>
    <b v="0"/>
    <n v="14940.449999999953"/>
    <n v="4.0372943970445822E-2"/>
    <s v="November-25"/>
    <n v="341.07"/>
    <n v="1085"/>
    <n v="327.13000000000005"/>
    <n v="278.14000000000004"/>
    <n v="22.400000000000002"/>
    <n v="0.17"/>
    <n v="26.42"/>
    <n v="0.17000000000000526"/>
    <n v="355120.50000000006"/>
    <n v="301781.90000000002"/>
    <n v="24304.000000000004"/>
    <n v="184.45000000000002"/>
    <n v="28850.15"/>
    <n v="-4.0017766878008842E-11"/>
    <n v="4.0372943970445774E-2"/>
    <n v="327.13"/>
    <n v="184.45000000002983"/>
    <n v="1.8299999999999998"/>
    <n v="16.28"/>
    <n v="8.31"/>
    <n v="354936.05"/>
    <n v="24304.000000000004"/>
    <n v="1985.5499999999997"/>
    <n v="17663.800000000003"/>
    <n v="9016.35"/>
    <n v="184.45000000000002"/>
    <n v="0"/>
  </r>
  <r>
    <s v="Atomberg Technologies Private Limit"/>
    <d v="2025-11-24T00:00:00"/>
    <s v="3271314433"/>
    <x v="4"/>
    <x v="4"/>
    <s v="NOS"/>
    <s v="ZFG1"/>
    <s v="FG0010"/>
    <n v="800"/>
    <n v="337128"/>
    <n v="800"/>
    <n v="800"/>
    <d v="2025-11-24T00:00:00"/>
    <n v="386528"/>
    <s v="RV"/>
    <s v="Billing doc.transfer"/>
    <s v="01"/>
    <s v="Finished Goods"/>
    <s v="FG-PCB-CF"/>
    <s v="FG-PCB-CF"/>
    <b v="0"/>
    <n v="49192.000000000116"/>
    <n v="0.12726632999420512"/>
    <s v="November-25"/>
    <n v="483.16"/>
    <n v="800"/>
    <n v="421.40999999999985"/>
    <n v="373.04999999999984"/>
    <n v="22"/>
    <n v="0.26"/>
    <n v="26.1"/>
    <n v="0.26000000000001222"/>
    <n v="337335.99999999988"/>
    <n v="298439.99999999988"/>
    <n v="17600"/>
    <n v="208"/>
    <n v="21088"/>
    <n v="1.1641532182693481E-10"/>
    <n v="0.12726632999420517"/>
    <n v="421.41"/>
    <n v="208"/>
    <n v="1.8"/>
    <n v="15.99"/>
    <n v="8.31"/>
    <n v="337128"/>
    <n v="17600"/>
    <n v="1440"/>
    <n v="12792"/>
    <n v="6648"/>
    <n v="208"/>
    <n v="0"/>
  </r>
  <r>
    <s v="Atomberg Technologies Private Limit"/>
    <d v="2025-11-24T00:00:00"/>
    <s v="3271314490"/>
    <x v="4"/>
    <x v="4"/>
    <s v="NOS"/>
    <s v="ZFG1"/>
    <s v="FG0010"/>
    <n v="840"/>
    <n v="353984.4"/>
    <n v="840"/>
    <n v="840"/>
    <d v="2025-11-24T00:00:00"/>
    <n v="405854.4"/>
    <s v="RV"/>
    <s v="Billing doc.transfer"/>
    <s v="01"/>
    <s v="Finished Goods"/>
    <s v="FG-PCB-CF"/>
    <s v="FG-PCB-CF"/>
    <b v="0"/>
    <n v="51651.600000000093"/>
    <n v="0.12726632999420504"/>
    <s v="November-25"/>
    <n v="483.16"/>
    <n v="840"/>
    <n v="421.40999999999985"/>
    <n v="373.04999999999984"/>
    <n v="22"/>
    <n v="0.26"/>
    <n v="26.1"/>
    <n v="0.26000000000001222"/>
    <n v="354202.79999999993"/>
    <n v="313361.99999999988"/>
    <n v="18480"/>
    <n v="218.4"/>
    <n v="22142.400000000001"/>
    <n v="1.3824319466948509E-10"/>
    <n v="0.12726632999420506"/>
    <n v="421.41"/>
    <n v="218.40000000004511"/>
    <n v="1.8"/>
    <n v="15.99"/>
    <n v="8.31"/>
    <n v="353984.4"/>
    <n v="18480"/>
    <n v="1512"/>
    <n v="13431.6"/>
    <n v="6980.4000000000005"/>
    <n v="218.4"/>
    <n v="0"/>
  </r>
  <r>
    <s v="Atomberg Technologies Private Limit"/>
    <d v="2025-11-24T00:00:00"/>
    <s v="3271314433"/>
    <x v="20"/>
    <x v="20"/>
    <s v="NOS"/>
    <s v="ZFG1"/>
    <s v="FG0010"/>
    <n v="340"/>
    <n v="143269.20000000001"/>
    <n v="340"/>
    <n v="340"/>
    <d v="2025-11-24T00:00:00"/>
    <n v="164274.4"/>
    <s v="RV"/>
    <s v="Billing doc.transfer"/>
    <s v="01"/>
    <s v="Finished Goods"/>
    <s v="FG-PCB-CF"/>
    <s v="FG-PCB-CF"/>
    <b v="0"/>
    <n v="20916.800000000076"/>
    <n v="0.12732842122692323"/>
    <s v="November-25"/>
    <n v="483.15999999999997"/>
    <n v="340"/>
    <n v="421.37999999999982"/>
    <n v="373.01999999999981"/>
    <n v="22"/>
    <n v="0.26"/>
    <n v="26.1"/>
    <n v="0.26000000000001222"/>
    <n v="143357.59999999992"/>
    <n v="126826.79999999993"/>
    <n v="7480"/>
    <n v="88.4"/>
    <n v="8962.4"/>
    <n v="8.1854523159563541E-11"/>
    <n v="0.12732842122692323"/>
    <n v="421.38000000000005"/>
    <n v="88.399999999988722"/>
    <n v="1.8"/>
    <n v="15.99"/>
    <n v="8.31"/>
    <n v="143269.20000000001"/>
    <n v="7480"/>
    <n v="612"/>
    <n v="5436.6"/>
    <n v="2825.4"/>
    <n v="88.4"/>
    <n v="0"/>
  </r>
  <r>
    <s v="Atomberg Technologies Private Limit"/>
    <d v="2025-11-24T00:00:00"/>
    <s v="3271314490"/>
    <x v="20"/>
    <x v="20"/>
    <s v="NOS"/>
    <s v="ZFG1"/>
    <s v="FG0010"/>
    <n v="1050"/>
    <n v="442449"/>
    <n v="1050"/>
    <n v="1050"/>
    <d v="2025-11-24T00:00:00"/>
    <n v="507318"/>
    <s v="RV"/>
    <s v="Billing doc.transfer"/>
    <s v="01"/>
    <s v="Finished Goods"/>
    <s v="FG-PCB-CF"/>
    <s v="FG-PCB-CF"/>
    <b v="0"/>
    <n v="64596.000000000175"/>
    <n v="0.12732842122692312"/>
    <s v="November-25"/>
    <n v="483.16"/>
    <n v="1050"/>
    <n v="421.37999999999982"/>
    <n v="373.01999999999981"/>
    <n v="22"/>
    <n v="0.26"/>
    <n v="26.1"/>
    <n v="0.26000000000001222"/>
    <n v="442721.99999999983"/>
    <n v="391670.99999999983"/>
    <n v="23100"/>
    <n v="273"/>
    <n v="27678"/>
    <n v="1.7462298274040222E-10"/>
    <n v="0.12732842122692312"/>
    <n v="421.38"/>
    <n v="273"/>
    <n v="1.8"/>
    <n v="15.99"/>
    <n v="8.31"/>
    <n v="442449"/>
    <n v="23100"/>
    <n v="1890"/>
    <n v="16789.5"/>
    <n v="8725.5"/>
    <n v="273"/>
    <n v="0"/>
  </r>
  <r>
    <s v="Atomberg Technologies Private Limit"/>
    <d v="2025-11-24T00:00:00"/>
    <s v="3271314888"/>
    <x v="5"/>
    <x v="5"/>
    <s v="NOS"/>
    <s v="ZFG1"/>
    <s v="FG0010"/>
    <n v="840"/>
    <n v="274789.2"/>
    <n v="840"/>
    <n v="840"/>
    <d v="2025-11-24T00:00:00"/>
    <n v="286498.8"/>
    <s v="RV"/>
    <s v="Billing doc.transfer"/>
    <s v="01"/>
    <s v="Finished Goods"/>
    <s v="FG-PCB-CF"/>
    <s v="FG-PCB-CF"/>
    <b v="0"/>
    <n v="11566.800000000047"/>
    <n v="4.0372943970446114E-2"/>
    <s v="November-25"/>
    <n v="341.07"/>
    <n v="840"/>
    <n v="327.13"/>
    <n v="278.14"/>
    <n v="22.400000000000002"/>
    <n v="0.17"/>
    <n v="26.42"/>
    <n v="0.17000000000000526"/>
    <n v="274931.99999999994"/>
    <n v="233637.59999999998"/>
    <n v="18816"/>
    <n v="142.80000000000001"/>
    <n v="22335.600000000002"/>
    <n v="3.2741809263825417E-11"/>
    <n v="4.0372943970446107E-2"/>
    <n v="327.13"/>
    <n v="142.79999999996289"/>
    <n v="1.8299999999999998"/>
    <n v="16.28"/>
    <n v="8.31"/>
    <n v="274789.2"/>
    <n v="18816"/>
    <n v="1537.1999999999998"/>
    <n v="13675.2"/>
    <n v="6980.4000000000005"/>
    <n v="142.80000000000001"/>
    <n v="0"/>
  </r>
  <r>
    <s v="Atomberg Technologies Private Limit"/>
    <d v="2025-11-24T00:00:00"/>
    <s v="3271314490"/>
    <x v="5"/>
    <x v="5"/>
    <s v="NOS"/>
    <s v="ZFG1"/>
    <s v="FG0010"/>
    <n v="3360"/>
    <n v="1099156.8"/>
    <n v="3360"/>
    <n v="3360"/>
    <d v="2025-11-24T00:00:00"/>
    <n v="1145995.2"/>
    <s v="RV"/>
    <s v="Billing doc.transfer"/>
    <s v="01"/>
    <s v="Finished Goods"/>
    <s v="FG-PCB-CF"/>
    <s v="FG-PCB-CF"/>
    <b v="0"/>
    <n v="46267.200000000186"/>
    <n v="4.0372943970446114E-2"/>
    <s v="November-25"/>
    <n v="341.07"/>
    <n v="3360"/>
    <n v="327.13"/>
    <n v="278.14"/>
    <n v="22.400000000000002"/>
    <n v="0.17"/>
    <n v="26.42"/>
    <n v="0.17000000000000526"/>
    <n v="1099727.9999999998"/>
    <n v="934550.39999999991"/>
    <n v="75264"/>
    <n v="571.20000000000005"/>
    <n v="89342.400000000009"/>
    <n v="1.3096723705530167E-10"/>
    <n v="4.0372943970446107E-2"/>
    <n v="327.13"/>
    <n v="571.19999999985157"/>
    <n v="1.8299999999999998"/>
    <n v="16.28"/>
    <n v="8.31"/>
    <n v="1099156.8"/>
    <n v="75264"/>
    <n v="6148.7999999999993"/>
    <n v="54700.800000000003"/>
    <n v="27921.600000000002"/>
    <n v="571.20000000000005"/>
    <n v="0"/>
  </r>
  <r>
    <s v="Atomberg Technologies Private Limit"/>
    <d v="2025-11-24T00:00:00"/>
    <s v="3271314885"/>
    <x v="8"/>
    <x v="8"/>
    <s v="NOS"/>
    <s v="ZFG1"/>
    <s v="FG0010"/>
    <n v="418"/>
    <n v="135933.6"/>
    <n v="418"/>
    <n v="418"/>
    <d v="2025-11-24T00:00:00"/>
    <n v="148398.35999999999"/>
    <s v="RV"/>
    <s v="Billing doc.transfer"/>
    <s v="01"/>
    <s v="Finished Goods"/>
    <s v="FG-PCB-CF"/>
    <s v="FG-PCB-CF"/>
    <b v="0"/>
    <n v="12356.080000000016"/>
    <n v="8.3262914765365445E-2"/>
    <s v="November-25"/>
    <n v="355.02"/>
    <n v="418"/>
    <n v="325.19999999999993"/>
    <n v="271.52999999999997"/>
    <n v="23.84"/>
    <n v="0.26"/>
    <n v="29.569999999999997"/>
    <n v="0.25999999999996248"/>
    <n v="136042.27999999997"/>
    <n v="113499.54"/>
    <n v="9965.1200000000008"/>
    <n v="108.68"/>
    <n v="12468.939999999999"/>
    <n v="0"/>
    <n v="8.3262914765365403E-2"/>
    <n v="325.2"/>
    <n v="108.67999999997664"/>
    <n v="1.9500000000000002"/>
    <n v="17.329999999999998"/>
    <n v="10.29"/>
    <n v="135933.6"/>
    <n v="9965.1200000000008"/>
    <n v="815.1"/>
    <n v="7243.94"/>
    <n v="4301.2199999999993"/>
    <n v="108.68"/>
    <n v="0"/>
  </r>
  <r>
    <s v="Atomberg Technologies Private Limit"/>
    <d v="2025-11-24T00:00:00"/>
    <s v="3271314433"/>
    <x v="8"/>
    <x v="8"/>
    <s v="NOS"/>
    <s v="ZFG1"/>
    <s v="FG0010"/>
    <n v="200"/>
    <n v="65040"/>
    <n v="200"/>
    <n v="200"/>
    <d v="2025-11-24T00:00:00"/>
    <n v="71004"/>
    <s v="RV"/>
    <s v="Billing doc.transfer"/>
    <s v="01"/>
    <s v="Finished Goods"/>
    <s v="FG-PCB-CF"/>
    <s v="FG-PCB-CF"/>
    <b v="0"/>
    <n v="5912.0000000000073"/>
    <n v="8.3262914765365431E-2"/>
    <s v="November-25"/>
    <n v="355.02"/>
    <n v="200"/>
    <n v="325.19999999999993"/>
    <n v="271.52999999999997"/>
    <n v="23.84"/>
    <n v="0.26"/>
    <n v="29.569999999999997"/>
    <n v="0.25999999999996248"/>
    <n v="65091.999999999993"/>
    <n v="54305.999999999993"/>
    <n v="4768"/>
    <n v="52"/>
    <n v="5965.9999999999991"/>
    <n v="8.1854523159563541E-12"/>
    <n v="8.3262914765365403E-2"/>
    <n v="325.2"/>
    <n v="52.000000000000909"/>
    <n v="1.9500000000000002"/>
    <n v="17.329999999999998"/>
    <n v="10.29"/>
    <n v="65040"/>
    <n v="4768"/>
    <n v="390.00000000000006"/>
    <n v="3465.9999999999995"/>
    <n v="2058"/>
    <n v="52"/>
    <n v="0"/>
  </r>
  <r>
    <s v="Atomberg Technologies Private Limit"/>
    <d v="2025-11-24T00:00:00"/>
    <s v="3271314490"/>
    <x v="9"/>
    <x v="9"/>
    <s v="NOS"/>
    <s v="ZFG1"/>
    <s v="FG0010"/>
    <n v="716"/>
    <n v="155085.6"/>
    <n v="716"/>
    <n v="716"/>
    <d v="2025-11-24T00:00:00"/>
    <n v="158844.6"/>
    <s v="RV"/>
    <s v="Billing doc.transfer"/>
    <s v="01"/>
    <s v="Finished Goods"/>
    <s v="FG-PCB-CF"/>
    <s v="FG-PCB-CF"/>
    <b v="0"/>
    <n v="3730.3600000000442"/>
    <n v="2.3484336263241205E-2"/>
    <s v="November-25"/>
    <n v="221.85"/>
    <n v="716"/>
    <n v="216.59999999999994"/>
    <n v="174.98999999999995"/>
    <n v="18.389999999999997"/>
    <n v="0.04"/>
    <n v="23.18"/>
    <n v="3.9999999999988489E-2"/>
    <n v="155114.23999999996"/>
    <n v="125292.83999999997"/>
    <n v="13167.239999999998"/>
    <n v="28.64"/>
    <n v="16625.52"/>
    <n v="4.0017766878008842E-11"/>
    <n v="2.3484336263241201E-2"/>
    <n v="216.6"/>
    <n v="28.63999999999578"/>
    <n v="1.5"/>
    <n v="13.37"/>
    <n v="8.31"/>
    <n v="155085.6"/>
    <n v="13167.239999999998"/>
    <n v="1074"/>
    <n v="9572.92"/>
    <n v="5949.96"/>
    <n v="28.64"/>
    <n v="0"/>
  </r>
  <r>
    <s v="Atomberg Technologies Private Limit"/>
    <d v="2025-11-24T00:00:00"/>
    <s v="3271314433"/>
    <x v="9"/>
    <x v="9"/>
    <s v="NOS"/>
    <s v="ZFG1"/>
    <s v="FG0010"/>
    <n v="348"/>
    <n v="75376.800000000003"/>
    <n v="348"/>
    <n v="348"/>
    <d v="2025-11-24T00:00:00"/>
    <n v="77203.8"/>
    <s v="RV"/>
    <s v="Billing doc.transfer"/>
    <s v="01"/>
    <s v="Finished Goods"/>
    <s v="FG-PCB-CF"/>
    <s v="FG-PCB-CF"/>
    <b v="0"/>
    <n v="1813.0800000000309"/>
    <n v="2.3484336263241326E-2"/>
    <s v="November-25"/>
    <n v="221.85"/>
    <n v="348"/>
    <n v="216.59999999999994"/>
    <n v="174.98999999999995"/>
    <n v="18.389999999999997"/>
    <n v="0.04"/>
    <n v="23.18"/>
    <n v="3.9999999999988489E-2"/>
    <n v="75390.719999999972"/>
    <n v="60896.519999999982"/>
    <n v="6399.7199999999993"/>
    <n v="13.92"/>
    <n v="8080.56"/>
    <n v="2.0918378140777349E-11"/>
    <n v="2.3484336263241312E-2"/>
    <n v="216.6"/>
    <n v="13.919999999990068"/>
    <n v="1.5"/>
    <n v="13.37"/>
    <n v="8.31"/>
    <n v="75376.800000000003"/>
    <n v="6399.7199999999993"/>
    <n v="522"/>
    <n v="4652.7599999999993"/>
    <n v="2891.88"/>
    <n v="13.92"/>
    <n v="0"/>
  </r>
  <r>
    <s v="Atomberg Technologies Private Limit"/>
    <d v="2025-11-24T00:00:00"/>
    <s v="3271314490"/>
    <x v="21"/>
    <x v="21"/>
    <s v="NOS"/>
    <s v="ZFG1"/>
    <s v="FG0010"/>
    <n v="1400"/>
    <n v="455280"/>
    <n v="1400"/>
    <n v="1400"/>
    <d v="2025-11-24T00:00:00"/>
    <n v="497028"/>
    <s v="RV"/>
    <s v="Billing doc.transfer"/>
    <s v="01"/>
    <s v="Finished Goods"/>
    <s v="FG-PCB-CF"/>
    <s v="FG-PCB-CF"/>
    <b v="0"/>
    <n v="41384.000000000058"/>
    <n v="8.3262914765365445E-2"/>
    <s v="November-25"/>
    <n v="355.02"/>
    <n v="1400"/>
    <n v="325.19999999999993"/>
    <n v="271.52999999999997"/>
    <n v="23.84"/>
    <n v="0.26"/>
    <n v="29.569999999999997"/>
    <n v="0.25999999999996248"/>
    <n v="455643.99999999994"/>
    <n v="380141.99999999994"/>
    <n v="33376"/>
    <n v="364"/>
    <n v="41761.999999999993"/>
    <n v="6.5483618527650833E-11"/>
    <n v="8.3262914765365403E-2"/>
    <n v="325.2"/>
    <n v="364.00000000000728"/>
    <n v="1.9500000000000002"/>
    <n v="17.329999999999998"/>
    <n v="10.290000000000001"/>
    <n v="455280"/>
    <n v="33376"/>
    <n v="2730.0000000000005"/>
    <n v="24261.999999999996"/>
    <n v="14406.000000000002"/>
    <n v="364"/>
    <n v="0"/>
  </r>
  <r>
    <s v="Atomberg Technologies Private Limit"/>
    <d v="2025-11-24T00:00:00"/>
    <s v="3277066527"/>
    <x v="25"/>
    <x v="25"/>
    <s v="NOS"/>
    <s v="ZFG1"/>
    <s v="FG0023"/>
    <n v="-34"/>
    <n v="-2923.32"/>
    <n v="-34"/>
    <n v="-34"/>
    <d v="2025-11-24T00:00:00"/>
    <n v="-3442.16"/>
    <s v="RV"/>
    <s v="Billing doc.transfer"/>
    <s v="01"/>
    <s v="Finished Goods"/>
    <s v="FG-PCB-MG Interface"/>
    <s v="FG-PCB-MG"/>
    <b v="0"/>
    <n v="-517.47999999999865"/>
    <n v="0.15033583563808733"/>
    <s v="November-25"/>
    <n v="101.24"/>
    <n v="0"/>
    <n v="85.980000000000018"/>
    <n v="72.890000000000015"/>
    <n v="13.05"/>
    <n v="0.04"/>
    <n v="0"/>
    <n v="4.00000000000027E-2"/>
    <n v="-2924.6800000000012"/>
    <n v="-2478.2600000000007"/>
    <n v="-443.70000000000005"/>
    <n v="-1.36"/>
    <n v="-1.36"/>
    <n v="5.5488946770765324E-13"/>
    <n v="0.15033583563808728"/>
    <n v="85.98"/>
    <n v="-1.3600000000004819"/>
    <n v="0"/>
    <n v="0"/>
    <n v="0"/>
    <n v="-2923.32"/>
    <n v="-443.70000000000005"/>
    <n v="0"/>
    <n v="0"/>
    <n v="0"/>
    <n v="-1.36"/>
    <n v="0"/>
  </r>
  <r>
    <s v="Atomberg Technologies Private Limit"/>
    <d v="2025-11-24T00:00:00"/>
    <s v="3277066527"/>
    <x v="4"/>
    <x v="4"/>
    <s v="NOS"/>
    <s v="ZFG1"/>
    <s v="FG0010"/>
    <n v="-18"/>
    <n v="-7585.38"/>
    <n v="-18"/>
    <n v="-18"/>
    <d v="2025-11-24T00:00:00"/>
    <n v="-8696.8799999999992"/>
    <s v="RV"/>
    <s v="Billing doc.transfer"/>
    <s v="01"/>
    <s v="Finished Goods"/>
    <s v="FG-PCB-CF"/>
    <s v="FG-PCB-CF"/>
    <b v="0"/>
    <n v="-1106.8200000000015"/>
    <n v="0.12726632999420501"/>
    <s v="November-25"/>
    <n v="483.15999999999997"/>
    <n v="-18"/>
    <n v="421.40999999999985"/>
    <n v="373.04999999999984"/>
    <n v="22"/>
    <n v="0.26"/>
    <n v="26.1"/>
    <n v="0.26000000000001222"/>
    <n v="-7590.0599999999977"/>
    <n v="-6714.8999999999969"/>
    <n v="-396"/>
    <n v="-4.68"/>
    <n v="-474.48"/>
    <n v="-3.1832314562052488E-12"/>
    <n v="0.12726632999420495"/>
    <n v="421.41"/>
    <n v="-4.6800000000007458"/>
    <n v="1.8"/>
    <n v="15.99"/>
    <n v="8.31"/>
    <n v="-7585.38"/>
    <n v="-396"/>
    <n v="-32.4"/>
    <n v="-287.82"/>
    <n v="-149.58000000000001"/>
    <n v="-4.68"/>
    <n v="0"/>
  </r>
  <r>
    <s v="Atomberg Technologies Private Limit"/>
    <d v="2025-11-24T00:00:00"/>
    <s v="3277066529"/>
    <x v="8"/>
    <x v="8"/>
    <s v="NOS"/>
    <s v="ZFG1"/>
    <s v="FG0010"/>
    <n v="-2"/>
    <n v="-650.4"/>
    <n v="-2"/>
    <n v="-2"/>
    <d v="2025-11-24T00:00:00"/>
    <n v="-710.04"/>
    <s v="RV"/>
    <s v="Billing doc.transfer"/>
    <s v="01"/>
    <s v="Finished Goods"/>
    <s v="FG-PCB-CF"/>
    <s v="FG-PCB-CF"/>
    <b v="0"/>
    <n v="-59.120000000000118"/>
    <n v="8.3262914765365501E-2"/>
    <s v="November-25"/>
    <n v="355.02"/>
    <n v="-2"/>
    <n v="325.19999999999993"/>
    <n v="271.52999999999997"/>
    <n v="23.84"/>
    <n v="0.26"/>
    <n v="29.569999999999997"/>
    <n v="0.25999999999996248"/>
    <n v="-650.91999999999985"/>
    <n v="-543.05999999999995"/>
    <n v="-47.68"/>
    <n v="-0.52"/>
    <n v="-59.66"/>
    <n v="0"/>
    <n v="8.3262914765365514E-2"/>
    <n v="325.2"/>
    <n v="-0.51999999999990365"/>
    <n v="1.9500000000000002"/>
    <n v="17.329999999999998"/>
    <n v="10.29"/>
    <n v="-650.4"/>
    <n v="-47.68"/>
    <n v="-3.9000000000000004"/>
    <n v="-34.659999999999997"/>
    <n v="-20.58"/>
    <n v="-0.52"/>
    <n v="0"/>
  </r>
  <r>
    <s v="Atomberg Technologies Private Limit"/>
    <d v="2025-11-24T00:00:00"/>
    <s v="3277066531"/>
    <x v="26"/>
    <x v="26"/>
    <s v="NOS"/>
    <s v="ZFG1"/>
    <s v="FG0012"/>
    <n v="-1"/>
    <n v="-305.94"/>
    <n v="-1"/>
    <n v="-1"/>
    <d v="2025-11-24T00:00:00"/>
    <n v="-314.08999999999997"/>
    <s v="RV"/>
    <s v="Billing doc.transfer"/>
    <s v="01"/>
    <s v="Finished Goods"/>
    <s v="FG-PCB-MG"/>
    <s v="FG-PCB-MG"/>
    <b v="0"/>
    <n v="-8.0099999999999341"/>
    <n v="2.5502244579578892E-2"/>
    <s v="November-25"/>
    <n v="314.08999999999997"/>
    <n v="-1"/>
    <n v="305.95000000000005"/>
    <n v="236.08000000000004"/>
    <n v="27.35"/>
    <n v="0.13"/>
    <n v="42.39"/>
    <n v="0.13000000000000256"/>
    <n v="-306.08000000000004"/>
    <n v="-236.08000000000004"/>
    <n v="-27.35"/>
    <n v="-0.13"/>
    <n v="-42.52"/>
    <n v="1.0000000000047748E-2"/>
    <n v="2.5502244579578948E-2"/>
    <n v="305.94"/>
    <n v="-0.12999999999999545"/>
    <n v="2.2400000000000002"/>
    <n v="19.88"/>
    <n v="20.27"/>
    <n v="-305.94"/>
    <n v="-27.35"/>
    <n v="-2.2400000000000002"/>
    <n v="-19.88"/>
    <n v="-20.27"/>
    <n v="-0.13"/>
    <n v="0"/>
  </r>
  <r>
    <s v="Atomberg Technologies Private Limit"/>
    <d v="2025-11-24T00:00:00"/>
    <s v="3277066532"/>
    <x v="5"/>
    <x v="5"/>
    <s v="NOS"/>
    <s v="ZFG1"/>
    <s v="FG0010"/>
    <n v="-48"/>
    <n v="-15702.24"/>
    <n v="-48"/>
    <n v="-48"/>
    <d v="2025-11-24T00:00:00"/>
    <n v="-16371.36"/>
    <s v="RV"/>
    <s v="Billing doc.transfer"/>
    <s v="01"/>
    <s v="Finished Goods"/>
    <s v="FG-PCB-CF"/>
    <s v="FG-PCB-CF"/>
    <b v="0"/>
    <n v="-660.96000000000095"/>
    <n v="4.0372943970446003E-2"/>
    <s v="November-25"/>
    <n v="341.07"/>
    <n v="-48"/>
    <n v="327.13"/>
    <n v="278.14"/>
    <n v="22.400000000000002"/>
    <n v="0.17"/>
    <n v="26.42"/>
    <n v="0.17000000000000526"/>
    <n v="-15710.4"/>
    <n v="-13350.72"/>
    <n v="-1075.2"/>
    <n v="-8.16"/>
    <n v="-1276.3200000000002"/>
    <n v="0"/>
    <n v="4.0372943970445996E-2"/>
    <n v="327.13"/>
    <n v="-8.1600000000000819"/>
    <n v="1.8299999999999998"/>
    <n v="16.28"/>
    <n v="8.31"/>
    <n v="-15702.24"/>
    <n v="-1075.2"/>
    <n v="-87.839999999999989"/>
    <n v="-781.44"/>
    <n v="-398.88"/>
    <n v="-8.16"/>
    <n v="0"/>
  </r>
  <r>
    <s v="Atomberg Technologies Private Limit"/>
    <d v="2025-11-24T00:00:00"/>
    <s v="3277066540"/>
    <x v="27"/>
    <x v="27"/>
    <s v="NOS"/>
    <s v="ZFG1"/>
    <s v="FG0012"/>
    <n v="-2"/>
    <n v="-719.44"/>
    <n v="-2"/>
    <n v="-2"/>
    <d v="2025-11-24T00:00:00"/>
    <n v="-618.74"/>
    <s v="RV"/>
    <s v="Billing doc.transfer"/>
    <s v="01"/>
    <s v="Finished Goods"/>
    <s v="FG-PCB-MG"/>
    <s v="FG-PCB-MG"/>
    <b v="0"/>
    <n v="100.98000000000013"/>
    <n v="-0.16320263761838597"/>
    <s v="November-25"/>
    <n v="309.37"/>
    <n v="-2"/>
    <n v="359.73000000000008"/>
    <n v="232.98000000000008"/>
    <n v="58.8"/>
    <n v="0.13"/>
    <n v="67.819999999999993"/>
    <n v="0.13000000000000966"/>
    <n v="-719.72000000000014"/>
    <n v="-465.96000000000015"/>
    <n v="-117.6"/>
    <n v="-0.26"/>
    <n v="-135.89999999999998"/>
    <n v="2.0000000000067075E-2"/>
    <n v="-0.16320263761838594"/>
    <n v="359.72"/>
    <n v="-0.26000000000001933"/>
    <n v="4.8099999999999996"/>
    <n v="42.739999999999995"/>
    <n v="20.27"/>
    <n v="-719.44"/>
    <n v="-117.6"/>
    <n v="-9.6199999999999992"/>
    <n v="-85.47999999999999"/>
    <n v="-40.54"/>
    <n v="-0.26"/>
    <n v="0"/>
  </r>
  <r>
    <s v="Atomberg Technologies Private Limit"/>
    <d v="2025-11-24T00:00:00"/>
    <s v="3277066541"/>
    <x v="9"/>
    <x v="9"/>
    <s v="NOS"/>
    <s v="ZFG1"/>
    <s v="FG0010"/>
    <n v="-3"/>
    <n v="-649.79999999999995"/>
    <n v="-3"/>
    <n v="-3"/>
    <d v="2025-11-24T00:00:00"/>
    <n v="-665.55"/>
    <s v="RV"/>
    <s v="Billing doc.transfer"/>
    <s v="01"/>
    <s v="Finished Goods"/>
    <s v="FG-PCB-CF"/>
    <s v="FG-PCB-CF"/>
    <b v="0"/>
    <n v="-15.630000000000223"/>
    <n v="2.3484336263241264E-2"/>
    <s v="November-25"/>
    <n v="221.85"/>
    <n v="-3"/>
    <n v="216.59999999999994"/>
    <n v="174.98999999999995"/>
    <n v="18.389999999999997"/>
    <n v="0.04"/>
    <n v="23.18"/>
    <n v="3.9999999999988489E-2"/>
    <n v="-649.91999999999973"/>
    <n v="-524.9699999999998"/>
    <n v="-55.169999999999987"/>
    <n v="-0.12"/>
    <n v="-69.66"/>
    <n v="-1.7053025658242404E-13"/>
    <n v="2.3484336263241312E-2"/>
    <n v="216.6"/>
    <n v="-0.1199999999999477"/>
    <n v="1.5"/>
    <n v="13.37"/>
    <n v="8.31"/>
    <n v="-649.79999999999995"/>
    <n v="-55.169999999999987"/>
    <n v="-4.5"/>
    <n v="-40.11"/>
    <n v="-24.93"/>
    <n v="-0.12"/>
    <n v="0"/>
  </r>
  <r>
    <s v="Atomberg Technologies Private Limit"/>
    <d v="2025-11-24T00:00:00"/>
    <s v="3277066545"/>
    <x v="16"/>
    <x v="16"/>
    <s v="NOS"/>
    <s v="ZFG1"/>
    <s v="FG0010"/>
    <n v="-25"/>
    <n v="-8156.75"/>
    <n v="-25"/>
    <n v="-25"/>
    <d v="2025-11-24T00:00:00"/>
    <n v="-9089"/>
    <s v="RV"/>
    <s v="Billing doc.transfer"/>
    <s v="01"/>
    <s v="Finished Goods"/>
    <s v="FG-PCB-CF"/>
    <s v="FG-PCB-CF"/>
    <b v="0"/>
    <n v="-926.00000000000091"/>
    <n v="0.10188139509296962"/>
    <s v="November-25"/>
    <n v="363.56"/>
    <n v="-25"/>
    <n v="326.27"/>
    <n v="271.52999999999997"/>
    <n v="20.94"/>
    <n v="0.25"/>
    <n v="33.550000000000004"/>
    <n v="0.25000000000000711"/>
    <n v="-8162.9999999999991"/>
    <n v="-6788.2499999999991"/>
    <n v="-523.5"/>
    <n v="-6.25"/>
    <n v="-845.00000000000011"/>
    <n v="0"/>
    <n v="0.10188139509296967"/>
    <n v="326.27"/>
    <n v="-6.2499999999998863"/>
    <n v="1.7100000000000002"/>
    <n v="15.22"/>
    <n v="16.62"/>
    <n v="-8156.75"/>
    <n v="-523.5"/>
    <n v="-42.750000000000007"/>
    <n v="-380.5"/>
    <n v="-415.5"/>
    <n v="-6.25"/>
    <n v="0"/>
  </r>
  <r>
    <s v="GODREJ &amp; BOYCE MFG. CO. LTD  MOHALI"/>
    <d v="2025-11-22T00:00:00"/>
    <s v="3271314216"/>
    <x v="1"/>
    <x v="1"/>
    <s v="NOS"/>
    <s v="ZFG1"/>
    <s v="FG0011"/>
    <n v="4000"/>
    <n v="1845480"/>
    <n v="4000"/>
    <n v="4000"/>
    <d v="2025-11-22T00:00:00"/>
    <n v="2637240"/>
    <s v="RV"/>
    <s v="Billing doc.transfer"/>
    <s v="01"/>
    <s v="Finished Goods"/>
    <s v="FG-PCB-Ref"/>
    <s v="FG-PCB-Ref"/>
    <b v="0"/>
    <n v="790799.99999999977"/>
    <n v="0.29985894344086989"/>
    <s v="November-25"/>
    <n v="659.31"/>
    <n v="4000"/>
    <n v="461.37"/>
    <n v="401.59000000000003"/>
    <n v="28.32"/>
    <n v="0.24"/>
    <n v="31.22"/>
    <n v="0.23999999999997357"/>
    <n v="1846440.0000000002"/>
    <n v="1606360.0000000002"/>
    <n v="113280"/>
    <n v="960"/>
    <n v="125840"/>
    <n v="-2.3283064365386963E-10"/>
    <n v="0.29985894344086994"/>
    <n v="461.37"/>
    <n v="960"/>
    <n v="2.3199999999999998"/>
    <n v="20.59"/>
    <n v="8.31"/>
    <n v="1845480"/>
    <n v="113280"/>
    <n v="9280"/>
    <n v="82360"/>
    <n v="33240"/>
    <n v="960"/>
    <n v="0"/>
  </r>
  <r>
    <s v="SUNITI ELECTRICALS"/>
    <d v="2025-11-22T00:00:00"/>
    <s v="3271314233"/>
    <x v="14"/>
    <x v="14"/>
    <s v="NOS"/>
    <s v="ZFG1"/>
    <s v="FG0010"/>
    <n v="3000"/>
    <n v="62430"/>
    <n v="3000"/>
    <n v="3000"/>
    <d v="2025-11-22T00:00:00"/>
    <n v="43020"/>
    <s v="RV"/>
    <s v="Billing doc.transfer"/>
    <s v="01"/>
    <s v="Finished Goods"/>
    <s v="FG-PCB-CF"/>
    <s v="FG-PCB-CF"/>
    <b v="0"/>
    <n v="-19410"/>
    <n v="-0.4511854951185495"/>
    <s v="November-25"/>
    <n v="14.34"/>
    <n v="3000"/>
    <n v="20.810000000000002"/>
    <n v="8.3800000000000008"/>
    <n v="11.49"/>
    <n v="0"/>
    <n v="0.94"/>
    <n v="1.3322676295501878E-15"/>
    <n v="62430"/>
    <n v="25140.000000000004"/>
    <n v="34470"/>
    <n v="0"/>
    <n v="2820"/>
    <n v="0"/>
    <n v="-0.45118549511854944"/>
    <n v="20.81"/>
    <n v="0"/>
    <n v="0.94"/>
    <n v="0"/>
    <n v="0"/>
    <n v="62430"/>
    <n v="34470"/>
    <n v="2820"/>
    <n v="0"/>
    <n v="0"/>
    <n v="0"/>
    <n v="0"/>
  </r>
  <r>
    <s v="Atomberg Technologies Private Limit"/>
    <d v="2025-11-22T00:00:00"/>
    <s v="3271314137"/>
    <x v="16"/>
    <x v="16"/>
    <s v="NOS"/>
    <s v="ZFG1"/>
    <s v="FG0010"/>
    <n v="1114"/>
    <n v="363464.78"/>
    <n v="1114"/>
    <n v="1114"/>
    <d v="2025-11-22T00:00:00"/>
    <n v="405005.84"/>
    <s v="RV"/>
    <s v="Billing doc.transfer"/>
    <s v="01"/>
    <s v="Finished Goods"/>
    <s v="FG-PCB-CF"/>
    <s v="FG-PCB-CF"/>
    <b v="0"/>
    <n v="41262.560000000056"/>
    <n v="0.10188139509296966"/>
    <s v="November-25"/>
    <n v="363.56"/>
    <n v="1114"/>
    <n v="326.27"/>
    <n v="271.52999999999997"/>
    <n v="20.94"/>
    <n v="0.25"/>
    <n v="33.550000000000004"/>
    <n v="0.25000000000000711"/>
    <n v="363743.27999999997"/>
    <n v="302484.42"/>
    <n v="23327.16"/>
    <n v="278.5"/>
    <n v="37653.200000000004"/>
    <n v="0"/>
    <n v="0.10188139509296967"/>
    <n v="326.27000000000004"/>
    <n v="278.49999999997817"/>
    <n v="1.7100000000000002"/>
    <n v="15.22"/>
    <n v="16.62"/>
    <n v="363464.78"/>
    <n v="23327.16"/>
    <n v="1904.9400000000003"/>
    <n v="16955.080000000002"/>
    <n v="18514.68"/>
    <n v="278.5"/>
    <n v="0"/>
  </r>
  <r>
    <s v="Atomberg Technologies Private Limit"/>
    <d v="2025-11-22T00:00:00"/>
    <s v="3271314134"/>
    <x v="3"/>
    <x v="3"/>
    <s v="NOS"/>
    <s v="ZFG1"/>
    <s v="FG0010"/>
    <n v="105"/>
    <n v="67728.149999999994"/>
    <n v="105"/>
    <n v="105"/>
    <d v="2025-11-22T00:00:00"/>
    <n v="76498.8"/>
    <s v="RV"/>
    <s v="Billing doc.transfer"/>
    <s v="01"/>
    <s v="Finished Goods"/>
    <s v="FG-PCB-CF"/>
    <s v="FG-PCB-CF"/>
    <b v="0"/>
    <n v="8725.5000000000437"/>
    <n v="0.11406061271549414"/>
    <s v="November-25"/>
    <n v="728.56000000000006"/>
    <n v="105"/>
    <n v="645.02999999999963"/>
    <n v="582.23999999999967"/>
    <n v="29.88"/>
    <n v="0.43"/>
    <n v="32.480000000000004"/>
    <n v="0.42999999999996419"/>
    <n v="67773.299999999959"/>
    <n v="61135.199999999968"/>
    <n v="3137.4"/>
    <n v="45.15"/>
    <n v="3455.5500000000006"/>
    <n v="2.5465851649641991E-11"/>
    <n v="0.11406061271549417"/>
    <n v="645.03"/>
    <n v="45.149999999990541"/>
    <n v="2.4500000000000002"/>
    <n v="21.72"/>
    <n v="8.31"/>
    <n v="67728.149999999994"/>
    <n v="3137.4"/>
    <n v="257.25"/>
    <n v="2280.6"/>
    <n v="872.55000000000007"/>
    <n v="45.15"/>
    <n v="0"/>
  </r>
  <r>
    <s v="Atomberg Technologies Private Limit"/>
    <d v="2025-11-22T00:00:00"/>
    <s v="3271314432"/>
    <x v="3"/>
    <x v="3"/>
    <s v="NOS"/>
    <s v="ZFG1"/>
    <s v="FG0010"/>
    <n v="69"/>
    <n v="44507.07"/>
    <n v="69"/>
    <n v="69"/>
    <d v="2025-11-22T00:00:00"/>
    <n v="50270.64"/>
    <s v="RV"/>
    <s v="Billing doc.transfer"/>
    <s v="01"/>
    <s v="Finished Goods"/>
    <s v="FG-PCB-CF"/>
    <s v="FG-PCB-CF"/>
    <b v="0"/>
    <n v="5733.9000000000233"/>
    <n v="0.11406061271549404"/>
    <s v="November-25"/>
    <n v="728.56"/>
    <n v="69"/>
    <n v="645.02999999999963"/>
    <n v="582.23999999999967"/>
    <n v="29.88"/>
    <n v="0.43"/>
    <n v="32.480000000000004"/>
    <n v="0.42999999999996419"/>
    <n v="44536.739999999976"/>
    <n v="40174.559999999976"/>
    <n v="2061.7199999999998"/>
    <n v="29.669999999999998"/>
    <n v="2270.7900000000004"/>
    <n v="2.3646862246096134E-11"/>
    <n v="0.11406061271549406"/>
    <n v="645.03"/>
    <n v="29.670000000000073"/>
    <n v="2.4500000000000002"/>
    <n v="21.72"/>
    <n v="8.31"/>
    <n v="44507.07"/>
    <n v="2061.7199999999998"/>
    <n v="169.05"/>
    <n v="1498.6799999999998"/>
    <n v="573.39"/>
    <n v="29.669999999999998"/>
    <n v="0"/>
  </r>
  <r>
    <s v="Atomberg Technologies Private Limit"/>
    <d v="2025-11-22T00:00:00"/>
    <s v="3271314240"/>
    <x v="11"/>
    <x v="11"/>
    <s v="NOS"/>
    <s v="ZFG1"/>
    <s v="FG0010"/>
    <n v="1000"/>
    <n v="327130"/>
    <n v="1000"/>
    <n v="1000"/>
    <d v="2025-11-22T00:00:00"/>
    <n v="341070"/>
    <s v="RV"/>
    <s v="Billing doc.transfer"/>
    <s v="01"/>
    <s v="Finished Goods"/>
    <s v="FG-PCB-CF"/>
    <s v="FG-PCB-CF"/>
    <b v="0"/>
    <n v="13769.999999999942"/>
    <n v="4.0372943970445781E-2"/>
    <s v="November-25"/>
    <n v="341.07"/>
    <n v="1000"/>
    <n v="327.13000000000005"/>
    <n v="278.14000000000004"/>
    <n v="22.400000000000002"/>
    <n v="0.17"/>
    <n v="26.42"/>
    <n v="0.17000000000000526"/>
    <n v="327300.00000000006"/>
    <n v="278140.00000000006"/>
    <n v="22400.000000000004"/>
    <n v="170"/>
    <n v="26590"/>
    <n v="-6.184563972055912E-11"/>
    <n v="4.0372943970445774E-2"/>
    <n v="327.13"/>
    <n v="169.99999999999636"/>
    <n v="1.8299999999999998"/>
    <n v="16.28"/>
    <n v="8.31"/>
    <n v="327130"/>
    <n v="22400.000000000004"/>
    <n v="1829.9999999999998"/>
    <n v="16280.000000000002"/>
    <n v="8310"/>
    <n v="170"/>
    <n v="0"/>
  </r>
  <r>
    <s v="Atomberg Technologies Private Limit"/>
    <d v="2025-11-22T00:00:00"/>
    <s v="3271314134"/>
    <x v="4"/>
    <x v="4"/>
    <s v="NOS"/>
    <s v="ZFG1"/>
    <s v="FG0010"/>
    <n v="1090"/>
    <n v="459336.9"/>
    <n v="1090"/>
    <n v="1090"/>
    <d v="2025-11-22T00:00:00"/>
    <n v="526644.4"/>
    <s v="RV"/>
    <s v="Billing doc.transfer"/>
    <s v="01"/>
    <s v="Finished Goods"/>
    <s v="FG-PCB-CF"/>
    <s v="FG-PCB-CF"/>
    <b v="0"/>
    <n v="67024.100000000151"/>
    <n v="0.12726632999420509"/>
    <s v="November-25"/>
    <n v="483.16"/>
    <n v="1090"/>
    <n v="421.40999999999985"/>
    <n v="373.04999999999984"/>
    <n v="22"/>
    <n v="0.26"/>
    <n v="26.1"/>
    <n v="0.26000000000001222"/>
    <n v="459620.29999999987"/>
    <n v="406624.49999999983"/>
    <n v="23980"/>
    <n v="283.40000000000003"/>
    <n v="28732.400000000001"/>
    <n v="1.964508555829525E-10"/>
    <n v="0.12726632999420506"/>
    <n v="421.41"/>
    <n v="283.40000000004511"/>
    <n v="1.8"/>
    <n v="15.99"/>
    <n v="8.31"/>
    <n v="459336.9"/>
    <n v="23980"/>
    <n v="1962"/>
    <n v="17429.099999999999"/>
    <n v="9057.9"/>
    <n v="283.40000000000003"/>
    <n v="0"/>
  </r>
  <r>
    <s v="Atomberg Technologies Private Limit"/>
    <d v="2025-11-22T00:00:00"/>
    <s v="3271314240"/>
    <x v="28"/>
    <x v="28"/>
    <s v="NOS"/>
    <s v="ZFG1"/>
    <s v="FG0010"/>
    <n v="560"/>
    <n v="235972.8"/>
    <n v="560"/>
    <n v="560"/>
    <d v="2025-11-22T00:00:00"/>
    <n v="270569.59999999998"/>
    <s v="RV"/>
    <s v="Billing doc.transfer"/>
    <s v="01"/>
    <s v="Finished Goods"/>
    <s v="FG-PCB-CF"/>
    <s v="FG-PCB-CF"/>
    <b v="0"/>
    <n v="34451.20000000007"/>
    <n v="0.12732842122692303"/>
    <s v="November-25"/>
    <n v="483.15999999999997"/>
    <n v="560"/>
    <n v="421.37999999999982"/>
    <n v="373.01999999999981"/>
    <n v="22"/>
    <n v="0.26"/>
    <n v="26.1"/>
    <n v="0.26000000000001222"/>
    <n v="236118.39999999991"/>
    <n v="208891.1999999999"/>
    <n v="12320"/>
    <n v="145.6"/>
    <n v="14761.6"/>
    <n v="9.276845958083868E-11"/>
    <n v="0.12732842122692301"/>
    <n v="421.38"/>
    <n v="145.60000000001128"/>
    <n v="1.8"/>
    <n v="15.99"/>
    <n v="8.31"/>
    <n v="235972.8"/>
    <n v="12320"/>
    <n v="1008"/>
    <n v="8954.4"/>
    <n v="4653.6000000000004"/>
    <n v="145.6"/>
    <n v="0"/>
  </r>
  <r>
    <s v="Atomberg Technologies Private Limit"/>
    <d v="2025-11-22T00:00:00"/>
    <s v="3271314432"/>
    <x v="5"/>
    <x v="5"/>
    <s v="NOS"/>
    <s v="ZFG1"/>
    <s v="FG0010"/>
    <n v="840"/>
    <n v="274789.2"/>
    <n v="840"/>
    <n v="840"/>
    <d v="2025-11-22T00:00:00"/>
    <n v="286498.8"/>
    <s v="RV"/>
    <s v="Billing doc.transfer"/>
    <s v="01"/>
    <s v="Finished Goods"/>
    <s v="FG-PCB-CF"/>
    <s v="FG-PCB-CF"/>
    <b v="0"/>
    <n v="11566.800000000047"/>
    <n v="4.0372943970446114E-2"/>
    <s v="November-25"/>
    <n v="341.07"/>
    <n v="840"/>
    <n v="327.13"/>
    <n v="278.14"/>
    <n v="22.400000000000002"/>
    <n v="0.17"/>
    <n v="26.42"/>
    <n v="0.17000000000000526"/>
    <n v="274931.99999999994"/>
    <n v="233637.59999999998"/>
    <n v="18816"/>
    <n v="142.80000000000001"/>
    <n v="22335.600000000002"/>
    <n v="3.2741809263825417E-11"/>
    <n v="4.0372943970446107E-2"/>
    <n v="327.13"/>
    <n v="142.79999999996289"/>
    <n v="1.8299999999999998"/>
    <n v="16.28"/>
    <n v="8.31"/>
    <n v="274789.2"/>
    <n v="18816"/>
    <n v="1537.1999999999998"/>
    <n v="13675.2"/>
    <n v="6980.4000000000005"/>
    <n v="142.80000000000001"/>
    <n v="0"/>
  </r>
  <r>
    <s v="Atomberg Technologies Private Limit"/>
    <d v="2025-11-22T00:00:00"/>
    <s v="3271314240"/>
    <x v="5"/>
    <x v="5"/>
    <s v="NOS"/>
    <s v="ZFG1"/>
    <s v="FG0010"/>
    <n v="3560"/>
    <n v="1164582.8"/>
    <n v="3560"/>
    <n v="3560"/>
    <d v="2025-11-22T00:00:00"/>
    <n v="1214209.2"/>
    <s v="RV"/>
    <s v="Billing doc.transfer"/>
    <s v="01"/>
    <s v="Finished Goods"/>
    <s v="FG-PCB-CF"/>
    <s v="FG-PCB-CF"/>
    <b v="0"/>
    <n v="49021.200000000186"/>
    <n v="4.0372943970446107E-2"/>
    <s v="November-25"/>
    <n v="341.07"/>
    <n v="3560"/>
    <n v="327.13"/>
    <n v="278.14"/>
    <n v="22.400000000000002"/>
    <n v="0.17"/>
    <n v="26.42"/>
    <n v="0.17000000000000526"/>
    <n v="1165187.9999999998"/>
    <n v="990178.39999999991"/>
    <n v="79744.000000000015"/>
    <n v="605.20000000000005"/>
    <n v="94660.400000000009"/>
    <n v="1.1641532182693481E-10"/>
    <n v="4.0372943970446107E-2"/>
    <n v="327.13"/>
    <n v="605.19999999983702"/>
    <n v="1.8299999999999998"/>
    <n v="16.28"/>
    <n v="8.31"/>
    <n v="1164582.8"/>
    <n v="79744.000000000015"/>
    <n v="6514.7999999999993"/>
    <n v="57956.800000000003"/>
    <n v="29583.600000000002"/>
    <n v="605.20000000000005"/>
    <n v="0"/>
  </r>
  <r>
    <s v="Atomberg Technologies Private Limit"/>
    <d v="2025-11-22T00:00:00"/>
    <s v="3271314432"/>
    <x v="8"/>
    <x v="8"/>
    <s v="NOS"/>
    <s v="ZFG1"/>
    <s v="FG0010"/>
    <n v="120"/>
    <n v="39024"/>
    <n v="120"/>
    <n v="120"/>
    <d v="2025-11-22T00:00:00"/>
    <n v="42602.400000000001"/>
    <s v="RV"/>
    <s v="Billing doc.transfer"/>
    <s v="01"/>
    <s v="Finished Goods"/>
    <s v="FG-PCB-CF"/>
    <s v="FG-PCB-CF"/>
    <b v="0"/>
    <n v="3547.2000000000044"/>
    <n v="8.3262914765365431E-2"/>
    <s v="November-25"/>
    <n v="355.02000000000004"/>
    <n v="120"/>
    <n v="325.19999999999993"/>
    <n v="271.52999999999997"/>
    <n v="23.84"/>
    <n v="0.26"/>
    <n v="29.569999999999997"/>
    <n v="0.25999999999996248"/>
    <n v="39055.199999999997"/>
    <n v="32583.599999999999"/>
    <n v="2860.8"/>
    <n v="31.200000000000003"/>
    <n v="3579.5999999999995"/>
    <n v="0"/>
    <n v="8.3262914765365403E-2"/>
    <n v="325.2"/>
    <n v="31.199999999998909"/>
    <n v="1.9500000000000002"/>
    <n v="17.329999999999998"/>
    <n v="10.29"/>
    <n v="39024"/>
    <n v="2860.8"/>
    <n v="234.00000000000003"/>
    <n v="2079.6"/>
    <n v="1234.8"/>
    <n v="31.200000000000003"/>
    <n v="0"/>
  </r>
  <r>
    <s v="Atomberg Technologies Private Limit"/>
    <d v="2025-11-22T00:00:00"/>
    <s v="3271314134"/>
    <x v="9"/>
    <x v="9"/>
    <s v="NOS"/>
    <s v="ZFG1"/>
    <s v="FG0010"/>
    <n v="627"/>
    <n v="135808.20000000001"/>
    <n v="627"/>
    <n v="627"/>
    <d v="2025-11-22T00:00:00"/>
    <n v="139099.95000000001"/>
    <s v="RV"/>
    <s v="Billing doc.transfer"/>
    <s v="01"/>
    <s v="Finished Goods"/>
    <s v="FG-PCB-CF"/>
    <s v="FG-PCB-CF"/>
    <b v="0"/>
    <n v="3266.670000000071"/>
    <n v="2.3484336263241437E-2"/>
    <s v="November-25"/>
    <n v="221.85000000000002"/>
    <n v="627"/>
    <n v="216.59999999999994"/>
    <n v="174.98999999999995"/>
    <n v="18.389999999999997"/>
    <n v="0.04"/>
    <n v="23.18"/>
    <n v="3.9999999999988489E-2"/>
    <n v="135833.27999999994"/>
    <n v="109718.72999999997"/>
    <n v="11530.529999999999"/>
    <n v="25.080000000000002"/>
    <n v="14558.94"/>
    <n v="4.5474735088646412E-11"/>
    <n v="2.3484336263241423E-2"/>
    <n v="216.60000000000002"/>
    <n v="25.079999999974461"/>
    <n v="1.5"/>
    <n v="13.37"/>
    <n v="8.31"/>
    <n v="135808.20000000001"/>
    <n v="11530.529999999999"/>
    <n v="940.5"/>
    <n v="8382.99"/>
    <n v="5210.37"/>
    <n v="25.080000000000002"/>
    <n v="0"/>
  </r>
  <r>
    <s v="Atomberg Technologies Private Limit"/>
    <d v="2025-11-22T00:00:00"/>
    <s v="3271314432"/>
    <x v="9"/>
    <x v="9"/>
    <s v="NOS"/>
    <s v="ZFG1"/>
    <s v="FG0010"/>
    <n v="278"/>
    <n v="60214.8"/>
    <n v="278"/>
    <n v="278"/>
    <d v="2025-11-22T00:00:00"/>
    <n v="61674.3"/>
    <s v="RV"/>
    <s v="Billing doc.transfer"/>
    <s v="01"/>
    <s v="Finished Goods"/>
    <s v="FG-PCB-CF"/>
    <s v="FG-PCB-CF"/>
    <b v="0"/>
    <n v="1448.3800000000119"/>
    <n v="2.3484336263241121E-2"/>
    <s v="November-25"/>
    <n v="221.85000000000002"/>
    <n v="278"/>
    <n v="216.59999999999994"/>
    <n v="174.98999999999995"/>
    <n v="18.389999999999997"/>
    <n v="0.04"/>
    <n v="23.18"/>
    <n v="3.9999999999988489E-2"/>
    <n v="60225.919999999991"/>
    <n v="48647.219999999987"/>
    <n v="5112.4199999999992"/>
    <n v="11.120000000000001"/>
    <n v="6455.16"/>
    <n v="1.7280399333685637E-11"/>
    <n v="2.348433626324109E-2"/>
    <n v="216.60000000000002"/>
    <n v="11.120000000005348"/>
    <n v="1.5"/>
    <n v="13.37"/>
    <n v="8.31"/>
    <n v="60214.8"/>
    <n v="5112.4199999999992"/>
    <n v="417"/>
    <n v="3716.8599999999997"/>
    <n v="2310.1800000000003"/>
    <n v="11.120000000000001"/>
    <n v="0"/>
  </r>
  <r>
    <s v="Atomberg Technologies Private Limit"/>
    <d v="2025-11-21T00:00:00"/>
    <s v="3271313811"/>
    <x v="16"/>
    <x v="16"/>
    <s v="NOS"/>
    <s v="ZFG1"/>
    <s v="FG0010"/>
    <n v="2371"/>
    <n v="773586.17"/>
    <n v="2371"/>
    <n v="2371"/>
    <d v="2025-11-21T00:00:00"/>
    <n v="862000.76"/>
    <s v="RV"/>
    <s v="Billing doc.transfer"/>
    <s v="01"/>
    <s v="Finished Goods"/>
    <s v="FG-PCB-CF"/>
    <s v="FG-PCB-CF"/>
    <b v="0"/>
    <n v="87821.840000000084"/>
    <n v="0.10188139509296962"/>
    <s v="November-25"/>
    <n v="363.56"/>
    <n v="2371"/>
    <n v="326.27"/>
    <n v="271.52999999999997"/>
    <n v="20.94"/>
    <n v="0.25"/>
    <n v="33.550000000000004"/>
    <n v="0.25000000000000711"/>
    <n v="774178.91999999993"/>
    <n v="643797.62999999989"/>
    <n v="49648.740000000005"/>
    <n v="592.75"/>
    <n v="80139.8"/>
    <n v="1.4551915228366852E-10"/>
    <n v="0.10188139509296967"/>
    <n v="326.27000000000004"/>
    <n v="592.7500000000291"/>
    <n v="1.7100000000000002"/>
    <n v="15.22"/>
    <n v="16.62"/>
    <n v="773586.17"/>
    <n v="49648.740000000005"/>
    <n v="4054.4100000000003"/>
    <n v="36086.620000000003"/>
    <n v="39406.020000000004"/>
    <n v="592.75"/>
    <n v="0"/>
  </r>
  <r>
    <s v="Atomberg Technologies Private Limit"/>
    <d v="2025-11-21T00:00:00"/>
    <s v="3271313812"/>
    <x v="3"/>
    <x v="3"/>
    <s v="NOS"/>
    <s v="ZFG1"/>
    <s v="FG0010"/>
    <n v="70"/>
    <n v="45152.1"/>
    <n v="70"/>
    <n v="70"/>
    <d v="2025-11-21T00:00:00"/>
    <n v="50999.199999999997"/>
    <s v="RV"/>
    <s v="Billing doc.transfer"/>
    <s v="01"/>
    <s v="Finished Goods"/>
    <s v="FG-PCB-CF"/>
    <s v="FG-PCB-CF"/>
    <b v="0"/>
    <n v="5817.0000000000291"/>
    <n v="0.11406061271549416"/>
    <s v="November-25"/>
    <n v="728.56"/>
    <n v="70"/>
    <n v="645.02999999999963"/>
    <n v="582.23999999999967"/>
    <n v="29.88"/>
    <n v="0.43"/>
    <n v="32.480000000000004"/>
    <n v="0.42999999999996419"/>
    <n v="45182.199999999968"/>
    <n v="40756.799999999974"/>
    <n v="2091.6"/>
    <n v="30.099999999999998"/>
    <n v="2303.7000000000003"/>
    <n v="2.4556356947869062E-11"/>
    <n v="0.11406061271549417"/>
    <n v="645.03"/>
    <n v="30.099999999993997"/>
    <n v="2.4500000000000002"/>
    <n v="21.72"/>
    <n v="8.31"/>
    <n v="45152.1"/>
    <n v="2091.6"/>
    <n v="171.5"/>
    <n v="1520.3999999999999"/>
    <n v="581.70000000000005"/>
    <n v="30.099999999999998"/>
    <n v="0"/>
  </r>
  <r>
    <s v="Atomberg Technologies Private Limit"/>
    <d v="2025-11-21T00:00:00"/>
    <s v="3271314132"/>
    <x v="3"/>
    <x v="3"/>
    <s v="NOS"/>
    <s v="ZFG1"/>
    <s v="FG0010"/>
    <n v="188"/>
    <n v="121265.64"/>
    <n v="188"/>
    <n v="188"/>
    <d v="2025-11-21T00:00:00"/>
    <n v="136969.28"/>
    <s v="RV"/>
    <s v="Billing doc.transfer"/>
    <s v="01"/>
    <s v="Finished Goods"/>
    <s v="FG-PCB-CF"/>
    <s v="FG-PCB-CF"/>
    <b v="0"/>
    <n v="15622.800000000061"/>
    <n v="0.11406061271549402"/>
    <s v="November-25"/>
    <n v="728.56"/>
    <n v="188"/>
    <n v="645.02999999999963"/>
    <n v="582.23999999999967"/>
    <n v="29.88"/>
    <n v="0.43"/>
    <n v="32.480000000000004"/>
    <n v="0.42999999999996419"/>
    <n v="121346.47999999994"/>
    <n v="109461.11999999994"/>
    <n v="5617.44"/>
    <n v="80.84"/>
    <n v="6187.0800000000008"/>
    <n v="6.184563972055912E-11"/>
    <n v="0.11406061271549406"/>
    <n v="645.03"/>
    <n v="80.840000000000146"/>
    <n v="2.4500000000000002"/>
    <n v="21.72"/>
    <n v="8.31"/>
    <n v="121265.64"/>
    <n v="5617.44"/>
    <n v="460.6"/>
    <n v="4083.3599999999997"/>
    <n v="1562.2800000000002"/>
    <n v="80.84"/>
    <n v="0"/>
  </r>
  <r>
    <s v="Atomberg Technologies Private Limit"/>
    <d v="2025-11-21T00:00:00"/>
    <s v="3271313812"/>
    <x v="4"/>
    <x v="4"/>
    <s v="NOS"/>
    <s v="ZFG1"/>
    <s v="FG0010"/>
    <n v="1120"/>
    <n v="471979.2"/>
    <n v="1120"/>
    <n v="1120"/>
    <d v="2025-11-21T00:00:00"/>
    <n v="541139.19999999995"/>
    <s v="RV"/>
    <s v="Billing doc.transfer"/>
    <s v="01"/>
    <s v="Finished Goods"/>
    <s v="FG-PCB-CF"/>
    <s v="FG-PCB-CF"/>
    <b v="0"/>
    <n v="68868.800000000105"/>
    <n v="0.12726632999420504"/>
    <s v="November-25"/>
    <n v="483.15999999999997"/>
    <n v="1120"/>
    <n v="421.40999999999985"/>
    <n v="373.04999999999984"/>
    <n v="22"/>
    <n v="0.26"/>
    <n v="26.1"/>
    <n v="0.26000000000001222"/>
    <n v="472270.39999999985"/>
    <n v="417815.99999999983"/>
    <n v="24640"/>
    <n v="291.2"/>
    <n v="29523.200000000001"/>
    <n v="1.8553691916167736E-10"/>
    <n v="0.12726632999420506"/>
    <n v="421.41"/>
    <n v="291.20000000002256"/>
    <n v="1.8"/>
    <n v="15.99"/>
    <n v="8.31"/>
    <n v="471979.2"/>
    <n v="24640"/>
    <n v="2016"/>
    <n v="17908.8"/>
    <n v="9307.2000000000007"/>
    <n v="291.2"/>
    <n v="0"/>
  </r>
  <r>
    <s v="Atomberg Technologies Private Limit"/>
    <d v="2025-11-21T00:00:00"/>
    <s v="3271313847"/>
    <x v="5"/>
    <x v="5"/>
    <s v="NOS"/>
    <s v="ZFG1"/>
    <s v="FG0010"/>
    <n v="2005"/>
    <n v="655895.65"/>
    <n v="2005"/>
    <n v="2005"/>
    <d v="2025-11-21T00:00:00"/>
    <n v="683845.35"/>
    <s v="RV"/>
    <s v="Billing doc.transfer"/>
    <s v="01"/>
    <s v="Finished Goods"/>
    <s v="FG-PCB-CF"/>
    <s v="FG-PCB-CF"/>
    <b v="0"/>
    <n v="27608.850000000093"/>
    <n v="4.0372943970446086E-2"/>
    <s v="November-25"/>
    <n v="341.07"/>
    <n v="2005"/>
    <n v="327.13"/>
    <n v="278.14"/>
    <n v="22.400000000000002"/>
    <n v="0.17"/>
    <n v="26.42"/>
    <n v="0.17000000000000526"/>
    <n v="656236.49999999988"/>
    <n v="557670.69999999995"/>
    <n v="44912.000000000007"/>
    <n v="340.85"/>
    <n v="53312.950000000004"/>
    <n v="5.8207660913467407E-11"/>
    <n v="4.0372943970446107E-2"/>
    <n v="327.13"/>
    <n v="340.84999999991851"/>
    <n v="1.8299999999999998"/>
    <n v="16.28"/>
    <n v="8.31"/>
    <n v="655895.65"/>
    <n v="44912.000000000007"/>
    <n v="3669.1499999999996"/>
    <n v="32641.4"/>
    <n v="16661.55"/>
    <n v="340.85"/>
    <n v="0"/>
  </r>
  <r>
    <s v="Atomberg Technologies Private Limit"/>
    <d v="2025-11-21T00:00:00"/>
    <s v="3271314132"/>
    <x v="8"/>
    <x v="8"/>
    <s v="NOS"/>
    <s v="ZFG1"/>
    <s v="FG0010"/>
    <n v="245"/>
    <n v="79674"/>
    <n v="245"/>
    <n v="245"/>
    <d v="2025-11-21T00:00:00"/>
    <n v="86979.9"/>
    <s v="RV"/>
    <s v="Billing doc.transfer"/>
    <s v="01"/>
    <s v="Finished Goods"/>
    <s v="FG-PCB-CF"/>
    <s v="FG-PCB-CF"/>
    <b v="0"/>
    <n v="7242.1999999999971"/>
    <n v="8.3262914765365306E-2"/>
    <s v="November-25"/>
    <n v="355.02"/>
    <n v="245"/>
    <n v="325.19999999999993"/>
    <n v="271.52999999999997"/>
    <n v="23.84"/>
    <n v="0.26"/>
    <n v="29.569999999999997"/>
    <n v="0.25999999999996248"/>
    <n v="79737.7"/>
    <n v="66524.849999999991"/>
    <n v="5840.8"/>
    <n v="63.7"/>
    <n v="7308.3499999999995"/>
    <n v="9.0949470177292824E-12"/>
    <n v="8.3262914765365292E-2"/>
    <n v="325.2"/>
    <n v="63.700000000006185"/>
    <n v="1.9500000000000002"/>
    <n v="17.329999999999998"/>
    <n v="10.29"/>
    <n v="79674"/>
    <n v="5840.8"/>
    <n v="477.75000000000006"/>
    <n v="4245.8499999999995"/>
    <n v="2521.0499999999997"/>
    <n v="63.7"/>
    <n v="0"/>
  </r>
  <r>
    <s v="Atomberg Technologies Private Limit"/>
    <d v="2025-11-21T00:00:00"/>
    <s v="3271313847"/>
    <x v="9"/>
    <x v="9"/>
    <s v="NOS"/>
    <s v="ZFG1"/>
    <s v="FG0010"/>
    <n v="478"/>
    <n v="103534.8"/>
    <n v="478"/>
    <n v="478"/>
    <d v="2025-11-21T00:00:00"/>
    <n v="106044.3"/>
    <s v="RV"/>
    <s v="Billing doc.transfer"/>
    <s v="01"/>
    <s v="Finished Goods"/>
    <s v="FG-PCB-CF"/>
    <s v="FG-PCB-CF"/>
    <b v="0"/>
    <n v="2490.3800000000338"/>
    <n v="2.3484336263241246E-2"/>
    <s v="November-25"/>
    <n v="221.85"/>
    <n v="478"/>
    <n v="216.59999999999994"/>
    <n v="174.98999999999995"/>
    <n v="18.389999999999997"/>
    <n v="0.04"/>
    <n v="23.18"/>
    <n v="3.9999999999988489E-2"/>
    <n v="103553.91999999997"/>
    <n v="83645.219999999972"/>
    <n v="8790.4199999999983"/>
    <n v="19.12"/>
    <n v="11099.16"/>
    <n v="3.2741809263825417E-11"/>
    <n v="2.3484336263241201E-2"/>
    <n v="216.6"/>
    <n v="19.119999999998981"/>
    <n v="1.5"/>
    <n v="13.37"/>
    <n v="8.31"/>
    <n v="103534.8"/>
    <n v="8790.4199999999983"/>
    <n v="717"/>
    <n v="6390.86"/>
    <n v="3972.1800000000003"/>
    <n v="19.12"/>
    <n v="0"/>
  </r>
  <r>
    <s v="Atomberg Technologies Private Limit"/>
    <d v="2025-11-21T00:00:00"/>
    <s v="3271314132"/>
    <x v="9"/>
    <x v="9"/>
    <s v="NOS"/>
    <s v="ZFG1"/>
    <s v="FG0010"/>
    <n v="352"/>
    <n v="76243.199999999997"/>
    <n v="352"/>
    <n v="352"/>
    <d v="2025-11-21T00:00:00"/>
    <n v="78091.199999999997"/>
    <s v="RV"/>
    <s v="Billing doc.transfer"/>
    <s v="01"/>
    <s v="Finished Goods"/>
    <s v="FG-PCB-CF"/>
    <s v="FG-PCB-CF"/>
    <b v="0"/>
    <n v="1833.9200000000128"/>
    <n v="2.3484336263241094E-2"/>
    <s v="November-25"/>
    <n v="221.85"/>
    <n v="352"/>
    <n v="216.59999999999994"/>
    <n v="174.98999999999995"/>
    <n v="18.389999999999997"/>
    <n v="0.04"/>
    <n v="23.18"/>
    <n v="3.9999999999988489E-2"/>
    <n v="76257.279999999984"/>
    <n v="61596.479999999981"/>
    <n v="6473.2799999999988"/>
    <n v="14.08"/>
    <n v="8173.44"/>
    <n v="1.7280399333685637E-11"/>
    <n v="2.348433626324109E-2"/>
    <n v="216.6"/>
    <n v="14.080000000004475"/>
    <n v="1.5"/>
    <n v="13.37"/>
    <n v="8.31"/>
    <n v="76243.199999999997"/>
    <n v="6473.2799999999988"/>
    <n v="528"/>
    <n v="4706.24"/>
    <n v="2925.1200000000003"/>
    <n v="14.08"/>
    <n v="0"/>
  </r>
  <r>
    <s v="SUNITI ELECTRICALS"/>
    <d v="2025-11-21T00:00:00"/>
    <s v="3271313833"/>
    <x v="29"/>
    <x v="29"/>
    <s v="NOS"/>
    <s v="ZROH"/>
    <s v="RM0030"/>
    <n v="17.8"/>
    <n v="8057.72"/>
    <n v="17.8"/>
    <n v="17.8"/>
    <d v="2025-11-21T00:00:00"/>
    <n v="8455"/>
    <s v="RV"/>
    <s v="Billing doc.transfer"/>
    <s v="01"/>
    <s v="Raw Material"/>
    <s v="RM-Mech. Metal"/>
    <s v="Raw Material"/>
    <b v="0"/>
    <n v="8455"/>
    <n v="1"/>
    <s v="November-25"/>
    <n v="475"/>
    <n v="17.8"/>
    <n v="0"/>
    <n v="0"/>
    <n v="0"/>
    <n v="0"/>
    <n v="0"/>
    <n v="0"/>
    <n v="0"/>
    <n v="0"/>
    <n v="0"/>
    <n v="0"/>
    <n v="0"/>
    <n v="8057.72"/>
    <n v="1"/>
    <n v="452.68089887640451"/>
    <n v="0"/>
    <n v="0"/>
    <n v="0"/>
    <n v="0"/>
    <n v="8057.72"/>
    <n v="0"/>
    <n v="0"/>
    <n v="0"/>
    <n v="0"/>
    <n v="0"/>
    <n v="0"/>
  </r>
  <r>
    <s v="INYANTRA TECHNOLOGIES PRIVATE LIMIT"/>
    <d v="2025-11-21T00:00:00"/>
    <s v="3271313813"/>
    <x v="19"/>
    <x v="19"/>
    <s v="NOS"/>
    <s v="ZROH"/>
    <s v="RM0002"/>
    <n v="4500"/>
    <n v="34423.360000000001"/>
    <n v="4500"/>
    <n v="4500"/>
    <d v="2025-11-21T00:00:00"/>
    <n v="34425"/>
    <s v="RV"/>
    <s v="Billing doc.transfer"/>
    <s v="01"/>
    <s v="Raw Material"/>
    <s v="RM-Eletro-Connecter"/>
    <s v="Raw Material"/>
    <b v="0"/>
    <n v="34425"/>
    <n v="1"/>
    <s v="November-25"/>
    <n v="7.65"/>
    <n v="4500"/>
    <n v="0"/>
    <n v="0"/>
    <n v="0"/>
    <n v="0"/>
    <n v="0"/>
    <n v="0"/>
    <n v="0"/>
    <n v="0"/>
    <n v="0"/>
    <n v="0"/>
    <n v="0"/>
    <n v="34423.360000000001"/>
    <n v="1"/>
    <n v="7.6496355555555553"/>
    <n v="0"/>
    <n v="0"/>
    <n v="0"/>
    <n v="0"/>
    <n v="34423.360000000001"/>
    <n v="0"/>
    <n v="0"/>
    <n v="0"/>
    <n v="0"/>
    <n v="0"/>
    <n v="0"/>
  </r>
  <r>
    <s v="Atomberg Technologies Private Limit"/>
    <d v="2025-11-21T00:00:00"/>
    <s v="3271314110"/>
    <x v="30"/>
    <x v="30"/>
    <s v="NOS"/>
    <s v="ZROH"/>
    <s v="RM0020"/>
    <n v="22200"/>
    <n v="193719.74"/>
    <n v="22200"/>
    <n v="22200"/>
    <d v="2025-11-21T00:00:00"/>
    <n v="134754"/>
    <s v="RV"/>
    <s v="Billing doc.transfer"/>
    <s v="01"/>
    <s v="Raw Material"/>
    <s v="RM-Mech-Magnets"/>
    <s v="Raw Material"/>
    <b v="0"/>
    <n v="134754"/>
    <n v="1"/>
    <s v="November-25"/>
    <n v="6.07"/>
    <n v="22200"/>
    <n v="0"/>
    <n v="0"/>
    <n v="0"/>
    <n v="0"/>
    <n v="0"/>
    <n v="0"/>
    <n v="0"/>
    <n v="0"/>
    <n v="0"/>
    <n v="0"/>
    <n v="0"/>
    <n v="193719.74"/>
    <n v="1"/>
    <n v="8.7261144144144147"/>
    <n v="0"/>
    <n v="0"/>
    <n v="0"/>
    <n v="0"/>
    <n v="193719.74"/>
    <n v="0"/>
    <n v="0"/>
    <n v="0"/>
    <n v="0"/>
    <n v="0"/>
    <n v="0"/>
  </r>
  <r>
    <s v="Atomberg Technologies Private Limit"/>
    <d v="2025-11-21T00:00:00"/>
    <s v="3271314110"/>
    <x v="31"/>
    <x v="31"/>
    <s v="NOS"/>
    <s v="ZROH"/>
    <s v="RM0020"/>
    <n v="11390"/>
    <n v="114412.75"/>
    <n v="11390"/>
    <n v="11390"/>
    <d v="2025-11-21T00:00:00"/>
    <n v="69137.3"/>
    <s v="RV"/>
    <s v="Billing doc.transfer"/>
    <s v="01"/>
    <s v="Raw Material"/>
    <s v="RM-Mech-Magnets"/>
    <s v="Raw Material"/>
    <b v="0"/>
    <n v="69137.3"/>
    <n v="1"/>
    <s v="November-25"/>
    <n v="6.07"/>
    <n v="11390"/>
    <n v="0"/>
    <n v="0"/>
    <n v="0"/>
    <n v="0"/>
    <n v="0"/>
    <n v="0"/>
    <n v="0"/>
    <n v="0"/>
    <n v="0"/>
    <n v="0"/>
    <n v="0"/>
    <n v="114412.75"/>
    <n v="1"/>
    <n v="10.045017559262511"/>
    <n v="0"/>
    <n v="0"/>
    <n v="0"/>
    <n v="0"/>
    <n v="114412.75"/>
    <n v="0"/>
    <n v="0"/>
    <n v="0"/>
    <n v="0"/>
    <n v="0"/>
    <n v="0"/>
  </r>
  <r>
    <s v="Atomberg Technologies Private Limit"/>
    <d v="2025-11-21T00:00:00"/>
    <s v="3271314109"/>
    <x v="32"/>
    <x v="32"/>
    <s v="NOS"/>
    <s v="ZROH"/>
    <s v="RM0020"/>
    <n v="306000"/>
    <n v="1607929.29"/>
    <n v="306000"/>
    <n v="306000"/>
    <d v="2025-11-21T00:00:00"/>
    <n v="1603440"/>
    <s v="RV"/>
    <s v="Billing doc.transfer"/>
    <s v="01"/>
    <s v="Raw Material"/>
    <s v="RM-Mech-Magnets"/>
    <s v="Raw Material"/>
    <b v="0"/>
    <n v="1603440"/>
    <n v="1"/>
    <s v="November-25"/>
    <n v="5.24"/>
    <n v="306000"/>
    <n v="0"/>
    <n v="0"/>
    <n v="0"/>
    <n v="0"/>
    <n v="0"/>
    <n v="0"/>
    <n v="0"/>
    <n v="0"/>
    <n v="0"/>
    <n v="0"/>
    <n v="0"/>
    <n v="1607929.29"/>
    <n v="1"/>
    <n v="5.2546708823529409"/>
    <n v="0"/>
    <n v="0"/>
    <n v="0"/>
    <n v="0"/>
    <n v="1607929.29"/>
    <n v="0"/>
    <n v="0"/>
    <n v="0"/>
    <n v="0"/>
    <n v="0"/>
    <n v="0"/>
  </r>
  <r>
    <s v="Atomberg Technologies Private Limit"/>
    <d v="2025-11-20T00:00:00"/>
    <s v="3271313734"/>
    <x v="2"/>
    <x v="2"/>
    <s v="NOS"/>
    <s v="ZSFG"/>
    <s v="SF0045"/>
    <n v="2240"/>
    <n v="330780.79999999999"/>
    <n v="2240"/>
    <n v="2240"/>
    <d v="2025-11-20T00:00:00"/>
    <n v="364985.59999999998"/>
    <s v="RV"/>
    <s v="Billing doc.transfer"/>
    <s v="01"/>
    <s v="Semi-Finished Goods"/>
    <s v="SFG-GV5 Stator"/>
    <s v="Sub Ass.-Mech Stator"/>
    <b v="0"/>
    <n v="34204.800000000047"/>
    <n v="9.3715478090094645E-2"/>
    <s v="November-25"/>
    <n v="162.94"/>
    <n v="2240"/>
    <n v="147.66999999999996"/>
    <n v="144.21999999999997"/>
    <n v="1.5"/>
    <n v="0"/>
    <n v="1.95"/>
    <n v="-1.1324274851176597E-14"/>
    <n v="330780.79999999993"/>
    <n v="323052.79999999993"/>
    <n v="3360"/>
    <n v="0"/>
    <n v="4368"/>
    <n v="5.8207660913467407E-11"/>
    <n v="9.3715478090094617E-2"/>
    <n v="147.66999999999999"/>
    <n v="0"/>
    <n v="0.05"/>
    <n v="0.4"/>
    <n v="1.5"/>
    <n v="330780.79999999999"/>
    <n v="3360"/>
    <n v="112"/>
    <n v="896"/>
    <n v="3360"/>
    <n v="0"/>
    <n v="0"/>
  </r>
  <r>
    <s v="Atomberg Technologies Private Limit"/>
    <d v="2025-11-20T00:00:00"/>
    <s v="3271313809"/>
    <x v="2"/>
    <x v="2"/>
    <s v="NOS"/>
    <s v="ZSFG"/>
    <s v="SF0045"/>
    <n v="2128"/>
    <n v="314241.76"/>
    <n v="2128"/>
    <n v="2128"/>
    <d v="2025-11-20T00:00:00"/>
    <n v="346736.32"/>
    <s v="RV"/>
    <s v="Billing doc.transfer"/>
    <s v="01"/>
    <s v="Semi-Finished Goods"/>
    <s v="SFG-GV5 Stator"/>
    <s v="Sub Ass.-Mech Stator"/>
    <b v="0"/>
    <n v="32494.560000000114"/>
    <n v="9.3715478090094839E-2"/>
    <s v="November-25"/>
    <n v="162.94"/>
    <n v="2128"/>
    <n v="147.66999999999996"/>
    <n v="144.21999999999997"/>
    <n v="1.5"/>
    <n v="0"/>
    <n v="1.95"/>
    <n v="-1.1324274851176597E-14"/>
    <n v="314241.75999999989"/>
    <n v="306900.15999999992"/>
    <n v="3192"/>
    <n v="0"/>
    <n v="4149.5999999999995"/>
    <n v="9.3677954282611609E-11"/>
    <n v="9.3715478090094839E-2"/>
    <n v="147.67000000000002"/>
    <n v="-2.2737367544323206E-11"/>
    <n v="0.05"/>
    <n v="0.4"/>
    <n v="1.5"/>
    <n v="314241.76"/>
    <n v="3192"/>
    <n v="106.4"/>
    <n v="851.2"/>
    <n v="3192"/>
    <n v="0"/>
    <n v="0"/>
  </r>
  <r>
    <s v="Atomberg Technologies Private Limit"/>
    <d v="2025-11-20T00:00:00"/>
    <s v="3271313576"/>
    <x v="2"/>
    <x v="2"/>
    <s v="NOS"/>
    <s v="ZSFG"/>
    <s v="SF0045"/>
    <n v="2628"/>
    <n v="388076.76"/>
    <n v="2628"/>
    <n v="2628"/>
    <d v="2025-11-20T00:00:00"/>
    <n v="428206.32"/>
    <s v="RV"/>
    <s v="Billing doc.transfer"/>
    <s v="01"/>
    <s v="Semi-Finished Goods"/>
    <s v="SFG-GV5 Stator"/>
    <s v="Sub Ass.-Mech Stator"/>
    <b v="0"/>
    <n v="40129.560000000114"/>
    <n v="9.3715478090094784E-2"/>
    <s v="November-25"/>
    <n v="162.94"/>
    <n v="2628"/>
    <n v="147.66999999999996"/>
    <n v="144.21999999999997"/>
    <n v="1.5"/>
    <n v="0"/>
    <n v="1.95"/>
    <n v="-1.1324274851176597E-14"/>
    <n v="388076.75999999989"/>
    <n v="379010.15999999992"/>
    <n v="3942"/>
    <n v="0"/>
    <n v="5124.5999999999995"/>
    <n v="9.3677954282611609E-11"/>
    <n v="9.3715478090094728E-2"/>
    <n v="147.67000000000002"/>
    <n v="-2.2737367544323206E-11"/>
    <n v="0.05"/>
    <n v="0.4"/>
    <n v="1.5"/>
    <n v="388076.76"/>
    <n v="3942"/>
    <n v="131.4"/>
    <n v="1051.2"/>
    <n v="3942"/>
    <n v="0"/>
    <n v="0"/>
  </r>
  <r>
    <s v="Atomberg Technologies Private Limit"/>
    <d v="2025-11-20T00:00:00"/>
    <s v="3271313733"/>
    <x v="2"/>
    <x v="2"/>
    <s v="NOS"/>
    <s v="ZSFG"/>
    <s v="SF0045"/>
    <n v="7494"/>
    <n v="1106638.98"/>
    <n v="7494"/>
    <n v="7494"/>
    <d v="2025-11-20T00:00:00"/>
    <n v="1221072.3600000001"/>
    <s v="RV"/>
    <s v="Billing doc.transfer"/>
    <s v="01"/>
    <s v="Semi-Finished Goods"/>
    <s v="SFG-GV5 Stator"/>
    <s v="Sub Ass.-Mech Stator"/>
    <b v="0"/>
    <n v="114433.38000000035"/>
    <n v="9.3715478090094798E-2"/>
    <s v="November-25"/>
    <n v="162.94000000000003"/>
    <n v="7494"/>
    <n v="147.66999999999996"/>
    <n v="144.21999999999997"/>
    <n v="1.5"/>
    <n v="0"/>
    <n v="1.95"/>
    <n v="-1.1324274851176597E-14"/>
    <n v="1106638.9799999997"/>
    <n v="1080784.6799999997"/>
    <n v="11241"/>
    <n v="0"/>
    <n v="14613.3"/>
    <n v="2.801243681460619E-10"/>
    <n v="9.3715478090094839E-2"/>
    <n v="147.66999999999999"/>
    <n v="4.7293724492192268E-11"/>
    <n v="0.05"/>
    <n v="0.4"/>
    <n v="1.5"/>
    <n v="1106638.98"/>
    <n v="11241"/>
    <n v="374.70000000000005"/>
    <n v="2997.6000000000004"/>
    <n v="11241"/>
    <n v="0"/>
    <n v="0"/>
  </r>
  <r>
    <s v="Atomberg Technologies Private Limit"/>
    <d v="2025-11-20T00:00:00"/>
    <s v="3271313578"/>
    <x v="33"/>
    <x v="33"/>
    <s v="NOS"/>
    <s v="ZSFG"/>
    <s v="SF0045"/>
    <n v="558"/>
    <n v="54142.74"/>
    <n v="558"/>
    <n v="558"/>
    <d v="2025-11-20T00:00:00"/>
    <n v="71072.460000000006"/>
    <s v="RV"/>
    <s v="Billing doc.transfer"/>
    <s v="01"/>
    <s v="Semi-Finished Goods"/>
    <s v="SFG-GV5 Stator"/>
    <s v="Sub Ass.-Mech Stator"/>
    <b v="0"/>
    <n v="16929.72"/>
    <n v="0.23820365863233101"/>
    <s v="November-25"/>
    <n v="127.37"/>
    <n v="558"/>
    <n v="97.03"/>
    <n v="93.490000000000009"/>
    <n v="1.63"/>
    <n v="0"/>
    <n v="1.9100000000000001"/>
    <n v="-7.9936057773011271E-15"/>
    <n v="54142.740000000005"/>
    <n v="52167.420000000006"/>
    <n v="909.54"/>
    <n v="0"/>
    <n v="1065.78"/>
    <n v="-7.503331289626658E-12"/>
    <n v="0.23820365863233095"/>
    <n v="97.03"/>
    <n v="0"/>
    <n v="0.04"/>
    <n v="0.37"/>
    <n v="1.5"/>
    <n v="54142.74"/>
    <n v="909.54"/>
    <n v="22.32"/>
    <n v="206.46"/>
    <n v="837"/>
    <n v="0"/>
    <n v="0"/>
  </r>
  <r>
    <s v="Atomberg Technologies Private Limit"/>
    <d v="2025-11-20T00:00:00"/>
    <s v="3271313810"/>
    <x v="3"/>
    <x v="3"/>
    <s v="NOS"/>
    <s v="ZFG1"/>
    <s v="FG0010"/>
    <n v="79"/>
    <n v="50957.37"/>
    <n v="79"/>
    <n v="79"/>
    <d v="2025-11-20T00:00:00"/>
    <n v="57556.24"/>
    <s v="RV"/>
    <s v="Billing doc.transfer"/>
    <s v="01"/>
    <s v="Finished Goods"/>
    <s v="FG-PCB-CF"/>
    <s v="FG-PCB-CF"/>
    <b v="0"/>
    <n v="6564.9000000000233"/>
    <n v="0.11406061271549399"/>
    <s v="November-25"/>
    <n v="728.56"/>
    <n v="79"/>
    <n v="645.02999999999963"/>
    <n v="582.23999999999967"/>
    <n v="29.88"/>
    <n v="0.43"/>
    <n v="32.480000000000004"/>
    <n v="0.42999999999996419"/>
    <n v="50991.339999999975"/>
    <n v="45996.959999999977"/>
    <n v="2360.52"/>
    <n v="33.97"/>
    <n v="2599.8900000000003"/>
    <n v="2.5011104298755527E-11"/>
    <n v="0.11406061271549395"/>
    <n v="645.03000000000009"/>
    <n v="33.969999999997071"/>
    <n v="2.4500000000000002"/>
    <n v="21.72"/>
    <n v="8.31"/>
    <n v="50957.37"/>
    <n v="2360.52"/>
    <n v="193.55"/>
    <n v="1715.8799999999999"/>
    <n v="656.49"/>
    <n v="33.97"/>
    <n v="0"/>
  </r>
  <r>
    <s v="Atomberg Technologies Private Limit"/>
    <d v="2025-11-20T00:00:00"/>
    <s v="3271313592"/>
    <x v="3"/>
    <x v="3"/>
    <s v="NOS"/>
    <s v="ZFG1"/>
    <s v="FG0010"/>
    <n v="206"/>
    <n v="132876.18"/>
    <n v="206"/>
    <n v="206"/>
    <d v="2025-11-20T00:00:00"/>
    <n v="150083.35999999999"/>
    <s v="RV"/>
    <s v="Billing doc.transfer"/>
    <s v="01"/>
    <s v="Finished Goods"/>
    <s v="FG-PCB-CF"/>
    <s v="FG-PCB-CF"/>
    <b v="0"/>
    <n v="17118.600000000064"/>
    <n v="0.11406061271549402"/>
    <s v="November-25"/>
    <n v="728.56"/>
    <n v="206"/>
    <n v="645.02999999999963"/>
    <n v="582.23999999999967"/>
    <n v="29.88"/>
    <n v="0.43"/>
    <n v="32.480000000000004"/>
    <n v="0.42999999999996419"/>
    <n v="132964.75999999992"/>
    <n v="119941.43999999993"/>
    <n v="6155.28"/>
    <n v="88.58"/>
    <n v="6779.4600000000009"/>
    <n v="6.2755134422332048E-11"/>
    <n v="0.11406061271549406"/>
    <n v="645.03"/>
    <n v="88.579999999991742"/>
    <n v="2.4500000000000002"/>
    <n v="21.72"/>
    <n v="8.31"/>
    <n v="132876.18"/>
    <n v="6155.28"/>
    <n v="504.70000000000005"/>
    <n v="4474.32"/>
    <n v="1711.8600000000001"/>
    <n v="88.58"/>
    <n v="0"/>
  </r>
  <r>
    <s v="Atomberg Technologies Private Limit"/>
    <d v="2025-11-20T00:00:00"/>
    <s v="3271313394"/>
    <x v="15"/>
    <x v="15"/>
    <s v="NOS"/>
    <s v="ZFG1"/>
    <s v="FG0010"/>
    <n v="895"/>
    <n v="377135.1"/>
    <n v="895"/>
    <n v="895"/>
    <d v="2025-11-20T00:00:00"/>
    <n v="432428.2"/>
    <s v="RV"/>
    <s v="Billing doc.transfer"/>
    <s v="01"/>
    <s v="Finished Goods"/>
    <s v="FG-PCB-CF"/>
    <s v="FG-PCB-CF"/>
    <b v="0"/>
    <n v="55060.40000000014"/>
    <n v="0.12732842122692309"/>
    <s v="November-25"/>
    <n v="483.16"/>
    <n v="895"/>
    <n v="421.37999999999982"/>
    <n v="373.01999999999981"/>
    <n v="22"/>
    <n v="0.26"/>
    <n v="26.1"/>
    <n v="0.26000000000001222"/>
    <n v="377367.79999999987"/>
    <n v="333852.89999999985"/>
    <n v="19690"/>
    <n v="232.70000000000002"/>
    <n v="23592.2"/>
    <n v="1.2732925824820995E-10"/>
    <n v="0.12732842122692312"/>
    <n v="421.38"/>
    <n v="232.70000000002256"/>
    <n v="1.8"/>
    <n v="15.99"/>
    <n v="8.31"/>
    <n v="377135.1"/>
    <n v="19690"/>
    <n v="1611"/>
    <n v="14311.050000000001"/>
    <n v="7437.4500000000007"/>
    <n v="232.70000000000002"/>
    <n v="0"/>
  </r>
  <r>
    <s v="Atomberg Technologies Private Limit"/>
    <d v="2025-11-20T00:00:00"/>
    <s v="3271313584"/>
    <x v="5"/>
    <x v="5"/>
    <s v="NOS"/>
    <s v="ZFG1"/>
    <s v="FG0010"/>
    <n v="840"/>
    <n v="274789.2"/>
    <n v="840"/>
    <n v="840"/>
    <d v="2025-11-20T00:00:00"/>
    <n v="286498.8"/>
    <s v="RV"/>
    <s v="Billing doc.transfer"/>
    <s v="01"/>
    <s v="Finished Goods"/>
    <s v="FG-PCB-CF"/>
    <s v="FG-PCB-CF"/>
    <b v="0"/>
    <n v="11566.800000000047"/>
    <n v="4.0372943970446114E-2"/>
    <s v="November-25"/>
    <n v="341.07"/>
    <n v="840"/>
    <n v="327.13"/>
    <n v="278.14"/>
    <n v="22.400000000000002"/>
    <n v="0.17"/>
    <n v="26.42"/>
    <n v="0.17000000000000526"/>
    <n v="274931.99999999994"/>
    <n v="233637.59999999998"/>
    <n v="18816"/>
    <n v="142.80000000000001"/>
    <n v="22335.600000000002"/>
    <n v="3.2741809263825417E-11"/>
    <n v="4.0372943970446107E-2"/>
    <n v="327.13"/>
    <n v="142.79999999996289"/>
    <n v="1.8299999999999998"/>
    <n v="16.28"/>
    <n v="8.31"/>
    <n v="274789.2"/>
    <n v="18816"/>
    <n v="1537.1999999999998"/>
    <n v="13675.2"/>
    <n v="6980.4000000000005"/>
    <n v="142.80000000000001"/>
    <n v="0"/>
  </r>
  <r>
    <s v="Atomberg Technologies Private Limit"/>
    <d v="2025-11-20T00:00:00"/>
    <s v="3271313592"/>
    <x v="5"/>
    <x v="5"/>
    <s v="NOS"/>
    <s v="ZFG1"/>
    <s v="FG0010"/>
    <n v="1155"/>
    <n v="377835.15"/>
    <n v="1155"/>
    <n v="1155"/>
    <d v="2025-11-20T00:00:00"/>
    <n v="393935.85"/>
    <s v="RV"/>
    <s v="Billing doc.transfer"/>
    <s v="01"/>
    <s v="Finished Goods"/>
    <s v="FG-PCB-CF"/>
    <s v="FG-PCB-CF"/>
    <b v="0"/>
    <n v="15904.349999999977"/>
    <n v="4.0372943970445892E-2"/>
    <s v="November-25"/>
    <n v="341.07"/>
    <n v="1155"/>
    <n v="327.13"/>
    <n v="278.14"/>
    <n v="22.400000000000002"/>
    <n v="0.17"/>
    <n v="26.42"/>
    <n v="0.17000000000000526"/>
    <n v="378031.5"/>
    <n v="321251.7"/>
    <n v="25872.000000000004"/>
    <n v="196.35000000000002"/>
    <n v="30711.45"/>
    <n v="0"/>
    <n v="4.0372943970445885E-2"/>
    <n v="327.13"/>
    <n v="196.34999999998399"/>
    <n v="1.8299999999999998"/>
    <n v="16.28"/>
    <n v="8.31"/>
    <n v="377835.15"/>
    <n v="25872.000000000004"/>
    <n v="2113.6499999999996"/>
    <n v="18803.400000000001"/>
    <n v="9598.0500000000011"/>
    <n v="196.35000000000002"/>
    <n v="0"/>
  </r>
  <r>
    <s v="Atomberg Technologies Private Limit"/>
    <d v="2025-11-20T00:00:00"/>
    <s v="3271313592"/>
    <x v="6"/>
    <x v="6"/>
    <s v="NOS"/>
    <s v="ZFG1"/>
    <s v="FG0010"/>
    <n v="1030"/>
    <n v="336913"/>
    <n v="1030"/>
    <n v="1030"/>
    <d v="2025-11-20T00:00:00"/>
    <n v="351302.1"/>
    <s v="RV"/>
    <s v="Billing doc.transfer"/>
    <s v="01"/>
    <s v="Finished Goods"/>
    <s v="FG-PCB-CF"/>
    <s v="FG-PCB-CF"/>
    <b v="0"/>
    <n v="14213.999999999942"/>
    <n v="4.0460902454041527E-2"/>
    <s v="November-25"/>
    <n v="341.07"/>
    <n v="1030"/>
    <n v="327.10000000000008"/>
    <n v="278.11000000000007"/>
    <n v="22.400000000000002"/>
    <n v="0.17"/>
    <n v="26.42"/>
    <n v="0.17000000000000526"/>
    <n v="337088.10000000003"/>
    <n v="286453.30000000005"/>
    <n v="23072.000000000004"/>
    <n v="175.10000000000002"/>
    <n v="27387.7"/>
    <n v="-5.0931703299283981E-11"/>
    <n v="4.0460902454041547E-2"/>
    <n v="327.10000000000002"/>
    <n v="175.09999999998399"/>
    <n v="1.8299999999999998"/>
    <n v="16.28"/>
    <n v="8.31"/>
    <n v="336913"/>
    <n v="23072.000000000004"/>
    <n v="1884.8999999999999"/>
    <n v="16768.400000000001"/>
    <n v="8559.3000000000011"/>
    <n v="175.10000000000002"/>
    <n v="0"/>
  </r>
  <r>
    <s v="Atomberg Technologies Private Limit"/>
    <d v="2025-11-20T00:00:00"/>
    <s v="3271313810"/>
    <x v="9"/>
    <x v="9"/>
    <s v="NOS"/>
    <s v="ZFG1"/>
    <s v="FG0010"/>
    <n v="202"/>
    <n v="43753.2"/>
    <n v="202"/>
    <n v="202"/>
    <d v="2025-11-20T00:00:00"/>
    <n v="44813.7"/>
    <s v="RV"/>
    <s v="Billing doc.transfer"/>
    <s v="01"/>
    <s v="Finished Goods"/>
    <s v="FG-PCB-CF"/>
    <s v="FG-PCB-CF"/>
    <b v="0"/>
    <n v="1052.4200000000055"/>
    <n v="2.3484336263241052E-2"/>
    <s v="November-25"/>
    <n v="221.85"/>
    <n v="202"/>
    <n v="216.59999999999994"/>
    <n v="174.98999999999995"/>
    <n v="18.389999999999997"/>
    <n v="0.04"/>
    <n v="23.18"/>
    <n v="3.9999999999988489E-2"/>
    <n v="43761.279999999992"/>
    <n v="35347.979999999989"/>
    <n v="3714.7799999999993"/>
    <n v="8.08"/>
    <n v="4690.4399999999996"/>
    <n v="1.0004441719502211E-11"/>
    <n v="2.348433626324109E-2"/>
    <n v="216.6"/>
    <n v="8.0800000000044747"/>
    <n v="1.5"/>
    <n v="13.37"/>
    <n v="8.31"/>
    <n v="43753.2"/>
    <n v="3714.7799999999993"/>
    <n v="303"/>
    <n v="2700.74"/>
    <n v="1678.6200000000001"/>
    <n v="8.08"/>
    <n v="0"/>
  </r>
  <r>
    <s v="Atomberg Technologies Private Limit"/>
    <d v="2025-11-20T00:00:00"/>
    <s v="3271313592"/>
    <x v="9"/>
    <x v="9"/>
    <s v="NOS"/>
    <s v="ZFG1"/>
    <s v="FG0010"/>
    <n v="789"/>
    <n v="170897.4"/>
    <n v="789"/>
    <n v="789"/>
    <d v="2025-11-20T00:00:00"/>
    <n v="175039.65"/>
    <s v="RV"/>
    <s v="Billing doc.transfer"/>
    <s v="01"/>
    <s v="Finished Goods"/>
    <s v="FG-PCB-CF"/>
    <s v="FG-PCB-CF"/>
    <b v="0"/>
    <n v="4110.6900000000314"/>
    <n v="2.3484336263241107E-2"/>
    <s v="November-25"/>
    <n v="221.85"/>
    <n v="789"/>
    <n v="216.59999999999994"/>
    <n v="174.98999999999995"/>
    <n v="18.389999999999997"/>
    <n v="0.04"/>
    <n v="23.18"/>
    <n v="3.9999999999988489E-2"/>
    <n v="170928.95999999996"/>
    <n v="138067.10999999996"/>
    <n v="14509.709999999997"/>
    <n v="31.560000000000002"/>
    <n v="18320.580000000002"/>
    <n v="3.637978807091713E-11"/>
    <n v="2.348433626324109E-2"/>
    <n v="216.6"/>
    <n v="31.560000000004948"/>
    <n v="1.5"/>
    <n v="13.37"/>
    <n v="8.31"/>
    <n v="170897.4"/>
    <n v="14509.709999999997"/>
    <n v="1183.5"/>
    <n v="10548.93"/>
    <n v="6556.59"/>
    <n v="31.560000000000002"/>
    <n v="0"/>
  </r>
  <r>
    <s v="Atomberg Technologies Private Limit"/>
    <d v="2025-11-20T00:00:00"/>
    <s v="3271313584"/>
    <x v="21"/>
    <x v="21"/>
    <s v="NOS"/>
    <s v="ZFG1"/>
    <s v="FG0010"/>
    <n v="200"/>
    <n v="65040"/>
    <n v="200"/>
    <n v="200"/>
    <d v="2025-11-20T00:00:00"/>
    <n v="71004"/>
    <s v="RV"/>
    <s v="Billing doc.transfer"/>
    <s v="01"/>
    <s v="Finished Goods"/>
    <s v="FG-PCB-CF"/>
    <s v="FG-PCB-CF"/>
    <b v="0"/>
    <n v="5912.0000000000073"/>
    <n v="8.3262914765365431E-2"/>
    <s v="November-25"/>
    <n v="355.02"/>
    <n v="200"/>
    <n v="325.19999999999993"/>
    <n v="271.52999999999997"/>
    <n v="23.84"/>
    <n v="0.26"/>
    <n v="29.569999999999997"/>
    <n v="0.25999999999996248"/>
    <n v="65091.999999999993"/>
    <n v="54305.999999999993"/>
    <n v="4768"/>
    <n v="52"/>
    <n v="5965.9999999999991"/>
    <n v="8.1854523159563541E-12"/>
    <n v="8.3262914765365403E-2"/>
    <n v="325.2"/>
    <n v="52.000000000000909"/>
    <n v="1.9500000000000002"/>
    <n v="17.329999999999998"/>
    <n v="10.290000000000001"/>
    <n v="65040"/>
    <n v="4768"/>
    <n v="390.00000000000006"/>
    <n v="3465.9999999999995"/>
    <n v="2058"/>
    <n v="52"/>
    <n v="0"/>
  </r>
  <r>
    <s v="Atomberg Technologies Private Limit"/>
    <d v="2025-11-20T00:00:00"/>
    <s v="3271313810"/>
    <x v="21"/>
    <x v="21"/>
    <s v="NOS"/>
    <s v="ZFG1"/>
    <s v="FG0010"/>
    <n v="100"/>
    <n v="32520"/>
    <n v="100"/>
    <n v="100"/>
    <d v="2025-11-20T00:00:00"/>
    <n v="35502"/>
    <s v="RV"/>
    <s v="Billing doc.transfer"/>
    <s v="01"/>
    <s v="Finished Goods"/>
    <s v="FG-PCB-CF"/>
    <s v="FG-PCB-CF"/>
    <b v="0"/>
    <n v="2956.0000000000036"/>
    <n v="8.3262914765365431E-2"/>
    <s v="November-25"/>
    <n v="355.02"/>
    <n v="100"/>
    <n v="325.19999999999993"/>
    <n v="271.52999999999997"/>
    <n v="23.84"/>
    <n v="0.26"/>
    <n v="29.569999999999997"/>
    <n v="0.25999999999996248"/>
    <n v="32545.999999999996"/>
    <n v="27152.999999999996"/>
    <n v="2384"/>
    <n v="26"/>
    <n v="2982.9999999999995"/>
    <n v="4.0927261579781771E-12"/>
    <n v="8.3262914765365403E-2"/>
    <n v="325.2"/>
    <n v="26.000000000000455"/>
    <n v="1.9500000000000002"/>
    <n v="17.329999999999998"/>
    <n v="10.290000000000001"/>
    <n v="32520"/>
    <n v="2384"/>
    <n v="195.00000000000003"/>
    <n v="1732.9999999999998"/>
    <n v="1029"/>
    <n v="26"/>
    <n v="0"/>
  </r>
  <r>
    <s v="Atomberg Technologies Private Limit"/>
    <d v="2025-11-20T00:00:00"/>
    <s v="3271313393"/>
    <x v="34"/>
    <x v="34"/>
    <s v="NOS"/>
    <s v="ZFG1"/>
    <s v="FG0010"/>
    <n v="840"/>
    <n v="283122"/>
    <n v="840"/>
    <n v="840"/>
    <d v="2025-11-20T00:00:00"/>
    <n v="291244.79999999999"/>
    <s v="RV"/>
    <s v="Billing doc.transfer"/>
    <s v="01"/>
    <s v="Finished Goods"/>
    <s v="FG-PCB-CF"/>
    <s v="FG-PCB-CF"/>
    <b v="0"/>
    <n v="7971.5999999999767"/>
    <n v="2.7370789109367712E-2"/>
    <s v="November-25"/>
    <n v="346.71999999999997"/>
    <n v="840"/>
    <n v="337.05"/>
    <n v="287.83"/>
    <n v="20.62"/>
    <n v="0.18"/>
    <n v="28.42"/>
    <n v="0.18000000000002458"/>
    <n v="283273.2"/>
    <n v="241777.19999999998"/>
    <n v="17320.8"/>
    <n v="151.19999999999999"/>
    <n v="24024.000000000004"/>
    <n v="0"/>
    <n v="2.7370789109367744E-2"/>
    <n v="337.05"/>
    <n v="151.20000000002619"/>
    <n v="2.21"/>
    <n v="17.73"/>
    <n v="8.48"/>
    <n v="283122"/>
    <n v="17320.8"/>
    <n v="1856.3999999999999"/>
    <n v="14893.2"/>
    <n v="7123.2000000000007"/>
    <n v="151.19999999999999"/>
    <n v="0"/>
  </r>
  <r>
    <s v="Atomberg Technologies Private Limit"/>
    <d v="2025-11-20T00:00:00"/>
    <s v="3271313392"/>
    <x v="10"/>
    <x v="10"/>
    <s v="NOS"/>
    <s v="ZFG1"/>
    <s v="FG0025"/>
    <n v="54"/>
    <n v="28355.4"/>
    <n v="54"/>
    <n v="54"/>
    <d v="2025-11-20T00:00:00"/>
    <n v="52641.36"/>
    <s v="RV"/>
    <s v="Billing doc.transfer"/>
    <s v="01"/>
    <s v="Finished Goods"/>
    <s v="FG-PCB-Ped"/>
    <s v="FG-PCB-Ped"/>
    <b v="0"/>
    <n v="24268.679999999997"/>
    <n v="0.46101924418366086"/>
    <s v="November-25"/>
    <n v="974.84"/>
    <n v="54"/>
    <n v="525.10000000000014"/>
    <n v="451.65000000000009"/>
    <n v="26.66"/>
    <n v="0.32"/>
    <n v="46.469999999999992"/>
    <n v="0.32000000000005713"/>
    <n v="28372.680000000004"/>
    <n v="24389.100000000006"/>
    <n v="1439.64"/>
    <n v="17.28"/>
    <n v="2526.66"/>
    <n v="-4.5474735088646412E-12"/>
    <n v="0.4610192441836608"/>
    <n v="525.1"/>
    <n v="17.279999999997926"/>
    <n v="2.87"/>
    <n v="22.919999999999998"/>
    <n v="20.68"/>
    <n v="28355.4"/>
    <n v="1439.64"/>
    <n v="154.98000000000002"/>
    <n v="1237.6799999999998"/>
    <n v="1116.72"/>
    <n v="17.28"/>
    <n v="0"/>
  </r>
  <r>
    <s v="Atomberg Technologies Private Limit"/>
    <d v="2025-11-20T00:00:00"/>
    <s v="3271313392"/>
    <x v="22"/>
    <x v="22"/>
    <s v="NOS"/>
    <s v="ZFG1"/>
    <s v="FG0025"/>
    <n v="52"/>
    <n v="3163.16"/>
    <n v="52"/>
    <n v="52"/>
    <d v="2025-11-20T00:00:00"/>
    <n v="6283.68"/>
    <s v="RV"/>
    <s v="Billing doc.transfer"/>
    <s v="01"/>
    <s v="Finished Goods"/>
    <s v="FG-PCB-Ped"/>
    <s v="FG-PCB-Ped"/>
    <b v="0"/>
    <n v="3119.4800000000005"/>
    <n v="0.49644157563720626"/>
    <s v="November-25"/>
    <n v="120.84"/>
    <n v="52"/>
    <n v="60.830000000000005"/>
    <n v="48.79"/>
    <n v="12.02"/>
    <n v="0.02"/>
    <n v="0"/>
    <n v="2.0000000000006679E-2"/>
    <n v="3164.2"/>
    <n v="2537.08"/>
    <n v="625.04"/>
    <n v="1.04"/>
    <n v="1.04"/>
    <n v="-3.6415315207705135E-14"/>
    <n v="0.49644157563720626"/>
    <n v="60.83"/>
    <n v="1.0399999999999272"/>
    <n v="0"/>
    <n v="0"/>
    <n v="0"/>
    <n v="3163.16"/>
    <n v="625.04"/>
    <n v="0"/>
    <n v="0"/>
    <n v="0"/>
    <n v="1.04"/>
    <n v="0"/>
  </r>
  <r>
    <s v="GODREJ &amp; BOYCE MFG. CO. LTD  MOHALI"/>
    <d v="2025-11-19T00:00:00"/>
    <s v="3271313346"/>
    <x v="1"/>
    <x v="1"/>
    <s v="NOS"/>
    <s v="ZFG1"/>
    <s v="FG0011"/>
    <n v="4000"/>
    <n v="1845480"/>
    <n v="4000"/>
    <n v="4000"/>
    <d v="2025-11-19T00:00:00"/>
    <n v="2637240"/>
    <s v="RV"/>
    <s v="Billing doc.transfer"/>
    <s v="01"/>
    <s v="Finished Goods"/>
    <s v="FG-PCB-Ref"/>
    <s v="FG-PCB-Ref"/>
    <b v="0"/>
    <n v="790799.99999999977"/>
    <n v="0.29985894344086989"/>
    <s v="November-25"/>
    <n v="659.31"/>
    <n v="4000"/>
    <n v="461.37"/>
    <n v="401.59000000000003"/>
    <n v="28.32"/>
    <n v="0.24"/>
    <n v="31.22"/>
    <n v="0.23999999999997357"/>
    <n v="1846440.0000000002"/>
    <n v="1606360.0000000002"/>
    <n v="113280"/>
    <n v="960"/>
    <n v="125840"/>
    <n v="-2.3283064365386963E-10"/>
    <n v="0.29985894344086994"/>
    <n v="461.37"/>
    <n v="960"/>
    <n v="2.3199999999999998"/>
    <n v="20.59"/>
    <n v="8.31"/>
    <n v="1845480"/>
    <n v="113280"/>
    <n v="9280"/>
    <n v="82360"/>
    <n v="33240"/>
    <n v="960"/>
    <n v="0"/>
  </r>
  <r>
    <s v="Atomberg Technologies Private Limit"/>
    <d v="2025-11-19T00:00:00"/>
    <s v="3271313161"/>
    <x v="2"/>
    <x v="2"/>
    <s v="NOS"/>
    <s v="ZSFG"/>
    <s v="SF0045"/>
    <n v="2240"/>
    <n v="330780.79999999999"/>
    <n v="2240"/>
    <n v="2240"/>
    <d v="2025-11-19T00:00:00"/>
    <n v="364985.59999999998"/>
    <s v="RV"/>
    <s v="Billing doc.transfer"/>
    <s v="01"/>
    <s v="Semi-Finished Goods"/>
    <s v="SFG-GV5 Stator"/>
    <s v="Sub Ass.-Mech Stator"/>
    <b v="0"/>
    <n v="34204.800000000047"/>
    <n v="9.3715478090094645E-2"/>
    <s v="November-25"/>
    <n v="162.94"/>
    <n v="2240"/>
    <n v="147.66999999999996"/>
    <n v="144.21999999999997"/>
    <n v="1.5"/>
    <n v="0"/>
    <n v="1.95"/>
    <n v="-1.1324274851176597E-14"/>
    <n v="330780.79999999993"/>
    <n v="323052.79999999993"/>
    <n v="3360"/>
    <n v="0"/>
    <n v="4368"/>
    <n v="5.8207660913467407E-11"/>
    <n v="9.3715478090094617E-2"/>
    <n v="147.66999999999999"/>
    <n v="0"/>
    <n v="0.05"/>
    <n v="0.4"/>
    <n v="1.5"/>
    <n v="330780.79999999999"/>
    <n v="3360"/>
    <n v="112"/>
    <n v="896"/>
    <n v="3360"/>
    <n v="0"/>
    <n v="0"/>
  </r>
  <r>
    <s v="Atomberg Technologies Private Limit"/>
    <d v="2025-11-19T00:00:00"/>
    <s v="3271313153"/>
    <x v="35"/>
    <x v="35"/>
    <s v="NOS"/>
    <s v="ZSFG"/>
    <s v="SF0045"/>
    <n v="1621"/>
    <n v="202835.73"/>
    <n v="1621"/>
    <n v="1621"/>
    <d v="2025-11-19T00:00:00"/>
    <n v="214604.19"/>
    <s v="RV"/>
    <s v="Billing doc.transfer"/>
    <s v="01"/>
    <s v="Semi-Finished Goods"/>
    <s v="SFG-GV5 Stator"/>
    <s v="Sub Ass.-Mech Stator"/>
    <b v="0"/>
    <n v="11768.459999999992"/>
    <n v="5.483797869929749E-2"/>
    <s v="November-25"/>
    <n v="132.39000000000001"/>
    <n v="1621"/>
    <n v="125.13"/>
    <n v="121.67999999999999"/>
    <n v="1.5"/>
    <n v="0"/>
    <n v="1.95"/>
    <n v="2.886579864025407E-15"/>
    <n v="202835.73"/>
    <n v="197243.28"/>
    <n v="2431.5"/>
    <n v="0"/>
    <n v="3160.95"/>
    <n v="1.1823431123048067E-11"/>
    <n v="5.4837978699297518E-2"/>
    <n v="125.13000000000001"/>
    <n v="1.1823431123048067E-11"/>
    <n v="0.05"/>
    <n v="0.4"/>
    <n v="1.5"/>
    <n v="202835.73"/>
    <n v="2431.5"/>
    <n v="81.050000000000011"/>
    <n v="648.40000000000009"/>
    <n v="2431.5"/>
    <n v="0"/>
    <n v="0"/>
  </r>
  <r>
    <s v="Atomberg Technologies Private Limit"/>
    <d v="2025-11-19T00:00:00"/>
    <s v="3271313280"/>
    <x v="3"/>
    <x v="3"/>
    <s v="NOS"/>
    <s v="ZFG1"/>
    <s v="FG0010"/>
    <n v="105"/>
    <n v="67728.149999999994"/>
    <n v="105"/>
    <n v="105"/>
    <d v="2025-11-19T00:00:00"/>
    <n v="76498.8"/>
    <s v="RV"/>
    <s v="Billing doc.transfer"/>
    <s v="01"/>
    <s v="Finished Goods"/>
    <s v="FG-PCB-CF"/>
    <s v="FG-PCB-CF"/>
    <b v="0"/>
    <n v="8725.5000000000437"/>
    <n v="0.11406061271549414"/>
    <s v="November-25"/>
    <n v="728.56000000000006"/>
    <n v="105"/>
    <n v="645.02999999999963"/>
    <n v="582.23999999999967"/>
    <n v="29.88"/>
    <n v="0.43"/>
    <n v="32.480000000000004"/>
    <n v="0.42999999999996419"/>
    <n v="67773.299999999959"/>
    <n v="61135.199999999968"/>
    <n v="3137.4"/>
    <n v="45.15"/>
    <n v="3455.5500000000006"/>
    <n v="2.5465851649641991E-11"/>
    <n v="0.11406061271549417"/>
    <n v="645.03"/>
    <n v="45.149999999990541"/>
    <n v="2.4500000000000002"/>
    <n v="21.72"/>
    <n v="8.31"/>
    <n v="67728.149999999994"/>
    <n v="3137.4"/>
    <n v="257.25"/>
    <n v="2280.6"/>
    <n v="872.55000000000007"/>
    <n v="45.15"/>
    <n v="0"/>
  </r>
  <r>
    <s v="Atomberg Technologies Private Limit"/>
    <d v="2025-11-19T00:00:00"/>
    <s v="3271312727"/>
    <x v="3"/>
    <x v="3"/>
    <s v="NOS"/>
    <s v="ZFG1"/>
    <s v="FG0010"/>
    <n v="105"/>
    <n v="67728.149999999994"/>
    <n v="105"/>
    <n v="105"/>
    <d v="2025-11-19T00:00:00"/>
    <n v="76498.8"/>
    <s v="RV"/>
    <s v="Billing doc.transfer"/>
    <s v="01"/>
    <s v="Finished Goods"/>
    <s v="FG-PCB-CF"/>
    <s v="FG-PCB-CF"/>
    <b v="0"/>
    <n v="8725.5000000000437"/>
    <n v="0.11406061271549414"/>
    <s v="November-25"/>
    <n v="728.56000000000006"/>
    <n v="105"/>
    <n v="645.02999999999963"/>
    <n v="582.23999999999967"/>
    <n v="29.88"/>
    <n v="0.43"/>
    <n v="32.480000000000004"/>
    <n v="0.42999999999996419"/>
    <n v="67773.299999999959"/>
    <n v="61135.199999999968"/>
    <n v="3137.4"/>
    <n v="45.15"/>
    <n v="3455.5500000000006"/>
    <n v="2.5465851649641991E-11"/>
    <n v="0.11406061271549417"/>
    <n v="645.03"/>
    <n v="45.149999999990541"/>
    <n v="2.4500000000000002"/>
    <n v="21.72"/>
    <n v="8.31"/>
    <n v="67728.149999999994"/>
    <n v="3137.4"/>
    <n v="257.25"/>
    <n v="2280.6"/>
    <n v="872.55000000000007"/>
    <n v="45.15"/>
    <n v="0"/>
  </r>
  <r>
    <s v="Atomberg Technologies Private Limit"/>
    <d v="2025-11-19T00:00:00"/>
    <s v="3271313280"/>
    <x v="11"/>
    <x v="11"/>
    <s v="NOS"/>
    <s v="ZFG1"/>
    <s v="FG0010"/>
    <n v="1649"/>
    <n v="539437.37"/>
    <n v="1649"/>
    <n v="1649"/>
    <d v="2025-11-19T00:00:00"/>
    <n v="562424.43000000005"/>
    <s v="RV"/>
    <s v="Billing doc.transfer"/>
    <s v="01"/>
    <s v="Finished Goods"/>
    <s v="FG-PCB-CF"/>
    <s v="FG-PCB-CF"/>
    <b v="0"/>
    <n v="22706.729999999981"/>
    <n v="4.0372943970445913E-2"/>
    <s v="November-25"/>
    <n v="341.07000000000005"/>
    <n v="1649"/>
    <n v="327.13000000000005"/>
    <n v="278.14000000000004"/>
    <n v="22.400000000000002"/>
    <n v="0.17"/>
    <n v="26.42"/>
    <n v="0.17000000000000526"/>
    <n v="539717.70000000007"/>
    <n v="458652.86000000004"/>
    <n v="36937.600000000006"/>
    <n v="280.33000000000004"/>
    <n v="43846.91"/>
    <n v="-5.8207660913467407E-11"/>
    <n v="4.0372943970445885E-2"/>
    <n v="327.13"/>
    <n v="280.3300000000163"/>
    <n v="1.8299999999999998"/>
    <n v="16.28"/>
    <n v="8.31"/>
    <n v="539437.37"/>
    <n v="36937.600000000006"/>
    <n v="3017.6699999999996"/>
    <n v="26845.72"/>
    <n v="13703.19"/>
    <n v="280.33000000000004"/>
    <n v="0"/>
  </r>
  <r>
    <s v="Atomberg Technologies Private Limit"/>
    <d v="2025-11-19T00:00:00"/>
    <s v="3271312727"/>
    <x v="4"/>
    <x v="4"/>
    <s v="NOS"/>
    <s v="ZFG1"/>
    <s v="FG0010"/>
    <n v="1240"/>
    <n v="522548.4"/>
    <n v="1240"/>
    <n v="1240"/>
    <d v="2025-11-19T00:00:00"/>
    <n v="599118.4"/>
    <s v="RV"/>
    <s v="Billing doc.transfer"/>
    <s v="01"/>
    <s v="Finished Goods"/>
    <s v="FG-PCB-CF"/>
    <s v="FG-PCB-CF"/>
    <b v="0"/>
    <n v="76247.600000000151"/>
    <n v="0.12726632999420506"/>
    <s v="November-25"/>
    <n v="483.16"/>
    <n v="1240"/>
    <n v="421.40999999999985"/>
    <n v="373.04999999999984"/>
    <n v="22"/>
    <n v="0.26"/>
    <n v="26.1"/>
    <n v="0.26000000000001222"/>
    <n v="522870.79999999987"/>
    <n v="462581.99999999983"/>
    <n v="27280"/>
    <n v="322.40000000000003"/>
    <n v="32686.400000000001"/>
    <n v="1.964508555829525E-10"/>
    <n v="0.12726632999420506"/>
    <n v="421.41"/>
    <n v="322.40000000004511"/>
    <n v="1.8"/>
    <n v="15.99"/>
    <n v="8.31"/>
    <n v="522548.4"/>
    <n v="27280"/>
    <n v="2232"/>
    <n v="19827.599999999999"/>
    <n v="10304.400000000001"/>
    <n v="322.40000000000003"/>
    <n v="0"/>
  </r>
  <r>
    <s v="Atomberg Technologies Private Limit"/>
    <d v="2025-11-19T00:00:00"/>
    <s v="3271313280"/>
    <x v="28"/>
    <x v="28"/>
    <s v="NOS"/>
    <s v="ZFG1"/>
    <s v="FG0010"/>
    <n v="700"/>
    <n v="294966"/>
    <n v="700"/>
    <n v="700"/>
    <d v="2025-11-19T00:00:00"/>
    <n v="338212"/>
    <s v="RV"/>
    <s v="Billing doc.transfer"/>
    <s v="01"/>
    <s v="Finished Goods"/>
    <s v="FG-PCB-CF"/>
    <s v="FG-PCB-CF"/>
    <b v="0"/>
    <n v="43064.000000000116"/>
    <n v="0.12732842122692312"/>
    <s v="November-25"/>
    <n v="483.16"/>
    <n v="700"/>
    <n v="421.37999999999982"/>
    <n v="373.01999999999981"/>
    <n v="22"/>
    <n v="0.26"/>
    <n v="26.1"/>
    <n v="0.26000000000001222"/>
    <n v="295147.99999999988"/>
    <n v="261113.99999999985"/>
    <n v="15400"/>
    <n v="182"/>
    <n v="18452"/>
    <n v="1.4551915228366852E-10"/>
    <n v="0.12732842122692312"/>
    <n v="421.38"/>
    <n v="182.0000000000291"/>
    <n v="1.8"/>
    <n v="15.99"/>
    <n v="8.31"/>
    <n v="294966"/>
    <n v="15400"/>
    <n v="1260"/>
    <n v="11193"/>
    <n v="5817"/>
    <n v="182"/>
    <n v="0"/>
  </r>
  <r>
    <s v="Atomberg Technologies Private Limit"/>
    <d v="2025-11-19T00:00:00"/>
    <s v="3271313390"/>
    <x v="15"/>
    <x v="15"/>
    <s v="NOS"/>
    <s v="ZFG1"/>
    <s v="FG0010"/>
    <n v="1135"/>
    <n v="478266.3"/>
    <n v="1135"/>
    <n v="1135"/>
    <d v="2025-11-19T00:00:00"/>
    <n v="548386.6"/>
    <s v="RV"/>
    <s v="Billing doc.transfer"/>
    <s v="01"/>
    <s v="Finished Goods"/>
    <s v="FG-PCB-CF"/>
    <s v="FG-PCB-CF"/>
    <b v="0"/>
    <n v="69825.200000000244"/>
    <n v="0.1273284212269232"/>
    <s v="November-25"/>
    <n v="483.15999999999997"/>
    <n v="1135"/>
    <n v="421.37999999999982"/>
    <n v="373.01999999999981"/>
    <n v="22"/>
    <n v="0.26"/>
    <n v="26.1"/>
    <n v="0.26000000000001222"/>
    <n v="478561.39999999973"/>
    <n v="423377.69999999978"/>
    <n v="24970"/>
    <n v="295.10000000000002"/>
    <n v="29918.6"/>
    <n v="2.1100277081131935E-10"/>
    <n v="0.12732842122692323"/>
    <n v="421.38"/>
    <n v="295.09999999995489"/>
    <n v="1.8"/>
    <n v="15.99"/>
    <n v="8.31"/>
    <n v="478266.3"/>
    <n v="24970"/>
    <n v="2043"/>
    <n v="18148.650000000001"/>
    <n v="9431.85"/>
    <n v="295.10000000000002"/>
    <n v="0"/>
  </r>
  <r>
    <s v="Atomberg Technologies Private Limit"/>
    <d v="2025-11-19T00:00:00"/>
    <s v="3271313280"/>
    <x v="5"/>
    <x v="5"/>
    <s v="NOS"/>
    <s v="ZFG1"/>
    <s v="FG0010"/>
    <n v="870"/>
    <n v="284603.09999999998"/>
    <n v="870"/>
    <n v="870"/>
    <d v="2025-11-19T00:00:00"/>
    <n v="296730.90000000002"/>
    <s v="RV"/>
    <s v="Billing doc.transfer"/>
    <s v="01"/>
    <s v="Finished Goods"/>
    <s v="FG-PCB-CF"/>
    <s v="FG-PCB-CF"/>
    <b v="0"/>
    <n v="11979.900000000023"/>
    <n v="4.0372943970446024E-2"/>
    <s v="November-25"/>
    <n v="341.07000000000005"/>
    <n v="870"/>
    <n v="327.13"/>
    <n v="278.14"/>
    <n v="22.400000000000002"/>
    <n v="0.17"/>
    <n v="26.42"/>
    <n v="0.17000000000000526"/>
    <n v="284751"/>
    <n v="241981.8"/>
    <n v="19488.000000000004"/>
    <n v="147.9"/>
    <n v="23133.300000000003"/>
    <n v="0"/>
    <n v="4.0372943970445996E-2"/>
    <n v="327.13"/>
    <n v="147.90000000000509"/>
    <n v="1.8299999999999998"/>
    <n v="16.28"/>
    <n v="8.31"/>
    <n v="284603.09999999998"/>
    <n v="19488.000000000004"/>
    <n v="1592.1"/>
    <n v="14163.6"/>
    <n v="7229.7000000000007"/>
    <n v="147.9"/>
    <n v="0"/>
  </r>
  <r>
    <s v="Atomberg Technologies Private Limit"/>
    <d v="2025-11-19T00:00:00"/>
    <s v="3271312727"/>
    <x v="9"/>
    <x v="9"/>
    <s v="NOS"/>
    <s v="ZFG1"/>
    <s v="FG0010"/>
    <n v="360"/>
    <n v="77976"/>
    <n v="360"/>
    <n v="360"/>
    <d v="2025-11-19T00:00:00"/>
    <n v="79866"/>
    <s v="RV"/>
    <s v="Billing doc.transfer"/>
    <s v="01"/>
    <s v="Finished Goods"/>
    <s v="FG-PCB-CF"/>
    <s v="FG-PCB-CF"/>
    <b v="0"/>
    <n v="1875.6000000000349"/>
    <n v="2.3484336263241364E-2"/>
    <s v="November-25"/>
    <n v="221.85"/>
    <n v="360"/>
    <n v="216.59999999999994"/>
    <n v="174.98999999999995"/>
    <n v="18.389999999999997"/>
    <n v="0.04"/>
    <n v="23.18"/>
    <n v="3.9999999999988489E-2"/>
    <n v="77990.399999999965"/>
    <n v="62996.39999999998"/>
    <n v="6620.3999999999987"/>
    <n v="14.4"/>
    <n v="8359.1999999999989"/>
    <n v="2.3646862246096134E-11"/>
    <n v="2.3484336263241312E-2"/>
    <n v="216.6"/>
    <n v="14.399999999988722"/>
    <n v="1.5"/>
    <n v="13.37"/>
    <n v="8.31"/>
    <n v="77976"/>
    <n v="6620.3999999999987"/>
    <n v="540"/>
    <n v="4813.2"/>
    <n v="2991.6000000000004"/>
    <n v="14.4"/>
    <n v="0"/>
  </r>
  <r>
    <s v="Atomberg Technologies Private Limit"/>
    <d v="2025-11-19T00:00:00"/>
    <s v="3271313389"/>
    <x v="34"/>
    <x v="34"/>
    <s v="NOS"/>
    <s v="ZFG1"/>
    <s v="FG0010"/>
    <n v="1190"/>
    <n v="401089.5"/>
    <n v="1190"/>
    <n v="1190"/>
    <d v="2025-11-19T00:00:00"/>
    <n v="412596.8"/>
    <s v="RV"/>
    <s v="Billing doc.transfer"/>
    <s v="01"/>
    <s v="Finished Goods"/>
    <s v="FG-PCB-CF"/>
    <s v="FG-PCB-CF"/>
    <b v="0"/>
    <n v="11293.100000000035"/>
    <n v="2.7370789109367875E-2"/>
    <s v="November-25"/>
    <n v="346.71999999999997"/>
    <n v="1190"/>
    <n v="337.05"/>
    <n v="287.83"/>
    <n v="20.62"/>
    <n v="0.18"/>
    <n v="28.42"/>
    <n v="0.18000000000002458"/>
    <n v="401303.69999999995"/>
    <n v="342517.69999999995"/>
    <n v="24537.800000000003"/>
    <n v="214.2"/>
    <n v="34034"/>
    <n v="0"/>
    <n v="2.7370789109367855E-2"/>
    <n v="337.05"/>
    <n v="214.19999999999709"/>
    <n v="2.21"/>
    <n v="17.73"/>
    <n v="8.48"/>
    <n v="401089.5"/>
    <n v="24537.800000000003"/>
    <n v="2629.9"/>
    <n v="21098.7"/>
    <n v="10091.200000000001"/>
    <n v="214.2"/>
    <n v="0"/>
  </r>
  <r>
    <s v="HIMTEJ INDIA PRIVATE LIMITED"/>
    <d v="2025-11-19T00:00:00"/>
    <s v="3271312746"/>
    <x v="36"/>
    <x v="36"/>
    <s v="NOS"/>
    <s v="ZROH"/>
    <s v="RM0030"/>
    <n v="1500"/>
    <n v="200584.05"/>
    <n v="1500"/>
    <n v="1500"/>
    <d v="2025-11-19T00:00:00"/>
    <n v="204615"/>
    <s v="RV"/>
    <s v="Billing doc.transfer"/>
    <s v="06"/>
    <s v="Raw Material"/>
    <s v="RM-Mech. Metal"/>
    <s v="Raw Material"/>
    <b v="0"/>
    <n v="204615"/>
    <n v="1"/>
    <s v="November-25"/>
    <n v="136.41"/>
    <n v="1500"/>
    <n v="0"/>
    <n v="0"/>
    <n v="0"/>
    <n v="0"/>
    <n v="0"/>
    <n v="0"/>
    <n v="0"/>
    <n v="0"/>
    <n v="0"/>
    <n v="0"/>
    <n v="0"/>
    <n v="200584.05"/>
    <n v="1"/>
    <n v="133.7227"/>
    <n v="0"/>
    <n v="0"/>
    <n v="0"/>
    <n v="0"/>
    <n v="200584.05"/>
    <n v="0"/>
    <n v="0"/>
    <n v="0"/>
    <n v="0"/>
    <n v="0"/>
    <n v="0"/>
  </r>
  <r>
    <s v="HIMTEJ INDIA PRIVATE LIMITED"/>
    <d v="2025-11-19T00:00:00"/>
    <s v="3271312746"/>
    <x v="37"/>
    <x v="37"/>
    <s v="NOS"/>
    <s v="ZROH"/>
    <s v="RM0024"/>
    <n v="814"/>
    <n v="32985.78"/>
    <n v="814"/>
    <n v="814"/>
    <d v="2025-11-19T00:00:00"/>
    <n v="34383.360000000001"/>
    <s v="RV"/>
    <s v="Billing doc.transfer"/>
    <s v="06"/>
    <s v="Raw Material"/>
    <s v="RM-Mech-Rotor"/>
    <s v="Raw Material"/>
    <b v="0"/>
    <n v="34383.360000000001"/>
    <n v="1"/>
    <s v="November-25"/>
    <n v="42.24"/>
    <n v="814"/>
    <n v="0"/>
    <n v="0"/>
    <n v="0"/>
    <n v="0"/>
    <n v="0"/>
    <n v="0"/>
    <n v="0"/>
    <n v="0"/>
    <n v="0"/>
    <n v="0"/>
    <n v="0"/>
    <n v="32985.78"/>
    <n v="1"/>
    <n v="40.523071253071251"/>
    <n v="0"/>
    <n v="0"/>
    <n v="0"/>
    <n v="0"/>
    <n v="32985.78"/>
    <n v="0"/>
    <n v="0"/>
    <n v="0"/>
    <n v="0"/>
    <n v="0"/>
    <n v="0"/>
  </r>
  <r>
    <s v="Atomberg Technologies Private Limit"/>
    <d v="2025-11-18T00:00:00"/>
    <s v="3271312345"/>
    <x v="2"/>
    <x v="2"/>
    <s v="NOS"/>
    <s v="ZSFG"/>
    <s v="SF0045"/>
    <n v="2128"/>
    <n v="314241.76"/>
    <n v="2128"/>
    <n v="2128"/>
    <d v="2025-11-18T00:00:00"/>
    <n v="346736.32"/>
    <s v="RV"/>
    <s v="Billing doc.transfer"/>
    <s v="01"/>
    <s v="Semi-Finished Goods"/>
    <s v="SFG-GV5 Stator"/>
    <s v="Sub Ass.-Mech Stator"/>
    <b v="0"/>
    <n v="32494.560000000114"/>
    <n v="9.3715478090094839E-2"/>
    <s v="November-25"/>
    <n v="162.94"/>
    <n v="2128"/>
    <n v="147.66999999999996"/>
    <n v="144.21999999999997"/>
    <n v="1.5"/>
    <n v="0"/>
    <n v="1.95"/>
    <n v="-1.1324274851176597E-14"/>
    <n v="314241.75999999989"/>
    <n v="306900.15999999992"/>
    <n v="3192"/>
    <n v="0"/>
    <n v="4149.5999999999995"/>
    <n v="9.3677954282611609E-11"/>
    <n v="9.3715478090094839E-2"/>
    <n v="147.67000000000002"/>
    <n v="-2.2737367544323206E-11"/>
    <n v="0.05"/>
    <n v="0.4"/>
    <n v="1.5"/>
    <n v="314241.76"/>
    <n v="3192"/>
    <n v="106.4"/>
    <n v="851.2"/>
    <n v="3192"/>
    <n v="0"/>
    <n v="0"/>
  </r>
  <r>
    <s v="Atomberg Technologies Private Limit"/>
    <d v="2025-11-18T00:00:00"/>
    <s v="3271312344"/>
    <x v="35"/>
    <x v="35"/>
    <s v="NOS"/>
    <s v="ZSFG"/>
    <s v="SF0045"/>
    <n v="1932"/>
    <n v="241751.16"/>
    <n v="1932"/>
    <n v="1932"/>
    <d v="2025-11-18T00:00:00"/>
    <n v="255777.48"/>
    <s v="RV"/>
    <s v="Billing doc.transfer"/>
    <s v="01"/>
    <s v="Semi-Finished Goods"/>
    <s v="SFG-GV5 Stator"/>
    <s v="Sub Ass.-Mech Stator"/>
    <b v="0"/>
    <n v="14026.320000000036"/>
    <n v="5.4837978699297671E-2"/>
    <s v="November-25"/>
    <n v="132.39000000000001"/>
    <n v="1932"/>
    <n v="125.13"/>
    <n v="121.67999999999999"/>
    <n v="1.5"/>
    <n v="0"/>
    <n v="1.95"/>
    <n v="2.886579864025407E-15"/>
    <n v="241751.15999999997"/>
    <n v="235085.75999999998"/>
    <n v="2898"/>
    <n v="0"/>
    <n v="3767.4"/>
    <n v="2.319211489520967E-11"/>
    <n v="5.4837978699297629E-2"/>
    <n v="125.13"/>
    <n v="-5.9117155615240335E-12"/>
    <n v="0.05"/>
    <n v="0.4"/>
    <n v="1.5"/>
    <n v="241751.16"/>
    <n v="2898"/>
    <n v="96.600000000000009"/>
    <n v="772.80000000000007"/>
    <n v="2898"/>
    <n v="0"/>
    <n v="0"/>
  </r>
  <r>
    <s v="Atomberg Technologies Private Limit"/>
    <d v="2025-11-18T00:00:00"/>
    <s v="3271312449"/>
    <x v="27"/>
    <x v="27"/>
    <s v="NOS"/>
    <s v="ZFG1"/>
    <s v="FG0012"/>
    <n v="324"/>
    <n v="116549.28"/>
    <n v="324"/>
    <n v="324"/>
    <d v="2025-11-18T00:00:00"/>
    <n v="100235.88"/>
    <s v="RV"/>
    <s v="Billing doc.transfer"/>
    <s v="01"/>
    <s v="Finished Goods"/>
    <s v="FG-PCB-MG"/>
    <s v="FG-PCB-MG"/>
    <b v="0"/>
    <n v="-16358.760000000009"/>
    <n v="-0.16320263761838583"/>
    <s v="November-25"/>
    <n v="309.37"/>
    <n v="324"/>
    <n v="359.73000000000008"/>
    <n v="232.98000000000008"/>
    <n v="58.8"/>
    <n v="0.13"/>
    <n v="67.819999999999993"/>
    <n v="0.13000000000000966"/>
    <n v="116594.64000000001"/>
    <n v="75485.520000000019"/>
    <n v="19051.2"/>
    <n v="42.120000000000005"/>
    <n v="22015.799999999996"/>
    <n v="-3.2400000000161526"/>
    <n v="-0.16320263761838594"/>
    <n v="359.71999999999997"/>
    <n v="42.119999999998981"/>
    <n v="4.8099999999999996"/>
    <n v="42.739999999999995"/>
    <n v="20.27"/>
    <n v="116549.28"/>
    <n v="19051.2"/>
    <n v="1558.4399999999998"/>
    <n v="13847.759999999998"/>
    <n v="6567.48"/>
    <n v="42.120000000000005"/>
    <n v="0"/>
  </r>
  <r>
    <s v="Atomberg Technologies Private Limit"/>
    <d v="2025-11-18T00:00:00"/>
    <s v="3271312449"/>
    <x v="26"/>
    <x v="26"/>
    <s v="NOS"/>
    <s v="ZFG1"/>
    <s v="FG0012"/>
    <n v="449"/>
    <n v="137367.06"/>
    <n v="449"/>
    <n v="449"/>
    <d v="2025-11-18T00:00:00"/>
    <n v="141026.41"/>
    <s v="RV"/>
    <s v="Billing doc.transfer"/>
    <s v="01"/>
    <s v="Finished Goods"/>
    <s v="FG-PCB-MG"/>
    <s v="FG-PCB-MG"/>
    <b v="0"/>
    <n v="3596.4899999999907"/>
    <n v="2.5502244579579034E-2"/>
    <s v="November-25"/>
    <n v="314.09000000000003"/>
    <n v="449"/>
    <n v="305.95000000000005"/>
    <n v="236.08000000000004"/>
    <n v="27.35"/>
    <n v="0.13"/>
    <n v="42.39"/>
    <n v="0.13000000000000256"/>
    <n v="137429.92000000001"/>
    <n v="105999.92000000001"/>
    <n v="12280.150000000001"/>
    <n v="58.370000000000005"/>
    <n v="19091.48"/>
    <n v="-4.4900000000161526"/>
    <n v="2.5502244579579059E-2"/>
    <n v="305.94"/>
    <n v="58.369999999998981"/>
    <n v="2.2400000000000002"/>
    <n v="19.88"/>
    <n v="20.27"/>
    <n v="137367.06"/>
    <n v="12280.150000000001"/>
    <n v="1005.7600000000001"/>
    <n v="8926.119999999999"/>
    <n v="9101.23"/>
    <n v="58.370000000000005"/>
    <n v="0"/>
  </r>
  <r>
    <s v="Atomberg Technologies Private Limit"/>
    <d v="2025-11-18T00:00:00"/>
    <s v="3271312722"/>
    <x v="3"/>
    <x v="3"/>
    <s v="NOS"/>
    <s v="ZFG1"/>
    <s v="FG0010"/>
    <n v="83"/>
    <n v="53537.49"/>
    <n v="83"/>
    <n v="83"/>
    <d v="2025-11-18T00:00:00"/>
    <n v="60470.48"/>
    <s v="RV"/>
    <s v="Billing doc.transfer"/>
    <s v="01"/>
    <s v="Finished Goods"/>
    <s v="FG-PCB-CF"/>
    <s v="FG-PCB-CF"/>
    <b v="0"/>
    <n v="6897.300000000032"/>
    <n v="0.1140606127154941"/>
    <s v="November-25"/>
    <n v="728.56000000000006"/>
    <n v="83"/>
    <n v="645.02999999999963"/>
    <n v="582.23999999999967"/>
    <n v="29.88"/>
    <n v="0.43"/>
    <n v="32.480000000000004"/>
    <n v="0.42999999999996419"/>
    <n v="53573.179999999971"/>
    <n v="48325.919999999969"/>
    <n v="2480.04"/>
    <n v="35.69"/>
    <n v="2731.53"/>
    <n v="2.8649083105847239E-11"/>
    <n v="0.11406061271549406"/>
    <n v="645.03"/>
    <n v="35.690000000001874"/>
    <n v="2.4500000000000002"/>
    <n v="21.72"/>
    <n v="8.31"/>
    <n v="53537.49"/>
    <n v="2480.04"/>
    <n v="203.35000000000002"/>
    <n v="1802.76"/>
    <n v="689.73"/>
    <n v="35.69"/>
    <n v="0"/>
  </r>
  <r>
    <s v="Atomberg Technologies Private Limit"/>
    <d v="2025-11-18T00:00:00"/>
    <s v="3271312302"/>
    <x v="4"/>
    <x v="4"/>
    <s v="NOS"/>
    <s v="ZFG1"/>
    <s v="FG0010"/>
    <n v="1045"/>
    <n v="440373.45"/>
    <n v="1045"/>
    <n v="1045"/>
    <d v="2025-11-18T00:00:00"/>
    <n v="504902.2"/>
    <s v="RV"/>
    <s v="Billing doc.transfer"/>
    <s v="01"/>
    <s v="Finished Goods"/>
    <s v="FG-PCB-CF"/>
    <s v="FG-PCB-CF"/>
    <b v="0"/>
    <n v="64257.050000000163"/>
    <n v="0.12726632999420515"/>
    <s v="November-25"/>
    <n v="483.16"/>
    <n v="1045"/>
    <n v="421.40999999999985"/>
    <n v="373.04999999999984"/>
    <n v="22"/>
    <n v="0.26"/>
    <n v="26.1"/>
    <n v="0.26000000000001222"/>
    <n v="440645.14999999985"/>
    <n v="389837.24999999983"/>
    <n v="22990"/>
    <n v="271.7"/>
    <n v="27546.2"/>
    <n v="1.8553691916167736E-10"/>
    <n v="0.12726632999420517"/>
    <n v="421.41"/>
    <n v="271.70000000002256"/>
    <n v="1.8"/>
    <n v="15.99"/>
    <n v="8.31"/>
    <n v="440373.45"/>
    <n v="22990"/>
    <n v="1881"/>
    <n v="16709.55"/>
    <n v="8683.9500000000007"/>
    <n v="271.7"/>
    <n v="0"/>
  </r>
  <r>
    <s v="Atomberg Technologies Private Limit"/>
    <d v="2025-11-18T00:00:00"/>
    <s v="3271312348"/>
    <x v="5"/>
    <x v="5"/>
    <s v="NOS"/>
    <s v="ZFG1"/>
    <s v="FG0010"/>
    <n v="2170"/>
    <n v="709872.1"/>
    <n v="2170"/>
    <n v="2170"/>
    <d v="2025-11-18T00:00:00"/>
    <n v="740121.9"/>
    <s v="RV"/>
    <s v="Billing doc.transfer"/>
    <s v="01"/>
    <s v="Finished Goods"/>
    <s v="FG-PCB-CF"/>
    <s v="FG-PCB-CF"/>
    <b v="0"/>
    <n v="29880.900000000023"/>
    <n v="4.0372943970445982E-2"/>
    <s v="November-25"/>
    <n v="341.07"/>
    <n v="2170"/>
    <n v="327.13"/>
    <n v="278.14"/>
    <n v="22.400000000000002"/>
    <n v="0.17"/>
    <n v="26.42"/>
    <n v="0.17000000000000526"/>
    <n v="710241"/>
    <n v="603563.79999999993"/>
    <n v="48608.000000000007"/>
    <n v="368.90000000000003"/>
    <n v="57700.3"/>
    <n v="0"/>
    <n v="4.0372943970445996E-2"/>
    <n v="327.13"/>
    <n v="368.90000000005966"/>
    <n v="1.8299999999999998"/>
    <n v="16.28"/>
    <n v="8.31"/>
    <n v="709872.1"/>
    <n v="48608.000000000007"/>
    <n v="3971.0999999999995"/>
    <n v="35327.600000000006"/>
    <n v="18032.7"/>
    <n v="368.90000000000003"/>
    <n v="0"/>
  </r>
  <r>
    <s v="Atomberg Technologies Private Limit"/>
    <d v="2025-11-18T00:00:00"/>
    <s v="3271312302"/>
    <x v="8"/>
    <x v="8"/>
    <s v="NOS"/>
    <s v="ZFG1"/>
    <s v="FG0010"/>
    <n v="1200"/>
    <n v="390240"/>
    <n v="1200"/>
    <n v="1200"/>
    <d v="2025-11-18T00:00:00"/>
    <n v="426024"/>
    <s v="RV"/>
    <s v="Billing doc.transfer"/>
    <s v="01"/>
    <s v="Finished Goods"/>
    <s v="FG-PCB-CF"/>
    <s v="FG-PCB-CF"/>
    <b v="0"/>
    <n v="35472.000000000058"/>
    <n v="8.3262914765365473E-2"/>
    <s v="November-25"/>
    <n v="355.02"/>
    <n v="1200"/>
    <n v="325.19999999999993"/>
    <n v="271.52999999999997"/>
    <n v="23.84"/>
    <n v="0.26"/>
    <n v="29.569999999999997"/>
    <n v="0.25999999999996248"/>
    <n v="390551.99999999994"/>
    <n v="325835.99999999994"/>
    <n v="28608"/>
    <n v="312"/>
    <n v="35795.999999999993"/>
    <n v="6.5483618527650833E-11"/>
    <n v="8.3262914765365514E-2"/>
    <n v="325.2"/>
    <n v="312.00000000000728"/>
    <n v="1.9500000000000002"/>
    <n v="17.329999999999998"/>
    <n v="10.29"/>
    <n v="390240"/>
    <n v="28608"/>
    <n v="2340"/>
    <n v="20795.999999999996"/>
    <n v="12347.999999999998"/>
    <n v="312"/>
    <n v="0"/>
  </r>
  <r>
    <s v="Atomberg Technologies Private Limit"/>
    <d v="2025-11-18T00:00:00"/>
    <s v="3271312723"/>
    <x v="9"/>
    <x v="9"/>
    <s v="NOS"/>
    <s v="ZFG1"/>
    <s v="FG0010"/>
    <n v="239"/>
    <n v="51767.4"/>
    <n v="239"/>
    <n v="239"/>
    <d v="2025-11-18T00:00:00"/>
    <n v="53022.15"/>
    <s v="RV"/>
    <s v="Billing doc.transfer"/>
    <s v="01"/>
    <s v="Finished Goods"/>
    <s v="FG-PCB-CF"/>
    <s v="FG-PCB-CF"/>
    <b v="0"/>
    <n v="1245.1900000000169"/>
    <n v="2.3484336263241246E-2"/>
    <s v="November-25"/>
    <n v="221.85"/>
    <n v="239"/>
    <n v="216.59999999999994"/>
    <n v="174.98999999999995"/>
    <n v="18.389999999999997"/>
    <n v="0.04"/>
    <n v="23.18"/>
    <n v="3.9999999999988489E-2"/>
    <n v="51776.959999999985"/>
    <n v="41822.609999999986"/>
    <n v="4395.2099999999991"/>
    <n v="9.56"/>
    <n v="5549.58"/>
    <n v="1.6370904631912708E-11"/>
    <n v="2.3484336263241201E-2"/>
    <n v="216.6"/>
    <n v="9.5599999999994907"/>
    <n v="1.5"/>
    <n v="13.37"/>
    <n v="8.31"/>
    <n v="51767.4"/>
    <n v="4395.2099999999991"/>
    <n v="358.5"/>
    <n v="3195.43"/>
    <n v="1986.0900000000001"/>
    <n v="9.56"/>
    <n v="0"/>
  </r>
  <r>
    <s v="Atomberg Technologies Private Limit"/>
    <d v="2025-11-18T00:00:00"/>
    <s v="3271312302"/>
    <x v="9"/>
    <x v="9"/>
    <s v="NOS"/>
    <s v="ZFG1"/>
    <s v="FG0010"/>
    <n v="398"/>
    <n v="86206.8"/>
    <n v="398"/>
    <n v="398"/>
    <d v="2025-11-18T00:00:00"/>
    <n v="88296.3"/>
    <s v="RV"/>
    <s v="Billing doc.transfer"/>
    <s v="01"/>
    <s v="Finished Goods"/>
    <s v="FG-PCB-CF"/>
    <s v="FG-PCB-CF"/>
    <b v="0"/>
    <n v="2073.5800000000309"/>
    <n v="2.3484336263241277E-2"/>
    <s v="November-25"/>
    <n v="221.85"/>
    <n v="398"/>
    <n v="216.59999999999994"/>
    <n v="174.98999999999995"/>
    <n v="18.389999999999997"/>
    <n v="0.04"/>
    <n v="23.18"/>
    <n v="3.9999999999988489E-2"/>
    <n v="86222.719999999972"/>
    <n v="69646.019999999975"/>
    <n v="7319.2199999999984"/>
    <n v="15.92"/>
    <n v="9241.56"/>
    <n v="3.092281986027956E-11"/>
    <n v="2.3484336263241312E-2"/>
    <n v="216.6"/>
    <n v="15.920000000000073"/>
    <n v="1.5"/>
    <n v="13.37"/>
    <n v="8.31"/>
    <n v="86206.8"/>
    <n v="7319.2199999999984"/>
    <n v="597"/>
    <n v="5321.2599999999993"/>
    <n v="3307.38"/>
    <n v="15.92"/>
    <n v="0"/>
  </r>
  <r>
    <s v="Atomberg Technologies Private Limit"/>
    <d v="2025-11-18T00:00:00"/>
    <s v="3271312350"/>
    <x v="38"/>
    <x v="38"/>
    <s v="NOS"/>
    <s v="ZFG1"/>
    <s v="FG0010"/>
    <n v="1525"/>
    <n v="292739"/>
    <n v="1525"/>
    <n v="1525"/>
    <d v="2025-11-18T00:00:00"/>
    <n v="754875"/>
    <s v="RV"/>
    <s v="Billing doc.transfer"/>
    <s v="01"/>
    <s v="Finished Goods"/>
    <s v="FG-PCB-CF"/>
    <s v="FG-PCB-CF"/>
    <b v="0"/>
    <n v="462136"/>
    <n v="0.61220202020202019"/>
    <s v="November-25"/>
    <n v="495"/>
    <n v="1525"/>
    <n v="191.96"/>
    <n v="127.95"/>
    <n v="29.26"/>
    <n v="0"/>
    <n v="34.75"/>
    <n v="0"/>
    <n v="292739"/>
    <n v="195123.75"/>
    <n v="44621.5"/>
    <n v="0"/>
    <n v="52993.75"/>
    <n v="0"/>
    <n v="0.61220202020202019"/>
    <n v="191.96"/>
    <n v="0"/>
    <n v="3.14"/>
    <n v="25.15"/>
    <n v="6.46"/>
    <n v="292739"/>
    <n v="44621.5"/>
    <n v="4788.5"/>
    <n v="38353.75"/>
    <n v="9851.5"/>
    <n v="0"/>
    <n v="0"/>
  </r>
  <r>
    <s v="Atomberg Technologies Private Limit"/>
    <d v="2025-11-18T00:00:00"/>
    <s v="3271312721"/>
    <x v="34"/>
    <x v="34"/>
    <s v="NOS"/>
    <s v="ZFG1"/>
    <s v="FG0010"/>
    <n v="105"/>
    <n v="35390.25"/>
    <n v="105"/>
    <n v="105"/>
    <d v="2025-11-18T00:00:00"/>
    <n v="36405.599999999999"/>
    <s v="RV"/>
    <s v="Billing doc.transfer"/>
    <s v="01"/>
    <s v="Finished Goods"/>
    <s v="FG-PCB-CF"/>
    <s v="FG-PCB-CF"/>
    <b v="0"/>
    <n v="996.44999999999709"/>
    <n v="2.7370789109367712E-2"/>
    <s v="November-25"/>
    <n v="346.71999999999997"/>
    <n v="105"/>
    <n v="337.05"/>
    <n v="287.83"/>
    <n v="20.62"/>
    <n v="0.18"/>
    <n v="28.42"/>
    <n v="0.18000000000002458"/>
    <n v="35409.15"/>
    <n v="30222.149999999998"/>
    <n v="2165.1"/>
    <n v="18.899999999999999"/>
    <n v="3003.0000000000005"/>
    <n v="0"/>
    <n v="2.7370789109367744E-2"/>
    <n v="337.05"/>
    <n v="18.900000000003274"/>
    <n v="2.21"/>
    <n v="17.73"/>
    <n v="8.48"/>
    <n v="35390.25"/>
    <n v="2165.1"/>
    <n v="232.04999999999998"/>
    <n v="1861.65"/>
    <n v="890.40000000000009"/>
    <n v="18.899999999999999"/>
    <n v="0"/>
  </r>
  <r>
    <s v="Atomberg Technologies Private Limit"/>
    <d v="2025-11-18T00:00:00"/>
    <s v="3271312473"/>
    <x v="10"/>
    <x v="10"/>
    <s v="NOS"/>
    <s v="ZFG1"/>
    <s v="FG0025"/>
    <n v="52"/>
    <n v="27305.200000000001"/>
    <n v="52"/>
    <n v="52"/>
    <d v="2025-11-18T00:00:00"/>
    <n v="50691.68"/>
    <s v="RV"/>
    <s v="Billing doc.transfer"/>
    <s v="01"/>
    <s v="Finished Goods"/>
    <s v="FG-PCB-Ped"/>
    <s v="FG-PCB-Ped"/>
    <b v="0"/>
    <n v="23369.84"/>
    <n v="0.46101924418366091"/>
    <s v="November-25"/>
    <n v="974.84"/>
    <n v="52"/>
    <n v="525.10000000000014"/>
    <n v="451.65000000000009"/>
    <n v="26.66"/>
    <n v="0.32"/>
    <n v="46.469999999999992"/>
    <n v="0.32000000000005713"/>
    <n v="27321.84"/>
    <n v="23485.800000000003"/>
    <n v="1386.32"/>
    <n v="16.64"/>
    <n v="2433.0799999999995"/>
    <n v="0"/>
    <n v="0.46101924418366091"/>
    <n v="525.1"/>
    <n v="16.639999999998054"/>
    <n v="2.87"/>
    <n v="22.919999999999998"/>
    <n v="20.68"/>
    <n v="27305.200000000001"/>
    <n v="1386.32"/>
    <n v="149.24"/>
    <n v="1191.8399999999999"/>
    <n v="1075.3599999999999"/>
    <n v="16.64"/>
    <n v="0"/>
  </r>
  <r>
    <s v="Atomberg Technologies Private Limit"/>
    <d v="2025-11-18T00:00:00"/>
    <s v="3271312473"/>
    <x v="22"/>
    <x v="22"/>
    <s v="NOS"/>
    <s v="ZFG1"/>
    <s v="FG0025"/>
    <n v="52"/>
    <n v="3163.16"/>
    <n v="52"/>
    <n v="52"/>
    <d v="2025-11-18T00:00:00"/>
    <n v="6283.68"/>
    <s v="RV"/>
    <s v="Billing doc.transfer"/>
    <s v="01"/>
    <s v="Finished Goods"/>
    <s v="FG-PCB-Ped"/>
    <s v="FG-PCB-Ped"/>
    <b v="0"/>
    <n v="3119.4800000000005"/>
    <n v="0.49644157563720626"/>
    <s v="November-25"/>
    <n v="120.84"/>
    <n v="52"/>
    <n v="60.830000000000005"/>
    <n v="48.79"/>
    <n v="12.02"/>
    <n v="0.02"/>
    <n v="0"/>
    <n v="2.0000000000006679E-2"/>
    <n v="3164.2"/>
    <n v="2537.08"/>
    <n v="625.04"/>
    <n v="1.04"/>
    <n v="1.04"/>
    <n v="-3.6415315207705135E-14"/>
    <n v="0.49644157563720626"/>
    <n v="60.83"/>
    <n v="1.0399999999999272"/>
    <n v="0"/>
    <n v="0"/>
    <n v="0"/>
    <n v="3163.16"/>
    <n v="625.04"/>
    <n v="0"/>
    <n v="0"/>
    <n v="0"/>
    <n v="1.04"/>
    <n v="0"/>
  </r>
  <r>
    <s v="KAYNES TECHNOLOGY INDIA LIMITED"/>
    <d v="2025-11-18T00:00:00"/>
    <s v="3271312678"/>
    <x v="39"/>
    <x v="39"/>
    <s v="NOS"/>
    <s v="ZROH"/>
    <s v="RM0004"/>
    <n v="30000"/>
    <n v="19789.080000000002"/>
    <n v="30000"/>
    <n v="30000"/>
    <d v="2025-11-18T00:00:00"/>
    <n v="20100"/>
    <s v="RV"/>
    <s v="Billing doc.transfer"/>
    <s v="06"/>
    <s v="Raw Material"/>
    <s v="RM-Eletro-Diodes"/>
    <s v="Raw Material"/>
    <b v="0"/>
    <n v="20100"/>
    <n v="1"/>
    <s v="November-25"/>
    <n v="0.67"/>
    <n v="30000"/>
    <n v="0"/>
    <n v="0"/>
    <n v="0"/>
    <n v="0"/>
    <n v="0"/>
    <n v="0"/>
    <n v="0"/>
    <n v="0"/>
    <n v="0"/>
    <n v="0"/>
    <n v="0"/>
    <n v="19789.080000000002"/>
    <n v="1"/>
    <n v="0.65963600000000011"/>
    <n v="0"/>
    <n v="0"/>
    <n v="0"/>
    <n v="0"/>
    <n v="19789.080000000002"/>
    <n v="0"/>
    <n v="0"/>
    <n v="0"/>
    <n v="0"/>
    <n v="0"/>
    <n v="0"/>
  </r>
  <r>
    <s v="Atomberg Technologies Private Limit"/>
    <d v="2025-11-17T00:00:00"/>
    <s v="3271311726"/>
    <x v="2"/>
    <x v="2"/>
    <s v="NOS"/>
    <s v="ZSFG"/>
    <s v="SF0045"/>
    <n v="2128"/>
    <n v="314241.76"/>
    <n v="2128"/>
    <n v="2128"/>
    <d v="2025-11-17T00:00:00"/>
    <n v="346736.32"/>
    <s v="RV"/>
    <s v="Billing doc.transfer"/>
    <s v="01"/>
    <s v="Semi-Finished Goods"/>
    <s v="SFG-GV5 Stator"/>
    <s v="Sub Ass.-Mech Stator"/>
    <b v="0"/>
    <n v="32494.560000000114"/>
    <n v="9.3715478090094839E-2"/>
    <s v="November-25"/>
    <n v="162.94"/>
    <n v="2128"/>
    <n v="147.66999999999996"/>
    <n v="144.21999999999997"/>
    <n v="1.5"/>
    <n v="0"/>
    <n v="1.95"/>
    <n v="-1.1324274851176597E-14"/>
    <n v="314241.75999999989"/>
    <n v="306900.15999999992"/>
    <n v="3192"/>
    <n v="0"/>
    <n v="4149.5999999999995"/>
    <n v="9.3677954282611609E-11"/>
    <n v="9.3715478090094839E-2"/>
    <n v="147.67000000000002"/>
    <n v="-2.2737367544323206E-11"/>
    <n v="0.05"/>
    <n v="0.4"/>
    <n v="1.5"/>
    <n v="314241.76"/>
    <n v="3192"/>
    <n v="106.4"/>
    <n v="851.2"/>
    <n v="3192"/>
    <n v="0"/>
    <n v="0"/>
  </r>
  <r>
    <s v="Atomberg Technologies Private Limit"/>
    <d v="2025-11-17T00:00:00"/>
    <s v="3271311725"/>
    <x v="33"/>
    <x v="33"/>
    <s v="NOS"/>
    <s v="ZSFG"/>
    <s v="SF0045"/>
    <n v="1120"/>
    <n v="108673.60000000001"/>
    <n v="1120"/>
    <n v="1120"/>
    <d v="2025-11-17T00:00:00"/>
    <n v="142654.39999999999"/>
    <s v="RV"/>
    <s v="Billing doc.transfer"/>
    <s v="01"/>
    <s v="Semi-Finished Goods"/>
    <s v="SFG-GV5 Stator"/>
    <s v="Sub Ass.-Mech Stator"/>
    <b v="0"/>
    <n v="33980.799999999974"/>
    <n v="0.23820365863233084"/>
    <s v="November-25"/>
    <n v="127.36999999999999"/>
    <n v="1120"/>
    <n v="97.03"/>
    <n v="93.490000000000009"/>
    <n v="1.63"/>
    <n v="0"/>
    <n v="1.9100000000000001"/>
    <n v="-7.9936057773011271E-15"/>
    <n v="108673.60000000002"/>
    <n v="104708.80000000002"/>
    <n v="1825.6"/>
    <n v="0"/>
    <n v="2139.2000000000003"/>
    <n v="-1.1823431123048067E-11"/>
    <n v="0.23820365863233084"/>
    <n v="97.03"/>
    <n v="0"/>
    <n v="0.04"/>
    <n v="0.37"/>
    <n v="1.5"/>
    <n v="108673.60000000001"/>
    <n v="1825.6"/>
    <n v="44.800000000000004"/>
    <n v="414.4"/>
    <n v="1680"/>
    <n v="0"/>
    <n v="0"/>
  </r>
  <r>
    <s v="Atomberg Technologies Private Limit"/>
    <d v="2025-11-17T00:00:00"/>
    <s v="3271311646"/>
    <x v="3"/>
    <x v="3"/>
    <s v="NOS"/>
    <s v="ZFG1"/>
    <s v="FG0010"/>
    <n v="60"/>
    <n v="38701.800000000003"/>
    <n v="60"/>
    <n v="60"/>
    <d v="2025-11-17T00:00:00"/>
    <n v="43713.599999999999"/>
    <s v="RV"/>
    <s v="Billing doc.transfer"/>
    <s v="01"/>
    <s v="Finished Goods"/>
    <s v="FG-PCB-CF"/>
    <s v="FG-PCB-CF"/>
    <b v="0"/>
    <n v="4986.0000000000146"/>
    <n v="0.11406061271549392"/>
    <s v="November-25"/>
    <n v="728.56"/>
    <n v="60"/>
    <n v="645.02999999999963"/>
    <n v="582.23999999999967"/>
    <n v="29.88"/>
    <n v="0.43"/>
    <n v="32.480000000000004"/>
    <n v="0.42999999999996419"/>
    <n v="38727.599999999984"/>
    <n v="34934.39999999998"/>
    <n v="1792.8"/>
    <n v="25.8"/>
    <n v="1974.6000000000001"/>
    <n v="2.319211489520967E-11"/>
    <n v="0.11406061271549395"/>
    <n v="645.03000000000009"/>
    <n v="25.800000000004275"/>
    <n v="2.4500000000000002"/>
    <n v="21.72"/>
    <n v="8.31"/>
    <n v="38701.800000000003"/>
    <n v="1792.8"/>
    <n v="147"/>
    <n v="1303.1999999999998"/>
    <n v="498.6"/>
    <n v="25.8"/>
    <n v="0"/>
  </r>
  <r>
    <s v="Atomberg Technologies Private Limit"/>
    <d v="2025-11-17T00:00:00"/>
    <s v="3271312301"/>
    <x v="3"/>
    <x v="3"/>
    <s v="NOS"/>
    <s v="ZFG1"/>
    <s v="FG0010"/>
    <n v="150"/>
    <n v="96754.5"/>
    <n v="150"/>
    <n v="150"/>
    <d v="2025-11-17T00:00:00"/>
    <n v="109284"/>
    <s v="RV"/>
    <s v="Billing doc.transfer"/>
    <s v="01"/>
    <s v="Finished Goods"/>
    <s v="FG-PCB-CF"/>
    <s v="FG-PCB-CF"/>
    <b v="0"/>
    <n v="12465.000000000044"/>
    <n v="0.11406061271549398"/>
    <s v="November-25"/>
    <n v="728.56"/>
    <n v="150"/>
    <n v="645.02999999999963"/>
    <n v="582.23999999999967"/>
    <n v="29.88"/>
    <n v="0.43"/>
    <n v="32.480000000000004"/>
    <n v="0.42999999999996419"/>
    <n v="96818.999999999956"/>
    <n v="87335.999999999956"/>
    <n v="4482"/>
    <n v="64.5"/>
    <n v="4936.5000000000009"/>
    <n v="4.2746250983327627E-11"/>
    <n v="0.11406061271549395"/>
    <n v="645.03"/>
    <n v="64.499999999999091"/>
    <n v="2.4500000000000002"/>
    <n v="21.72"/>
    <n v="8.31"/>
    <n v="96754.5"/>
    <n v="4482"/>
    <n v="367.5"/>
    <n v="3258"/>
    <n v="1246.5"/>
    <n v="64.5"/>
    <n v="0"/>
  </r>
  <r>
    <s v="Atomberg Technologies Private Limit"/>
    <d v="2025-11-17T00:00:00"/>
    <s v="3271311723"/>
    <x v="4"/>
    <x v="4"/>
    <s v="NOS"/>
    <s v="ZFG1"/>
    <s v="FG0010"/>
    <n v="945"/>
    <n v="398232.45"/>
    <n v="945"/>
    <n v="945"/>
    <d v="2025-11-17T00:00:00"/>
    <n v="456586.2"/>
    <s v="RV"/>
    <s v="Billing doc.transfer"/>
    <s v="01"/>
    <s v="Finished Goods"/>
    <s v="FG-PCB-CF"/>
    <s v="FG-PCB-CF"/>
    <b v="0"/>
    <n v="58108.050000000163"/>
    <n v="0.12726632999420517"/>
    <s v="November-25"/>
    <n v="483.16"/>
    <n v="945"/>
    <n v="421.40999999999985"/>
    <n v="373.04999999999984"/>
    <n v="22"/>
    <n v="0.26"/>
    <n v="26.1"/>
    <n v="0.26000000000001222"/>
    <n v="398478.14999999985"/>
    <n v="352532.24999999983"/>
    <n v="20790"/>
    <n v="245.70000000000002"/>
    <n v="24910.2"/>
    <n v="1.8553691916167736E-10"/>
    <n v="0.12726632999420517"/>
    <n v="421.41"/>
    <n v="245.70000000002256"/>
    <n v="1.8"/>
    <n v="15.99"/>
    <n v="8.31"/>
    <n v="398232.45"/>
    <n v="20790"/>
    <n v="1701"/>
    <n v="15110.550000000001"/>
    <n v="7852.9500000000007"/>
    <n v="245.70000000000002"/>
    <n v="0"/>
  </r>
  <r>
    <s v="Atomberg Technologies Private Limit"/>
    <d v="2025-11-17T00:00:00"/>
    <s v="3271311646"/>
    <x v="4"/>
    <x v="4"/>
    <s v="NOS"/>
    <s v="ZFG1"/>
    <s v="FG0010"/>
    <n v="840"/>
    <n v="353984.4"/>
    <n v="840"/>
    <n v="840"/>
    <d v="2025-11-17T00:00:00"/>
    <n v="405854.4"/>
    <s v="RV"/>
    <s v="Billing doc.transfer"/>
    <s v="01"/>
    <s v="Finished Goods"/>
    <s v="FG-PCB-CF"/>
    <s v="FG-PCB-CF"/>
    <b v="0"/>
    <n v="51651.600000000093"/>
    <n v="0.12726632999420504"/>
    <s v="November-25"/>
    <n v="483.16"/>
    <n v="840"/>
    <n v="421.40999999999985"/>
    <n v="373.04999999999984"/>
    <n v="22"/>
    <n v="0.26"/>
    <n v="26.1"/>
    <n v="0.26000000000001222"/>
    <n v="354202.79999999993"/>
    <n v="313361.99999999988"/>
    <n v="18480"/>
    <n v="218.4"/>
    <n v="22142.400000000001"/>
    <n v="1.3824319466948509E-10"/>
    <n v="0.12726632999420506"/>
    <n v="421.41"/>
    <n v="218.40000000004511"/>
    <n v="1.8"/>
    <n v="15.99"/>
    <n v="8.31"/>
    <n v="353984.4"/>
    <n v="18480"/>
    <n v="1512"/>
    <n v="13431.6"/>
    <n v="6980.4000000000005"/>
    <n v="218.4"/>
    <n v="0"/>
  </r>
  <r>
    <s v="Atomberg Technologies Private Limit"/>
    <d v="2025-11-17T00:00:00"/>
    <s v="3271311651"/>
    <x v="28"/>
    <x v="28"/>
    <s v="NOS"/>
    <s v="ZFG1"/>
    <s v="FG0010"/>
    <n v="585"/>
    <n v="246507.3"/>
    <n v="585"/>
    <n v="585"/>
    <d v="2025-11-17T00:00:00"/>
    <n v="282648.59999999998"/>
    <s v="RV"/>
    <s v="Billing doc.transfer"/>
    <s v="01"/>
    <s v="Finished Goods"/>
    <s v="FG-PCB-CF"/>
    <s v="FG-PCB-CF"/>
    <b v="0"/>
    <n v="35989.20000000007"/>
    <n v="0.12732842122692301"/>
    <s v="November-25"/>
    <n v="483.15999999999997"/>
    <n v="585"/>
    <n v="421.37999999999982"/>
    <n v="373.01999999999981"/>
    <n v="22"/>
    <n v="0.26"/>
    <n v="26.1"/>
    <n v="0.26000000000001222"/>
    <n v="246659.39999999991"/>
    <n v="218216.6999999999"/>
    <n v="12870"/>
    <n v="152.1"/>
    <n v="15420.6"/>
    <n v="9.276845958083868E-11"/>
    <n v="0.12732842122692301"/>
    <n v="421.38"/>
    <n v="152.10000000001128"/>
    <n v="1.8"/>
    <n v="15.99"/>
    <n v="8.31"/>
    <n v="246507.3"/>
    <n v="12870"/>
    <n v="1053"/>
    <n v="9354.15"/>
    <n v="4861.3500000000004"/>
    <n v="152.1"/>
    <n v="0"/>
  </r>
  <r>
    <s v="Atomberg Technologies Private Limit"/>
    <d v="2025-11-17T00:00:00"/>
    <s v="3271311723"/>
    <x v="28"/>
    <x v="28"/>
    <s v="NOS"/>
    <s v="ZFG1"/>
    <s v="FG0010"/>
    <n v="500"/>
    <n v="210690"/>
    <n v="500"/>
    <n v="500"/>
    <d v="2025-11-17T00:00:00"/>
    <n v="241580"/>
    <s v="RV"/>
    <s v="Billing doc.transfer"/>
    <s v="01"/>
    <s v="Finished Goods"/>
    <s v="FG-PCB-CF"/>
    <s v="FG-PCB-CF"/>
    <b v="0"/>
    <n v="30760.000000000087"/>
    <n v="0.12732842122692312"/>
    <s v="November-25"/>
    <n v="483.16"/>
    <n v="500"/>
    <n v="421.37999999999982"/>
    <n v="373.01999999999981"/>
    <n v="22"/>
    <n v="0.26"/>
    <n v="26.1"/>
    <n v="0.26000000000001222"/>
    <n v="210819.99999999991"/>
    <n v="186509.99999999991"/>
    <n v="11000"/>
    <n v="130"/>
    <n v="13180"/>
    <n v="8.7311491370201111E-11"/>
    <n v="0.12732842122692312"/>
    <n v="421.38"/>
    <n v="130"/>
    <n v="1.8"/>
    <n v="15.99"/>
    <n v="8.31"/>
    <n v="210690"/>
    <n v="11000"/>
    <n v="900"/>
    <n v="7995"/>
    <n v="4155"/>
    <n v="130"/>
    <n v="0"/>
  </r>
  <r>
    <s v="Atomberg Technologies Private Limit"/>
    <d v="2025-11-17T00:00:00"/>
    <s v="3271312301"/>
    <x v="20"/>
    <x v="20"/>
    <s v="NOS"/>
    <s v="ZFG1"/>
    <s v="FG0010"/>
    <n v="140"/>
    <n v="58993.2"/>
    <n v="140"/>
    <n v="140"/>
    <d v="2025-11-17T00:00:00"/>
    <n v="67642.399999999994"/>
    <s v="RV"/>
    <s v="Billing doc.transfer"/>
    <s v="01"/>
    <s v="Finished Goods"/>
    <s v="FG-PCB-CF"/>
    <s v="FG-PCB-CF"/>
    <b v="0"/>
    <n v="8612.8000000000175"/>
    <n v="0.12732842122692303"/>
    <s v="November-25"/>
    <n v="483.15999999999997"/>
    <n v="140"/>
    <n v="421.37999999999982"/>
    <n v="373.01999999999981"/>
    <n v="22"/>
    <n v="0.26"/>
    <n v="26.1"/>
    <n v="0.26000000000001222"/>
    <n v="59029.599999999977"/>
    <n v="52222.799999999974"/>
    <n v="3080"/>
    <n v="36.4"/>
    <n v="3690.4"/>
    <n v="2.319211489520967E-11"/>
    <n v="0.12732842122692301"/>
    <n v="421.38"/>
    <n v="36.400000000002819"/>
    <n v="1.8"/>
    <n v="15.99"/>
    <n v="8.31"/>
    <n v="58993.2"/>
    <n v="3080"/>
    <n v="252"/>
    <n v="2238.6"/>
    <n v="1163.4000000000001"/>
    <n v="36.4"/>
    <n v="0"/>
  </r>
  <r>
    <s v="Atomberg Technologies Private Limit"/>
    <d v="2025-11-17T00:00:00"/>
    <s v="3271311723"/>
    <x v="20"/>
    <x v="20"/>
    <s v="NOS"/>
    <s v="ZFG1"/>
    <s v="FG0010"/>
    <n v="455"/>
    <n v="191727.9"/>
    <n v="455"/>
    <n v="455"/>
    <d v="2025-11-17T00:00:00"/>
    <n v="219837.8"/>
    <s v="RV"/>
    <s v="Billing doc.transfer"/>
    <s v="01"/>
    <s v="Finished Goods"/>
    <s v="FG-PCB-CF"/>
    <s v="FG-PCB-CF"/>
    <b v="0"/>
    <n v="27991.600000000093"/>
    <n v="0.1273284212269232"/>
    <s v="November-25"/>
    <n v="483.15999999999997"/>
    <n v="455"/>
    <n v="421.37999999999982"/>
    <n v="373.01999999999981"/>
    <n v="22"/>
    <n v="0.26"/>
    <n v="26.1"/>
    <n v="0.26000000000001222"/>
    <n v="191846.1999999999"/>
    <n v="169724.09999999992"/>
    <n v="10010"/>
    <n v="118.3"/>
    <n v="11993.8"/>
    <n v="7.6397554948925972E-11"/>
    <n v="0.12732842122692323"/>
    <n v="421.38"/>
    <n v="118.29999999997744"/>
    <n v="1.8"/>
    <n v="15.99"/>
    <n v="8.31"/>
    <n v="191727.9"/>
    <n v="10010"/>
    <n v="819"/>
    <n v="7275.45"/>
    <n v="3781.05"/>
    <n v="118.3"/>
    <n v="0"/>
  </r>
  <r>
    <s v="Atomberg Technologies Private Limit"/>
    <d v="2025-11-17T00:00:00"/>
    <s v="3271311651"/>
    <x v="8"/>
    <x v="8"/>
    <s v="NOS"/>
    <s v="ZFG1"/>
    <s v="FG0010"/>
    <n v="1433"/>
    <n v="466011.6"/>
    <n v="1433"/>
    <n v="1433"/>
    <d v="2025-11-17T00:00:00"/>
    <n v="508743.66"/>
    <s v="RV"/>
    <s v="Billing doc.transfer"/>
    <s v="01"/>
    <s v="Finished Goods"/>
    <s v="FG-PCB-CF"/>
    <s v="FG-PCB-CF"/>
    <b v="0"/>
    <n v="42359.479999999981"/>
    <n v="8.3262914765365292E-2"/>
    <s v="November-25"/>
    <n v="355.02"/>
    <n v="1433"/>
    <n v="325.19999999999993"/>
    <n v="271.52999999999997"/>
    <n v="23.84"/>
    <n v="0.26"/>
    <n v="29.569999999999997"/>
    <n v="0.25999999999996248"/>
    <n v="466384.18"/>
    <n v="389102.48999999993"/>
    <n v="34162.720000000001"/>
    <n v="372.58000000000004"/>
    <n v="42746.39"/>
    <n v="0"/>
    <n v="8.3262914765365292E-2"/>
    <n v="325.2"/>
    <n v="372.58000000005995"/>
    <n v="1.9500000000000002"/>
    <n v="17.329999999999998"/>
    <n v="10.29"/>
    <n v="466011.6"/>
    <n v="34162.720000000001"/>
    <n v="2794.3500000000004"/>
    <n v="24833.889999999996"/>
    <n v="14745.569999999998"/>
    <n v="372.58000000000004"/>
    <n v="0"/>
  </r>
  <r>
    <s v="Atomberg Technologies Private Limit"/>
    <d v="2025-11-17T00:00:00"/>
    <s v="3271311646"/>
    <x v="8"/>
    <x v="8"/>
    <s v="NOS"/>
    <s v="ZFG1"/>
    <s v="FG0010"/>
    <n v="600"/>
    <n v="195120"/>
    <n v="600"/>
    <n v="600"/>
    <d v="2025-11-17T00:00:00"/>
    <n v="213012"/>
    <s v="RV"/>
    <s v="Billing doc.transfer"/>
    <s v="01"/>
    <s v="Finished Goods"/>
    <s v="FG-PCB-CF"/>
    <s v="FG-PCB-CF"/>
    <b v="0"/>
    <n v="17736.000000000029"/>
    <n v="8.3262914765365473E-2"/>
    <s v="November-25"/>
    <n v="355.02"/>
    <n v="600"/>
    <n v="325.19999999999993"/>
    <n v="271.52999999999997"/>
    <n v="23.84"/>
    <n v="0.26"/>
    <n v="29.569999999999997"/>
    <n v="0.25999999999996248"/>
    <n v="195275.99999999997"/>
    <n v="162917.99999999997"/>
    <n v="14304"/>
    <n v="156"/>
    <n v="17897.999999999996"/>
    <n v="3.2741809263825417E-11"/>
    <n v="8.3262914765365514E-2"/>
    <n v="325.2"/>
    <n v="156.00000000000364"/>
    <n v="1.9500000000000002"/>
    <n v="17.329999999999998"/>
    <n v="10.29"/>
    <n v="195120"/>
    <n v="14304"/>
    <n v="1170"/>
    <n v="10397.999999999998"/>
    <n v="6173.9999999999991"/>
    <n v="156"/>
    <n v="0"/>
  </r>
  <r>
    <s v="Atomberg Technologies Private Limit"/>
    <d v="2025-11-17T00:00:00"/>
    <s v="3271311728"/>
    <x v="9"/>
    <x v="9"/>
    <s v="NOS"/>
    <s v="ZFG1"/>
    <s v="FG0010"/>
    <n v="240"/>
    <n v="51984"/>
    <n v="240"/>
    <n v="240"/>
    <d v="2025-11-17T00:00:00"/>
    <n v="53244"/>
    <s v="RV"/>
    <s v="Billing doc.transfer"/>
    <s v="01"/>
    <s v="Finished Goods"/>
    <s v="FG-PCB-CF"/>
    <s v="FG-PCB-CF"/>
    <b v="0"/>
    <n v="1250.4000000000087"/>
    <n v="2.3484336263241094E-2"/>
    <s v="November-25"/>
    <n v="221.85"/>
    <n v="240"/>
    <n v="216.59999999999994"/>
    <n v="174.98999999999995"/>
    <n v="18.389999999999997"/>
    <n v="0.04"/>
    <n v="23.18"/>
    <n v="3.9999999999988489E-2"/>
    <n v="51993.599999999991"/>
    <n v="41997.599999999991"/>
    <n v="4413.5999999999995"/>
    <n v="9.6"/>
    <n v="5572.8"/>
    <n v="9.0949470177292824E-12"/>
    <n v="2.348433626324109E-2"/>
    <n v="216.6"/>
    <n v="9.6000000000003638"/>
    <n v="1.5"/>
    <n v="13.37"/>
    <n v="8.31"/>
    <n v="51984"/>
    <n v="4413.5999999999995"/>
    <n v="360"/>
    <n v="3208.7999999999997"/>
    <n v="1994.4"/>
    <n v="9.6"/>
    <n v="0"/>
  </r>
  <r>
    <s v="Atomberg Technologies Private Limit"/>
    <d v="2025-11-17T00:00:00"/>
    <s v="3271311723"/>
    <x v="9"/>
    <x v="9"/>
    <s v="NOS"/>
    <s v="ZFG1"/>
    <s v="FG0010"/>
    <n v="120"/>
    <n v="25992"/>
    <n v="120"/>
    <n v="120"/>
    <d v="2025-11-17T00:00:00"/>
    <n v="26622"/>
    <s v="RV"/>
    <s v="Billing doc.transfer"/>
    <s v="01"/>
    <s v="Finished Goods"/>
    <s v="FG-PCB-CF"/>
    <s v="FG-PCB-CF"/>
    <b v="0"/>
    <n v="625.20000000000437"/>
    <n v="2.3484336263241094E-2"/>
    <s v="November-25"/>
    <n v="221.85"/>
    <n v="120"/>
    <n v="216.59999999999994"/>
    <n v="174.98999999999995"/>
    <n v="18.389999999999997"/>
    <n v="0.04"/>
    <n v="23.18"/>
    <n v="3.9999999999988489E-2"/>
    <n v="25996.799999999996"/>
    <n v="20998.799999999996"/>
    <n v="2206.7999999999997"/>
    <n v="4.8"/>
    <n v="2786.4"/>
    <n v="4.5474735088646412E-12"/>
    <n v="2.348433626324109E-2"/>
    <n v="216.6"/>
    <n v="4.8000000000001819"/>
    <n v="1.5"/>
    <n v="13.37"/>
    <n v="8.31"/>
    <n v="25992"/>
    <n v="2206.7999999999997"/>
    <n v="180"/>
    <n v="1604.3999999999999"/>
    <n v="997.2"/>
    <n v="4.8"/>
    <n v="0"/>
  </r>
  <r>
    <s v="Atomberg Technologies Private Limit"/>
    <d v="2025-11-17T00:00:00"/>
    <s v="3271312301"/>
    <x v="9"/>
    <x v="9"/>
    <s v="NOS"/>
    <s v="ZFG1"/>
    <s v="FG0010"/>
    <n v="489"/>
    <n v="105917.4"/>
    <n v="489"/>
    <n v="489"/>
    <d v="2025-11-17T00:00:00"/>
    <n v="108484.65"/>
    <s v="RV"/>
    <s v="Billing doc.transfer"/>
    <s v="01"/>
    <s v="Finished Goods"/>
    <s v="FG-PCB-CF"/>
    <s v="FG-PCB-CF"/>
    <b v="0"/>
    <n v="2547.6900000000169"/>
    <n v="2.3484336263241087E-2"/>
    <s v="November-25"/>
    <n v="221.85"/>
    <n v="489"/>
    <n v="216.59999999999994"/>
    <n v="174.98999999999995"/>
    <n v="18.389999999999997"/>
    <n v="0.04"/>
    <n v="23.18"/>
    <n v="3.9999999999988489E-2"/>
    <n v="105936.95999999998"/>
    <n v="85570.109999999971"/>
    <n v="8992.7099999999991"/>
    <n v="19.559999999999999"/>
    <n v="11354.58"/>
    <n v="2.3646862246096134E-11"/>
    <n v="2.348433626324109E-2"/>
    <n v="216.6"/>
    <n v="19.560000000006767"/>
    <n v="1.5"/>
    <n v="13.37"/>
    <n v="8.31"/>
    <n v="105917.4"/>
    <n v="8992.7099999999991"/>
    <n v="733.5"/>
    <n v="6537.9299999999994"/>
    <n v="4063.59"/>
    <n v="19.559999999999999"/>
    <n v="0"/>
  </r>
  <r>
    <s v="GODREJ &amp; BOYCE MFG. CO. LTD  MOHALI"/>
    <d v="2025-11-17T00:00:00"/>
    <s v="3271311821"/>
    <x v="40"/>
    <x v="40"/>
    <s v="NOS"/>
    <s v="ZSFG"/>
    <s v="SF0055"/>
    <n v="504"/>
    <n v="45450.720000000001"/>
    <n v="504"/>
    <n v="504"/>
    <d v="2025-11-17T00:00:00"/>
    <n v="82353.600000000006"/>
    <s v="RV"/>
    <s v="Billing doc.transfer"/>
    <s v="01"/>
    <s v="Semi-Finished Goods"/>
    <s v="SFG-Ref Rotor"/>
    <s v="SFG-Ref Rotor"/>
    <b v="0"/>
    <n v="36902.879999999997"/>
    <n v="0.44810281517747852"/>
    <s v="November-25"/>
    <n v="163.4"/>
    <n v="504"/>
    <n v="90.18"/>
    <n v="86.73"/>
    <n v="1.5"/>
    <n v="0"/>
    <n v="1.95"/>
    <n v="2.886579864025407E-15"/>
    <n v="45450.720000000008"/>
    <n v="43711.920000000006"/>
    <n v="756"/>
    <n v="0"/>
    <n v="982.8"/>
    <n v="-4.3200998334214091E-12"/>
    <n v="0.44810281517747852"/>
    <n v="90.18"/>
    <n v="2.9558577807620168E-12"/>
    <n v="0.05"/>
    <n v="0.4"/>
    <n v="1.5"/>
    <n v="45450.720000000001"/>
    <n v="756"/>
    <n v="25.200000000000003"/>
    <n v="201.60000000000002"/>
    <n v="756"/>
    <n v="0"/>
    <n v="0"/>
  </r>
  <r>
    <s v="GODREJ &amp; BOYCE MFG. CO. LTD  MOHALI"/>
    <d v="2025-11-17T00:00:00"/>
    <s v="3271311821"/>
    <x v="41"/>
    <x v="41"/>
    <s v="NOS"/>
    <s v="ZSFG"/>
    <s v="SF0056"/>
    <n v="504"/>
    <n v="268082.64"/>
    <n v="504"/>
    <n v="504"/>
    <d v="2025-11-17T00:00:00"/>
    <n v="312984"/>
    <s v="RV"/>
    <s v="Billing doc.transfer"/>
    <s v="01"/>
    <s v="Semi-Finished Goods"/>
    <s v="SFG-Ref Stator"/>
    <s v="SFG-Ref Stator"/>
    <b v="0"/>
    <n v="44901.359999999986"/>
    <n v="0.14346215780998386"/>
    <s v="November-25"/>
    <n v="621"/>
    <n v="504"/>
    <n v="531.91000000000008"/>
    <n v="528.46"/>
    <n v="1.5"/>
    <n v="0"/>
    <n v="1.95"/>
    <n v="4.5519144009631418E-14"/>
    <n v="268082.64"/>
    <n v="266343.84000000003"/>
    <n v="756"/>
    <n v="0"/>
    <n v="982.8"/>
    <n v="-1.1596057447604835E-11"/>
    <n v="0.14346215780998384"/>
    <n v="531.91000000000008"/>
    <n v="-1.1596057447604835E-11"/>
    <n v="0.05"/>
    <n v="0.4"/>
    <n v="1.5"/>
    <n v="268082.64"/>
    <n v="756"/>
    <n v="25.200000000000003"/>
    <n v="201.60000000000002"/>
    <n v="756"/>
    <n v="0"/>
    <n v="0"/>
  </r>
  <r>
    <s v="HIMTEJ INDIA PRIVATE LIMITED"/>
    <d v="2025-11-16T00:00:00"/>
    <s v="3271311645"/>
    <x v="36"/>
    <x v="36"/>
    <s v="NOS"/>
    <s v="ZROH"/>
    <s v="RM0030"/>
    <n v="2266"/>
    <n v="306798.83"/>
    <n v="2266"/>
    <n v="2266"/>
    <d v="2025-11-16T00:00:00"/>
    <n v="309105.06"/>
    <s v="RV"/>
    <s v="Billing doc.transfer"/>
    <s v="06"/>
    <s v="Raw Material"/>
    <s v="RM-Mech. Metal"/>
    <s v="Raw Material"/>
    <b v="0"/>
    <n v="309105.06"/>
    <n v="1"/>
    <s v="November-25"/>
    <n v="136.41"/>
    <n v="2266"/>
    <n v="0"/>
    <n v="0"/>
    <n v="0"/>
    <n v="0"/>
    <n v="0"/>
    <n v="0"/>
    <n v="0"/>
    <n v="0"/>
    <n v="0"/>
    <n v="0"/>
    <n v="0"/>
    <n v="306798.83"/>
    <n v="1"/>
    <n v="135.39224624889675"/>
    <n v="0"/>
    <n v="0"/>
    <n v="0"/>
    <n v="0"/>
    <n v="306798.83"/>
    <n v="0"/>
    <n v="0"/>
    <n v="0"/>
    <n v="0"/>
    <n v="0"/>
    <n v="0"/>
  </r>
  <r>
    <s v="GODREJ &amp; BOYCE MFG. CO. LTD  MOHALI"/>
    <d v="2025-11-15T00:00:00"/>
    <s v="3271311547"/>
    <x v="1"/>
    <x v="1"/>
    <s v="NOS"/>
    <s v="ZFG1"/>
    <s v="FG0011"/>
    <n v="5000"/>
    <n v="2306850"/>
    <n v="5000"/>
    <n v="5000"/>
    <d v="2025-11-15T00:00:00"/>
    <n v="3296550"/>
    <s v="RV"/>
    <s v="Billing doc.transfer"/>
    <s v="01"/>
    <s v="Finished Goods"/>
    <s v="FG-PCB-Ref"/>
    <s v="FG-PCB-Ref"/>
    <b v="0"/>
    <n v="988500"/>
    <n v="0.29985894344087"/>
    <s v="November-25"/>
    <n v="659.31"/>
    <n v="5000"/>
    <n v="461.37"/>
    <n v="401.59000000000003"/>
    <n v="28.32"/>
    <n v="0.24"/>
    <n v="31.22"/>
    <n v="0.23999999999997357"/>
    <n v="2308050"/>
    <n v="2007950.0000000002"/>
    <n v="141600"/>
    <n v="1200"/>
    <n v="157300"/>
    <n v="-2.3283064365386963E-10"/>
    <n v="0.29985894344087005"/>
    <n v="461.37"/>
    <n v="1199.9999999997672"/>
    <n v="2.3199999999999998"/>
    <n v="20.59"/>
    <n v="8.31"/>
    <n v="2306850"/>
    <n v="141600"/>
    <n v="11600"/>
    <n v="102950"/>
    <n v="41550"/>
    <n v="1200"/>
    <n v="0"/>
  </r>
  <r>
    <s v="Atomberg Technologies Private Limit"/>
    <d v="2025-11-15T00:00:00"/>
    <s v="3271311277"/>
    <x v="2"/>
    <x v="2"/>
    <s v="NOS"/>
    <s v="ZSFG"/>
    <s v="SF0045"/>
    <n v="3248"/>
    <n v="479632.16"/>
    <n v="3248"/>
    <n v="3248"/>
    <d v="2025-11-15T00:00:00"/>
    <n v="529229.12"/>
    <s v="RV"/>
    <s v="Billing doc.transfer"/>
    <s v="01"/>
    <s v="Semi-Finished Goods"/>
    <s v="SFG-GV5 Stator"/>
    <s v="Sub Ass.-Mech Stator"/>
    <b v="0"/>
    <n v="49596.960000000137"/>
    <n v="9.371547809009477E-2"/>
    <s v="November-25"/>
    <n v="162.94"/>
    <n v="3248"/>
    <n v="147.66999999999996"/>
    <n v="144.21999999999997"/>
    <n v="1.5"/>
    <n v="0"/>
    <n v="1.95"/>
    <n v="-1.1324274851176597E-14"/>
    <n v="479632.15999999986"/>
    <n v="468426.55999999988"/>
    <n v="4872"/>
    <n v="0"/>
    <n v="6333.5999999999995"/>
    <n v="9.3677954282611609E-11"/>
    <n v="9.3715478090094728E-2"/>
    <n v="147.66999999999999"/>
    <n v="-2.2737367544323206E-11"/>
    <n v="0.05"/>
    <n v="0.4"/>
    <n v="1.5"/>
    <n v="479632.16"/>
    <n v="4872"/>
    <n v="162.4"/>
    <n v="1299.2"/>
    <n v="4872"/>
    <n v="0"/>
    <n v="0"/>
  </r>
  <r>
    <s v="Atomberg Technologies Private Limit"/>
    <d v="2025-11-15T00:00:00"/>
    <s v="3271311275"/>
    <x v="35"/>
    <x v="35"/>
    <s v="NOS"/>
    <s v="ZSFG"/>
    <s v="SF0045"/>
    <n v="924"/>
    <n v="115620.12"/>
    <n v="924"/>
    <n v="924"/>
    <d v="2025-11-15T00:00:00"/>
    <n v="122328.36"/>
    <s v="RV"/>
    <s v="Billing doc.transfer"/>
    <s v="01"/>
    <s v="Semi-Finished Goods"/>
    <s v="SFG-GV5 Stator"/>
    <s v="Sub Ass.-Mech Stator"/>
    <b v="0"/>
    <n v="6708.2400000000052"/>
    <n v="5.4837978699297574E-2"/>
    <s v="November-25"/>
    <n v="132.39000000000001"/>
    <n v="924"/>
    <n v="125.13"/>
    <n v="121.67999999999999"/>
    <n v="1.5"/>
    <n v="0"/>
    <n v="1.95"/>
    <n v="2.886579864025407E-15"/>
    <n v="115620.12"/>
    <n v="112432.31999999999"/>
    <n v="1386"/>
    <n v="0"/>
    <n v="1801.8"/>
    <n v="2.9558577807620168E-12"/>
    <n v="5.4837978699297518E-2"/>
    <n v="125.13"/>
    <n v="2.9558577807620168E-12"/>
    <n v="0.05"/>
    <n v="0.4"/>
    <n v="1.5"/>
    <n v="115620.12"/>
    <n v="1386"/>
    <n v="46.2"/>
    <n v="369.6"/>
    <n v="1386"/>
    <n v="0"/>
    <n v="0"/>
  </r>
  <r>
    <s v="Atomberg Technologies Private Limit"/>
    <d v="2025-11-15T00:00:00"/>
    <s v="3271311642"/>
    <x v="33"/>
    <x v="33"/>
    <s v="NOS"/>
    <s v="ZSFG"/>
    <s v="SF0045"/>
    <n v="896"/>
    <n v="86938.880000000005"/>
    <n v="896"/>
    <n v="896"/>
    <d v="2025-11-15T00:00:00"/>
    <n v="114123.52"/>
    <s v="RV"/>
    <s v="Billing doc.transfer"/>
    <s v="01"/>
    <s v="Semi-Finished Goods"/>
    <s v="SFG-GV5 Stator"/>
    <s v="Sub Ass.-Mech Stator"/>
    <b v="0"/>
    <n v="27184.639999999999"/>
    <n v="0.23820365863233098"/>
    <s v="November-25"/>
    <n v="127.37"/>
    <n v="896"/>
    <n v="97.03"/>
    <n v="93.490000000000009"/>
    <n v="1.63"/>
    <n v="0"/>
    <n v="1.9100000000000001"/>
    <n v="-7.9936057773011271E-15"/>
    <n v="86938.880000000005"/>
    <n v="83767.040000000008"/>
    <n v="1460.48"/>
    <n v="0"/>
    <n v="1711.3600000000001"/>
    <n v="-3.637978807091713E-12"/>
    <n v="0.23820365863233095"/>
    <n v="97.03"/>
    <n v="-3.637978807091713E-12"/>
    <n v="0.04"/>
    <n v="0.37"/>
    <n v="1.5"/>
    <n v="86938.880000000005"/>
    <n v="1460.48"/>
    <n v="35.840000000000003"/>
    <n v="331.52"/>
    <n v="1344"/>
    <n v="0"/>
    <n v="0"/>
  </r>
  <r>
    <s v="Atomberg Technologies Private Limit"/>
    <d v="2025-11-15T00:00:00"/>
    <s v="3271311243"/>
    <x v="3"/>
    <x v="3"/>
    <s v="NOS"/>
    <s v="ZFG1"/>
    <s v="FG0010"/>
    <n v="444"/>
    <n v="286393.32"/>
    <n v="444"/>
    <n v="444"/>
    <d v="2025-11-15T00:00:00"/>
    <n v="323480.64"/>
    <s v="RV"/>
    <s v="Billing doc.transfer"/>
    <s v="01"/>
    <s v="Finished Goods"/>
    <s v="FG-PCB-CF"/>
    <s v="FG-PCB-CF"/>
    <b v="0"/>
    <n v="36896.400000000198"/>
    <n v="0.11406061271549418"/>
    <s v="November-25"/>
    <n v="728.56000000000006"/>
    <n v="444"/>
    <n v="645.02999999999963"/>
    <n v="582.23999999999967"/>
    <n v="29.88"/>
    <n v="0.43"/>
    <n v="32.480000000000004"/>
    <n v="0.42999999999996419"/>
    <n v="286584.23999999982"/>
    <n v="258514.55999999985"/>
    <n v="13266.72"/>
    <n v="190.92"/>
    <n v="14612.040000000003"/>
    <n v="1.5279510989785194E-10"/>
    <n v="0.11406061271549417"/>
    <n v="645.03"/>
    <n v="190.91999999996187"/>
    <n v="2.4500000000000002"/>
    <n v="21.72"/>
    <n v="8.31"/>
    <n v="286393.32"/>
    <n v="13266.72"/>
    <n v="1087.8000000000002"/>
    <n v="9643.68"/>
    <n v="3689.6400000000003"/>
    <n v="190.92"/>
    <n v="0"/>
  </r>
  <r>
    <s v="Atomberg Technologies Private Limit"/>
    <d v="2025-11-15T00:00:00"/>
    <s v="3271311243"/>
    <x v="11"/>
    <x v="11"/>
    <s v="NOS"/>
    <s v="ZFG1"/>
    <s v="FG0010"/>
    <n v="1290"/>
    <n v="421997.7"/>
    <n v="1290"/>
    <n v="1290"/>
    <d v="2025-11-15T00:00:00"/>
    <n v="439980.3"/>
    <s v="RV"/>
    <s v="Billing doc.transfer"/>
    <s v="01"/>
    <s v="Finished Goods"/>
    <s v="FG-PCB-CF"/>
    <s v="FG-PCB-CF"/>
    <b v="0"/>
    <n v="17763.29999999993"/>
    <n v="4.0372943970445795E-2"/>
    <s v="November-25"/>
    <n v="341.07"/>
    <n v="1290"/>
    <n v="327.13000000000005"/>
    <n v="278.14000000000004"/>
    <n v="22.400000000000002"/>
    <n v="0.17"/>
    <n v="26.42"/>
    <n v="0.17000000000000526"/>
    <n v="422217.00000000006"/>
    <n v="358800.60000000003"/>
    <n v="28896.000000000004"/>
    <n v="219.3"/>
    <n v="34301.100000000006"/>
    <n v="0"/>
    <n v="4.0372943970445774E-2"/>
    <n v="327.13"/>
    <n v="219.30000000001746"/>
    <n v="1.8299999999999998"/>
    <n v="16.28"/>
    <n v="8.31"/>
    <n v="421997.7"/>
    <n v="28896.000000000004"/>
    <n v="2360.6999999999998"/>
    <n v="21001.200000000001"/>
    <n v="10719.900000000001"/>
    <n v="219.3"/>
    <n v="0"/>
  </r>
  <r>
    <s v="Atomberg Technologies Private Limit"/>
    <d v="2025-11-15T00:00:00"/>
    <s v="3271311276"/>
    <x v="11"/>
    <x v="11"/>
    <s v="NOS"/>
    <s v="ZFG1"/>
    <s v="FG0010"/>
    <n v="2390"/>
    <n v="781840.7"/>
    <n v="2390"/>
    <n v="2390"/>
    <d v="2025-11-15T00:00:00"/>
    <n v="815157.3"/>
    <s v="RV"/>
    <s v="Billing doc.transfer"/>
    <s v="01"/>
    <s v="Finished Goods"/>
    <s v="FG-PCB-CF"/>
    <s v="FG-PCB-CF"/>
    <b v="0"/>
    <n v="32910.29999999993"/>
    <n v="4.0372943970445864E-2"/>
    <s v="November-25"/>
    <n v="341.07"/>
    <n v="2390"/>
    <n v="327.13000000000005"/>
    <n v="278.14000000000004"/>
    <n v="22.400000000000002"/>
    <n v="0.17"/>
    <n v="26.42"/>
    <n v="0.17000000000000526"/>
    <n v="782247.00000000012"/>
    <n v="664754.60000000009"/>
    <n v="53536.000000000007"/>
    <n v="406.3"/>
    <n v="63550.100000000006"/>
    <n v="-1.5279510989785194E-10"/>
    <n v="4.0372943970445885E-2"/>
    <n v="327.13"/>
    <n v="406.30000000001019"/>
    <n v="1.8299999999999998"/>
    <n v="16.28"/>
    <n v="8.31"/>
    <n v="781840.7"/>
    <n v="53536.000000000007"/>
    <n v="4373.7"/>
    <n v="38909.200000000004"/>
    <n v="19860.900000000001"/>
    <n v="406.3"/>
    <n v="0"/>
  </r>
  <r>
    <s v="Atomberg Technologies Private Limit"/>
    <d v="2025-11-15T00:00:00"/>
    <s v="3271311591"/>
    <x v="11"/>
    <x v="11"/>
    <s v="NOS"/>
    <s v="ZFG1"/>
    <s v="FG0010"/>
    <n v="840"/>
    <n v="274789.2"/>
    <n v="840"/>
    <n v="840"/>
    <d v="2025-11-15T00:00:00"/>
    <n v="286498.8"/>
    <s v="RV"/>
    <s v="Billing doc.transfer"/>
    <s v="01"/>
    <s v="Finished Goods"/>
    <s v="FG-PCB-CF"/>
    <s v="FG-PCB-CF"/>
    <b v="0"/>
    <n v="11566.799999999988"/>
    <n v="4.0372943970445913E-2"/>
    <s v="November-25"/>
    <n v="341.07"/>
    <n v="840"/>
    <n v="327.13000000000005"/>
    <n v="278.14000000000004"/>
    <n v="22.400000000000002"/>
    <n v="0.17"/>
    <n v="26.42"/>
    <n v="0.17000000000000526"/>
    <n v="274932"/>
    <n v="233637.60000000003"/>
    <n v="18816"/>
    <n v="142.80000000000001"/>
    <n v="22335.600000000002"/>
    <n v="0"/>
    <n v="4.0372943970445885E-2"/>
    <n v="327.13"/>
    <n v="142.79999999996289"/>
    <n v="1.8299999999999998"/>
    <n v="16.28"/>
    <n v="8.31"/>
    <n v="274789.2"/>
    <n v="18816"/>
    <n v="1537.1999999999998"/>
    <n v="13675.2"/>
    <n v="6980.4000000000005"/>
    <n v="142.80000000000001"/>
    <n v="0"/>
  </r>
  <r>
    <s v="Atomberg Technologies Private Limit"/>
    <d v="2025-11-15T00:00:00"/>
    <s v="3271311276"/>
    <x v="4"/>
    <x v="4"/>
    <s v="NOS"/>
    <s v="ZFG1"/>
    <s v="FG0010"/>
    <n v="1330"/>
    <n v="560475.30000000005"/>
    <n v="1330"/>
    <n v="1330"/>
    <d v="2025-11-15T00:00:00"/>
    <n v="642602.80000000005"/>
    <s v="RV"/>
    <s v="Billing doc.transfer"/>
    <s v="01"/>
    <s v="Finished Goods"/>
    <s v="FG-PCB-CF"/>
    <s v="FG-PCB-CF"/>
    <b v="0"/>
    <n v="81781.700000000186"/>
    <n v="0.12726632999420509"/>
    <s v="November-25"/>
    <n v="483.16"/>
    <n v="1330"/>
    <n v="421.40999999999985"/>
    <n v="373.04999999999984"/>
    <n v="22"/>
    <n v="0.26"/>
    <n v="26.1"/>
    <n v="0.26000000000001222"/>
    <n v="560821.09999999986"/>
    <n v="496156.49999999977"/>
    <n v="29260"/>
    <n v="345.8"/>
    <n v="35058.800000000003"/>
    <n v="2.7648638933897018E-10"/>
    <n v="0.12726632999420506"/>
    <n v="421.41"/>
    <n v="345.80000000009022"/>
    <n v="1.8"/>
    <n v="15.99"/>
    <n v="8.31"/>
    <n v="560475.30000000005"/>
    <n v="29260"/>
    <n v="2394"/>
    <n v="21266.7"/>
    <n v="11052.300000000001"/>
    <n v="345.8"/>
    <n v="0"/>
  </r>
  <r>
    <s v="Atomberg Technologies Private Limit"/>
    <d v="2025-11-15T00:00:00"/>
    <s v="3271311591"/>
    <x v="28"/>
    <x v="28"/>
    <s v="NOS"/>
    <s v="ZFG1"/>
    <s v="FG0010"/>
    <n v="755"/>
    <n v="318141.90000000002"/>
    <n v="755"/>
    <n v="755"/>
    <d v="2025-11-15T00:00:00"/>
    <n v="364785.8"/>
    <s v="RV"/>
    <s v="Billing doc.transfer"/>
    <s v="01"/>
    <s v="Finished Goods"/>
    <s v="FG-PCB-CF"/>
    <s v="FG-PCB-CF"/>
    <b v="0"/>
    <n v="46447.600000000151"/>
    <n v="0.12732842122692317"/>
    <s v="November-25"/>
    <n v="483.15999999999997"/>
    <n v="755"/>
    <n v="421.37999999999982"/>
    <n v="373.01999999999981"/>
    <n v="22"/>
    <n v="0.26"/>
    <n v="26.1"/>
    <n v="0.26000000000001222"/>
    <n v="318338.19999999984"/>
    <n v="281630.09999999986"/>
    <n v="16610"/>
    <n v="196.3"/>
    <n v="19901.8"/>
    <n v="1.6370904631912708E-10"/>
    <n v="0.12732842122692323"/>
    <n v="421.38000000000005"/>
    <n v="196.29999999997744"/>
    <n v="1.8"/>
    <n v="15.99"/>
    <n v="8.31"/>
    <n v="318141.90000000002"/>
    <n v="16610"/>
    <n v="1359"/>
    <n v="12072.45"/>
    <n v="6274.05"/>
    <n v="196.3"/>
    <n v="0"/>
  </r>
  <r>
    <s v="Atomberg Technologies Private Limit"/>
    <d v="2025-11-15T00:00:00"/>
    <s v="3271311276"/>
    <x v="28"/>
    <x v="28"/>
    <s v="NOS"/>
    <s v="ZFG1"/>
    <s v="FG0010"/>
    <n v="207"/>
    <n v="87225.66"/>
    <n v="207"/>
    <n v="207"/>
    <d v="2025-11-15T00:00:00"/>
    <n v="100014.12"/>
    <s v="RV"/>
    <s v="Billing doc.transfer"/>
    <s v="01"/>
    <s v="Finished Goods"/>
    <s v="FG-PCB-CF"/>
    <s v="FG-PCB-CF"/>
    <b v="0"/>
    <n v="12734.640000000029"/>
    <n v="0.12732842122692306"/>
    <s v="November-25"/>
    <n v="483.15999999999997"/>
    <n v="207"/>
    <n v="421.37999999999982"/>
    <n v="373.01999999999981"/>
    <n v="22"/>
    <n v="0.26"/>
    <n v="26.1"/>
    <n v="0.26000000000001222"/>
    <n v="87279.479999999967"/>
    <n v="77215.139999999956"/>
    <n v="4554"/>
    <n v="53.82"/>
    <n v="5456.52"/>
    <n v="4.7293724492192268E-11"/>
    <n v="0.12732842122692301"/>
    <n v="421.38"/>
    <n v="53.820000000010623"/>
    <n v="1.8"/>
    <n v="15.99"/>
    <n v="8.31"/>
    <n v="87225.66"/>
    <n v="4554"/>
    <n v="372.6"/>
    <n v="3309.93"/>
    <n v="1720.17"/>
    <n v="53.82"/>
    <n v="0"/>
  </r>
  <r>
    <s v="Atomberg Technologies Private Limit"/>
    <d v="2025-11-15T00:00:00"/>
    <s v="3271311643"/>
    <x v="28"/>
    <x v="28"/>
    <s v="NOS"/>
    <s v="ZFG1"/>
    <s v="FG0010"/>
    <n v="175"/>
    <n v="73741.5"/>
    <n v="175"/>
    <n v="175"/>
    <d v="2025-11-15T00:00:00"/>
    <n v="84553"/>
    <s v="RV"/>
    <s v="Billing doc.transfer"/>
    <s v="01"/>
    <s v="Finished Goods"/>
    <s v="FG-PCB-CF"/>
    <s v="FG-PCB-CF"/>
    <b v="0"/>
    <n v="10766.000000000029"/>
    <n v="0.12732842122692312"/>
    <s v="November-25"/>
    <n v="483.16"/>
    <n v="175"/>
    <n v="421.37999999999982"/>
    <n v="373.01999999999981"/>
    <n v="22"/>
    <n v="0.26"/>
    <n v="26.1"/>
    <n v="0.26000000000001222"/>
    <n v="73786.999999999971"/>
    <n v="65278.499999999964"/>
    <n v="3850"/>
    <n v="45.5"/>
    <n v="4613"/>
    <n v="3.637978807091713E-11"/>
    <n v="0.12732842122692312"/>
    <n v="421.38"/>
    <n v="45.500000000007276"/>
    <n v="1.8"/>
    <n v="15.99"/>
    <n v="8.31"/>
    <n v="73741.5"/>
    <n v="3850"/>
    <n v="315"/>
    <n v="2798.25"/>
    <n v="1454.25"/>
    <n v="45.5"/>
    <n v="0"/>
  </r>
  <r>
    <s v="Atomberg Technologies Private Limit"/>
    <d v="2025-11-15T00:00:00"/>
    <s v="3271311243"/>
    <x v="8"/>
    <x v="8"/>
    <s v="NOS"/>
    <s v="ZFG1"/>
    <s v="FG0010"/>
    <n v="1188"/>
    <n v="386337.6"/>
    <n v="1188"/>
    <n v="1188"/>
    <d v="2025-11-15T00:00:00"/>
    <n v="421763.76"/>
    <s v="RV"/>
    <s v="Billing doc.transfer"/>
    <s v="01"/>
    <s v="Finished Goods"/>
    <s v="FG-PCB-CF"/>
    <s v="FG-PCB-CF"/>
    <b v="0"/>
    <n v="35117.280000000086"/>
    <n v="8.3262914765365528E-2"/>
    <s v="November-25"/>
    <n v="355.02"/>
    <n v="1188"/>
    <n v="325.19999999999993"/>
    <n v="271.52999999999997"/>
    <n v="23.84"/>
    <n v="0.26"/>
    <n v="29.569999999999997"/>
    <n v="0.25999999999996248"/>
    <n v="386646.47999999992"/>
    <n v="322577.63999999996"/>
    <n v="28321.919999999998"/>
    <n v="308.88"/>
    <n v="35438.039999999994"/>
    <n v="0"/>
    <n v="8.3262914765365514E-2"/>
    <n v="325.2"/>
    <n v="308.87999999997555"/>
    <n v="1.9500000000000002"/>
    <n v="17.329999999999998"/>
    <n v="10.29"/>
    <n v="386337.6"/>
    <n v="28321.919999999998"/>
    <n v="2316.6000000000004"/>
    <n v="20588.039999999997"/>
    <n v="12224.519999999999"/>
    <n v="308.88"/>
    <n v="0"/>
  </r>
  <r>
    <s v="Atomberg Technologies Private Limit"/>
    <d v="2025-11-15T00:00:00"/>
    <s v="3271311276"/>
    <x v="9"/>
    <x v="9"/>
    <s v="NOS"/>
    <s v="ZFG1"/>
    <s v="FG0010"/>
    <n v="744"/>
    <n v="161150.39999999999"/>
    <n v="744"/>
    <n v="744"/>
    <d v="2025-11-15T00:00:00"/>
    <n v="165056.4"/>
    <s v="RV"/>
    <s v="Billing doc.transfer"/>
    <s v="01"/>
    <s v="Finished Goods"/>
    <s v="FG-PCB-CF"/>
    <s v="FG-PCB-CF"/>
    <b v="0"/>
    <n v="3876.2400000000198"/>
    <n v="2.3484336263241049E-2"/>
    <s v="November-25"/>
    <n v="221.85"/>
    <n v="744"/>
    <n v="216.59999999999994"/>
    <n v="174.98999999999995"/>
    <n v="18.389999999999997"/>
    <n v="0.04"/>
    <n v="23.18"/>
    <n v="3.9999999999988489E-2"/>
    <n v="161180.15999999997"/>
    <n v="130192.55999999997"/>
    <n v="13682.159999999998"/>
    <n v="29.76"/>
    <n v="17275.679999999997"/>
    <n v="3.2741809263825417E-11"/>
    <n v="2.348433626324109E-2"/>
    <n v="216.6"/>
    <n v="29.760000000012951"/>
    <n v="1.5"/>
    <n v="13.37"/>
    <n v="8.31"/>
    <n v="161150.39999999999"/>
    <n v="13682.159999999998"/>
    <n v="1116"/>
    <n v="9947.2799999999988"/>
    <n v="6182.64"/>
    <n v="29.76"/>
    <n v="0"/>
  </r>
  <r>
    <s v="Atomberg Technologies Private Limit"/>
    <d v="2025-11-15T00:00:00"/>
    <s v="3271311643"/>
    <x v="9"/>
    <x v="9"/>
    <s v="NOS"/>
    <s v="ZFG1"/>
    <s v="FG0010"/>
    <n v="220"/>
    <n v="47652"/>
    <n v="220"/>
    <n v="220"/>
    <d v="2025-11-15T00:00:00"/>
    <n v="48807"/>
    <s v="RV"/>
    <s v="Billing doc.transfer"/>
    <s v="01"/>
    <s v="Finished Goods"/>
    <s v="FG-PCB-CF"/>
    <s v="FG-PCB-CF"/>
    <b v="0"/>
    <n v="1146.2000000000044"/>
    <n v="2.3484336263241017E-2"/>
    <s v="November-25"/>
    <n v="221.85"/>
    <n v="220"/>
    <n v="216.59999999999994"/>
    <n v="174.98999999999995"/>
    <n v="18.389999999999997"/>
    <n v="0.04"/>
    <n v="23.18"/>
    <n v="3.9999999999988489E-2"/>
    <n v="47660.799999999996"/>
    <n v="38497.799999999988"/>
    <n v="4045.7999999999993"/>
    <n v="8.8000000000000007"/>
    <n v="5108.4000000000005"/>
    <n v="1.1823431123048067E-11"/>
    <n v="2.3484336263240979E-2"/>
    <n v="216.6"/>
    <n v="8.8000000000074579"/>
    <n v="1.5"/>
    <n v="13.37"/>
    <n v="8.31"/>
    <n v="47652"/>
    <n v="4045.7999999999993"/>
    <n v="330"/>
    <n v="2941.3999999999996"/>
    <n v="1828.2"/>
    <n v="8.8000000000000007"/>
    <n v="0"/>
  </r>
  <r>
    <s v="SYRMA SGS TECHNOLOGY LIMITED"/>
    <d v="2025-11-15T00:00:00"/>
    <s v="3271311548"/>
    <x v="42"/>
    <x v="42"/>
    <s v="NOS"/>
    <s v="ZROH"/>
    <s v="RM0008"/>
    <n v="3000"/>
    <n v="1384.64"/>
    <n v="3000"/>
    <n v="3000"/>
    <d v="2025-11-15T00:00:00"/>
    <n v="1380"/>
    <s v="RV"/>
    <s v="Billing doc.transfer"/>
    <s v="06"/>
    <s v="Raw Material"/>
    <s v="RM-Eletro-Transistor"/>
    <s v="Raw Material"/>
    <b v="0"/>
    <n v="1380"/>
    <n v="1"/>
    <s v="November-25"/>
    <n v="0.46"/>
    <n v="3000"/>
    <n v="0"/>
    <n v="0"/>
    <n v="0"/>
    <n v="0"/>
    <n v="0"/>
    <n v="0"/>
    <n v="0"/>
    <n v="0"/>
    <n v="0"/>
    <n v="0"/>
    <n v="0"/>
    <n v="1384.64"/>
    <n v="1"/>
    <n v="0.46154666666666672"/>
    <n v="0"/>
    <n v="0"/>
    <n v="0"/>
    <n v="0"/>
    <n v="1384.64"/>
    <n v="0"/>
    <n v="0"/>
    <n v="0"/>
    <n v="0"/>
    <n v="0"/>
    <n v="0"/>
  </r>
  <r>
    <s v="SYRMA SGS TECHNOLOGY LIMITED"/>
    <d v="2025-11-15T00:00:00"/>
    <s v="3271311548"/>
    <x v="43"/>
    <x v="43"/>
    <s v="NOS"/>
    <s v="ZROH"/>
    <s v="RM0004"/>
    <n v="30000"/>
    <n v="19566.150000000001"/>
    <n v="30000"/>
    <n v="30000"/>
    <d v="2025-11-15T00:00:00"/>
    <n v="19800"/>
    <s v="RV"/>
    <s v="Billing doc.transfer"/>
    <s v="06"/>
    <s v="Raw Material"/>
    <s v="RM-Eletro-Diodes"/>
    <s v="Raw Material"/>
    <b v="0"/>
    <n v="19800"/>
    <n v="1"/>
    <s v="November-25"/>
    <n v="0.66"/>
    <n v="30000"/>
    <n v="0"/>
    <n v="0"/>
    <n v="0"/>
    <n v="0"/>
    <n v="0"/>
    <n v="0"/>
    <n v="0"/>
    <n v="0"/>
    <n v="0"/>
    <n v="0"/>
    <n v="0"/>
    <n v="19566.150000000001"/>
    <n v="1"/>
    <n v="0.65220500000000003"/>
    <n v="0"/>
    <n v="0"/>
    <n v="0"/>
    <n v="0"/>
    <n v="19566.150000000001"/>
    <n v="0"/>
    <n v="0"/>
    <n v="0"/>
    <n v="0"/>
    <n v="0"/>
    <n v="0"/>
  </r>
  <r>
    <s v="SYRMA SGS TECHNOLOGY LIMITED"/>
    <d v="2025-11-15T00:00:00"/>
    <s v="3271311548"/>
    <x v="44"/>
    <x v="44"/>
    <s v="NOS"/>
    <s v="ZROH"/>
    <s v="L002"/>
    <n v="6000"/>
    <n v="3007.29"/>
    <n v="6000"/>
    <n v="6000"/>
    <d v="2025-11-15T00:00:00"/>
    <n v="3000"/>
    <s v="RV"/>
    <s v="Billing doc.transfer"/>
    <s v="06"/>
    <s v="Raw Material"/>
    <s v="Raw Materials"/>
    <s v="Raw Material"/>
    <b v="0"/>
    <n v="3000"/>
    <n v="1"/>
    <s v="November-25"/>
    <n v="0.5"/>
    <n v="6000"/>
    <n v="0"/>
    <n v="0"/>
    <n v="0"/>
    <n v="0"/>
    <n v="0"/>
    <n v="0"/>
    <n v="0"/>
    <n v="0"/>
    <n v="0"/>
    <n v="0"/>
    <n v="0"/>
    <n v="3007.29"/>
    <n v="1"/>
    <n v="0.50121499999999997"/>
    <n v="0"/>
    <n v="0"/>
    <n v="0"/>
    <n v="0"/>
    <n v="3007.29"/>
    <n v="0"/>
    <n v="0"/>
    <n v="0"/>
    <n v="0"/>
    <n v="0"/>
    <n v="0"/>
  </r>
  <r>
    <s v="SYRMA SGS TECHNOLOGY LIMITED"/>
    <d v="2025-11-15T00:00:00"/>
    <s v="3271311549"/>
    <x v="45"/>
    <x v="45"/>
    <s v="NOS"/>
    <s v="ZROH"/>
    <s v="RM0005"/>
    <n v="20000"/>
    <n v="183220.06"/>
    <n v="20000"/>
    <n v="20000"/>
    <d v="2025-11-15T00:00:00"/>
    <n v="183600"/>
    <s v="RV"/>
    <s v="Billing doc.transfer"/>
    <s v="06"/>
    <s v="Raw Material"/>
    <s v="RM-Eletro-IC"/>
    <s v="Raw Material"/>
    <b v="0"/>
    <n v="183600"/>
    <n v="1"/>
    <s v="November-25"/>
    <n v="9.18"/>
    <n v="20000"/>
    <n v="0"/>
    <n v="0"/>
    <n v="0"/>
    <n v="0"/>
    <n v="0"/>
    <n v="0"/>
    <n v="0"/>
    <n v="0"/>
    <n v="0"/>
    <n v="0"/>
    <n v="0"/>
    <n v="183220.06"/>
    <n v="1"/>
    <n v="9.1610029999999991"/>
    <n v="0"/>
    <n v="0"/>
    <n v="0"/>
    <n v="0"/>
    <n v="183220.06"/>
    <n v="0"/>
    <n v="0"/>
    <n v="0"/>
    <n v="0"/>
    <n v="0"/>
    <n v="0"/>
  </r>
  <r>
    <s v="Atomberg Technologies Private Limit"/>
    <d v="2025-11-14T00:00:00"/>
    <s v="3271311012"/>
    <x v="2"/>
    <x v="2"/>
    <s v="NOS"/>
    <s v="ZSFG"/>
    <s v="SF0045"/>
    <n v="2128"/>
    <n v="314241.76"/>
    <n v="2128"/>
    <n v="2128"/>
    <d v="2025-11-14T00:00:00"/>
    <n v="346736.32"/>
    <s v="RV"/>
    <s v="Billing doc.transfer"/>
    <s v="01"/>
    <s v="Semi-Finished Goods"/>
    <s v="SFG-GV5 Stator"/>
    <s v="Sub Ass.-Mech Stator"/>
    <b v="0"/>
    <n v="32494.560000000114"/>
    <n v="9.3715478090094839E-2"/>
    <s v="November-25"/>
    <n v="162.94"/>
    <n v="2128"/>
    <n v="147.66999999999996"/>
    <n v="144.21999999999997"/>
    <n v="1.5"/>
    <n v="0"/>
    <n v="1.95"/>
    <n v="-1.1324274851176597E-14"/>
    <n v="314241.75999999989"/>
    <n v="306900.15999999992"/>
    <n v="3192"/>
    <n v="0"/>
    <n v="4149.5999999999995"/>
    <n v="9.3677954282611609E-11"/>
    <n v="9.3715478090094839E-2"/>
    <n v="147.67000000000002"/>
    <n v="-2.2737367544323206E-11"/>
    <n v="0.05"/>
    <n v="0.4"/>
    <n v="1.5"/>
    <n v="314241.76"/>
    <n v="3192"/>
    <n v="106.4"/>
    <n v="851.2"/>
    <n v="3192"/>
    <n v="0"/>
    <n v="0"/>
  </r>
  <r>
    <s v="Atomberg Technologies Private Limit"/>
    <d v="2025-11-14T00:00:00"/>
    <s v="3271310990"/>
    <x v="3"/>
    <x v="3"/>
    <s v="NOS"/>
    <s v="ZFG1"/>
    <s v="FG0010"/>
    <n v="337"/>
    <n v="217375.11"/>
    <n v="337"/>
    <n v="337"/>
    <d v="2025-11-14T00:00:00"/>
    <n v="245524.72"/>
    <s v="RV"/>
    <s v="Billing doc.transfer"/>
    <s v="01"/>
    <s v="Finished Goods"/>
    <s v="FG-PCB-CF"/>
    <s v="FG-PCB-CF"/>
    <b v="0"/>
    <n v="28004.700000000099"/>
    <n v="0.11406061271549398"/>
    <s v="November-25"/>
    <n v="728.56000000000006"/>
    <n v="337"/>
    <n v="645.02999999999963"/>
    <n v="582.23999999999967"/>
    <n v="29.88"/>
    <n v="0.43"/>
    <n v="32.480000000000004"/>
    <n v="0.42999999999996419"/>
    <n v="217520.0199999999"/>
    <n v="196214.87999999989"/>
    <n v="10069.56"/>
    <n v="144.91"/>
    <n v="11090.670000000002"/>
    <n v="9.6406438387930393E-11"/>
    <n v="0.11406061271549395"/>
    <n v="645.03"/>
    <n v="144.91000000001259"/>
    <n v="2.4500000000000002"/>
    <n v="21.72"/>
    <n v="8.31"/>
    <n v="217375.11"/>
    <n v="10069.56"/>
    <n v="825.65000000000009"/>
    <n v="7319.6399999999994"/>
    <n v="2800.4700000000003"/>
    <n v="144.91"/>
    <n v="0"/>
  </r>
  <r>
    <s v="Atomberg Technologies Private Limit"/>
    <d v="2025-11-14T00:00:00"/>
    <s v="3271311011"/>
    <x v="3"/>
    <x v="3"/>
    <s v="NOS"/>
    <s v="ZFG1"/>
    <s v="FG0010"/>
    <n v="290"/>
    <n v="187058.7"/>
    <n v="290"/>
    <n v="290"/>
    <d v="2025-11-14T00:00:00"/>
    <n v="211282.4"/>
    <s v="RV"/>
    <s v="Billing doc.transfer"/>
    <s v="01"/>
    <s v="Finished Goods"/>
    <s v="FG-PCB-CF"/>
    <s v="FG-PCB-CF"/>
    <b v="0"/>
    <n v="24099.000000000087"/>
    <n v="0.11406061271549399"/>
    <s v="November-25"/>
    <n v="728.56"/>
    <n v="290"/>
    <n v="645.02999999999963"/>
    <n v="582.23999999999967"/>
    <n v="29.88"/>
    <n v="0.43"/>
    <n v="32.480000000000004"/>
    <n v="0.42999999999996419"/>
    <n v="187183.39999999991"/>
    <n v="168849.59999999989"/>
    <n v="8665.1999999999989"/>
    <n v="124.7"/>
    <n v="9543.9000000000015"/>
    <n v="1.2187229003757238E-10"/>
    <n v="0.11406061271549395"/>
    <n v="645.03000000000009"/>
    <n v="124.7000000000171"/>
    <n v="2.4500000000000002"/>
    <n v="21.72"/>
    <n v="8.31"/>
    <n v="187058.7"/>
    <n v="8665.1999999999989"/>
    <n v="710.5"/>
    <n v="6298.7999999999993"/>
    <n v="2409.9"/>
    <n v="124.7"/>
    <n v="0"/>
  </r>
  <r>
    <s v="Atomberg Technologies Private Limit"/>
    <d v="2025-11-14T00:00:00"/>
    <s v="3271311011"/>
    <x v="11"/>
    <x v="11"/>
    <s v="NOS"/>
    <s v="ZFG1"/>
    <s v="FG0010"/>
    <n v="4249"/>
    <n v="1389975.37"/>
    <n v="4249"/>
    <n v="4249"/>
    <d v="2025-11-14T00:00:00"/>
    <n v="1449206.43"/>
    <s v="RV"/>
    <s v="Billing doc.transfer"/>
    <s v="01"/>
    <s v="Finished Goods"/>
    <s v="FG-PCB-CF"/>
    <s v="FG-PCB-CF"/>
    <b v="0"/>
    <n v="58508.729999999749"/>
    <n v="4.0372943970445781E-2"/>
    <s v="November-25"/>
    <n v="341.07"/>
    <n v="4249"/>
    <n v="327.13000000000005"/>
    <n v="278.14000000000004"/>
    <n v="22.400000000000002"/>
    <n v="0.17"/>
    <n v="26.42"/>
    <n v="0.17000000000000526"/>
    <n v="1390697.7000000002"/>
    <n v="1181816.8600000001"/>
    <n v="95177.600000000006"/>
    <n v="722.33"/>
    <n v="112980.91"/>
    <n v="0"/>
    <n v="4.0372943970445774E-2"/>
    <n v="327.13000000000005"/>
    <n v="722.33000000007451"/>
    <n v="1.8299999999999998"/>
    <n v="16.28"/>
    <n v="8.31"/>
    <n v="1389975.37"/>
    <n v="95177.600000000006"/>
    <n v="7775.6699999999992"/>
    <n v="69173.72"/>
    <n v="35309.19"/>
    <n v="722.33"/>
    <n v="0"/>
  </r>
  <r>
    <s v="Atomberg Technologies Private Limit"/>
    <d v="2025-11-14T00:00:00"/>
    <s v="3271310990"/>
    <x v="4"/>
    <x v="4"/>
    <s v="NOS"/>
    <s v="ZFG1"/>
    <s v="FG0010"/>
    <n v="805"/>
    <n v="339235.05"/>
    <n v="805"/>
    <n v="805"/>
    <d v="2025-11-14T00:00:00"/>
    <n v="388943.8"/>
    <s v="RV"/>
    <s v="Billing doc.transfer"/>
    <s v="01"/>
    <s v="Finished Goods"/>
    <s v="FG-PCB-CF"/>
    <s v="FG-PCB-CF"/>
    <b v="0"/>
    <n v="49499.450000000128"/>
    <n v="0.12726632999420515"/>
    <s v="November-25"/>
    <n v="483.15999999999997"/>
    <n v="805"/>
    <n v="421.40999999999985"/>
    <n v="373.04999999999984"/>
    <n v="22"/>
    <n v="0.26"/>
    <n v="26.1"/>
    <n v="0.26000000000001222"/>
    <n v="339444.34999999986"/>
    <n v="300305.24999999988"/>
    <n v="17710"/>
    <n v="209.3"/>
    <n v="21219.8"/>
    <n v="1.0550138540565968E-10"/>
    <n v="0.12726632999420517"/>
    <n v="421.40999999999997"/>
    <n v="209.29999999997744"/>
    <n v="1.8"/>
    <n v="15.99"/>
    <n v="8.31"/>
    <n v="339235.05"/>
    <n v="17710"/>
    <n v="1449"/>
    <n v="12871.95"/>
    <n v="6689.55"/>
    <n v="209.3"/>
    <n v="0"/>
  </r>
  <r>
    <s v="Atomberg Technologies Private Limit"/>
    <d v="2025-11-14T00:00:00"/>
    <s v="3271311011"/>
    <x v="4"/>
    <x v="4"/>
    <s v="NOS"/>
    <s v="ZFG1"/>
    <s v="FG0010"/>
    <n v="1185"/>
    <n v="499370.85"/>
    <n v="1185"/>
    <n v="1185"/>
    <d v="2025-11-14T00:00:00"/>
    <n v="572544.6"/>
    <s v="RV"/>
    <s v="Billing doc.transfer"/>
    <s v="01"/>
    <s v="Finished Goods"/>
    <s v="FG-PCB-CF"/>
    <s v="FG-PCB-CF"/>
    <b v="0"/>
    <n v="72865.650000000198"/>
    <n v="0.12726632999420517"/>
    <s v="November-25"/>
    <n v="483.15999999999997"/>
    <n v="1185"/>
    <n v="421.40999999999985"/>
    <n v="373.04999999999984"/>
    <n v="22"/>
    <n v="0.26"/>
    <n v="26.1"/>
    <n v="0.26000000000001222"/>
    <n v="499678.94999999978"/>
    <n v="442064.24999999983"/>
    <n v="26070"/>
    <n v="308.10000000000002"/>
    <n v="31236.6"/>
    <n v="1.5279510989785194E-10"/>
    <n v="0.12726632999420517"/>
    <n v="421.40999999999997"/>
    <n v="308.09999999995489"/>
    <n v="1.8"/>
    <n v="15.99"/>
    <n v="8.31"/>
    <n v="499370.85"/>
    <n v="26070"/>
    <n v="2133"/>
    <n v="18948.150000000001"/>
    <n v="9847.35"/>
    <n v="308.10000000000002"/>
    <n v="0"/>
  </r>
  <r>
    <s v="Atomberg Technologies Private Limit"/>
    <d v="2025-11-14T00:00:00"/>
    <s v="3271311011"/>
    <x v="20"/>
    <x v="20"/>
    <s v="NOS"/>
    <s v="ZFG1"/>
    <s v="FG0010"/>
    <n v="415"/>
    <n v="174872.7"/>
    <n v="415"/>
    <n v="415"/>
    <d v="2025-11-14T00:00:00"/>
    <n v="200511.4"/>
    <s v="RV"/>
    <s v="Billing doc.transfer"/>
    <s v="01"/>
    <s v="Finished Goods"/>
    <s v="FG-PCB-CF"/>
    <s v="FG-PCB-CF"/>
    <b v="0"/>
    <n v="25530.800000000076"/>
    <n v="0.12732842122692314"/>
    <s v="November-25"/>
    <n v="483.15999999999997"/>
    <n v="415"/>
    <n v="421.37999999999982"/>
    <n v="373.01999999999981"/>
    <n v="22"/>
    <n v="0.26"/>
    <n v="26.1"/>
    <n v="0.26000000000001222"/>
    <n v="174980.59999999992"/>
    <n v="154803.29999999993"/>
    <n v="9130"/>
    <n v="107.9"/>
    <n v="10939.4"/>
    <n v="8.1854523159563541E-11"/>
    <n v="0.12732842122692312"/>
    <n v="421.38000000000005"/>
    <n v="107.89999999998872"/>
    <n v="1.8"/>
    <n v="15.99"/>
    <n v="8.31"/>
    <n v="174872.7"/>
    <n v="9130"/>
    <n v="747"/>
    <n v="6635.85"/>
    <n v="3448.65"/>
    <n v="107.9"/>
    <n v="0"/>
  </r>
  <r>
    <s v="Atomberg Technologies Private Limit"/>
    <d v="2025-11-14T00:00:00"/>
    <s v="3271311242"/>
    <x v="20"/>
    <x v="20"/>
    <s v="NOS"/>
    <s v="ZFG1"/>
    <s v="FG0010"/>
    <n v="170"/>
    <n v="71634.600000000006"/>
    <n v="170"/>
    <n v="170"/>
    <d v="2025-11-14T00:00:00"/>
    <n v="82137.2"/>
    <s v="RV"/>
    <s v="Billing doc.transfer"/>
    <s v="01"/>
    <s v="Finished Goods"/>
    <s v="FG-PCB-CF"/>
    <s v="FG-PCB-CF"/>
    <b v="0"/>
    <n v="10458.400000000038"/>
    <n v="0.12732842122692323"/>
    <s v="November-25"/>
    <n v="483.15999999999997"/>
    <n v="170"/>
    <n v="421.37999999999982"/>
    <n v="373.01999999999981"/>
    <n v="22"/>
    <n v="0.26"/>
    <n v="26.1"/>
    <n v="0.26000000000001222"/>
    <n v="71678.799999999959"/>
    <n v="63413.399999999965"/>
    <n v="3740"/>
    <n v="44.2"/>
    <n v="4481.2"/>
    <n v="4.0927261579781771E-11"/>
    <n v="0.12732842122692323"/>
    <n v="421.38000000000005"/>
    <n v="44.199999999994361"/>
    <n v="1.8"/>
    <n v="15.99"/>
    <n v="8.31"/>
    <n v="71634.600000000006"/>
    <n v="3740"/>
    <n v="306"/>
    <n v="2718.3"/>
    <n v="1412.7"/>
    <n v="44.2"/>
    <n v="0"/>
  </r>
  <r>
    <s v="Atomberg Technologies Private Limit"/>
    <d v="2025-11-14T00:00:00"/>
    <s v="3271310990"/>
    <x v="8"/>
    <x v="8"/>
    <s v="NOS"/>
    <s v="ZFG1"/>
    <s v="FG0010"/>
    <n v="1021"/>
    <n v="332029.2"/>
    <n v="1021"/>
    <n v="1021"/>
    <d v="2025-11-14T00:00:00"/>
    <n v="362475.42"/>
    <s v="RV"/>
    <s v="Billing doc.transfer"/>
    <s v="01"/>
    <s v="Finished Goods"/>
    <s v="FG-PCB-CF"/>
    <s v="FG-PCB-CF"/>
    <b v="0"/>
    <n v="30180.760000000009"/>
    <n v="8.3262914765365362E-2"/>
    <s v="November-25"/>
    <n v="355.02"/>
    <n v="1021"/>
    <n v="325.19999999999993"/>
    <n v="271.52999999999997"/>
    <n v="23.84"/>
    <n v="0.26"/>
    <n v="29.569999999999997"/>
    <n v="0.25999999999996248"/>
    <n v="332294.65999999997"/>
    <n v="277232.12999999995"/>
    <n v="24340.639999999999"/>
    <n v="265.46000000000004"/>
    <n v="30456.429999999997"/>
    <n v="6.9121597334742546E-11"/>
    <n v="8.3262914765365403E-2"/>
    <n v="325.2"/>
    <n v="265.46000000003187"/>
    <n v="1.9500000000000002"/>
    <n v="17.329999999999998"/>
    <n v="10.29"/>
    <n v="332029.2"/>
    <n v="24340.639999999999"/>
    <n v="1990.9500000000003"/>
    <n v="17693.929999999997"/>
    <n v="10506.089999999998"/>
    <n v="265.46000000000004"/>
    <n v="0"/>
  </r>
  <r>
    <s v="Atomberg Technologies Private Limit"/>
    <d v="2025-11-14T00:00:00"/>
    <s v="3271310990"/>
    <x v="9"/>
    <x v="9"/>
    <s v="NOS"/>
    <s v="ZFG1"/>
    <s v="FG0010"/>
    <n v="371"/>
    <n v="80358.600000000006"/>
    <n v="371"/>
    <n v="371"/>
    <d v="2025-11-14T00:00:00"/>
    <n v="82306.350000000006"/>
    <s v="RV"/>
    <s v="Billing doc.transfer"/>
    <s v="01"/>
    <s v="Finished Goods"/>
    <s v="FG-PCB-CF"/>
    <s v="FG-PCB-CF"/>
    <b v="0"/>
    <n v="1932.9100000000326"/>
    <n v="2.3484336263241323E-2"/>
    <s v="November-25"/>
    <n v="221.85000000000002"/>
    <n v="371"/>
    <n v="216.59999999999994"/>
    <n v="174.98999999999995"/>
    <n v="18.389999999999997"/>
    <n v="0.04"/>
    <n v="23.18"/>
    <n v="3.9999999999988489E-2"/>
    <n v="80373.439999999973"/>
    <n v="64921.289999999979"/>
    <n v="6822.6899999999987"/>
    <n v="14.84"/>
    <n v="8614.6200000000008"/>
    <n v="2.7284841053187847E-11"/>
    <n v="2.3484336263241312E-2"/>
    <n v="216.60000000000002"/>
    <n v="14.839999999994689"/>
    <n v="1.5"/>
    <n v="13.37"/>
    <n v="8.31"/>
    <n v="80358.600000000006"/>
    <n v="6822.6899999999987"/>
    <n v="556.5"/>
    <n v="4960.2699999999995"/>
    <n v="3083.01"/>
    <n v="14.84"/>
    <n v="0"/>
  </r>
  <r>
    <s v="Atomberg Technologies Private Limit"/>
    <d v="2025-11-14T00:00:00"/>
    <s v="3271311242"/>
    <x v="9"/>
    <x v="9"/>
    <s v="NOS"/>
    <s v="ZFG1"/>
    <s v="FG0010"/>
    <n v="220"/>
    <n v="47652"/>
    <n v="220"/>
    <n v="220"/>
    <d v="2025-11-14T00:00:00"/>
    <n v="48807"/>
    <s v="RV"/>
    <s v="Billing doc.transfer"/>
    <s v="01"/>
    <s v="Finished Goods"/>
    <s v="FG-PCB-CF"/>
    <s v="FG-PCB-CF"/>
    <b v="0"/>
    <n v="1146.2000000000044"/>
    <n v="2.3484336263241017E-2"/>
    <s v="November-25"/>
    <n v="221.85"/>
    <n v="220"/>
    <n v="216.59999999999994"/>
    <n v="174.98999999999995"/>
    <n v="18.389999999999997"/>
    <n v="0.04"/>
    <n v="23.18"/>
    <n v="3.9999999999988489E-2"/>
    <n v="47660.799999999996"/>
    <n v="38497.799999999988"/>
    <n v="4045.7999999999993"/>
    <n v="8.8000000000000007"/>
    <n v="5108.4000000000005"/>
    <n v="1.1823431123048067E-11"/>
    <n v="2.3484336263240979E-2"/>
    <n v="216.6"/>
    <n v="8.8000000000074579"/>
    <n v="1.5"/>
    <n v="13.37"/>
    <n v="8.31"/>
    <n v="47652"/>
    <n v="4045.7999999999993"/>
    <n v="330"/>
    <n v="2941.3999999999996"/>
    <n v="1828.2"/>
    <n v="8.8000000000000007"/>
    <n v="0"/>
  </r>
  <r>
    <s v="KAYNES TECHNOLOGY INDIA LIMITED"/>
    <d v="2025-11-14T00:00:00"/>
    <s v="3271311226"/>
    <x v="46"/>
    <x v="46"/>
    <s v="NOS"/>
    <s v="ZROH"/>
    <s v="RM0009"/>
    <n v="7500"/>
    <n v="6800.95"/>
    <n v="7500"/>
    <n v="7500"/>
    <d v="2025-11-14T00:00:00"/>
    <n v="14550"/>
    <s v="RV"/>
    <s v="Billing doc.transfer"/>
    <s v="06"/>
    <s v="Raw Material"/>
    <s v="RM-Mech. Accessories"/>
    <s v="Raw Material"/>
    <b v="0"/>
    <n v="14550"/>
    <n v="1"/>
    <s v="November-25"/>
    <n v="1.94"/>
    <n v="7500"/>
    <n v="0"/>
    <n v="0"/>
    <n v="0"/>
    <n v="0"/>
    <n v="0"/>
    <n v="0"/>
    <n v="0"/>
    <n v="0"/>
    <n v="0"/>
    <n v="0"/>
    <n v="0"/>
    <n v="6800.95"/>
    <n v="1"/>
    <n v="0.90679333333333334"/>
    <n v="0"/>
    <n v="0"/>
    <n v="0"/>
    <n v="0"/>
    <n v="6800.95"/>
    <n v="0"/>
    <n v="0"/>
    <n v="0"/>
    <n v="0"/>
    <n v="0"/>
    <n v="0"/>
  </r>
  <r>
    <s v="KAYNES TECHNOLOGY INDIA LIMITED"/>
    <d v="2025-11-14T00:00:00"/>
    <s v="3271311226"/>
    <x v="47"/>
    <x v="47"/>
    <s v="NOS"/>
    <s v="ZROH"/>
    <s v="RM0009"/>
    <n v="4000"/>
    <n v="55440"/>
    <n v="4000"/>
    <n v="4000"/>
    <d v="2025-11-14T00:00:00"/>
    <n v="56560"/>
    <s v="RV"/>
    <s v="Billing doc.transfer"/>
    <s v="06"/>
    <s v="Raw Material"/>
    <s v="RM-Mech. Accessories"/>
    <s v="Raw Material"/>
    <b v="0"/>
    <n v="56560"/>
    <n v="1"/>
    <s v="November-25"/>
    <n v="14.14"/>
    <n v="4000"/>
    <n v="0"/>
    <n v="0"/>
    <n v="0"/>
    <n v="0"/>
    <n v="0"/>
    <n v="0"/>
    <n v="0"/>
    <n v="0"/>
    <n v="0"/>
    <n v="0"/>
    <n v="0"/>
    <n v="55440"/>
    <n v="1"/>
    <n v="13.86"/>
    <n v="0"/>
    <n v="0"/>
    <n v="0"/>
    <n v="0"/>
    <n v="55440"/>
    <n v="0"/>
    <n v="0"/>
    <n v="0"/>
    <n v="0"/>
    <n v="0"/>
    <n v="0"/>
  </r>
  <r>
    <s v="KAYNES TECHNOLOGY INDIA LIMITED"/>
    <d v="2025-11-14T00:00:00"/>
    <s v="3271311226"/>
    <x v="48"/>
    <x v="48"/>
    <s v="NOS"/>
    <s v="ZROH"/>
    <s v="RM0009"/>
    <n v="4000"/>
    <n v="49280"/>
    <n v="4000"/>
    <n v="4000"/>
    <d v="2025-11-14T00:00:00"/>
    <n v="50280"/>
    <s v="RV"/>
    <s v="Billing doc.transfer"/>
    <s v="06"/>
    <s v="Raw Material"/>
    <s v="RM-Mech. Accessories"/>
    <s v="Raw Material"/>
    <b v="0"/>
    <n v="50280"/>
    <n v="1"/>
    <s v="November-25"/>
    <n v="12.57"/>
    <n v="4000"/>
    <n v="0"/>
    <n v="0"/>
    <n v="0"/>
    <n v="0"/>
    <n v="0"/>
    <n v="0"/>
    <n v="0"/>
    <n v="0"/>
    <n v="0"/>
    <n v="0"/>
    <n v="0"/>
    <n v="49280"/>
    <n v="1"/>
    <n v="12.32"/>
    <n v="0"/>
    <n v="0"/>
    <n v="0"/>
    <n v="0"/>
    <n v="49280"/>
    <n v="0"/>
    <n v="0"/>
    <n v="0"/>
    <n v="0"/>
    <n v="0"/>
    <n v="0"/>
  </r>
  <r>
    <s v="KAYNES TECHNOLOGY INDIA LIMITED"/>
    <d v="2025-11-14T00:00:00"/>
    <s v="3271311226"/>
    <x v="49"/>
    <x v="49"/>
    <s v="NOS"/>
    <s v="ZROH"/>
    <s v="RM0009"/>
    <n v="15000"/>
    <n v="23062.47"/>
    <n v="15000"/>
    <n v="15000"/>
    <d v="2025-11-14T00:00:00"/>
    <n v="6450"/>
    <s v="RV"/>
    <s v="Billing doc.transfer"/>
    <s v="06"/>
    <s v="Raw Material"/>
    <s v="RM-Mech. Accessories"/>
    <s v="Raw Material"/>
    <b v="0"/>
    <n v="6450"/>
    <n v="1"/>
    <s v="November-25"/>
    <n v="0.43"/>
    <n v="15000"/>
    <n v="0"/>
    <n v="0"/>
    <n v="0"/>
    <n v="0"/>
    <n v="0"/>
    <n v="0"/>
    <n v="0"/>
    <n v="0"/>
    <n v="0"/>
    <n v="0"/>
    <n v="0"/>
    <n v="23062.47"/>
    <n v="1"/>
    <n v="1.537498"/>
    <n v="0"/>
    <n v="0"/>
    <n v="0"/>
    <n v="0"/>
    <n v="23062.47"/>
    <n v="0"/>
    <n v="0"/>
    <n v="0"/>
    <n v="0"/>
    <n v="0"/>
    <n v="0"/>
  </r>
  <r>
    <s v="KAYNES TECHNOLOGY INDIA LIMITED"/>
    <d v="2025-11-14T00:00:00"/>
    <s v="3271311226"/>
    <x v="50"/>
    <x v="50"/>
    <s v="NOS"/>
    <s v="ZROH"/>
    <s v="RM0009"/>
    <n v="1200"/>
    <n v="7097.29"/>
    <n v="1200"/>
    <n v="1200"/>
    <d v="2025-11-14T00:00:00"/>
    <n v="7224"/>
    <s v="RV"/>
    <s v="Billing doc.transfer"/>
    <s v="06"/>
    <s v="Raw Material"/>
    <s v="RM-Mech. Accessories"/>
    <s v="Raw Material"/>
    <b v="0"/>
    <n v="7224"/>
    <n v="1"/>
    <s v="November-25"/>
    <n v="6.02"/>
    <n v="1200"/>
    <n v="0"/>
    <n v="0"/>
    <n v="0"/>
    <n v="0"/>
    <n v="0"/>
    <n v="0"/>
    <n v="0"/>
    <n v="0"/>
    <n v="0"/>
    <n v="0"/>
    <n v="0"/>
    <n v="7097.29"/>
    <n v="1"/>
    <n v="5.9144083333333333"/>
    <n v="0"/>
    <n v="0"/>
    <n v="0"/>
    <n v="0"/>
    <n v="7097.29"/>
    <n v="0"/>
    <n v="0"/>
    <n v="0"/>
    <n v="0"/>
    <n v="0"/>
    <n v="0"/>
  </r>
  <r>
    <s v="KAYNES TECHNOLOGY INDIA LIMITED"/>
    <d v="2025-11-14T00:00:00"/>
    <s v="3271311226"/>
    <x v="51"/>
    <x v="51"/>
    <s v="NOS"/>
    <s v="ZROH"/>
    <s v="RM0009"/>
    <n v="7243"/>
    <n v="94159"/>
    <n v="7243"/>
    <n v="7243"/>
    <d v="2025-11-14T00:00:00"/>
    <n v="96042.18"/>
    <s v="RV"/>
    <s v="Billing doc.transfer"/>
    <s v="06"/>
    <s v="Raw Material"/>
    <s v="RM-Mech. Accessories"/>
    <s v="Raw Material"/>
    <b v="0"/>
    <n v="96042.18"/>
    <n v="1"/>
    <s v="November-25"/>
    <n v="13.26"/>
    <n v="7243"/>
    <n v="0"/>
    <n v="0"/>
    <n v="0"/>
    <n v="0"/>
    <n v="0"/>
    <n v="0"/>
    <n v="0"/>
    <n v="0"/>
    <n v="0"/>
    <n v="0"/>
    <n v="0"/>
    <n v="94159"/>
    <n v="1"/>
    <n v="13"/>
    <n v="0"/>
    <n v="0"/>
    <n v="0"/>
    <n v="0"/>
    <n v="94159"/>
    <n v="0"/>
    <n v="0"/>
    <n v="0"/>
    <n v="0"/>
    <n v="0"/>
    <n v="0"/>
  </r>
  <r>
    <s v="KAYNES TECHNOLOGY INDIA LIMITED"/>
    <d v="2025-11-14T00:00:00"/>
    <s v="3271311226"/>
    <x v="52"/>
    <x v="52"/>
    <s v="NOS"/>
    <s v="ZROH"/>
    <s v="RM0009"/>
    <n v="8000"/>
    <n v="60364.72"/>
    <n v="8000"/>
    <n v="8000"/>
    <d v="2025-11-14T00:00:00"/>
    <n v="53040"/>
    <s v="RV"/>
    <s v="Billing doc.transfer"/>
    <s v="06"/>
    <s v="Raw Material"/>
    <s v="RM-Mech. Accessories"/>
    <s v="Raw Material"/>
    <b v="0"/>
    <n v="53040"/>
    <n v="1"/>
    <s v="November-25"/>
    <n v="6.63"/>
    <n v="8000"/>
    <n v="0"/>
    <n v="0"/>
    <n v="0"/>
    <n v="0"/>
    <n v="0"/>
    <n v="0"/>
    <n v="0"/>
    <n v="0"/>
    <n v="0"/>
    <n v="0"/>
    <n v="0"/>
    <n v="60364.72"/>
    <n v="1"/>
    <n v="7.5455899999999998"/>
    <n v="0"/>
    <n v="0"/>
    <n v="0"/>
    <n v="0"/>
    <n v="60364.72"/>
    <n v="0"/>
    <n v="0"/>
    <n v="0"/>
    <n v="0"/>
    <n v="0"/>
    <n v="0"/>
  </r>
  <r>
    <s v="KAYNES TECHNOLOGY INDIA LIMITED"/>
    <d v="2025-11-14T00:00:00"/>
    <s v="3271311226"/>
    <x v="53"/>
    <x v="53"/>
    <s v="NOS"/>
    <s v="ZROH"/>
    <s v="RM0009"/>
    <n v="7079"/>
    <n v="42607.7"/>
    <n v="7079"/>
    <n v="7079"/>
    <d v="2025-11-14T00:00:00"/>
    <n v="43677.43"/>
    <s v="RV"/>
    <s v="Billing doc.transfer"/>
    <s v="06"/>
    <s v="Raw Material"/>
    <s v="RM-Mech. Accessories"/>
    <s v="Raw Material"/>
    <b v="0"/>
    <n v="43677.43"/>
    <n v="1"/>
    <s v="November-25"/>
    <n v="6.17"/>
    <n v="7079"/>
    <n v="0"/>
    <n v="0"/>
    <n v="0"/>
    <n v="0"/>
    <n v="0"/>
    <n v="0"/>
    <n v="0"/>
    <n v="0"/>
    <n v="0"/>
    <n v="0"/>
    <n v="0"/>
    <n v="42607.7"/>
    <n v="1"/>
    <n v="6.0188868484249181"/>
    <n v="0"/>
    <n v="0"/>
    <n v="0"/>
    <n v="0"/>
    <n v="42607.7"/>
    <n v="0"/>
    <n v="0"/>
    <n v="0"/>
    <n v="0"/>
    <n v="0"/>
    <n v="0"/>
  </r>
  <r>
    <s v="Hinjewadi RnD"/>
    <d v="2025-11-14T00:00:00"/>
    <s v="3271311231"/>
    <x v="54"/>
    <x v="54"/>
    <s v="NOS"/>
    <s v="ZFG1"/>
    <s v="FG0025"/>
    <n v="51"/>
    <n v="4470.1499999999996"/>
    <n v="51"/>
    <n v="51"/>
    <d v="2025-11-14T00:00:00"/>
    <n v="5100"/>
    <s v="RV"/>
    <s v="Billing doc.transfer"/>
    <s v="03"/>
    <s v="Finished Goods"/>
    <s v="FG-PCB-Ped"/>
    <s v="FG-PCB-Ped"/>
    <b v="0"/>
    <n v="627.80999999999949"/>
    <n v="0.1230999999999999"/>
    <s v="November-25"/>
    <n v="100"/>
    <n v="51"/>
    <n v="87.660000000000011"/>
    <n v="47.650000000000013"/>
    <n v="36.96"/>
    <n v="0.03"/>
    <n v="3.02"/>
    <n v="2.999999999999714E-2"/>
    <n v="4472.1900000000005"/>
    <n v="2430.1500000000005"/>
    <n v="1884.96"/>
    <n v="1.53"/>
    <n v="155.55000000000001"/>
    <n v="-0.51000000000095724"/>
    <n v="0.12309999999999988"/>
    <n v="87.649999999999991"/>
    <n v="1.5299999999999159"/>
    <n v="3.02"/>
    <n v="0"/>
    <n v="0"/>
    <n v="4470.1499999999996"/>
    <n v="1884.96"/>
    <n v="154.02000000000001"/>
    <n v="0"/>
    <n v="0"/>
    <n v="1.53"/>
    <n v="0"/>
  </r>
  <r>
    <s v="Hinjewadi RnD"/>
    <d v="2025-11-14T00:00:00"/>
    <s v="3271311231"/>
    <x v="55"/>
    <x v="55"/>
    <s v="NOS"/>
    <s v="ZFG1"/>
    <s v="FG0025"/>
    <n v="51"/>
    <n v="5244.84"/>
    <n v="51"/>
    <n v="51"/>
    <d v="2025-11-14T00:00:00"/>
    <n v="6426"/>
    <s v="RV"/>
    <s v="Billing doc.transfer"/>
    <s v="03"/>
    <s v="Finished Goods"/>
    <s v="FG-PCB-Ped"/>
    <s v="FG-PCB-Ped"/>
    <b v="0"/>
    <n v="1178.6099999999997"/>
    <n v="0.18341269841269836"/>
    <s v="November-25"/>
    <n v="126"/>
    <n v="51"/>
    <n v="102.85"/>
    <n v="62.83"/>
    <n v="36.96"/>
    <n v="0.04"/>
    <n v="3.02"/>
    <n v="3.9999999999995151E-2"/>
    <n v="5247.39"/>
    <n v="3204.33"/>
    <n v="1884.96"/>
    <n v="2.04"/>
    <n v="156.06"/>
    <n v="-0.50999999999982037"/>
    <n v="0.18341269841269836"/>
    <n v="102.84"/>
    <n v="2.0400000000003615"/>
    <n v="3.02"/>
    <n v="0"/>
    <n v="0"/>
    <n v="5244.84"/>
    <n v="1884.96"/>
    <n v="154.02000000000001"/>
    <n v="0"/>
    <n v="0"/>
    <n v="2.04"/>
    <n v="0"/>
  </r>
  <r>
    <s v="Hinjewadi RnD"/>
    <d v="2025-11-14T00:00:00"/>
    <s v="3271311231"/>
    <x v="56"/>
    <x v="56"/>
    <s v="NOS"/>
    <s v="ZFG1"/>
    <s v="FG0025"/>
    <n v="102"/>
    <n v="34981.919999999998"/>
    <n v="102"/>
    <n v="102"/>
    <d v="2025-11-14T00:00:00"/>
    <n v="55080"/>
    <s v="RV"/>
    <s v="Billing doc.transfer"/>
    <s v="03"/>
    <s v="Finished Goods"/>
    <s v="FG-PCB-Ped"/>
    <s v="FG-PCB-Ped"/>
    <b v="0"/>
    <n v="20083.800000000003"/>
    <n v="0.36462962962962969"/>
    <s v="November-25"/>
    <n v="540"/>
    <n v="102"/>
    <n v="342.96999999999997"/>
    <n v="240.83999999999997"/>
    <n v="45.19"/>
    <n v="0.13"/>
    <n v="56.81"/>
    <n v="0.12999999999999545"/>
    <n v="34996.199999999997"/>
    <n v="24565.679999999997"/>
    <n v="4609.38"/>
    <n v="13.26"/>
    <n v="5807.88"/>
    <n v="-1.0199999999986176"/>
    <n v="0.36462962962962964"/>
    <n v="342.96"/>
    <n v="13.260000000000218"/>
    <n v="3.69"/>
    <n v="32.85"/>
    <n v="20.27"/>
    <n v="34981.919999999998"/>
    <n v="4609.38"/>
    <n v="376.38"/>
    <n v="3350.7000000000003"/>
    <n v="2067.54"/>
    <n v="13.26"/>
    <n v="0"/>
  </r>
  <r>
    <s v="Atomberg Technologies Private Limit"/>
    <d v="2025-11-13T00:00:00"/>
    <s v="3271310515"/>
    <x v="3"/>
    <x v="3"/>
    <s v="NOS"/>
    <s v="ZFG1"/>
    <s v="FG0010"/>
    <n v="398"/>
    <n v="256721.94"/>
    <n v="398"/>
    <n v="398"/>
    <d v="2025-11-13T00:00:00"/>
    <n v="289966.88"/>
    <s v="RV"/>
    <s v="Billing doc.transfer"/>
    <s v="01"/>
    <s v="Finished Goods"/>
    <s v="FG-PCB-CF"/>
    <s v="FG-PCB-CF"/>
    <b v="0"/>
    <n v="33073.800000000134"/>
    <n v="0.11406061271549403"/>
    <s v="November-25"/>
    <n v="728.56000000000006"/>
    <n v="398"/>
    <n v="645.02999999999963"/>
    <n v="582.23999999999967"/>
    <n v="29.88"/>
    <n v="0.43"/>
    <n v="32.480000000000004"/>
    <n v="0.42999999999996419"/>
    <n v="256893.07999999987"/>
    <n v="231731.51999999987"/>
    <n v="11892.24"/>
    <n v="171.14"/>
    <n v="13098.18"/>
    <n v="1.2914824765175581E-10"/>
    <n v="0.11406061271549406"/>
    <n v="645.03"/>
    <n v="171.1399999999976"/>
    <n v="2.4500000000000002"/>
    <n v="21.72"/>
    <n v="8.31"/>
    <n v="256721.94"/>
    <n v="11892.24"/>
    <n v="975.1"/>
    <n v="8644.56"/>
    <n v="3307.38"/>
    <n v="171.14"/>
    <n v="0"/>
  </r>
  <r>
    <s v="Atomberg Technologies Private Limit"/>
    <d v="2025-11-13T00:00:00"/>
    <s v="3271310552"/>
    <x v="4"/>
    <x v="4"/>
    <s v="NOS"/>
    <s v="ZFG1"/>
    <s v="FG0010"/>
    <n v="1210"/>
    <n v="509906.1"/>
    <n v="1210"/>
    <n v="1210"/>
    <d v="2025-11-13T00:00:00"/>
    <n v="584623.6"/>
    <s v="RV"/>
    <s v="Billing doc.transfer"/>
    <s v="01"/>
    <s v="Finished Goods"/>
    <s v="FG-PCB-CF"/>
    <s v="FG-PCB-CF"/>
    <b v="0"/>
    <n v="74402.900000000198"/>
    <n v="0.12726632999420517"/>
    <s v="November-25"/>
    <n v="483.15999999999997"/>
    <n v="1210"/>
    <n v="421.40999999999985"/>
    <n v="373.04999999999984"/>
    <n v="22"/>
    <n v="0.26"/>
    <n v="26.1"/>
    <n v="0.26000000000001222"/>
    <n v="510220.69999999978"/>
    <n v="451390.49999999983"/>
    <n v="26620"/>
    <n v="314.60000000000002"/>
    <n v="31895.599999999999"/>
    <n v="1.5279510989785194E-10"/>
    <n v="0.12726632999420517"/>
    <n v="421.40999999999997"/>
    <n v="314.59999999995489"/>
    <n v="1.8"/>
    <n v="15.99"/>
    <n v="8.31"/>
    <n v="509906.1"/>
    <n v="26620"/>
    <n v="2178"/>
    <n v="19347.900000000001"/>
    <n v="10055.1"/>
    <n v="314.60000000000002"/>
    <n v="0"/>
  </r>
  <r>
    <s v="Atomberg Technologies Private Limit"/>
    <d v="2025-11-13T00:00:00"/>
    <s v="3271310515"/>
    <x v="15"/>
    <x v="15"/>
    <s v="NOS"/>
    <s v="ZFG1"/>
    <s v="FG0010"/>
    <n v="710"/>
    <n v="299179.8"/>
    <n v="710"/>
    <n v="710"/>
    <d v="2025-11-13T00:00:00"/>
    <n v="343043.6"/>
    <s v="RV"/>
    <s v="Billing doc.transfer"/>
    <s v="01"/>
    <s v="Finished Goods"/>
    <s v="FG-PCB-CF"/>
    <s v="FG-PCB-CF"/>
    <b v="0"/>
    <n v="43679.200000000186"/>
    <n v="0.12732842122692331"/>
    <s v="November-25"/>
    <n v="483.15999999999997"/>
    <n v="710"/>
    <n v="421.37999999999982"/>
    <n v="373.01999999999981"/>
    <n v="22"/>
    <n v="0.26"/>
    <n v="26.1"/>
    <n v="0.26000000000001222"/>
    <n v="299364.39999999979"/>
    <n v="264844.19999999984"/>
    <n v="15620"/>
    <n v="184.6"/>
    <n v="18715.599999999999"/>
    <n v="1.5279510989785194E-10"/>
    <n v="0.12732842122692334"/>
    <n v="421.38"/>
    <n v="184.59999999995489"/>
    <n v="1.8"/>
    <n v="15.99"/>
    <n v="8.31"/>
    <n v="299179.8"/>
    <n v="15620"/>
    <n v="1278"/>
    <n v="11352.9"/>
    <n v="5900.1"/>
    <n v="184.6"/>
    <n v="0"/>
  </r>
  <r>
    <s v="Atomberg Technologies Private Limit"/>
    <d v="2025-11-13T00:00:00"/>
    <s v="3271310552"/>
    <x v="15"/>
    <x v="15"/>
    <s v="NOS"/>
    <s v="ZFG1"/>
    <s v="FG0010"/>
    <n v="350"/>
    <n v="147483"/>
    <n v="350"/>
    <n v="350"/>
    <d v="2025-11-13T00:00:00"/>
    <n v="169106"/>
    <s v="RV"/>
    <s v="Billing doc.transfer"/>
    <s v="01"/>
    <s v="Finished Goods"/>
    <s v="FG-PCB-CF"/>
    <s v="FG-PCB-CF"/>
    <b v="0"/>
    <n v="21532.000000000058"/>
    <n v="0.12732842122692312"/>
    <s v="November-25"/>
    <n v="483.16"/>
    <n v="350"/>
    <n v="421.37999999999982"/>
    <n v="373.01999999999981"/>
    <n v="22"/>
    <n v="0.26"/>
    <n v="26.1"/>
    <n v="0.26000000000001222"/>
    <n v="147573.99999999994"/>
    <n v="130556.99999999993"/>
    <n v="7700"/>
    <n v="91"/>
    <n v="9226"/>
    <n v="7.2759576141834259E-11"/>
    <n v="0.12732842122692312"/>
    <n v="421.38"/>
    <n v="91.000000000014552"/>
    <n v="1.8"/>
    <n v="15.99"/>
    <n v="8.31"/>
    <n v="147483"/>
    <n v="7700"/>
    <n v="630"/>
    <n v="5596.5"/>
    <n v="2908.5"/>
    <n v="91"/>
    <n v="0"/>
  </r>
  <r>
    <s v="Atomberg Technologies Private Limit"/>
    <d v="2025-11-13T00:00:00"/>
    <s v="3271310989"/>
    <x v="15"/>
    <x v="15"/>
    <s v="NOS"/>
    <s v="ZFG1"/>
    <s v="FG0010"/>
    <n v="580"/>
    <n v="244400.4"/>
    <n v="580"/>
    <n v="580"/>
    <d v="2025-11-13T00:00:00"/>
    <n v="280232.8"/>
    <s v="RV"/>
    <s v="Billing doc.transfer"/>
    <s v="01"/>
    <s v="Finished Goods"/>
    <s v="FG-PCB-CF"/>
    <s v="FG-PCB-CF"/>
    <b v="0"/>
    <n v="35681.600000000122"/>
    <n v="0.1273284212269232"/>
    <s v="November-25"/>
    <n v="483.15999999999997"/>
    <n v="580"/>
    <n v="421.37999999999982"/>
    <n v="373.01999999999981"/>
    <n v="22"/>
    <n v="0.26"/>
    <n v="26.1"/>
    <n v="0.26000000000001222"/>
    <n v="244551.19999999987"/>
    <n v="216351.59999999989"/>
    <n v="12760"/>
    <n v="150.80000000000001"/>
    <n v="15288.8"/>
    <n v="1.0550138540565968E-10"/>
    <n v="0.12732842122692323"/>
    <n v="421.38"/>
    <n v="150.79999999997744"/>
    <n v="1.8"/>
    <n v="15.99"/>
    <n v="8.31"/>
    <n v="244400.4"/>
    <n v="12760"/>
    <n v="1044"/>
    <n v="9274.2000000000007"/>
    <n v="4819.8"/>
    <n v="150.80000000000001"/>
    <n v="0"/>
  </r>
  <r>
    <s v="Atomberg Technologies Private Limit"/>
    <d v="2025-11-13T00:00:00"/>
    <s v="3271310989"/>
    <x v="20"/>
    <x v="20"/>
    <s v="NOS"/>
    <s v="ZFG1"/>
    <s v="FG0010"/>
    <n v="370"/>
    <n v="155910.6"/>
    <n v="370"/>
    <n v="370"/>
    <d v="2025-11-13T00:00:00"/>
    <n v="178769.2"/>
    <s v="RV"/>
    <s v="Billing doc.transfer"/>
    <s v="01"/>
    <s v="Finished Goods"/>
    <s v="FG-PCB-CF"/>
    <s v="FG-PCB-CF"/>
    <b v="0"/>
    <n v="22762.400000000052"/>
    <n v="0.12732842122692303"/>
    <s v="November-25"/>
    <n v="483.16"/>
    <n v="370"/>
    <n v="421.37999999999982"/>
    <n v="373.01999999999981"/>
    <n v="22"/>
    <n v="0.26"/>
    <n v="26.1"/>
    <n v="0.26000000000001222"/>
    <n v="156006.79999999996"/>
    <n v="138017.39999999994"/>
    <n v="8140"/>
    <n v="96.2"/>
    <n v="9753.2000000000007"/>
    <n v="6.9121597334742546E-11"/>
    <n v="0.12732842122692301"/>
    <n v="421.38"/>
    <n v="96.200000000022555"/>
    <n v="1.8"/>
    <n v="15.99"/>
    <n v="8.31"/>
    <n v="155910.6"/>
    <n v="8140"/>
    <n v="666"/>
    <n v="5916.3"/>
    <n v="3074.7000000000003"/>
    <n v="96.2"/>
    <n v="0"/>
  </r>
  <r>
    <s v="Atomberg Technologies Private Limit"/>
    <d v="2025-11-13T00:00:00"/>
    <s v="3271310515"/>
    <x v="8"/>
    <x v="8"/>
    <s v="NOS"/>
    <s v="ZFG1"/>
    <s v="FG0010"/>
    <n v="1031"/>
    <n v="335281.2"/>
    <n v="1031"/>
    <n v="1031"/>
    <d v="2025-11-13T00:00:00"/>
    <n v="366025.62"/>
    <s v="RV"/>
    <s v="Billing doc.transfer"/>
    <s v="01"/>
    <s v="Finished Goods"/>
    <s v="FG-PCB-CF"/>
    <s v="FG-PCB-CF"/>
    <b v="0"/>
    <n v="30476.360000000044"/>
    <n v="8.3262914765365459E-2"/>
    <s v="November-25"/>
    <n v="355.02"/>
    <n v="1031"/>
    <n v="325.19999999999993"/>
    <n v="271.52999999999997"/>
    <n v="23.84"/>
    <n v="0.26"/>
    <n v="29.569999999999997"/>
    <n v="0.25999999999996248"/>
    <n v="335549.25999999995"/>
    <n v="279947.43"/>
    <n v="24579.040000000001"/>
    <n v="268.06"/>
    <n v="30754.73"/>
    <n v="0"/>
    <n v="8.3262914765365403E-2"/>
    <n v="325.2"/>
    <n v="268.05999999995765"/>
    <n v="1.9500000000000002"/>
    <n v="17.329999999999998"/>
    <n v="10.29"/>
    <n v="335281.2"/>
    <n v="24579.040000000001"/>
    <n v="2010.4500000000003"/>
    <n v="17867.23"/>
    <n v="10608.99"/>
    <n v="268.06"/>
    <n v="0"/>
  </r>
  <r>
    <s v="Atomberg Technologies Private Limit"/>
    <d v="2025-11-13T00:00:00"/>
    <s v="3271310552"/>
    <x v="9"/>
    <x v="9"/>
    <s v="NOS"/>
    <s v="ZFG1"/>
    <s v="FG0010"/>
    <n v="1037"/>
    <n v="224614.2"/>
    <n v="1037"/>
    <n v="1037"/>
    <d v="2025-11-13T00:00:00"/>
    <n v="230058.45"/>
    <s v="RV"/>
    <s v="Billing doc.transfer"/>
    <s v="01"/>
    <s v="Finished Goods"/>
    <s v="FG-PCB-CF"/>
    <s v="FG-PCB-CF"/>
    <b v="0"/>
    <n v="5402.7700000000477"/>
    <n v="2.3484336263241135E-2"/>
    <s v="November-25"/>
    <n v="221.85000000000002"/>
    <n v="1037"/>
    <n v="216.59999999999994"/>
    <n v="174.98999999999995"/>
    <n v="18.389999999999997"/>
    <n v="0.04"/>
    <n v="23.18"/>
    <n v="3.9999999999988489E-2"/>
    <n v="224655.67999999996"/>
    <n v="181464.62999999995"/>
    <n v="19070.429999999997"/>
    <n v="41.480000000000004"/>
    <n v="24079.14"/>
    <n v="6.9121597334742546E-11"/>
    <n v="2.348433626324109E-2"/>
    <n v="216.60000000000002"/>
    <n v="41.480000000021391"/>
    <n v="1.5"/>
    <n v="13.37"/>
    <n v="8.31"/>
    <n v="224614.2"/>
    <n v="19070.429999999997"/>
    <n v="1555.5"/>
    <n v="13864.689999999999"/>
    <n v="8617.4700000000012"/>
    <n v="41.480000000000004"/>
    <n v="0"/>
  </r>
  <r>
    <s v="Atomberg Technologies Private Limit"/>
    <d v="2025-11-13T00:00:00"/>
    <s v="3271310989"/>
    <x v="38"/>
    <x v="38"/>
    <s v="NOS"/>
    <s v="ZFG1"/>
    <s v="FG0010"/>
    <n v="70"/>
    <n v="13437.2"/>
    <n v="70"/>
    <n v="70"/>
    <d v="2025-11-13T00:00:00"/>
    <n v="34650"/>
    <s v="RV"/>
    <s v="Billing doc.transfer"/>
    <s v="01"/>
    <s v="Finished Goods"/>
    <s v="FG-PCB-CF"/>
    <s v="FG-PCB-CF"/>
    <b v="0"/>
    <n v="21212.799999999999"/>
    <n v="0.61220202020202019"/>
    <s v="November-25"/>
    <n v="495"/>
    <n v="70"/>
    <n v="191.96"/>
    <n v="127.95"/>
    <n v="29.26"/>
    <n v="0"/>
    <n v="34.75"/>
    <n v="0"/>
    <n v="13437.2"/>
    <n v="8956.5"/>
    <n v="2048.2000000000003"/>
    <n v="0"/>
    <n v="2432.5"/>
    <n v="0"/>
    <n v="0.61220202020202019"/>
    <n v="191.96"/>
    <n v="0"/>
    <n v="3.14"/>
    <n v="25.15"/>
    <n v="6.46"/>
    <n v="13437.2"/>
    <n v="2048.2000000000003"/>
    <n v="219.8"/>
    <n v="1760.5"/>
    <n v="452.2"/>
    <n v="0"/>
    <n v="0"/>
  </r>
  <r>
    <s v="INYANTRA TECHNOLOGIES PRIVATE LIMIT"/>
    <d v="2025-11-13T00:00:00"/>
    <s v="3271310622"/>
    <x v="57"/>
    <x v="57"/>
    <s v="NOS"/>
    <s v="ZROH"/>
    <s v="RM0009"/>
    <n v="9000"/>
    <n v="26963.08"/>
    <n v="9000"/>
    <n v="9000"/>
    <d v="2025-11-13T00:00:00"/>
    <n v="27360"/>
    <s v="RV"/>
    <s v="Billing doc.transfer"/>
    <s v="01"/>
    <s v="Raw Material"/>
    <s v="RM-Mech. Accessories"/>
    <s v="Raw Material"/>
    <b v="0"/>
    <n v="27360"/>
    <n v="1"/>
    <s v="November-25"/>
    <n v="3.04"/>
    <n v="9000"/>
    <n v="0"/>
    <n v="0"/>
    <n v="0"/>
    <n v="0"/>
    <n v="0"/>
    <n v="0"/>
    <n v="0"/>
    <n v="0"/>
    <n v="0"/>
    <n v="0"/>
    <n v="0"/>
    <n v="26963.08"/>
    <n v="1"/>
    <n v="2.995897777777778"/>
    <n v="0"/>
    <n v="0"/>
    <n v="0"/>
    <n v="0"/>
    <n v="26963.08"/>
    <n v="0"/>
    <n v="0"/>
    <n v="0"/>
    <n v="0"/>
    <n v="0"/>
    <n v="0"/>
  </r>
  <r>
    <s v="GODREJ &amp; BOYCE MFG. CO. LTD  MOHALI"/>
    <d v="2025-11-12T00:00:00"/>
    <s v="3271310349"/>
    <x v="1"/>
    <x v="1"/>
    <s v="NOS"/>
    <s v="ZFG1"/>
    <s v="FG0011"/>
    <n v="4000"/>
    <n v="1845480"/>
    <n v="4000"/>
    <n v="4000"/>
    <d v="2025-11-12T00:00:00"/>
    <n v="2637240"/>
    <s v="RV"/>
    <s v="Billing doc.transfer"/>
    <s v="01"/>
    <s v="Finished Goods"/>
    <s v="FG-PCB-Ref"/>
    <s v="FG-PCB-Ref"/>
    <b v="0"/>
    <n v="790799.99999999977"/>
    <n v="0.29985894344086989"/>
    <s v="November-25"/>
    <n v="659.31"/>
    <n v="4000"/>
    <n v="461.37"/>
    <n v="401.59000000000003"/>
    <n v="28.32"/>
    <n v="0.24"/>
    <n v="31.22"/>
    <n v="0.23999999999997357"/>
    <n v="1846440.0000000002"/>
    <n v="1606360.0000000002"/>
    <n v="113280"/>
    <n v="960"/>
    <n v="125840"/>
    <n v="-2.3283064365386963E-10"/>
    <n v="0.29985894344086994"/>
    <n v="461.37"/>
    <n v="960"/>
    <n v="2.3199999999999998"/>
    <n v="20.59"/>
    <n v="8.31"/>
    <n v="1845480"/>
    <n v="113280"/>
    <n v="9280"/>
    <n v="82360"/>
    <n v="33240"/>
    <n v="960"/>
    <n v="0"/>
  </r>
  <r>
    <s v="Atomberg Technologies Private Limit"/>
    <d v="2025-11-12T00:00:00"/>
    <s v="3271310351"/>
    <x v="2"/>
    <x v="2"/>
    <s v="NOS"/>
    <s v="ZSFG"/>
    <s v="SF0045"/>
    <n v="4368"/>
    <n v="645022.56000000006"/>
    <n v="4368"/>
    <n v="4368"/>
    <d v="2025-11-12T00:00:00"/>
    <n v="711721.92"/>
    <s v="RV"/>
    <s v="Billing doc.transfer"/>
    <s v="01"/>
    <s v="Semi-Finished Goods"/>
    <s v="SFG-GV5 Stator"/>
    <s v="Sub Ass.-Mech Stator"/>
    <b v="0"/>
    <n v="66699.360000000219"/>
    <n v="9.3715478090094811E-2"/>
    <s v="November-25"/>
    <n v="162.94"/>
    <n v="4368"/>
    <n v="147.66999999999996"/>
    <n v="144.21999999999997"/>
    <n v="1.5"/>
    <n v="0"/>
    <n v="1.95"/>
    <n v="-1.1324274851176597E-14"/>
    <n v="645022.55999999982"/>
    <n v="629952.95999999985"/>
    <n v="6552"/>
    <n v="0"/>
    <n v="8517.6"/>
    <n v="2.0918378140777349E-10"/>
    <n v="9.3715478090094839E-2"/>
    <n v="147.67000000000002"/>
    <n v="-2.3646862246096134E-11"/>
    <n v="0.05"/>
    <n v="0.4"/>
    <n v="1.5"/>
    <n v="645022.56000000006"/>
    <n v="6552"/>
    <n v="218.4"/>
    <n v="1747.2"/>
    <n v="6552"/>
    <n v="0"/>
    <n v="0"/>
  </r>
  <r>
    <s v="Atomberg Technologies Private Limit"/>
    <d v="2025-11-12T00:00:00"/>
    <s v="3271310352"/>
    <x v="35"/>
    <x v="35"/>
    <s v="NOS"/>
    <s v="ZSFG"/>
    <s v="SF0045"/>
    <n v="1008"/>
    <n v="126131.04"/>
    <n v="1008"/>
    <n v="1008"/>
    <d v="2025-11-12T00:00:00"/>
    <n v="133449.12"/>
    <s v="RV"/>
    <s v="Billing doc.transfer"/>
    <s v="01"/>
    <s v="Semi-Finished Goods"/>
    <s v="SFG-GV5 Stator"/>
    <s v="Sub Ass.-Mech Stator"/>
    <b v="0"/>
    <n v="7318.0800000000017"/>
    <n v="5.4837978699297546E-2"/>
    <s v="November-25"/>
    <n v="132.38999999999999"/>
    <n v="1008"/>
    <n v="125.13"/>
    <n v="121.67999999999999"/>
    <n v="1.5"/>
    <n v="0"/>
    <n v="1.95"/>
    <n v="2.886579864025407E-15"/>
    <n v="126131.04"/>
    <n v="122653.43999999999"/>
    <n v="1512"/>
    <n v="0"/>
    <n v="1965.6"/>
    <n v="5.9117155615240335E-12"/>
    <n v="5.4837978699297518E-2"/>
    <n v="125.13"/>
    <n v="5.9117155615240335E-12"/>
    <n v="0.05"/>
    <n v="0.4"/>
    <n v="1.5"/>
    <n v="126131.04"/>
    <n v="1512"/>
    <n v="50.400000000000006"/>
    <n v="403.20000000000005"/>
    <n v="1512"/>
    <n v="0"/>
    <n v="0"/>
  </r>
  <r>
    <s v="Atomberg Technologies Private Limit"/>
    <d v="2025-11-12T00:00:00"/>
    <s v="3271310197"/>
    <x v="8"/>
    <x v="8"/>
    <s v="NOS"/>
    <s v="ZFG1"/>
    <s v="FG0010"/>
    <n v="1035"/>
    <n v="336582"/>
    <n v="1035"/>
    <n v="1035"/>
    <d v="2025-11-12T00:00:00"/>
    <n v="376284.6"/>
    <s v="RV"/>
    <s v="Billing doc.transfer"/>
    <s v="01"/>
    <s v="Finished Goods"/>
    <s v="FG-PCB-CF"/>
    <s v="FG-PCB-CF"/>
    <b v="0"/>
    <n v="39433.5"/>
    <n v="0.10479700737154803"/>
    <s v="November-25"/>
    <n v="363.56"/>
    <n v="1035"/>
    <n v="325.19999999999993"/>
    <n v="271.52999999999997"/>
    <n v="23.84"/>
    <n v="0.26"/>
    <n v="29.569999999999997"/>
    <n v="0.25999999999996248"/>
    <n v="336851.1"/>
    <n v="281033.55"/>
    <n v="24674.400000000001"/>
    <n v="269.10000000000002"/>
    <n v="30874.049999999996"/>
    <n v="0"/>
    <n v="0.10479700737154807"/>
    <n v="325.2"/>
    <n v="269.09999999999127"/>
    <n v="1.9500000000000002"/>
    <n v="17.329999999999998"/>
    <n v="10.29"/>
    <n v="336582"/>
    <n v="24674.400000000001"/>
    <n v="2018.2500000000002"/>
    <n v="17936.55"/>
    <n v="10650.15"/>
    <n v="269.10000000000002"/>
    <n v="0"/>
  </r>
  <r>
    <s v="Atomberg Technologies Private Limit"/>
    <d v="2025-11-12T00:00:00"/>
    <s v="3271310306"/>
    <x v="33"/>
    <x v="33"/>
    <s v="NOS"/>
    <s v="ZSFG"/>
    <s v="SF0045"/>
    <n v="32"/>
    <n v="3104.96"/>
    <n v="32"/>
    <n v="32"/>
    <d v="2025-11-12T00:00:00"/>
    <n v="4075.84"/>
    <s v="RV"/>
    <s v="Billing doc.transfer"/>
    <s v="01"/>
    <s v="Semi-Finished Goods"/>
    <s v="SFG-GV5 Stator"/>
    <s v="Sub Ass.-Mech Stator"/>
    <b v="0"/>
    <n v="970.88000000000011"/>
    <n v="0.23820365863233103"/>
    <s v="November-25"/>
    <n v="127.37"/>
    <n v="32"/>
    <n v="97.03"/>
    <n v="93.490000000000009"/>
    <n v="1.63"/>
    <n v="0"/>
    <n v="1.9100000000000001"/>
    <n v="-7.9936057773011271E-15"/>
    <n v="3104.96"/>
    <n v="2991.6800000000003"/>
    <n v="52.16"/>
    <n v="0"/>
    <n v="61.120000000000005"/>
    <n v="-2.5579538487363607E-13"/>
    <n v="0.23820365863233106"/>
    <n v="97.03"/>
    <n v="-2.5579538487363607E-13"/>
    <n v="0.04"/>
    <n v="0.37"/>
    <n v="1.5"/>
    <n v="3104.96"/>
    <n v="52.16"/>
    <n v="1.28"/>
    <n v="11.84"/>
    <n v="48"/>
    <n v="0"/>
    <n v="0"/>
  </r>
  <r>
    <s v="Atomberg Technologies Private Limit"/>
    <d v="2025-11-12T00:00:00"/>
    <s v="3271310196"/>
    <x v="3"/>
    <x v="3"/>
    <s v="NOS"/>
    <s v="ZFG1"/>
    <s v="FG0010"/>
    <n v="428"/>
    <n v="276072.84000000003"/>
    <n v="428"/>
    <n v="428"/>
    <d v="2025-11-12T00:00:00"/>
    <n v="311823.68"/>
    <s v="RV"/>
    <s v="Billing doc.transfer"/>
    <s v="01"/>
    <s v="Finished Goods"/>
    <s v="FG-PCB-CF"/>
    <s v="FG-PCB-CF"/>
    <b v="0"/>
    <n v="35566.800000000163"/>
    <n v="0.1140606127154941"/>
    <s v="November-25"/>
    <n v="728.56"/>
    <n v="428"/>
    <n v="645.02999999999963"/>
    <n v="582.23999999999967"/>
    <n v="29.88"/>
    <n v="0.43"/>
    <n v="32.480000000000004"/>
    <n v="0.42999999999996419"/>
    <n v="276256.87999999983"/>
    <n v="249198.71999999986"/>
    <n v="12788.64"/>
    <n v="184.04"/>
    <n v="14085.480000000003"/>
    <n v="1.673470251262188E-10"/>
    <n v="0.11406061271549406"/>
    <n v="645.03000000000009"/>
    <n v="184.03999999997177"/>
    <n v="2.4500000000000002"/>
    <n v="21.72"/>
    <n v="8.31"/>
    <n v="276072.84000000003"/>
    <n v="12788.64"/>
    <n v="1048.6000000000001"/>
    <n v="9296.16"/>
    <n v="3556.6800000000003"/>
    <n v="184.04"/>
    <n v="0"/>
  </r>
  <r>
    <s v="Atomberg Technologies Private Limit"/>
    <d v="2025-11-12T00:00:00"/>
    <s v="3271310196"/>
    <x v="4"/>
    <x v="4"/>
    <s v="NOS"/>
    <s v="ZFG1"/>
    <s v="FG0010"/>
    <n v="1235"/>
    <n v="520441.35"/>
    <n v="1235"/>
    <n v="1235"/>
    <d v="2025-11-12T00:00:00"/>
    <n v="596702.6"/>
    <s v="RV"/>
    <s v="Billing doc.transfer"/>
    <s v="01"/>
    <s v="Finished Goods"/>
    <s v="FG-PCB-CF"/>
    <s v="FG-PCB-CF"/>
    <b v="0"/>
    <n v="75940.150000000198"/>
    <n v="0.12726632999420515"/>
    <s v="November-25"/>
    <n v="483.15999999999997"/>
    <n v="1235"/>
    <n v="421.40999999999985"/>
    <n v="373.04999999999984"/>
    <n v="22"/>
    <n v="0.26"/>
    <n v="26.1"/>
    <n v="0.26000000000001222"/>
    <n v="520762.44999999978"/>
    <n v="460716.74999999983"/>
    <n v="27170"/>
    <n v="321.10000000000002"/>
    <n v="32554.6"/>
    <n v="1.5279510989785194E-10"/>
    <n v="0.12726632999420517"/>
    <n v="421.40999999999997"/>
    <n v="321.09999999995489"/>
    <n v="1.8"/>
    <n v="15.99"/>
    <n v="8.31"/>
    <n v="520441.35"/>
    <n v="27170"/>
    <n v="2223"/>
    <n v="19747.650000000001"/>
    <n v="10262.85"/>
    <n v="321.10000000000002"/>
    <n v="0"/>
  </r>
  <r>
    <s v="Atomberg Technologies Private Limit"/>
    <d v="2025-11-12T00:00:00"/>
    <s v="3271310304"/>
    <x v="15"/>
    <x v="15"/>
    <s v="NOS"/>
    <s v="ZFG1"/>
    <s v="FG0010"/>
    <n v="470"/>
    <n v="198048.6"/>
    <n v="470"/>
    <n v="470"/>
    <d v="2025-11-12T00:00:00"/>
    <n v="227085.2"/>
    <s v="RV"/>
    <s v="Billing doc.transfer"/>
    <s v="01"/>
    <s v="Finished Goods"/>
    <s v="FG-PCB-CF"/>
    <s v="FG-PCB-CF"/>
    <b v="0"/>
    <n v="28914.400000000081"/>
    <n v="0.12732842122692312"/>
    <s v="November-25"/>
    <n v="483.16"/>
    <n v="470"/>
    <n v="421.37999999999982"/>
    <n v="373.01999999999981"/>
    <n v="22"/>
    <n v="0.26"/>
    <n v="26.1"/>
    <n v="0.26000000000001222"/>
    <n v="198170.79999999993"/>
    <n v="175319.39999999991"/>
    <n v="10340"/>
    <n v="122.2"/>
    <n v="12389.2"/>
    <n v="9.822542779147625E-11"/>
    <n v="0.12732842122692312"/>
    <n v="421.38"/>
    <n v="122.20000000002256"/>
    <n v="1.8"/>
    <n v="15.99"/>
    <n v="8.31"/>
    <n v="198048.6"/>
    <n v="10340"/>
    <n v="846"/>
    <n v="7515.3"/>
    <n v="3905.7000000000003"/>
    <n v="122.2"/>
    <n v="0"/>
  </r>
  <r>
    <s v="Atomberg Technologies Private Limit"/>
    <d v="2025-11-12T00:00:00"/>
    <s v="3271310353"/>
    <x v="15"/>
    <x v="15"/>
    <s v="NOS"/>
    <s v="ZFG1"/>
    <s v="FG0010"/>
    <n v="170"/>
    <n v="71634.600000000006"/>
    <n v="170"/>
    <n v="170"/>
    <d v="2025-11-12T00:00:00"/>
    <n v="82137.2"/>
    <s v="RV"/>
    <s v="Billing doc.transfer"/>
    <s v="01"/>
    <s v="Finished Goods"/>
    <s v="FG-PCB-CF"/>
    <s v="FG-PCB-CF"/>
    <b v="0"/>
    <n v="10458.400000000038"/>
    <n v="0.12732842122692323"/>
    <s v="November-25"/>
    <n v="483.15999999999997"/>
    <n v="170"/>
    <n v="421.37999999999982"/>
    <n v="373.01999999999981"/>
    <n v="22"/>
    <n v="0.26"/>
    <n v="26.1"/>
    <n v="0.26000000000001222"/>
    <n v="71678.799999999959"/>
    <n v="63413.399999999965"/>
    <n v="3740"/>
    <n v="44.2"/>
    <n v="4481.2"/>
    <n v="4.0927261579781771E-11"/>
    <n v="0.12732842122692323"/>
    <n v="421.38000000000005"/>
    <n v="44.199999999994361"/>
    <n v="1.8"/>
    <n v="15.99"/>
    <n v="8.31"/>
    <n v="71634.600000000006"/>
    <n v="3740"/>
    <n v="306"/>
    <n v="2718.3"/>
    <n v="1412.7"/>
    <n v="44.2"/>
    <n v="0"/>
  </r>
  <r>
    <s v="Atomberg Technologies Private Limit"/>
    <d v="2025-11-12T00:00:00"/>
    <s v="3271310304"/>
    <x v="9"/>
    <x v="9"/>
    <s v="NOS"/>
    <s v="ZFG1"/>
    <s v="FG0010"/>
    <n v="1044"/>
    <n v="226130.4"/>
    <n v="1044"/>
    <n v="1044"/>
    <d v="2025-11-12T00:00:00"/>
    <n v="231611.4"/>
    <s v="RV"/>
    <s v="Billing doc.transfer"/>
    <s v="01"/>
    <s v="Finished Goods"/>
    <s v="FG-PCB-CF"/>
    <s v="FG-PCB-CF"/>
    <b v="0"/>
    <n v="5439.2400000000489"/>
    <n v="2.3484336263241139E-2"/>
    <s v="November-25"/>
    <n v="221.85"/>
    <n v="1044"/>
    <n v="216.59999999999994"/>
    <n v="174.98999999999995"/>
    <n v="18.389999999999997"/>
    <n v="0.04"/>
    <n v="23.18"/>
    <n v="3.9999999999988489E-2"/>
    <n v="226172.15999999995"/>
    <n v="182689.55999999994"/>
    <n v="19199.159999999996"/>
    <n v="41.76"/>
    <n v="24241.679999999997"/>
    <n v="6.184563972055912E-11"/>
    <n v="2.348433626324109E-2"/>
    <n v="216.6"/>
    <n v="41.760000000012951"/>
    <n v="1.5"/>
    <n v="13.37"/>
    <n v="8.31"/>
    <n v="226130.4"/>
    <n v="19199.159999999996"/>
    <n v="1566"/>
    <n v="13958.279999999999"/>
    <n v="8675.6400000000012"/>
    <n v="41.76"/>
    <n v="0"/>
  </r>
  <r>
    <s v="Atomberg Technologies Private Limit"/>
    <d v="2025-11-11T00:00:00"/>
    <s v="3271309823"/>
    <x v="2"/>
    <x v="2"/>
    <s v="NOS"/>
    <s v="ZSFG"/>
    <s v="SF0045"/>
    <n v="4368"/>
    <n v="645022.56000000006"/>
    <n v="4368"/>
    <n v="4368"/>
    <d v="2025-11-11T00:00:00"/>
    <n v="711721.92"/>
    <s v="RV"/>
    <s v="Billing doc.transfer"/>
    <s v="01"/>
    <s v="Semi-Finished Goods"/>
    <s v="SFG-GV5 Stator"/>
    <s v="Sub Ass.-Mech Stator"/>
    <b v="0"/>
    <n v="66699.360000000219"/>
    <n v="9.3715478090094811E-2"/>
    <s v="November-25"/>
    <n v="162.94"/>
    <n v="4368"/>
    <n v="147.66999999999996"/>
    <n v="144.21999999999997"/>
    <n v="1.5"/>
    <n v="0"/>
    <n v="1.95"/>
    <n v="-1.1324274851176597E-14"/>
    <n v="645022.55999999982"/>
    <n v="629952.95999999985"/>
    <n v="6552"/>
    <n v="0"/>
    <n v="8517.6"/>
    <n v="2.0918378140777349E-10"/>
    <n v="9.3715478090094839E-2"/>
    <n v="147.67000000000002"/>
    <n v="-2.3646862246096134E-11"/>
    <n v="0.05"/>
    <n v="0.4"/>
    <n v="1.5"/>
    <n v="645022.56000000006"/>
    <n v="6552"/>
    <n v="218.4"/>
    <n v="1747.2"/>
    <n v="6552"/>
    <n v="0"/>
    <n v="0"/>
  </r>
  <r>
    <s v="Atomberg Technologies Private Limit"/>
    <d v="2025-11-11T00:00:00"/>
    <s v="3271309794"/>
    <x v="35"/>
    <x v="35"/>
    <s v="NOS"/>
    <s v="ZSFG"/>
    <s v="SF0045"/>
    <n v="1008"/>
    <n v="126131.04"/>
    <n v="1008"/>
    <n v="1008"/>
    <d v="2025-11-11T00:00:00"/>
    <n v="133449.12"/>
    <s v="RV"/>
    <s v="Billing doc.transfer"/>
    <s v="01"/>
    <s v="Semi-Finished Goods"/>
    <s v="SFG-GV5 Stator"/>
    <s v="Sub Ass.-Mech Stator"/>
    <b v="0"/>
    <n v="7318.0800000000017"/>
    <n v="5.4837978699297546E-2"/>
    <s v="November-25"/>
    <n v="132.38999999999999"/>
    <n v="1008"/>
    <n v="125.13"/>
    <n v="121.67999999999999"/>
    <n v="1.5"/>
    <n v="0"/>
    <n v="1.95"/>
    <n v="2.886579864025407E-15"/>
    <n v="126131.04"/>
    <n v="122653.43999999999"/>
    <n v="1512"/>
    <n v="0"/>
    <n v="1965.6"/>
    <n v="5.9117155615240335E-12"/>
    <n v="5.4837978699297518E-2"/>
    <n v="125.13"/>
    <n v="5.9117155615240335E-12"/>
    <n v="0.05"/>
    <n v="0.4"/>
    <n v="1.5"/>
    <n v="126131.04"/>
    <n v="1512"/>
    <n v="50.400000000000006"/>
    <n v="403.20000000000005"/>
    <n v="1512"/>
    <n v="0"/>
    <n v="0"/>
  </r>
  <r>
    <s v="Atomberg Technologies Private Limit"/>
    <d v="2025-11-11T00:00:00"/>
    <s v="3271309812"/>
    <x v="35"/>
    <x v="35"/>
    <s v="NOS"/>
    <s v="ZSFG"/>
    <s v="SF0045"/>
    <n v="520"/>
    <n v="65067.6"/>
    <n v="520"/>
    <n v="520"/>
    <d v="2025-11-11T00:00:00"/>
    <n v="68842.8"/>
    <s v="RV"/>
    <s v="Billing doc.transfer"/>
    <s v="01"/>
    <s v="Semi-Finished Goods"/>
    <s v="SFG-GV5 Stator"/>
    <s v="Sub Ass.-Mech Stator"/>
    <b v="0"/>
    <n v="3775.2000000000044"/>
    <n v="5.4837978699297595E-2"/>
    <s v="November-25"/>
    <n v="132.39000000000001"/>
    <n v="520"/>
    <n v="125.13"/>
    <n v="121.67999999999999"/>
    <n v="1.5"/>
    <n v="0"/>
    <n v="1.95"/>
    <n v="2.886579864025407E-15"/>
    <n v="65067.6"/>
    <n v="63273.599999999999"/>
    <n v="780"/>
    <n v="0"/>
    <n v="1014"/>
    <n v="0"/>
    <n v="5.4837978699297629E-2"/>
    <n v="125.13"/>
    <n v="0"/>
    <n v="0.05"/>
    <n v="0.4"/>
    <n v="1.5"/>
    <n v="65067.6"/>
    <n v="780"/>
    <n v="26"/>
    <n v="208"/>
    <n v="780"/>
    <n v="0"/>
    <n v="0"/>
  </r>
  <r>
    <s v="Atomberg Technologies Private Limit"/>
    <d v="2025-11-11T00:00:00"/>
    <s v="3271309806"/>
    <x v="58"/>
    <x v="58"/>
    <s v="NOS"/>
    <s v="ZFG1"/>
    <s v="FG0012"/>
    <n v="230"/>
    <n v="85369.1"/>
    <n v="230"/>
    <n v="230"/>
    <d v="2025-11-11T00:00:00"/>
    <n v="114673.4"/>
    <s v="RV"/>
    <s v="Billing doc.transfer"/>
    <s v="01"/>
    <s v="Finished Goods"/>
    <s v="FG-PCB-MG"/>
    <s v="FG-PCB-MG"/>
    <b v="0"/>
    <n v="29272.099999999977"/>
    <n v="0.25526495246500042"/>
    <s v="November-25"/>
    <n v="498.58"/>
    <n v="230"/>
    <n v="371.18000000000006"/>
    <n v="244.43000000000006"/>
    <n v="58.8"/>
    <n v="0.13"/>
    <n v="67.819999999999993"/>
    <n v="0.13000000000000966"/>
    <n v="85401.300000000017"/>
    <n v="56218.900000000016"/>
    <n v="13524"/>
    <n v="29.900000000000002"/>
    <n v="15628.499999999998"/>
    <n v="-2.3000000000083674"/>
    <n v="0.25526495246500036"/>
    <n v="371.17"/>
    <n v="29.900000000003274"/>
    <n v="4.8099999999999996"/>
    <n v="42.739999999999995"/>
    <n v="20.27"/>
    <n v="85369.1"/>
    <n v="13524"/>
    <n v="1106.3"/>
    <n v="9830.1999999999989"/>
    <n v="4662.0999999999995"/>
    <n v="29.900000000000002"/>
    <n v="0"/>
  </r>
  <r>
    <s v="Atomberg Technologies Private Limit"/>
    <d v="2025-11-11T00:00:00"/>
    <s v="3271309795"/>
    <x v="8"/>
    <x v="8"/>
    <s v="NOS"/>
    <s v="ZFG1"/>
    <s v="FG0010"/>
    <n v="990"/>
    <n v="321948"/>
    <n v="990"/>
    <n v="990"/>
    <d v="2025-11-11T00:00:00"/>
    <n v="359924.4"/>
    <s v="RV"/>
    <s v="Billing doc.transfer"/>
    <s v="01"/>
    <s v="Finished Goods"/>
    <s v="FG-PCB-CF"/>
    <s v="FG-PCB-CF"/>
    <b v="0"/>
    <n v="37719.000000000058"/>
    <n v="0.10479700737154818"/>
    <s v="November-25"/>
    <n v="363.56"/>
    <n v="990"/>
    <n v="325.19999999999993"/>
    <n v="271.52999999999997"/>
    <n v="23.84"/>
    <n v="0.26"/>
    <n v="29.569999999999997"/>
    <n v="0.25999999999996248"/>
    <n v="322205.39999999997"/>
    <n v="268814.69999999995"/>
    <n v="23601.599999999999"/>
    <n v="257.40000000000003"/>
    <n v="29531.699999999997"/>
    <n v="5.0931703299283981E-11"/>
    <n v="0.10479700737154818"/>
    <n v="325.2"/>
    <n v="257.40000000001601"/>
    <n v="1.9500000000000002"/>
    <n v="17.329999999999998"/>
    <n v="10.29"/>
    <n v="321948"/>
    <n v="23601.599999999999"/>
    <n v="1930.5000000000002"/>
    <n v="17156.699999999997"/>
    <n v="10187.099999999999"/>
    <n v="257.40000000000003"/>
    <n v="0"/>
  </r>
  <r>
    <s v="Atomberg Technologies Private Limit"/>
    <d v="2025-11-11T00:00:00"/>
    <s v="3271309795"/>
    <x v="9"/>
    <x v="9"/>
    <s v="NOS"/>
    <s v="ZFG1"/>
    <s v="FG0010"/>
    <n v="856"/>
    <n v="185409.6"/>
    <n v="856"/>
    <n v="856"/>
    <d v="2025-11-11T00:00:00"/>
    <n v="192197.68"/>
    <s v="RV"/>
    <s v="Billing doc.transfer"/>
    <s v="01"/>
    <s v="Finished Goods"/>
    <s v="FG-PCB-CF"/>
    <s v="FG-PCB-CF"/>
    <b v="0"/>
    <n v="6753.8400000000256"/>
    <n v="3.5140070369215827E-2"/>
    <s v="November-25"/>
    <n v="224.53"/>
    <n v="856"/>
    <n v="216.59999999999994"/>
    <n v="174.98999999999995"/>
    <n v="18.389999999999997"/>
    <n v="0.04"/>
    <n v="23.18"/>
    <n v="3.9999999999988489E-2"/>
    <n v="185443.83999999997"/>
    <n v="149791.43999999997"/>
    <n v="15741.839999999998"/>
    <n v="34.24"/>
    <n v="19876.32"/>
    <n v="3.637978807091713E-11"/>
    <n v="3.5140070369215848E-2"/>
    <n v="216.6"/>
    <n v="34.239999999997963"/>
    <n v="1.5"/>
    <n v="13.37"/>
    <n v="8.31"/>
    <n v="185409.6"/>
    <n v="15741.839999999998"/>
    <n v="1284"/>
    <n v="11444.72"/>
    <n v="7113.3600000000006"/>
    <n v="34.24"/>
    <n v="0"/>
  </r>
  <r>
    <s v="RONCH POLYMERS PRIVATE LIMITED"/>
    <d v="2025-11-11T00:00:00"/>
    <s v="3271309841"/>
    <x v="59"/>
    <x v="59"/>
    <s v="NOS"/>
    <s v="ZFG1"/>
    <s v="FG0015"/>
    <n v="245"/>
    <n v="111359.85"/>
    <n v="245"/>
    <n v="245"/>
    <d v="2025-11-11T00:00:00"/>
    <n v="101895.5"/>
    <s v="RV"/>
    <s v="Billing doc.transfer"/>
    <s v="06"/>
    <s v="Finished Goods"/>
    <s v="FG-PCB-WP"/>
    <s v="FG-PCB-WP"/>
    <b v="0"/>
    <n v="-9506"/>
    <n v="-9.3291656648232746E-2"/>
    <s v="November-25"/>
    <n v="415.9"/>
    <n v="245"/>
    <n v="454.53000000000009"/>
    <n v="392.59000000000003"/>
    <n v="29.55"/>
    <n v="0.17"/>
    <n v="32.22"/>
    <n v="0.17000000000005855"/>
    <n v="111401.5"/>
    <n v="96184.55"/>
    <n v="7239.75"/>
    <n v="41.650000000000006"/>
    <n v="7935.5499999999993"/>
    <n v="0"/>
    <n v="-9.329165664823269E-2"/>
    <n v="454.53000000000003"/>
    <n v="41.649999999997817"/>
    <n v="2.42"/>
    <n v="21.49"/>
    <n v="8.31"/>
    <n v="111359.85"/>
    <n v="7239.75"/>
    <n v="592.9"/>
    <n v="5265.0499999999993"/>
    <n v="2035.95"/>
    <n v="41.650000000000006"/>
    <n v="0"/>
  </r>
  <r>
    <s v="Atomberg Technologies Private Limit"/>
    <d v="2025-11-11T00:00:00"/>
    <s v="3271309796"/>
    <x v="3"/>
    <x v="3"/>
    <s v="NOS"/>
    <s v="ZFG1"/>
    <s v="FG0010"/>
    <n v="415"/>
    <n v="267687.45"/>
    <n v="415"/>
    <n v="415"/>
    <d v="2025-11-11T00:00:00"/>
    <n v="302352.40000000002"/>
    <s v="RV"/>
    <s v="Billing doc.transfer"/>
    <s v="01"/>
    <s v="Finished Goods"/>
    <s v="FG-PCB-CF"/>
    <s v="FG-PCB-CF"/>
    <b v="0"/>
    <n v="34486.500000000116"/>
    <n v="0.11406061271549395"/>
    <s v="November-25"/>
    <n v="728.56000000000006"/>
    <n v="415"/>
    <n v="645.02999999999963"/>
    <n v="582.23999999999967"/>
    <n v="29.88"/>
    <n v="0.43"/>
    <n v="32.480000000000004"/>
    <n v="0.42999999999996419"/>
    <n v="267865.89999999991"/>
    <n v="241629.59999999986"/>
    <n v="12400.199999999999"/>
    <n v="178.45"/>
    <n v="13657.650000000003"/>
    <n v="1.4915713109076023E-10"/>
    <n v="0.11406061271549395"/>
    <n v="645.03"/>
    <n v="178.45000000004438"/>
    <n v="2.4500000000000002"/>
    <n v="21.72"/>
    <n v="8.31"/>
    <n v="267687.45"/>
    <n v="12400.199999999999"/>
    <n v="1016.7500000000001"/>
    <n v="9013.7999999999993"/>
    <n v="3448.65"/>
    <n v="178.45"/>
    <n v="0"/>
  </r>
  <r>
    <s v="Atomberg Technologies Private Limit"/>
    <d v="2025-11-11T00:00:00"/>
    <s v="3271309822"/>
    <x v="4"/>
    <x v="4"/>
    <s v="NOS"/>
    <s v="ZFG1"/>
    <s v="FG0010"/>
    <n v="1280"/>
    <n v="539404.80000000005"/>
    <n v="1280"/>
    <n v="1280"/>
    <d v="2025-11-11T00:00:00"/>
    <n v="618444.80000000005"/>
    <s v="RV"/>
    <s v="Billing doc.transfer"/>
    <s v="01"/>
    <s v="Finished Goods"/>
    <s v="FG-PCB-CF"/>
    <s v="FG-PCB-CF"/>
    <b v="0"/>
    <n v="78707.200000000186"/>
    <n v="0.12726632999420512"/>
    <s v="November-25"/>
    <n v="483.16"/>
    <n v="1280"/>
    <n v="421.40999999999985"/>
    <n v="373.04999999999984"/>
    <n v="22"/>
    <n v="0.26"/>
    <n v="26.1"/>
    <n v="0.26000000000001222"/>
    <n v="539737.59999999986"/>
    <n v="477503.99999999977"/>
    <n v="28160"/>
    <n v="332.8"/>
    <n v="33740.800000000003"/>
    <n v="2.7648638933897018E-10"/>
    <n v="0.12726632999420506"/>
    <n v="421.41"/>
    <n v="332.80000000009022"/>
    <n v="1.8"/>
    <n v="15.99"/>
    <n v="8.31"/>
    <n v="539404.80000000005"/>
    <n v="28160"/>
    <n v="2304"/>
    <n v="20467.2"/>
    <n v="10636.800000000001"/>
    <n v="332.8"/>
    <n v="0"/>
  </r>
  <r>
    <s v="Atomberg Technologies Private Limit"/>
    <d v="2025-11-11T00:00:00"/>
    <s v="3271309822"/>
    <x v="60"/>
    <x v="60"/>
    <s v="NOS"/>
    <s v="ZFG1"/>
    <s v="FG0010"/>
    <n v="900"/>
    <n v="294534"/>
    <n v="900"/>
    <n v="900"/>
    <d v="2025-11-11T00:00:00"/>
    <n v="305811"/>
    <s v="RV"/>
    <s v="Billing doc.transfer"/>
    <s v="01"/>
    <s v="Finished Goods"/>
    <s v="FG-PCB-CF"/>
    <s v="FG-PCB-CF"/>
    <b v="0"/>
    <n v="11124.000000000058"/>
    <n v="3.637540834044576E-2"/>
    <s v="November-25"/>
    <n v="339.79"/>
    <n v="900"/>
    <n v="327.26"/>
    <n v="275.87999999999994"/>
    <n v="23.720000000000002"/>
    <n v="0.17"/>
    <n v="27.49"/>
    <n v="0.17000000000005144"/>
    <n v="294686.99999999994"/>
    <n v="248291.99999999994"/>
    <n v="21348.000000000004"/>
    <n v="153"/>
    <n v="24894"/>
    <n v="5.4569682106375694E-11"/>
    <n v="3.6375408340445725E-2"/>
    <n v="327.26"/>
    <n v="152.99999999999636"/>
    <n v="1.94"/>
    <n v="17.239999999999998"/>
    <n v="8.31"/>
    <n v="294534"/>
    <n v="21348.000000000004"/>
    <n v="1746"/>
    <n v="15515.999999999998"/>
    <n v="7479"/>
    <n v="153"/>
    <n v="0"/>
  </r>
  <r>
    <s v="Atomberg Technologies Private Limit"/>
    <d v="2025-11-11T00:00:00"/>
    <s v="3271309797"/>
    <x v="59"/>
    <x v="59"/>
    <s v="NOS"/>
    <s v="ZFG1"/>
    <s v="FG0015"/>
    <n v="2"/>
    <n v="909.06"/>
    <n v="2"/>
    <n v="2"/>
    <d v="2025-11-11T00:00:00"/>
    <n v="831.8"/>
    <s v="RV"/>
    <s v="Billing doc.transfer"/>
    <s v="01"/>
    <s v="Finished Goods"/>
    <s v="FG-PCB-WP"/>
    <s v="FG-PCB-WP"/>
    <b v="0"/>
    <n v="-77.600000000000136"/>
    <n v="-9.3291656648232912E-2"/>
    <s v="November-25"/>
    <n v="415.9"/>
    <n v="2"/>
    <n v="454.53000000000009"/>
    <n v="392.59000000000003"/>
    <n v="29.55"/>
    <n v="0.17"/>
    <n v="32.22"/>
    <n v="0.17000000000005855"/>
    <n v="909.40000000000009"/>
    <n v="785.18000000000006"/>
    <n v="59.1"/>
    <n v="0.34"/>
    <n v="64.78"/>
    <n v="-1.1368683772161603E-13"/>
    <n v="-9.3291656648232912E-2"/>
    <n v="454.53"/>
    <n v="0.34000000000003183"/>
    <n v="2.42"/>
    <n v="21.49"/>
    <n v="8.31"/>
    <n v="909.06"/>
    <n v="59.1"/>
    <n v="4.84"/>
    <n v="42.98"/>
    <n v="16.62"/>
    <n v="0.34"/>
    <n v="0"/>
  </r>
  <r>
    <s v="INYANTRA TECHNOLOGIES PRIVATE LIMIT"/>
    <d v="2025-11-11T00:00:00"/>
    <s v="3271309819"/>
    <x v="61"/>
    <x v="61"/>
    <s v="NOS"/>
    <s v="ZROH"/>
    <s v="RM0001"/>
    <n v="30000"/>
    <n v="27116.97"/>
    <n v="30000"/>
    <n v="30000"/>
    <d v="2025-11-11T00:00:00"/>
    <n v="27300"/>
    <s v="RV"/>
    <s v="Billing doc.transfer"/>
    <s v="01"/>
    <s v="Raw Material"/>
    <s v="RM-Eletro-Capacitor"/>
    <s v="Raw Material"/>
    <b v="0"/>
    <n v="27300"/>
    <n v="1"/>
    <s v="November-25"/>
    <n v="0.91"/>
    <n v="30000"/>
    <n v="0"/>
    <n v="0"/>
    <n v="0"/>
    <n v="0"/>
    <n v="0"/>
    <n v="0"/>
    <n v="0"/>
    <n v="0"/>
    <n v="0"/>
    <n v="0"/>
    <n v="0"/>
    <n v="27116.97"/>
    <n v="1"/>
    <n v="0.90389900000000001"/>
    <n v="0"/>
    <n v="0"/>
    <n v="0"/>
    <n v="0"/>
    <n v="27116.97"/>
    <n v="0"/>
    <n v="0"/>
    <n v="0"/>
    <n v="0"/>
    <n v="0"/>
    <n v="0"/>
  </r>
  <r>
    <s v="INYANTRA TECHNOLOGIES PRIVATE LIMIT"/>
    <d v="2025-11-11T00:00:00"/>
    <s v="3271309819"/>
    <x v="62"/>
    <x v="62"/>
    <s v="NOS"/>
    <s v="ZROH"/>
    <s v="RM0001"/>
    <n v="20000"/>
    <n v="7400"/>
    <n v="20000"/>
    <n v="20000"/>
    <d v="2025-11-11T00:00:00"/>
    <n v="7400"/>
    <s v="RV"/>
    <s v="Billing doc.transfer"/>
    <s v="01"/>
    <s v="Raw Material"/>
    <s v="RM-Eletro-Capacitor"/>
    <s v="Raw Material"/>
    <b v="0"/>
    <n v="7400"/>
    <n v="1"/>
    <s v="November-25"/>
    <n v="0.37"/>
    <n v="20000"/>
    <n v="0"/>
    <n v="0"/>
    <n v="0"/>
    <n v="0"/>
    <n v="0"/>
    <n v="0"/>
    <n v="0"/>
    <n v="0"/>
    <n v="0"/>
    <n v="0"/>
    <n v="0"/>
    <n v="7400"/>
    <n v="1"/>
    <n v="0.37"/>
    <n v="0"/>
    <n v="0"/>
    <n v="0"/>
    <n v="0"/>
    <n v="7400"/>
    <n v="0"/>
    <n v="0"/>
    <n v="0"/>
    <n v="0"/>
    <n v="0"/>
    <n v="0"/>
  </r>
  <r>
    <s v="INYANTRA TECHNOLOGIES PRIVATE LIMIT"/>
    <d v="2025-11-11T00:00:00"/>
    <s v="3271309819"/>
    <x v="63"/>
    <x v="63"/>
    <s v="NOS"/>
    <s v="ZROH"/>
    <s v="RM0001"/>
    <n v="51000"/>
    <n v="32154.959999999999"/>
    <n v="51000"/>
    <n v="51000"/>
    <d v="2025-11-11T00:00:00"/>
    <n v="32130"/>
    <s v="RV"/>
    <s v="Billing doc.transfer"/>
    <s v="01"/>
    <s v="Raw Material"/>
    <s v="RM-Eletro-Capacitor"/>
    <s v="Raw Material"/>
    <b v="0"/>
    <n v="32130"/>
    <n v="1"/>
    <s v="November-25"/>
    <n v="0.63"/>
    <n v="51000"/>
    <n v="0"/>
    <n v="0"/>
    <n v="0"/>
    <n v="0"/>
    <n v="0"/>
    <n v="0"/>
    <n v="0"/>
    <n v="0"/>
    <n v="0"/>
    <n v="0"/>
    <n v="0"/>
    <n v="32154.959999999999"/>
    <n v="1"/>
    <n v="0.63048941176470585"/>
    <n v="0"/>
    <n v="0"/>
    <n v="0"/>
    <n v="0"/>
    <n v="32154.959999999999"/>
    <n v="0"/>
    <n v="0"/>
    <n v="0"/>
    <n v="0"/>
    <n v="0"/>
    <n v="0"/>
  </r>
  <r>
    <s v="INYANTRA TECHNOLOGIES PRIVATE LIMIT"/>
    <d v="2025-11-11T00:00:00"/>
    <s v="3271309819"/>
    <x v="64"/>
    <x v="64"/>
    <s v="NOS"/>
    <s v="ZROH"/>
    <s v="RM0001"/>
    <n v="30000"/>
    <n v="49800"/>
    <n v="30000"/>
    <n v="30000"/>
    <d v="2025-11-11T00:00:00"/>
    <n v="49800"/>
    <s v="RV"/>
    <s v="Billing doc.transfer"/>
    <s v="01"/>
    <s v="Raw Material"/>
    <s v="RM-Eletro-Capacitor"/>
    <s v="Raw Material"/>
    <b v="0"/>
    <n v="49800"/>
    <n v="1"/>
    <s v="November-25"/>
    <n v="1.66"/>
    <n v="30000"/>
    <n v="0"/>
    <n v="0"/>
    <n v="0"/>
    <n v="0"/>
    <n v="0"/>
    <n v="0"/>
    <n v="0"/>
    <n v="0"/>
    <n v="0"/>
    <n v="0"/>
    <n v="0"/>
    <n v="49800"/>
    <n v="1"/>
    <n v="1.66"/>
    <n v="0"/>
    <n v="0"/>
    <n v="0"/>
    <n v="0"/>
    <n v="49800"/>
    <n v="0"/>
    <n v="0"/>
    <n v="0"/>
    <n v="0"/>
    <n v="0"/>
    <n v="0"/>
  </r>
  <r>
    <s v="INYANTRA TECHNOLOGIES PRIVATE LIMIT"/>
    <d v="2025-11-11T00:00:00"/>
    <s v="3271309819"/>
    <x v="65"/>
    <x v="65"/>
    <s v="NOS"/>
    <s v="ZROH"/>
    <s v="RM0001"/>
    <n v="52000"/>
    <n v="26002.63"/>
    <n v="52000"/>
    <n v="52000"/>
    <d v="2025-11-11T00:00:00"/>
    <n v="26000"/>
    <s v="RV"/>
    <s v="Billing doc.transfer"/>
    <s v="01"/>
    <s v="Raw Material"/>
    <s v="RM-Eletro-Capacitor"/>
    <s v="Raw Material"/>
    <b v="0"/>
    <n v="26000"/>
    <n v="1"/>
    <s v="November-25"/>
    <n v="0.5"/>
    <n v="52000"/>
    <n v="0"/>
    <n v="0"/>
    <n v="0"/>
    <n v="0"/>
    <n v="0"/>
    <n v="0"/>
    <n v="0"/>
    <n v="0"/>
    <n v="0"/>
    <n v="0"/>
    <n v="0"/>
    <n v="26002.63"/>
    <n v="1"/>
    <n v="0.50005057692307697"/>
    <n v="0"/>
    <n v="0"/>
    <n v="0"/>
    <n v="0"/>
    <n v="26002.63"/>
    <n v="0"/>
    <n v="0"/>
    <n v="0"/>
    <n v="0"/>
    <n v="0"/>
    <n v="0"/>
  </r>
  <r>
    <s v="INYANTRA TECHNOLOGIES PRIVATE LIMIT"/>
    <d v="2025-11-11T00:00:00"/>
    <s v="3271309819"/>
    <x v="66"/>
    <x v="66"/>
    <s v="NOS"/>
    <s v="ZROH"/>
    <s v="RM0007"/>
    <n v="15000"/>
    <n v="839.99"/>
    <n v="15000"/>
    <n v="15000"/>
    <d v="2025-11-11T00:00:00"/>
    <n v="900"/>
    <s v="RV"/>
    <s v="Billing doc.transfer"/>
    <s v="01"/>
    <s v="Raw Material"/>
    <s v="RM-Eletro-Resistor"/>
    <s v="Raw Material"/>
    <b v="0"/>
    <n v="900"/>
    <n v="1"/>
    <s v="November-25"/>
    <n v="0.06"/>
    <n v="15000"/>
    <n v="0"/>
    <n v="0"/>
    <n v="0"/>
    <n v="0"/>
    <n v="0"/>
    <n v="0"/>
    <n v="0"/>
    <n v="0"/>
    <n v="0"/>
    <n v="0"/>
    <n v="0"/>
    <n v="839.99"/>
    <n v="1"/>
    <n v="5.5999333333333332E-2"/>
    <n v="0"/>
    <n v="0"/>
    <n v="0"/>
    <n v="0"/>
    <n v="839.99"/>
    <n v="0"/>
    <n v="0"/>
    <n v="0"/>
    <n v="0"/>
    <n v="0"/>
    <n v="0"/>
  </r>
  <r>
    <s v="INYANTRA TECHNOLOGIES PRIVATE LIMIT"/>
    <d v="2025-11-11T00:00:00"/>
    <s v="3271309819"/>
    <x v="67"/>
    <x v="67"/>
    <s v="NOS"/>
    <s v="ZROH"/>
    <s v="RM0005"/>
    <n v="5200"/>
    <n v="503688.07"/>
    <n v="5200"/>
    <n v="5200"/>
    <d v="2025-11-11T00:00:00"/>
    <n v="509184"/>
    <s v="RV"/>
    <s v="Billing doc.transfer"/>
    <s v="01"/>
    <s v="Raw Material"/>
    <s v="RM-Eletro-IC"/>
    <s v="Raw Material"/>
    <b v="0"/>
    <n v="509184"/>
    <n v="1"/>
    <s v="November-25"/>
    <n v="97.92"/>
    <n v="5200"/>
    <n v="0"/>
    <n v="0"/>
    <n v="0"/>
    <n v="0"/>
    <n v="0"/>
    <n v="0"/>
    <n v="0"/>
    <n v="0"/>
    <n v="0"/>
    <n v="0"/>
    <n v="0"/>
    <n v="503688.07"/>
    <n v="1"/>
    <n v="96.86309038461539"/>
    <n v="0"/>
    <n v="0"/>
    <n v="0"/>
    <n v="0"/>
    <n v="503688.07"/>
    <n v="0"/>
    <n v="0"/>
    <n v="0"/>
    <n v="0"/>
    <n v="0"/>
    <n v="0"/>
  </r>
  <r>
    <s v="INYANTRA TECHNOLOGIES PRIVATE LIMIT"/>
    <d v="2025-11-11T00:00:00"/>
    <s v="3271309819"/>
    <x v="68"/>
    <x v="68"/>
    <s v="NOS"/>
    <s v="ZROH"/>
    <s v="L002"/>
    <n v="100000"/>
    <n v="54552.82"/>
    <n v="100000"/>
    <n v="100000"/>
    <d v="2025-11-11T00:00:00"/>
    <n v="48000"/>
    <s v="RV"/>
    <s v="Billing doc.transfer"/>
    <s v="01"/>
    <s v="Raw Material"/>
    <s v="Raw Materials"/>
    <s v="Raw Material"/>
    <b v="0"/>
    <n v="48000"/>
    <n v="1"/>
    <s v="November-25"/>
    <n v="0.48"/>
    <n v="100000"/>
    <n v="0"/>
    <n v="0"/>
    <n v="0"/>
    <n v="0"/>
    <n v="0"/>
    <n v="0"/>
    <n v="0"/>
    <n v="0"/>
    <n v="0"/>
    <n v="0"/>
    <n v="0"/>
    <n v="54552.82"/>
    <n v="1"/>
    <n v="0.54552820000000002"/>
    <n v="0"/>
    <n v="0"/>
    <n v="0"/>
    <n v="0"/>
    <n v="54552.82"/>
    <n v="0"/>
    <n v="0"/>
    <n v="0"/>
    <n v="0"/>
    <n v="0"/>
    <n v="0"/>
  </r>
  <r>
    <s v="INYANTRA TECHNOLOGIES PRIVATE LIMIT"/>
    <d v="2025-11-11T00:00:00"/>
    <s v="3271309819"/>
    <x v="69"/>
    <x v="69"/>
    <s v="NOS"/>
    <s v="ZROH"/>
    <s v="RM0007"/>
    <n v="150000"/>
    <n v="9000"/>
    <n v="150000"/>
    <n v="150000"/>
    <d v="2025-11-11T00:00:00"/>
    <n v="9000"/>
    <s v="RV"/>
    <s v="Billing doc.transfer"/>
    <s v="01"/>
    <s v="Raw Material"/>
    <s v="RM-Eletro-Resistor"/>
    <s v="Raw Material"/>
    <b v="0"/>
    <n v="9000"/>
    <n v="1"/>
    <s v="November-25"/>
    <n v="0.06"/>
    <n v="150000"/>
    <n v="0"/>
    <n v="0"/>
    <n v="0"/>
    <n v="0"/>
    <n v="0"/>
    <n v="0"/>
    <n v="0"/>
    <n v="0"/>
    <n v="0"/>
    <n v="0"/>
    <n v="0"/>
    <n v="9000"/>
    <n v="1"/>
    <n v="0.06"/>
    <n v="0"/>
    <n v="0"/>
    <n v="0"/>
    <n v="0"/>
    <n v="9000"/>
    <n v="0"/>
    <n v="0"/>
    <n v="0"/>
    <n v="0"/>
    <n v="0"/>
    <n v="0"/>
  </r>
  <r>
    <s v="INYANTRA TECHNOLOGIES PRIVATE LIMIT"/>
    <d v="2025-11-11T00:00:00"/>
    <s v="3271309819"/>
    <x v="70"/>
    <x v="70"/>
    <s v="NOS"/>
    <s v="ZROH"/>
    <s v="RM0007"/>
    <n v="40000"/>
    <n v="2239.9899999999998"/>
    <n v="40000"/>
    <n v="40000"/>
    <d v="2025-11-11T00:00:00"/>
    <n v="2400"/>
    <s v="RV"/>
    <s v="Billing doc.transfer"/>
    <s v="01"/>
    <s v="Raw Material"/>
    <s v="RM-Eletro-Resistor"/>
    <s v="Raw Material"/>
    <b v="0"/>
    <n v="2400"/>
    <n v="1"/>
    <s v="November-25"/>
    <n v="0.06"/>
    <n v="40000"/>
    <n v="0"/>
    <n v="0"/>
    <n v="0"/>
    <n v="0"/>
    <n v="0"/>
    <n v="0"/>
    <n v="0"/>
    <n v="0"/>
    <n v="0"/>
    <n v="0"/>
    <n v="0"/>
    <n v="2239.9899999999998"/>
    <n v="1"/>
    <n v="5.5999749999999994E-2"/>
    <n v="0"/>
    <n v="0"/>
    <n v="0"/>
    <n v="0"/>
    <n v="2239.9899999999998"/>
    <n v="0"/>
    <n v="0"/>
    <n v="0"/>
    <n v="0"/>
    <n v="0"/>
    <n v="0"/>
  </r>
  <r>
    <s v="INYANTRA TECHNOLOGIES PRIVATE LIMIT"/>
    <d v="2025-11-11T00:00:00"/>
    <s v="3271309819"/>
    <x v="71"/>
    <x v="71"/>
    <s v="NOS"/>
    <s v="ZROH"/>
    <s v="RM0007"/>
    <n v="10000"/>
    <n v="560"/>
    <n v="10000"/>
    <n v="10000"/>
    <d v="2025-11-11T00:00:00"/>
    <n v="600"/>
    <s v="RV"/>
    <s v="Billing doc.transfer"/>
    <s v="01"/>
    <s v="Raw Material"/>
    <s v="RM-Eletro-Resistor"/>
    <s v="Raw Material"/>
    <b v="0"/>
    <n v="600"/>
    <n v="1"/>
    <s v="November-25"/>
    <n v="0.06"/>
    <n v="10000"/>
    <n v="0"/>
    <n v="0"/>
    <n v="0"/>
    <n v="0"/>
    <n v="0"/>
    <n v="0"/>
    <n v="0"/>
    <n v="0"/>
    <n v="0"/>
    <n v="0"/>
    <n v="0"/>
    <n v="560"/>
    <n v="1"/>
    <n v="5.6000000000000001E-2"/>
    <n v="0"/>
    <n v="0"/>
    <n v="0"/>
    <n v="0"/>
    <n v="560"/>
    <n v="0"/>
    <n v="0"/>
    <n v="0"/>
    <n v="0"/>
    <n v="0"/>
    <n v="0"/>
  </r>
  <r>
    <s v="INYANTRA TECHNOLOGIES PRIVATE LIMIT"/>
    <d v="2025-11-11T00:00:00"/>
    <s v="3271309819"/>
    <x v="72"/>
    <x v="72"/>
    <s v="NOS"/>
    <s v="ZROH"/>
    <s v="RM0007"/>
    <n v="20000"/>
    <n v="1120"/>
    <n v="20000"/>
    <n v="20000"/>
    <d v="2025-11-11T00:00:00"/>
    <n v="1200"/>
    <s v="RV"/>
    <s v="Billing doc.transfer"/>
    <s v="01"/>
    <s v="Raw Material"/>
    <s v="RM-Eletro-Resistor"/>
    <s v="Raw Material"/>
    <b v="0"/>
    <n v="1200"/>
    <n v="1"/>
    <s v="November-25"/>
    <n v="0.06"/>
    <n v="20000"/>
    <n v="0"/>
    <n v="0"/>
    <n v="0"/>
    <n v="0"/>
    <n v="0"/>
    <n v="0"/>
    <n v="0"/>
    <n v="0"/>
    <n v="0"/>
    <n v="0"/>
    <n v="0"/>
    <n v="1120"/>
    <n v="1"/>
    <n v="5.6000000000000001E-2"/>
    <n v="0"/>
    <n v="0"/>
    <n v="0"/>
    <n v="0"/>
    <n v="1120"/>
    <n v="0"/>
    <n v="0"/>
    <n v="0"/>
    <n v="0"/>
    <n v="0"/>
    <n v="0"/>
  </r>
  <r>
    <s v="INYANTRA TECHNOLOGIES PRIVATE LIMIT"/>
    <d v="2025-11-11T00:00:00"/>
    <s v="3271309819"/>
    <x v="73"/>
    <x v="73"/>
    <s v="NOS"/>
    <s v="ZROH"/>
    <s v="L002"/>
    <n v="15000"/>
    <n v="105000"/>
    <n v="15000"/>
    <n v="15000"/>
    <d v="2025-11-11T00:00:00"/>
    <n v="105000"/>
    <s v="RV"/>
    <s v="Billing doc.transfer"/>
    <s v="01"/>
    <s v="Raw Material"/>
    <s v="Raw Materials"/>
    <s v="Raw Material"/>
    <b v="0"/>
    <n v="105000"/>
    <n v="1"/>
    <s v="November-25"/>
    <n v="7"/>
    <n v="15000"/>
    <n v="0"/>
    <n v="0"/>
    <n v="0"/>
    <n v="0"/>
    <n v="0"/>
    <n v="0"/>
    <n v="0"/>
    <n v="0"/>
    <n v="0"/>
    <n v="0"/>
    <n v="0"/>
    <n v="105000"/>
    <n v="1"/>
    <n v="7"/>
    <n v="0"/>
    <n v="0"/>
    <n v="0"/>
    <n v="0"/>
    <n v="105000"/>
    <n v="0"/>
    <n v="0"/>
    <n v="0"/>
    <n v="0"/>
    <n v="0"/>
    <n v="0"/>
  </r>
  <r>
    <s v="INYANTRA TECHNOLOGIES PRIVATE LIMIT"/>
    <d v="2025-11-11T00:00:00"/>
    <s v="3271309819"/>
    <x v="74"/>
    <x v="74"/>
    <s v="NOS"/>
    <s v="ZROH"/>
    <s v="RM0007"/>
    <n v="10000"/>
    <n v="560.35"/>
    <n v="10000"/>
    <n v="10000"/>
    <d v="2025-11-11T00:00:00"/>
    <n v="600"/>
    <s v="RV"/>
    <s v="Billing doc.transfer"/>
    <s v="01"/>
    <s v="Raw Material"/>
    <s v="RM-Eletro-Resistor"/>
    <s v="Raw Material"/>
    <b v="0"/>
    <n v="600"/>
    <n v="1"/>
    <s v="November-25"/>
    <n v="0.06"/>
    <n v="10000"/>
    <n v="0"/>
    <n v="0"/>
    <n v="0"/>
    <n v="0"/>
    <n v="0"/>
    <n v="0"/>
    <n v="0"/>
    <n v="0"/>
    <n v="0"/>
    <n v="0"/>
    <n v="0"/>
    <n v="560.35"/>
    <n v="1"/>
    <n v="5.6035000000000001E-2"/>
    <n v="0"/>
    <n v="0"/>
    <n v="0"/>
    <n v="0"/>
    <n v="560.35"/>
    <n v="0"/>
    <n v="0"/>
    <n v="0"/>
    <n v="0"/>
    <n v="0"/>
    <n v="0"/>
  </r>
  <r>
    <s v="INYANTRA TECHNOLOGIES PRIVATE LIMIT"/>
    <d v="2025-11-11T00:00:00"/>
    <s v="3271309819"/>
    <x v="75"/>
    <x v="75"/>
    <s v="NOS"/>
    <s v="ZROH"/>
    <s v="RM0007"/>
    <n v="20000"/>
    <n v="39000"/>
    <n v="20000"/>
    <n v="20000"/>
    <d v="2025-11-11T00:00:00"/>
    <n v="39000"/>
    <s v="RV"/>
    <s v="Billing doc.transfer"/>
    <s v="01"/>
    <s v="Raw Material"/>
    <s v="RM-Eletro-Resistor"/>
    <s v="Raw Material"/>
    <b v="0"/>
    <n v="39000"/>
    <n v="1"/>
    <s v="November-25"/>
    <n v="1.95"/>
    <n v="20000"/>
    <n v="0"/>
    <n v="0"/>
    <n v="0"/>
    <n v="0"/>
    <n v="0"/>
    <n v="0"/>
    <n v="0"/>
    <n v="0"/>
    <n v="0"/>
    <n v="0"/>
    <n v="0"/>
    <n v="39000"/>
    <n v="1"/>
    <n v="1.95"/>
    <n v="0"/>
    <n v="0"/>
    <n v="0"/>
    <n v="0"/>
    <n v="39000"/>
    <n v="0"/>
    <n v="0"/>
    <n v="0"/>
    <n v="0"/>
    <n v="0"/>
    <n v="0"/>
  </r>
  <r>
    <s v="INYANTRA TECHNOLOGIES PRIVATE LIMIT"/>
    <d v="2025-11-11T00:00:00"/>
    <s v="3271309819"/>
    <x v="76"/>
    <x v="76"/>
    <s v="NOS"/>
    <s v="ZROH"/>
    <s v="RM0007"/>
    <n v="10000"/>
    <n v="560"/>
    <n v="10000"/>
    <n v="10000"/>
    <d v="2025-11-11T00:00:00"/>
    <n v="600"/>
    <s v="RV"/>
    <s v="Billing doc.transfer"/>
    <s v="01"/>
    <s v="Raw Material"/>
    <s v="RM-Eletro-Resistor"/>
    <s v="Raw Material"/>
    <b v="0"/>
    <n v="600"/>
    <n v="1"/>
    <s v="November-25"/>
    <n v="0.06"/>
    <n v="10000"/>
    <n v="0"/>
    <n v="0"/>
    <n v="0"/>
    <n v="0"/>
    <n v="0"/>
    <n v="0"/>
    <n v="0"/>
    <n v="0"/>
    <n v="0"/>
    <n v="0"/>
    <n v="0"/>
    <n v="560"/>
    <n v="1"/>
    <n v="5.6000000000000001E-2"/>
    <n v="0"/>
    <n v="0"/>
    <n v="0"/>
    <n v="0"/>
    <n v="560"/>
    <n v="0"/>
    <n v="0"/>
    <n v="0"/>
    <n v="0"/>
    <n v="0"/>
    <n v="0"/>
  </r>
  <r>
    <s v="INYANTRA TECHNOLOGIES PRIVATE LIMIT"/>
    <d v="2025-11-11T00:00:00"/>
    <s v="3271309819"/>
    <x v="77"/>
    <x v="77"/>
    <s v="NOS"/>
    <s v="ZROH"/>
    <s v="RM0007"/>
    <n v="15000"/>
    <n v="840"/>
    <n v="15000"/>
    <n v="15000"/>
    <d v="2025-11-11T00:00:00"/>
    <n v="900"/>
    <s v="RV"/>
    <s v="Billing doc.transfer"/>
    <s v="01"/>
    <s v="Raw Material"/>
    <s v="RM-Eletro-Resistor"/>
    <s v="Raw Material"/>
    <b v="0"/>
    <n v="900"/>
    <n v="1"/>
    <s v="November-25"/>
    <n v="0.06"/>
    <n v="15000"/>
    <n v="0"/>
    <n v="0"/>
    <n v="0"/>
    <n v="0"/>
    <n v="0"/>
    <n v="0"/>
    <n v="0"/>
    <n v="0"/>
    <n v="0"/>
    <n v="0"/>
    <n v="0"/>
    <n v="840"/>
    <n v="1"/>
    <n v="5.6000000000000001E-2"/>
    <n v="0"/>
    <n v="0"/>
    <n v="0"/>
    <n v="0"/>
    <n v="840"/>
    <n v="0"/>
    <n v="0"/>
    <n v="0"/>
    <n v="0"/>
    <n v="0"/>
    <n v="0"/>
  </r>
  <r>
    <s v="INYANTRA TECHNOLOGIES PRIVATE LIMIT"/>
    <d v="2025-11-11T00:00:00"/>
    <s v="3271309819"/>
    <x v="78"/>
    <x v="78"/>
    <s v="NOS"/>
    <s v="ZROH"/>
    <s v="RM0007"/>
    <n v="10000"/>
    <n v="720"/>
    <n v="10000"/>
    <n v="10000"/>
    <d v="2025-11-11T00:00:00"/>
    <n v="700"/>
    <s v="RV"/>
    <s v="Billing doc.transfer"/>
    <s v="01"/>
    <s v="Raw Material"/>
    <s v="RM-Eletro-Resistor"/>
    <s v="Raw Material"/>
    <b v="0"/>
    <n v="700"/>
    <n v="1"/>
    <s v="November-25"/>
    <n v="7.0000000000000007E-2"/>
    <n v="10000"/>
    <n v="0"/>
    <n v="0"/>
    <n v="0"/>
    <n v="0"/>
    <n v="0"/>
    <n v="0"/>
    <n v="0"/>
    <n v="0"/>
    <n v="0"/>
    <n v="0"/>
    <n v="0"/>
    <n v="720"/>
    <n v="1"/>
    <n v="7.1999999999999995E-2"/>
    <n v="0"/>
    <n v="0"/>
    <n v="0"/>
    <n v="0"/>
    <n v="720"/>
    <n v="0"/>
    <n v="0"/>
    <n v="0"/>
    <n v="0"/>
    <n v="0"/>
    <n v="0"/>
  </r>
  <r>
    <s v="INYANTRA TECHNOLOGIES PRIVATE LIMIT"/>
    <d v="2025-11-11T00:00:00"/>
    <s v="3271309819"/>
    <x v="79"/>
    <x v="79"/>
    <s v="NOS"/>
    <s v="ZROH"/>
    <s v="RM0007"/>
    <n v="20000"/>
    <n v="1780"/>
    <n v="20000"/>
    <n v="20000"/>
    <d v="2025-11-11T00:00:00"/>
    <n v="1800"/>
    <s v="RV"/>
    <s v="Billing doc.transfer"/>
    <s v="01"/>
    <s v="Raw Material"/>
    <s v="RM-Eletro-Resistor"/>
    <s v="Raw Material"/>
    <b v="0"/>
    <n v="1800"/>
    <n v="1"/>
    <s v="November-25"/>
    <n v="0.09"/>
    <n v="20000"/>
    <n v="0"/>
    <n v="0"/>
    <n v="0"/>
    <n v="0"/>
    <n v="0"/>
    <n v="0"/>
    <n v="0"/>
    <n v="0"/>
    <n v="0"/>
    <n v="0"/>
    <n v="0"/>
    <n v="1780"/>
    <n v="1"/>
    <n v="8.8999999999999996E-2"/>
    <n v="0"/>
    <n v="0"/>
    <n v="0"/>
    <n v="0"/>
    <n v="1780"/>
    <n v="0"/>
    <n v="0"/>
    <n v="0"/>
    <n v="0"/>
    <n v="0"/>
    <n v="0"/>
  </r>
  <r>
    <s v="INYANTRA TECHNOLOGIES PRIVATE LIMIT"/>
    <d v="2025-11-11T00:00:00"/>
    <s v="3271309819"/>
    <x v="80"/>
    <x v="80"/>
    <s v="NOS"/>
    <s v="ZROH"/>
    <s v="RM0001"/>
    <n v="13500"/>
    <n v="137409.1"/>
    <n v="13500"/>
    <n v="13500"/>
    <d v="2025-11-11T00:00:00"/>
    <n v="140400"/>
    <s v="RV"/>
    <s v="Billing doc.transfer"/>
    <s v="01"/>
    <s v="Raw Material"/>
    <s v="RM-Eletro-Capacitor"/>
    <s v="Raw Material"/>
    <b v="0"/>
    <n v="140400"/>
    <n v="1"/>
    <s v="November-25"/>
    <n v="10.4"/>
    <n v="13500"/>
    <n v="0"/>
    <n v="0"/>
    <n v="0"/>
    <n v="0"/>
    <n v="0"/>
    <n v="0"/>
    <n v="0"/>
    <n v="0"/>
    <n v="0"/>
    <n v="0"/>
    <n v="0"/>
    <n v="137409.1"/>
    <n v="1"/>
    <n v="10.178451851851852"/>
    <n v="0"/>
    <n v="0"/>
    <n v="0"/>
    <n v="0"/>
    <n v="137409.1"/>
    <n v="0"/>
    <n v="0"/>
    <n v="0"/>
    <n v="0"/>
    <n v="0"/>
    <n v="0"/>
  </r>
  <r>
    <s v="INYANTRA TECHNOLOGIES PRIVATE LIMIT"/>
    <d v="2025-11-11T00:00:00"/>
    <s v="3271309819"/>
    <x v="81"/>
    <x v="81"/>
    <s v="NOS"/>
    <s v="ZROH"/>
    <s v="RM0009"/>
    <n v="20000"/>
    <n v="100000"/>
    <n v="20000"/>
    <n v="20000"/>
    <d v="2025-11-11T00:00:00"/>
    <n v="100000"/>
    <s v="RV"/>
    <s v="Billing doc.transfer"/>
    <s v="01"/>
    <s v="Raw Material"/>
    <s v="RM-Mech. Accessories"/>
    <s v="Raw Material"/>
    <b v="0"/>
    <n v="100000"/>
    <n v="1"/>
    <s v="November-25"/>
    <n v="5"/>
    <n v="20000"/>
    <n v="0"/>
    <n v="0"/>
    <n v="0"/>
    <n v="0"/>
    <n v="0"/>
    <n v="0"/>
    <n v="0"/>
    <n v="0"/>
    <n v="0"/>
    <n v="0"/>
    <n v="0"/>
    <n v="100000"/>
    <n v="1"/>
    <n v="5"/>
    <n v="0"/>
    <n v="0"/>
    <n v="0"/>
    <n v="0"/>
    <n v="100000"/>
    <n v="0"/>
    <n v="0"/>
    <n v="0"/>
    <n v="0"/>
    <n v="0"/>
    <n v="0"/>
  </r>
  <r>
    <s v="INYANTRA TECHNOLOGIES PRIVATE LIMIT"/>
    <d v="2025-11-11T00:00:00"/>
    <s v="3271309819"/>
    <x v="82"/>
    <x v="82"/>
    <s v="NOS"/>
    <s v="ZROH"/>
    <s v="RM0009"/>
    <n v="45000"/>
    <n v="21796.880000000001"/>
    <n v="45000"/>
    <n v="45000"/>
    <d v="2025-11-11T00:00:00"/>
    <n v="19350"/>
    <s v="RV"/>
    <s v="Billing doc.transfer"/>
    <s v="01"/>
    <s v="Raw Material"/>
    <s v="RM-Mech. Accessories"/>
    <s v="Raw Material"/>
    <b v="0"/>
    <n v="19350"/>
    <n v="1"/>
    <s v="November-25"/>
    <n v="0.43"/>
    <n v="45000"/>
    <n v="0"/>
    <n v="0"/>
    <n v="0"/>
    <n v="0"/>
    <n v="0"/>
    <n v="0"/>
    <n v="0"/>
    <n v="0"/>
    <n v="0"/>
    <n v="0"/>
    <n v="0"/>
    <n v="21796.880000000001"/>
    <n v="1"/>
    <n v="0.48437511111111115"/>
    <n v="0"/>
    <n v="0"/>
    <n v="0"/>
    <n v="0"/>
    <n v="21796.880000000001"/>
    <n v="0"/>
    <n v="0"/>
    <n v="0"/>
    <n v="0"/>
    <n v="0"/>
    <n v="0"/>
  </r>
  <r>
    <s v="INYANTRA TECHNOLOGIES PRIVATE LIMIT"/>
    <d v="2025-11-11T00:00:00"/>
    <s v="3271309819"/>
    <x v="83"/>
    <x v="83"/>
    <s v="NOS"/>
    <s v="ZROH"/>
    <s v="RM0009"/>
    <n v="20000"/>
    <n v="154216.14000000001"/>
    <n v="20000"/>
    <n v="20000"/>
    <d v="2025-11-11T00:00:00"/>
    <n v="156800"/>
    <s v="RV"/>
    <s v="Billing doc.transfer"/>
    <s v="01"/>
    <s v="Raw Material"/>
    <s v="RM-Mech. Accessories"/>
    <s v="Raw Material"/>
    <b v="0"/>
    <n v="156800"/>
    <n v="1"/>
    <s v="November-25"/>
    <n v="7.84"/>
    <n v="20000"/>
    <n v="0"/>
    <n v="0"/>
    <n v="0"/>
    <n v="0"/>
    <n v="0"/>
    <n v="0"/>
    <n v="0"/>
    <n v="0"/>
    <n v="0"/>
    <n v="0"/>
    <n v="0"/>
    <n v="154216.14000000001"/>
    <n v="1"/>
    <n v="7.7108070000000009"/>
    <n v="0"/>
    <n v="0"/>
    <n v="0"/>
    <n v="0"/>
    <n v="154216.14000000001"/>
    <n v="0"/>
    <n v="0"/>
    <n v="0"/>
    <n v="0"/>
    <n v="0"/>
    <n v="0"/>
  </r>
  <r>
    <s v="INYANTRA TECHNOLOGIES PRIVATE LIMIT"/>
    <d v="2025-11-11T00:00:00"/>
    <s v="3271309819"/>
    <x v="84"/>
    <x v="84"/>
    <s v="NOS"/>
    <s v="ZROH"/>
    <s v="RM0007"/>
    <n v="200000"/>
    <n v="4000"/>
    <n v="200000"/>
    <n v="200000"/>
    <d v="2025-11-11T00:00:00"/>
    <n v="4000"/>
    <s v="RV"/>
    <s v="Billing doc.transfer"/>
    <s v="01"/>
    <s v="Raw Material"/>
    <s v="RM-Eletro-Resistor"/>
    <s v="Raw Material"/>
    <b v="0"/>
    <n v="4000"/>
    <n v="1"/>
    <s v="November-25"/>
    <n v="0.02"/>
    <n v="200000"/>
    <n v="0"/>
    <n v="0"/>
    <n v="0"/>
    <n v="0"/>
    <n v="0"/>
    <n v="0"/>
    <n v="0"/>
    <n v="0"/>
    <n v="0"/>
    <n v="0"/>
    <n v="0"/>
    <n v="4000"/>
    <n v="1"/>
    <n v="0.02"/>
    <n v="0"/>
    <n v="0"/>
    <n v="0"/>
    <n v="0"/>
    <n v="4000"/>
    <n v="0"/>
    <n v="0"/>
    <n v="0"/>
    <n v="0"/>
    <n v="0"/>
    <n v="0"/>
  </r>
  <r>
    <s v="INYANTRA TECHNOLOGIES PRIVATE LIMIT"/>
    <d v="2025-11-11T00:00:00"/>
    <s v="3271309830"/>
    <x v="39"/>
    <x v="39"/>
    <s v="NOS"/>
    <s v="ZROH"/>
    <s v="RM0004"/>
    <n v="45000"/>
    <n v="29654.06"/>
    <n v="45000"/>
    <n v="45000"/>
    <d v="2025-11-11T00:00:00"/>
    <n v="29700"/>
    <s v="RV"/>
    <s v="Billing doc.transfer"/>
    <s v="01"/>
    <s v="Raw Material"/>
    <s v="RM-Eletro-Diodes"/>
    <s v="Raw Material"/>
    <b v="0"/>
    <n v="29700"/>
    <n v="1"/>
    <s v="November-25"/>
    <n v="0.66"/>
    <n v="45000"/>
    <n v="0"/>
    <n v="0"/>
    <n v="0"/>
    <n v="0"/>
    <n v="0"/>
    <n v="0"/>
    <n v="0"/>
    <n v="0"/>
    <n v="0"/>
    <n v="0"/>
    <n v="0"/>
    <n v="29654.06"/>
    <n v="1"/>
    <n v="0.65897911111111118"/>
    <n v="0"/>
    <n v="0"/>
    <n v="0"/>
    <n v="0"/>
    <n v="29654.06"/>
    <n v="0"/>
    <n v="0"/>
    <n v="0"/>
    <n v="0"/>
    <n v="0"/>
    <n v="0"/>
  </r>
  <r>
    <s v="INYANTRA TECHNOLOGIES PRIVATE LIMIT"/>
    <d v="2025-11-11T00:00:00"/>
    <s v="3271309830"/>
    <x v="85"/>
    <x v="85"/>
    <s v="NOS"/>
    <s v="ZROH"/>
    <s v="RM0008"/>
    <n v="219000"/>
    <n v="113932.94"/>
    <n v="219000"/>
    <n v="219000"/>
    <d v="2025-11-11T00:00:00"/>
    <n v="109500"/>
    <s v="RV"/>
    <s v="Billing doc.transfer"/>
    <s v="01"/>
    <s v="Raw Material"/>
    <s v="RM-Eletro-Transistor"/>
    <s v="Raw Material"/>
    <b v="0"/>
    <n v="109500"/>
    <n v="1"/>
    <s v="November-25"/>
    <n v="0.5"/>
    <n v="219000"/>
    <n v="0"/>
    <n v="0"/>
    <n v="0"/>
    <n v="0"/>
    <n v="0"/>
    <n v="0"/>
    <n v="0"/>
    <n v="0"/>
    <n v="0"/>
    <n v="0"/>
    <n v="0"/>
    <n v="113932.94"/>
    <n v="1"/>
    <n v="0.52024173515981731"/>
    <n v="0"/>
    <n v="0"/>
    <n v="0"/>
    <n v="0"/>
    <n v="113932.94"/>
    <n v="0"/>
    <n v="0"/>
    <n v="0"/>
    <n v="0"/>
    <n v="0"/>
    <n v="0"/>
  </r>
  <r>
    <s v="INYANTRA TECHNOLOGIES PRIVATE LIMIT"/>
    <d v="2025-11-11T00:00:00"/>
    <s v="3271309830"/>
    <x v="42"/>
    <x v="42"/>
    <s v="NOS"/>
    <s v="ZROH"/>
    <s v="RM0008"/>
    <n v="54000"/>
    <n v="24923.5"/>
    <n v="54000"/>
    <n v="54000"/>
    <d v="2025-11-11T00:00:00"/>
    <n v="24840"/>
    <s v="RV"/>
    <s v="Billing doc.transfer"/>
    <s v="01"/>
    <s v="Raw Material"/>
    <s v="RM-Eletro-Transistor"/>
    <s v="Raw Material"/>
    <b v="0"/>
    <n v="24840"/>
    <n v="1"/>
    <s v="November-25"/>
    <n v="0.46"/>
    <n v="54000"/>
    <n v="0"/>
    <n v="0"/>
    <n v="0"/>
    <n v="0"/>
    <n v="0"/>
    <n v="0"/>
    <n v="0"/>
    <n v="0"/>
    <n v="0"/>
    <n v="0"/>
    <n v="0"/>
    <n v="24923.5"/>
    <n v="1"/>
    <n v="0.46154629629629629"/>
    <n v="0"/>
    <n v="0"/>
    <n v="0"/>
    <n v="0"/>
    <n v="24923.5"/>
    <n v="0"/>
    <n v="0"/>
    <n v="0"/>
    <n v="0"/>
    <n v="0"/>
    <n v="0"/>
  </r>
  <r>
    <s v="INYANTRA TECHNOLOGIES PRIVATE LIMIT"/>
    <d v="2025-11-11T00:00:00"/>
    <s v="3271309830"/>
    <x v="57"/>
    <x v="57"/>
    <s v="NOS"/>
    <s v="ZROH"/>
    <s v="RM0009"/>
    <n v="9000"/>
    <n v="26963.08"/>
    <n v="9000"/>
    <n v="9000"/>
    <d v="2025-11-11T00:00:00"/>
    <n v="27360"/>
    <s v="RV"/>
    <s v="Billing doc.transfer"/>
    <s v="01"/>
    <s v="Raw Material"/>
    <s v="RM-Mech. Accessories"/>
    <s v="Raw Material"/>
    <b v="0"/>
    <n v="27360"/>
    <n v="1"/>
    <s v="November-25"/>
    <n v="3.04"/>
    <n v="9000"/>
    <n v="0"/>
    <n v="0"/>
    <n v="0"/>
    <n v="0"/>
    <n v="0"/>
    <n v="0"/>
    <n v="0"/>
    <n v="0"/>
    <n v="0"/>
    <n v="0"/>
    <n v="0"/>
    <n v="26963.08"/>
    <n v="1"/>
    <n v="2.995897777777778"/>
    <n v="0"/>
    <n v="0"/>
    <n v="0"/>
    <n v="0"/>
    <n v="26963.08"/>
    <n v="0"/>
    <n v="0"/>
    <n v="0"/>
    <n v="0"/>
    <n v="0"/>
    <n v="0"/>
  </r>
  <r>
    <s v="INYANTRA TECHNOLOGIES PRIVATE LIMIT"/>
    <d v="2025-11-11T00:00:00"/>
    <s v="3271309830"/>
    <x v="86"/>
    <x v="86"/>
    <s v="NOS"/>
    <s v="ZROH"/>
    <s v="RM0004"/>
    <n v="21000"/>
    <n v="14046.36"/>
    <n v="21000"/>
    <n v="21000"/>
    <d v="2025-11-11T00:00:00"/>
    <n v="13860"/>
    <s v="RV"/>
    <s v="Billing doc.transfer"/>
    <s v="01"/>
    <s v="Raw Material"/>
    <s v="RM-Eletro-Diodes"/>
    <s v="Raw Material"/>
    <b v="0"/>
    <n v="13860"/>
    <n v="1"/>
    <s v="November-25"/>
    <n v="0.66"/>
    <n v="21000"/>
    <n v="0"/>
    <n v="0"/>
    <n v="0"/>
    <n v="0"/>
    <n v="0"/>
    <n v="0"/>
    <n v="0"/>
    <n v="0"/>
    <n v="0"/>
    <n v="0"/>
    <n v="0"/>
    <n v="14046.36"/>
    <n v="1"/>
    <n v="0.66887428571428575"/>
    <n v="0"/>
    <n v="0"/>
    <n v="0"/>
    <n v="0"/>
    <n v="14046.36"/>
    <n v="0"/>
    <n v="0"/>
    <n v="0"/>
    <n v="0"/>
    <n v="0"/>
    <n v="0"/>
  </r>
  <r>
    <s v="GODREJ &amp; BOYCE MFG. CO. LTD  MOHALI"/>
    <d v="2025-11-11T00:00:00"/>
    <s v="3271309854"/>
    <x v="87"/>
    <x v="87"/>
    <s v="NOS"/>
    <s v="ZCTL"/>
    <s v="F00016"/>
    <n v="1"/>
    <n v="1"/>
    <n v="1"/>
    <n v="1"/>
    <d v="2025-11-11T00:00:00"/>
    <n v="5000000"/>
    <s v="RV"/>
    <s v="Billing doc.transfer"/>
    <s v="01"/>
    <e v="#N/A"/>
    <e v="#N/A"/>
    <e v="#N/A"/>
    <b v="0"/>
    <n v="5000000"/>
    <n v="1"/>
    <s v="November-25"/>
    <n v="5000000"/>
    <e v="#N/A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0"/>
    <n v="0"/>
    <n v="0"/>
    <n v="0"/>
    <n v="0"/>
    <n v="0"/>
  </r>
  <r>
    <s v="GODREJ &amp; BOYCE MFG. CO. LTD  MOHALI"/>
    <d v="2025-11-10T00:00:00"/>
    <s v="3271309458"/>
    <x v="1"/>
    <x v="1"/>
    <s v="NOS"/>
    <s v="ZFG1"/>
    <s v="FG0011"/>
    <n v="4000"/>
    <n v="1845480"/>
    <n v="4000"/>
    <n v="4000"/>
    <d v="2025-11-10T00:00:00"/>
    <n v="2637240"/>
    <s v="RV"/>
    <s v="Billing doc.transfer"/>
    <s v="01"/>
    <s v="Finished Goods"/>
    <s v="FG-PCB-Ref"/>
    <s v="FG-PCB-Ref"/>
    <b v="0"/>
    <n v="790799.99999999977"/>
    <n v="0.29985894344086989"/>
    <s v="November-25"/>
    <n v="659.31"/>
    <n v="4000"/>
    <n v="461.37"/>
    <n v="401.59000000000003"/>
    <n v="28.32"/>
    <n v="0.24"/>
    <n v="31.22"/>
    <n v="0.23999999999997357"/>
    <n v="1846440.0000000002"/>
    <n v="1606360.0000000002"/>
    <n v="113280"/>
    <n v="960"/>
    <n v="125840"/>
    <n v="-2.3283064365386963E-10"/>
    <n v="0.29985894344086994"/>
    <n v="461.37"/>
    <n v="960"/>
    <n v="2.3199999999999998"/>
    <n v="20.59"/>
    <n v="8.31"/>
    <n v="1845480"/>
    <n v="113280"/>
    <n v="9280"/>
    <n v="82360"/>
    <n v="33240"/>
    <n v="960"/>
    <n v="0"/>
  </r>
  <r>
    <s v="Atomberg Technologies Private Limit"/>
    <d v="2025-11-10T00:00:00"/>
    <s v="3271309212"/>
    <x v="2"/>
    <x v="2"/>
    <s v="NOS"/>
    <s v="ZSFG"/>
    <s v="SF0045"/>
    <n v="2128"/>
    <n v="314241.76"/>
    <n v="2128"/>
    <n v="2128"/>
    <d v="2025-11-10T00:00:00"/>
    <n v="346736.32"/>
    <s v="RV"/>
    <s v="Billing doc.transfer"/>
    <s v="01"/>
    <s v="Semi-Finished Goods"/>
    <s v="SFG-GV5 Stator"/>
    <s v="Sub Ass.-Mech Stator"/>
    <b v="0"/>
    <n v="32494.560000000114"/>
    <n v="9.3715478090094839E-2"/>
    <s v="November-25"/>
    <n v="162.94"/>
    <n v="2128"/>
    <n v="147.66999999999996"/>
    <n v="144.21999999999997"/>
    <n v="1.5"/>
    <n v="0"/>
    <n v="1.95"/>
    <n v="-1.1324274851176597E-14"/>
    <n v="314241.75999999989"/>
    <n v="306900.15999999992"/>
    <n v="3192"/>
    <n v="0"/>
    <n v="4149.5999999999995"/>
    <n v="9.3677954282611609E-11"/>
    <n v="9.3715478090094839E-2"/>
    <n v="147.67000000000002"/>
    <n v="-2.2737367544323206E-11"/>
    <n v="0.05"/>
    <n v="0.4"/>
    <n v="1.5"/>
    <n v="314241.76"/>
    <n v="3192"/>
    <n v="106.4"/>
    <n v="851.2"/>
    <n v="3192"/>
    <n v="0"/>
    <n v="0"/>
  </r>
  <r>
    <s v="Atomberg Technologies Private Limit"/>
    <d v="2025-11-10T00:00:00"/>
    <s v="3271309209"/>
    <x v="2"/>
    <x v="2"/>
    <s v="NOS"/>
    <s v="ZSFG"/>
    <s v="SF0045"/>
    <n v="1008"/>
    <n v="148851.35999999999"/>
    <n v="1008"/>
    <n v="1008"/>
    <d v="2025-11-10T00:00:00"/>
    <n v="164243.51999999999"/>
    <s v="RV"/>
    <s v="Billing doc.transfer"/>
    <s v="01"/>
    <s v="Semi-Finished Goods"/>
    <s v="SFG-GV5 Stator"/>
    <s v="Sub Ass.-Mech Stator"/>
    <b v="0"/>
    <n v="15392.160000000003"/>
    <n v="9.3715478090094534E-2"/>
    <s v="November-25"/>
    <n v="162.94"/>
    <n v="1008"/>
    <n v="147.66999999999996"/>
    <n v="144.21999999999997"/>
    <n v="1.5"/>
    <n v="0"/>
    <n v="1.95"/>
    <n v="-1.1324274851176597E-14"/>
    <n v="148851.35999999999"/>
    <n v="145373.75999999998"/>
    <n v="1512"/>
    <n v="0"/>
    <n v="1965.6"/>
    <n v="5.9117155615240335E-12"/>
    <n v="9.3715478090094506E-2"/>
    <n v="147.66999999999999"/>
    <n v="5.9117155615240335E-12"/>
    <n v="0.05"/>
    <n v="0.4"/>
    <n v="1.5"/>
    <n v="148851.35999999999"/>
    <n v="1512"/>
    <n v="50.400000000000006"/>
    <n v="403.20000000000005"/>
    <n v="1512"/>
    <n v="0"/>
    <n v="0"/>
  </r>
  <r>
    <s v="Atomberg Technologies Private Limit"/>
    <d v="2025-11-10T00:00:00"/>
    <s v="3271309793"/>
    <x v="35"/>
    <x v="35"/>
    <s v="NOS"/>
    <s v="ZSFG"/>
    <s v="SF0045"/>
    <n v="520"/>
    <n v="65067.6"/>
    <n v="520"/>
    <n v="520"/>
    <d v="2025-11-10T00:00:00"/>
    <n v="68842.8"/>
    <s v="RV"/>
    <s v="Billing doc.transfer"/>
    <s v="01"/>
    <s v="Semi-Finished Goods"/>
    <s v="SFG-GV5 Stator"/>
    <s v="Sub Ass.-Mech Stator"/>
    <b v="0"/>
    <n v="3775.2000000000044"/>
    <n v="5.4837978699297595E-2"/>
    <s v="November-25"/>
    <n v="132.39000000000001"/>
    <n v="520"/>
    <n v="125.13"/>
    <n v="121.67999999999999"/>
    <n v="1.5"/>
    <n v="0"/>
    <n v="1.95"/>
    <n v="2.886579864025407E-15"/>
    <n v="65067.6"/>
    <n v="63273.599999999999"/>
    <n v="780"/>
    <n v="0"/>
    <n v="1014"/>
    <n v="0"/>
    <n v="5.4837978699297629E-2"/>
    <n v="125.13"/>
    <n v="0"/>
    <n v="0.05"/>
    <n v="0.4"/>
    <n v="1.5"/>
    <n v="65067.6"/>
    <n v="780"/>
    <n v="26"/>
    <n v="208"/>
    <n v="780"/>
    <n v="0"/>
    <n v="0"/>
  </r>
  <r>
    <s v="Atomberg Technologies Private Limit"/>
    <d v="2025-11-10T00:00:00"/>
    <s v="3271309454"/>
    <x v="8"/>
    <x v="8"/>
    <s v="NOS"/>
    <s v="ZFG1"/>
    <s v="FG0010"/>
    <n v="866"/>
    <n v="281623.2"/>
    <n v="866"/>
    <n v="866"/>
    <d v="2025-11-10T00:00:00"/>
    <n v="314842.96000000002"/>
    <s v="RV"/>
    <s v="Billing doc.transfer"/>
    <s v="01"/>
    <s v="Finished Goods"/>
    <s v="FG-PCB-CF"/>
    <s v="FG-PCB-CF"/>
    <b v="0"/>
    <n v="32994.600000000093"/>
    <n v="0.10479700737154832"/>
    <s v="November-25"/>
    <n v="363.56"/>
    <n v="866"/>
    <n v="325.19999999999993"/>
    <n v="271.52999999999997"/>
    <n v="23.84"/>
    <n v="0.26"/>
    <n v="29.569999999999997"/>
    <n v="0.25999999999996248"/>
    <n v="281848.35999999993"/>
    <n v="235144.97999999998"/>
    <n v="20645.439999999999"/>
    <n v="225.16"/>
    <n v="25832.78"/>
    <n v="3.2741809263825417E-11"/>
    <n v="0.10479700737154829"/>
    <n v="325.2"/>
    <n v="225.15999999994892"/>
    <n v="1.9500000000000002"/>
    <n v="17.329999999999998"/>
    <n v="10.29"/>
    <n v="281623.2"/>
    <n v="20645.439999999999"/>
    <n v="1688.7"/>
    <n v="15007.779999999999"/>
    <n v="8911.14"/>
    <n v="225.16"/>
    <n v="0"/>
  </r>
  <r>
    <s v="Atomberg Technologies Private Limit"/>
    <d v="2025-11-10T00:00:00"/>
    <s v="3271309335"/>
    <x v="9"/>
    <x v="9"/>
    <s v="NOS"/>
    <s v="ZFG1"/>
    <s v="FG0010"/>
    <n v="795"/>
    <n v="172197"/>
    <n v="795"/>
    <n v="795"/>
    <d v="2025-11-10T00:00:00"/>
    <n v="178501.35"/>
    <s v="RV"/>
    <s v="Billing doc.transfer"/>
    <s v="01"/>
    <s v="Finished Goods"/>
    <s v="FG-PCB-CF"/>
    <s v="FG-PCB-CF"/>
    <b v="0"/>
    <n v="6272.5500000000757"/>
    <n v="3.5140070369216118E-2"/>
    <s v="November-25"/>
    <n v="224.53"/>
    <n v="795"/>
    <n v="216.59999999999994"/>
    <n v="174.98999999999995"/>
    <n v="18.389999999999997"/>
    <n v="0.04"/>
    <n v="23.18"/>
    <n v="3.9999999999988489E-2"/>
    <n v="172228.79999999993"/>
    <n v="139117.04999999996"/>
    <n v="14620.049999999997"/>
    <n v="31.8"/>
    <n v="18459.899999999998"/>
    <n v="4.7293724492192268E-11"/>
    <n v="3.514007036921607E-2"/>
    <n v="216.6"/>
    <n v="31.799999999977445"/>
    <n v="1.5"/>
    <n v="13.37"/>
    <n v="8.31"/>
    <n v="172197"/>
    <n v="14620.049999999997"/>
    <n v="1192.5"/>
    <n v="10629.15"/>
    <n v="6606.4500000000007"/>
    <n v="31.8"/>
    <n v="0"/>
  </r>
  <r>
    <s v="Atomberg Technologies Private Limit"/>
    <d v="2025-11-10T00:00:00"/>
    <s v="3271309333"/>
    <x v="3"/>
    <x v="3"/>
    <s v="NOS"/>
    <s v="ZFG1"/>
    <s v="FG0010"/>
    <n v="404"/>
    <n v="260592.12"/>
    <n v="404"/>
    <n v="404"/>
    <d v="2025-11-10T00:00:00"/>
    <n v="294338.24"/>
    <s v="RV"/>
    <s v="Billing doc.transfer"/>
    <s v="01"/>
    <s v="Finished Goods"/>
    <s v="FG-PCB-CF"/>
    <s v="FG-PCB-CF"/>
    <b v="0"/>
    <n v="33572.400000000111"/>
    <n v="0.11406061271549396"/>
    <s v="November-25"/>
    <n v="728.56"/>
    <n v="404"/>
    <n v="645.02999999999963"/>
    <n v="582.23999999999967"/>
    <n v="29.88"/>
    <n v="0.43"/>
    <n v="32.480000000000004"/>
    <n v="0.42999999999996419"/>
    <n v="260765.83999999988"/>
    <n v="235224.95999999988"/>
    <n v="12071.52"/>
    <n v="173.72"/>
    <n v="13295.640000000001"/>
    <n v="1.1823431123048067E-10"/>
    <n v="0.11406061271549395"/>
    <n v="645.03"/>
    <n v="173.72000000000298"/>
    <n v="2.4500000000000002"/>
    <n v="21.72"/>
    <n v="8.31"/>
    <n v="260592.12"/>
    <n v="12071.52"/>
    <n v="989.80000000000007"/>
    <n v="8774.8799999999992"/>
    <n v="3357.2400000000002"/>
    <n v="173.72"/>
    <n v="0"/>
  </r>
  <r>
    <s v="Atomberg Technologies Private Limit"/>
    <d v="2025-11-10T00:00:00"/>
    <s v="3271309333"/>
    <x v="11"/>
    <x v="11"/>
    <s v="NOS"/>
    <s v="ZFG1"/>
    <s v="FG0010"/>
    <n v="1260"/>
    <n v="412183.8"/>
    <n v="1260"/>
    <n v="1260"/>
    <d v="2025-11-10T00:00:00"/>
    <n v="429748.2"/>
    <s v="RV"/>
    <s v="Billing doc.transfer"/>
    <s v="01"/>
    <s v="Finished Goods"/>
    <s v="FG-PCB-CF"/>
    <s v="FG-PCB-CF"/>
    <b v="0"/>
    <n v="17350.199999999895"/>
    <n v="4.0372943970445704E-2"/>
    <s v="November-25"/>
    <n v="341.07"/>
    <n v="1260"/>
    <n v="327.13000000000005"/>
    <n v="278.14000000000004"/>
    <n v="22.400000000000002"/>
    <n v="0.17"/>
    <n v="26.42"/>
    <n v="0.17000000000000526"/>
    <n v="412398.00000000012"/>
    <n v="350456.40000000008"/>
    <n v="28224.000000000004"/>
    <n v="214.20000000000002"/>
    <n v="33503.4"/>
    <n v="-9.4587448984384537E-11"/>
    <n v="4.0372943970445663E-2"/>
    <n v="327.13"/>
    <n v="214.20000000003347"/>
    <n v="1.8299999999999998"/>
    <n v="16.28"/>
    <n v="8.31"/>
    <n v="412183.8"/>
    <n v="28224.000000000004"/>
    <n v="2305.7999999999997"/>
    <n v="20512.800000000003"/>
    <n v="10470.6"/>
    <n v="214.20000000000002"/>
    <n v="0"/>
  </r>
  <r>
    <s v="Atomberg Technologies Private Limit"/>
    <d v="2025-11-10T00:00:00"/>
    <s v="3271309333"/>
    <x v="4"/>
    <x v="4"/>
    <s v="NOS"/>
    <s v="ZFG1"/>
    <s v="FG0010"/>
    <n v="840"/>
    <n v="353984.4"/>
    <n v="840"/>
    <n v="840"/>
    <d v="2025-11-10T00:00:00"/>
    <n v="405854.4"/>
    <s v="RV"/>
    <s v="Billing doc.transfer"/>
    <s v="01"/>
    <s v="Finished Goods"/>
    <s v="FG-PCB-CF"/>
    <s v="FG-PCB-CF"/>
    <b v="0"/>
    <n v="51651.600000000093"/>
    <n v="0.12726632999420504"/>
    <s v="November-25"/>
    <n v="483.16"/>
    <n v="840"/>
    <n v="421.40999999999985"/>
    <n v="373.04999999999984"/>
    <n v="22"/>
    <n v="0.26"/>
    <n v="26.1"/>
    <n v="0.26000000000001222"/>
    <n v="354202.79999999993"/>
    <n v="313361.99999999988"/>
    <n v="18480"/>
    <n v="218.4"/>
    <n v="22142.400000000001"/>
    <n v="1.3824319466948509E-10"/>
    <n v="0.12726632999420506"/>
    <n v="421.41"/>
    <n v="218.40000000004511"/>
    <n v="1.8"/>
    <n v="15.99"/>
    <n v="8.31"/>
    <n v="353984.4"/>
    <n v="18480"/>
    <n v="1512"/>
    <n v="13431.6"/>
    <n v="6980.4000000000005"/>
    <n v="218.4"/>
    <n v="0"/>
  </r>
  <r>
    <s v="Atomberg Technologies Private Limit"/>
    <d v="2025-11-10T00:00:00"/>
    <s v="3271309208"/>
    <x v="4"/>
    <x v="4"/>
    <s v="NOS"/>
    <s v="ZFG1"/>
    <s v="FG0010"/>
    <n v="828"/>
    <n v="348927.48"/>
    <n v="828"/>
    <n v="828"/>
    <d v="2025-11-10T00:00:00"/>
    <n v="400056.48"/>
    <s v="RV"/>
    <s v="Billing doc.transfer"/>
    <s v="01"/>
    <s v="Finished Goods"/>
    <s v="FG-PCB-CF"/>
    <s v="FG-PCB-CF"/>
    <b v="0"/>
    <n v="50913.720000000088"/>
    <n v="0.12726632999420504"/>
    <s v="November-25"/>
    <n v="483.15999999999997"/>
    <n v="828"/>
    <n v="421.40999999999985"/>
    <n v="373.04999999999984"/>
    <n v="22"/>
    <n v="0.26"/>
    <n v="26.1"/>
    <n v="0.26000000000001222"/>
    <n v="349142.75999999989"/>
    <n v="308885.39999999985"/>
    <n v="18216"/>
    <n v="215.28"/>
    <n v="21826.080000000002"/>
    <n v="1.3096723705530167E-10"/>
    <n v="0.12726632999420506"/>
    <n v="421.40999999999997"/>
    <n v="215.28000000004249"/>
    <n v="1.8"/>
    <n v="15.99"/>
    <n v="8.31"/>
    <n v="348927.48"/>
    <n v="18216"/>
    <n v="1490.4"/>
    <n v="13239.72"/>
    <n v="6880.68"/>
    <n v="215.28"/>
    <n v="0"/>
  </r>
  <r>
    <s v="Atomberg Technologies Private Limit"/>
    <d v="2025-11-10T00:00:00"/>
    <s v="3271309208"/>
    <x v="28"/>
    <x v="28"/>
    <s v="NOS"/>
    <s v="ZFG1"/>
    <s v="FG0010"/>
    <n v="310"/>
    <n v="130627.8"/>
    <n v="310"/>
    <n v="310"/>
    <d v="2025-11-10T00:00:00"/>
    <n v="149779.6"/>
    <s v="RV"/>
    <s v="Billing doc.transfer"/>
    <s v="01"/>
    <s v="Finished Goods"/>
    <s v="FG-PCB-CF"/>
    <s v="FG-PCB-CF"/>
    <b v="0"/>
    <n v="19071.200000000055"/>
    <n v="0.12732842122692312"/>
    <s v="November-25"/>
    <n v="483.16"/>
    <n v="310"/>
    <n v="421.37999999999982"/>
    <n v="373.01999999999981"/>
    <n v="22"/>
    <n v="0.26"/>
    <n v="26.1"/>
    <n v="0.26000000000001222"/>
    <n v="130708.39999999995"/>
    <n v="115636.19999999994"/>
    <n v="6820"/>
    <n v="80.600000000000009"/>
    <n v="8171.6"/>
    <n v="6.3664629124104977E-11"/>
    <n v="0.12732842122692312"/>
    <n v="421.38"/>
    <n v="80.600000000011278"/>
    <n v="1.8"/>
    <n v="15.99"/>
    <n v="8.31"/>
    <n v="130627.8"/>
    <n v="6820"/>
    <n v="558"/>
    <n v="4956.8999999999996"/>
    <n v="2576.1000000000004"/>
    <n v="80.600000000000009"/>
    <n v="0"/>
  </r>
  <r>
    <s v="Atomberg Technologies Private Limit"/>
    <d v="2025-11-10T00:00:00"/>
    <s v="3271309333"/>
    <x v="5"/>
    <x v="5"/>
    <s v="NOS"/>
    <s v="ZFG1"/>
    <s v="FG0010"/>
    <n v="1770"/>
    <n v="579020.1"/>
    <n v="1770"/>
    <n v="1770"/>
    <d v="2025-11-10T00:00:00"/>
    <n v="603693.9"/>
    <s v="RV"/>
    <s v="Billing doc.transfer"/>
    <s v="01"/>
    <s v="Finished Goods"/>
    <s v="FG-PCB-CF"/>
    <s v="FG-PCB-CF"/>
    <b v="0"/>
    <n v="24372.899999999907"/>
    <n v="4.0372943970445795E-2"/>
    <s v="November-25"/>
    <n v="341.07"/>
    <n v="1770"/>
    <n v="327.13"/>
    <n v="278.14"/>
    <n v="22.400000000000002"/>
    <n v="0.17"/>
    <n v="26.42"/>
    <n v="0.17000000000000526"/>
    <n v="579321.00000000012"/>
    <n v="492307.8"/>
    <n v="39648.000000000007"/>
    <n v="300.90000000000003"/>
    <n v="47064.3"/>
    <n v="0"/>
    <n v="4.0372943970445774E-2"/>
    <n v="327.13"/>
    <n v="300.90000000011787"/>
    <n v="1.8299999999999998"/>
    <n v="16.28"/>
    <n v="8.31"/>
    <n v="579020.1"/>
    <n v="39648.000000000007"/>
    <n v="3239.1"/>
    <n v="28815.600000000002"/>
    <n v="14708.7"/>
    <n v="300.90000000000003"/>
    <n v="0"/>
  </r>
  <r>
    <s v="Atomberg Technologies Private Limit"/>
    <d v="2025-11-10T00:00:00"/>
    <s v="3271309333"/>
    <x v="7"/>
    <x v="7"/>
    <s v="NOS"/>
    <s v="ZFG1"/>
    <s v="FG0010"/>
    <n v="700"/>
    <n v="228970"/>
    <n v="700"/>
    <n v="700"/>
    <d v="2025-11-10T00:00:00"/>
    <n v="238749"/>
    <s v="RV"/>
    <s v="Billing doc.transfer"/>
    <s v="01"/>
    <s v="Finished Goods"/>
    <s v="FG-PCB-CF"/>
    <s v="FG-PCB-CF"/>
    <b v="0"/>
    <n v="9660.0000000000582"/>
    <n v="4.0460902454041936E-2"/>
    <s v="November-25"/>
    <n v="341.07"/>
    <n v="700"/>
    <n v="327.09999999999991"/>
    <n v="278.1099999999999"/>
    <n v="22.400000000000002"/>
    <n v="0.17"/>
    <n v="26.42"/>
    <n v="0.17000000000000526"/>
    <n v="229088.99999999994"/>
    <n v="194676.99999999994"/>
    <n v="15680.000000000002"/>
    <n v="119.00000000000001"/>
    <n v="18613"/>
    <n v="5.8207660913467407E-11"/>
    <n v="4.0460902454041991E-2"/>
    <n v="327.10000000000002"/>
    <n v="119"/>
    <n v="1.8299999999999998"/>
    <n v="16.28"/>
    <n v="8.31"/>
    <n v="228970"/>
    <n v="15680.000000000002"/>
    <n v="1281"/>
    <n v="11396"/>
    <n v="5817"/>
    <n v="119.00000000000001"/>
    <n v="0"/>
  </r>
  <r>
    <s v="HIMTEJ INDIA PRIVATE LIMITED"/>
    <d v="2025-11-10T00:00:00"/>
    <s v="3271309218"/>
    <x v="36"/>
    <x v="36"/>
    <s v="NOS"/>
    <s v="ZROH"/>
    <s v="RM0030"/>
    <n v="3500"/>
    <n v="477443.29"/>
    <n v="3500"/>
    <n v="3500"/>
    <d v="2025-11-10T00:00:00"/>
    <n v="477435"/>
    <s v="RV"/>
    <s v="Billing doc.transfer"/>
    <s v="06"/>
    <s v="Raw Material"/>
    <s v="RM-Mech. Metal"/>
    <s v="Raw Material"/>
    <b v="0"/>
    <n v="477435"/>
    <n v="1"/>
    <s v="November-25"/>
    <n v="136.41"/>
    <n v="3500"/>
    <n v="0"/>
    <n v="0"/>
    <n v="0"/>
    <n v="0"/>
    <n v="0"/>
    <n v="0"/>
    <n v="0"/>
    <n v="0"/>
    <n v="0"/>
    <n v="0"/>
    <n v="0"/>
    <n v="477443.29"/>
    <n v="1"/>
    <n v="136.41236857142857"/>
    <n v="0"/>
    <n v="0"/>
    <n v="0"/>
    <n v="0"/>
    <n v="477443.29"/>
    <n v="0"/>
    <n v="0"/>
    <n v="0"/>
    <n v="0"/>
    <n v="0"/>
    <n v="0"/>
  </r>
  <r>
    <s v="HIMTEJ INDIA PRIVATE LIMITED"/>
    <d v="2025-11-10T00:00:00"/>
    <s v="3271309218"/>
    <x v="37"/>
    <x v="37"/>
    <s v="NOS"/>
    <s v="ZROH"/>
    <s v="RM0024"/>
    <n v="2952"/>
    <n v="124685.23"/>
    <n v="2952"/>
    <n v="2952"/>
    <d v="2025-11-10T00:00:00"/>
    <n v="124692.48"/>
    <s v="RV"/>
    <s v="Billing doc.transfer"/>
    <s v="06"/>
    <s v="Raw Material"/>
    <s v="RM-Mech-Rotor"/>
    <s v="Raw Material"/>
    <b v="0"/>
    <n v="124692.48"/>
    <n v="1"/>
    <s v="November-25"/>
    <n v="42.24"/>
    <n v="2952"/>
    <n v="0"/>
    <n v="0"/>
    <n v="0"/>
    <n v="0"/>
    <n v="0"/>
    <n v="0"/>
    <n v="0"/>
    <n v="0"/>
    <n v="0"/>
    <n v="0"/>
    <n v="0"/>
    <n v="124685.23"/>
    <n v="1"/>
    <n v="42.237544037940381"/>
    <n v="0"/>
    <n v="0"/>
    <n v="0"/>
    <n v="0"/>
    <n v="124685.23"/>
    <n v="0"/>
    <n v="0"/>
    <n v="0"/>
    <n v="0"/>
    <n v="0"/>
    <n v="0"/>
  </r>
  <r>
    <s v="Atomberg Technologies Private Limit"/>
    <d v="2025-11-08T00:00:00"/>
    <s v="3271308833"/>
    <x v="2"/>
    <x v="2"/>
    <s v="NOS"/>
    <s v="ZSFG"/>
    <s v="SF0045"/>
    <n v="1072"/>
    <n v="158302.24"/>
    <n v="1072"/>
    <n v="1072"/>
    <d v="2025-11-08T00:00:00"/>
    <n v="174671.68"/>
    <s v="RV"/>
    <s v="Billing doc.transfer"/>
    <s v="01"/>
    <s v="Semi-Finished Goods"/>
    <s v="SFG-GV5 Stator"/>
    <s v="Sub Ass.-Mech Stator"/>
    <b v="0"/>
    <n v="16369.440000000031"/>
    <n v="9.37154780900947E-2"/>
    <s v="November-25"/>
    <n v="162.94"/>
    <n v="1072"/>
    <n v="147.66999999999996"/>
    <n v="144.21999999999997"/>
    <n v="1.5"/>
    <n v="0"/>
    <n v="1.95"/>
    <n v="-1.1324274851176597E-14"/>
    <n v="158302.23999999996"/>
    <n v="154603.83999999997"/>
    <n v="1608"/>
    <n v="0"/>
    <n v="2090.4"/>
    <n v="2.319211489520967E-11"/>
    <n v="9.3715478090094728E-2"/>
    <n v="147.66999999999999"/>
    <n v="-5.9117155615240335E-12"/>
    <n v="0.05"/>
    <n v="0.4"/>
    <n v="1.5"/>
    <n v="158302.24"/>
    <n v="1608"/>
    <n v="53.6"/>
    <n v="428.8"/>
    <n v="1608"/>
    <n v="0"/>
    <n v="0"/>
  </r>
  <r>
    <s v="Atomberg Technologies Private Limit"/>
    <d v="2025-11-08T00:00:00"/>
    <s v="3271308840"/>
    <x v="2"/>
    <x v="2"/>
    <s v="NOS"/>
    <s v="ZSFG"/>
    <s v="SF0045"/>
    <n v="2128"/>
    <n v="314241.76"/>
    <n v="2128"/>
    <n v="2128"/>
    <d v="2025-11-08T00:00:00"/>
    <n v="346736.32"/>
    <s v="RV"/>
    <s v="Billing doc.transfer"/>
    <s v="01"/>
    <s v="Semi-Finished Goods"/>
    <s v="SFG-GV5 Stator"/>
    <s v="Sub Ass.-Mech Stator"/>
    <b v="0"/>
    <n v="32494.560000000114"/>
    <n v="9.3715478090094839E-2"/>
    <s v="November-25"/>
    <n v="162.94"/>
    <n v="2128"/>
    <n v="147.66999999999996"/>
    <n v="144.21999999999997"/>
    <n v="1.5"/>
    <n v="0"/>
    <n v="1.95"/>
    <n v="-1.1324274851176597E-14"/>
    <n v="314241.75999999989"/>
    <n v="306900.15999999992"/>
    <n v="3192"/>
    <n v="0"/>
    <n v="4149.5999999999995"/>
    <n v="9.3677954282611609E-11"/>
    <n v="9.3715478090094839E-2"/>
    <n v="147.67000000000002"/>
    <n v="-2.2737367544323206E-11"/>
    <n v="0.05"/>
    <n v="0.4"/>
    <n v="1.5"/>
    <n v="314241.76"/>
    <n v="3192"/>
    <n v="106.4"/>
    <n v="851.2"/>
    <n v="3192"/>
    <n v="0"/>
    <n v="0"/>
  </r>
  <r>
    <s v="Atomberg Technologies Private Limit"/>
    <d v="2025-11-08T00:00:00"/>
    <s v="3271308811"/>
    <x v="8"/>
    <x v="8"/>
    <s v="NOS"/>
    <s v="ZFG1"/>
    <s v="FG0010"/>
    <n v="1136"/>
    <n v="369427.20000000001"/>
    <n v="1136"/>
    <n v="1136"/>
    <d v="2025-11-08T00:00:00"/>
    <n v="413004.16"/>
    <s v="RV"/>
    <s v="Billing doc.transfer"/>
    <s v="01"/>
    <s v="Finished Goods"/>
    <s v="FG-PCB-CF"/>
    <s v="FG-PCB-CF"/>
    <b v="0"/>
    <n v="43281.600000000035"/>
    <n v="0.10479700737154811"/>
    <s v="November-25"/>
    <n v="363.56"/>
    <n v="1136"/>
    <n v="325.19999999999993"/>
    <n v="271.52999999999997"/>
    <n v="23.84"/>
    <n v="0.26"/>
    <n v="29.569999999999997"/>
    <n v="0.25999999999996248"/>
    <n v="369722.55999999994"/>
    <n v="308458.07999999996"/>
    <n v="27082.240000000002"/>
    <n v="295.36"/>
    <n v="33886.879999999997"/>
    <n v="0"/>
    <n v="0.10479700737154807"/>
    <n v="325.2"/>
    <n v="295.35999999997875"/>
    <n v="1.9500000000000002"/>
    <n v="17.329999999999998"/>
    <n v="10.29"/>
    <n v="369427.20000000001"/>
    <n v="27082.240000000002"/>
    <n v="2215.2000000000003"/>
    <n v="19686.879999999997"/>
    <n v="11689.439999999999"/>
    <n v="295.36"/>
    <n v="0"/>
  </r>
  <r>
    <s v="Atomberg Technologies Private Limit"/>
    <d v="2025-11-08T00:00:00"/>
    <s v="3271308832"/>
    <x v="11"/>
    <x v="11"/>
    <s v="NOS"/>
    <s v="ZFG1"/>
    <s v="FG0010"/>
    <n v="840"/>
    <n v="274789.2"/>
    <n v="840"/>
    <n v="840"/>
    <d v="2025-11-08T00:00:00"/>
    <n v="286498.8"/>
    <s v="RV"/>
    <s v="Billing doc.transfer"/>
    <s v="01"/>
    <s v="Finished Goods"/>
    <s v="FG-PCB-CF"/>
    <s v="FG-PCB-CF"/>
    <b v="0"/>
    <n v="11566.799999999988"/>
    <n v="4.0372943970445913E-2"/>
    <s v="November-25"/>
    <n v="341.07"/>
    <n v="840"/>
    <n v="327.13000000000005"/>
    <n v="278.14000000000004"/>
    <n v="22.400000000000002"/>
    <n v="0.17"/>
    <n v="26.42"/>
    <n v="0.17000000000000526"/>
    <n v="274932"/>
    <n v="233637.60000000003"/>
    <n v="18816"/>
    <n v="142.80000000000001"/>
    <n v="22335.600000000002"/>
    <n v="0"/>
    <n v="4.0372943970445885E-2"/>
    <n v="327.13"/>
    <n v="142.79999999996289"/>
    <n v="1.8299999999999998"/>
    <n v="16.28"/>
    <n v="8.31"/>
    <n v="274789.2"/>
    <n v="18816"/>
    <n v="1537.1999999999998"/>
    <n v="13675.2"/>
    <n v="6980.4000000000005"/>
    <n v="142.80000000000001"/>
    <n v="0"/>
  </r>
  <r>
    <s v="Atomberg Technologies Private Limit"/>
    <d v="2025-11-08T00:00:00"/>
    <s v="3271308812"/>
    <x v="15"/>
    <x v="15"/>
    <s v="NOS"/>
    <s v="ZFG1"/>
    <s v="FG0010"/>
    <n v="420"/>
    <n v="176979.6"/>
    <n v="420"/>
    <n v="420"/>
    <d v="2025-11-08T00:00:00"/>
    <n v="202927.2"/>
    <s v="RV"/>
    <s v="Billing doc.transfer"/>
    <s v="01"/>
    <s v="Finished Goods"/>
    <s v="FG-PCB-CF"/>
    <s v="FG-PCB-CF"/>
    <b v="0"/>
    <n v="25838.400000000081"/>
    <n v="0.12732842122692314"/>
    <s v="November-25"/>
    <n v="483.16"/>
    <n v="420"/>
    <n v="421.37999999999982"/>
    <n v="373.01999999999981"/>
    <n v="22"/>
    <n v="0.26"/>
    <n v="26.1"/>
    <n v="0.26000000000001222"/>
    <n v="177088.79999999993"/>
    <n v="156668.39999999991"/>
    <n v="9240"/>
    <n v="109.2"/>
    <n v="11071.2"/>
    <n v="9.822542779147625E-11"/>
    <n v="0.12732842122692312"/>
    <n v="421.38"/>
    <n v="109.20000000002256"/>
    <n v="1.8"/>
    <n v="15.99"/>
    <n v="8.31"/>
    <n v="176979.6"/>
    <n v="9240"/>
    <n v="756"/>
    <n v="6715.8"/>
    <n v="3490.2000000000003"/>
    <n v="109.2"/>
    <n v="0"/>
  </r>
  <r>
    <s v="Atomberg Technologies Private Limit"/>
    <d v="2025-11-08T00:00:00"/>
    <s v="3271308832"/>
    <x v="15"/>
    <x v="15"/>
    <s v="NOS"/>
    <s v="ZFG1"/>
    <s v="FG0010"/>
    <n v="310"/>
    <n v="130627.8"/>
    <n v="310"/>
    <n v="310"/>
    <d v="2025-11-08T00:00:00"/>
    <n v="149779.6"/>
    <s v="RV"/>
    <s v="Billing doc.transfer"/>
    <s v="01"/>
    <s v="Finished Goods"/>
    <s v="FG-PCB-CF"/>
    <s v="FG-PCB-CF"/>
    <b v="0"/>
    <n v="19071.200000000055"/>
    <n v="0.12732842122692312"/>
    <s v="November-25"/>
    <n v="483.16"/>
    <n v="310"/>
    <n v="421.37999999999982"/>
    <n v="373.01999999999981"/>
    <n v="22"/>
    <n v="0.26"/>
    <n v="26.1"/>
    <n v="0.26000000000001222"/>
    <n v="130708.39999999995"/>
    <n v="115636.19999999994"/>
    <n v="6820"/>
    <n v="80.600000000000009"/>
    <n v="8171.6"/>
    <n v="6.3664629124104977E-11"/>
    <n v="0.12732842122692312"/>
    <n v="421.38"/>
    <n v="80.600000000011278"/>
    <n v="1.8"/>
    <n v="15.99"/>
    <n v="8.31"/>
    <n v="130627.8"/>
    <n v="6820"/>
    <n v="558"/>
    <n v="4956.8999999999996"/>
    <n v="2576.1000000000004"/>
    <n v="80.600000000000009"/>
    <n v="0"/>
  </r>
  <r>
    <s v="Atomberg Technologies Private Limit"/>
    <d v="2025-11-08T00:00:00"/>
    <s v="3271308841"/>
    <x v="15"/>
    <x v="15"/>
    <s v="NOS"/>
    <s v="ZFG1"/>
    <s v="FG0010"/>
    <n v="410"/>
    <n v="172765.8"/>
    <n v="410"/>
    <n v="410"/>
    <d v="2025-11-08T00:00:00"/>
    <n v="198095.6"/>
    <s v="RV"/>
    <s v="Billing doc.transfer"/>
    <s v="01"/>
    <s v="Finished Goods"/>
    <s v="FG-PCB-CF"/>
    <s v="FG-PCB-CF"/>
    <b v="0"/>
    <n v="25223.20000000007"/>
    <n v="0.12732842122692312"/>
    <s v="November-25"/>
    <n v="483.16"/>
    <n v="410"/>
    <n v="421.37999999999982"/>
    <n v="373.01999999999981"/>
    <n v="22"/>
    <n v="0.26"/>
    <n v="26.1"/>
    <n v="0.26000000000001222"/>
    <n v="172872.39999999994"/>
    <n v="152938.19999999992"/>
    <n v="9020"/>
    <n v="106.60000000000001"/>
    <n v="10807.6"/>
    <n v="6.3664629124104977E-11"/>
    <n v="0.12732842122692312"/>
    <n v="421.38"/>
    <n v="106.60000000001128"/>
    <n v="1.8"/>
    <n v="15.99"/>
    <n v="8.31"/>
    <n v="172765.8"/>
    <n v="9020"/>
    <n v="738"/>
    <n v="6555.9"/>
    <n v="3407.1000000000004"/>
    <n v="106.60000000000001"/>
    <n v="0"/>
  </r>
  <r>
    <s v="KAYNES TECHNOLOGY INDIA LIMITED"/>
    <d v="2025-11-08T00:00:00"/>
    <s v="3271308824"/>
    <x v="61"/>
    <x v="61"/>
    <s v="NOS"/>
    <s v="ZROH"/>
    <s v="RM0001"/>
    <n v="50000"/>
    <n v="45194.96"/>
    <n v="50000"/>
    <n v="50000"/>
    <d v="2025-11-08T00:00:00"/>
    <n v="45500"/>
    <s v="RV"/>
    <s v="Billing doc.transfer"/>
    <s v="06"/>
    <s v="Raw Material"/>
    <s v="RM-Eletro-Capacitor"/>
    <s v="Raw Material"/>
    <b v="0"/>
    <n v="45500"/>
    <n v="1"/>
    <s v="November-25"/>
    <n v="0.91"/>
    <n v="50000"/>
    <n v="0"/>
    <n v="0"/>
    <n v="0"/>
    <n v="0"/>
    <n v="0"/>
    <n v="0"/>
    <n v="0"/>
    <n v="0"/>
    <n v="0"/>
    <n v="0"/>
    <n v="0"/>
    <n v="45194.96"/>
    <n v="1"/>
    <n v="0.90389920000000001"/>
    <n v="0"/>
    <n v="0"/>
    <n v="0"/>
    <n v="0"/>
    <n v="45194.96"/>
    <n v="0"/>
    <n v="0"/>
    <n v="0"/>
    <n v="0"/>
    <n v="0"/>
    <n v="0"/>
  </r>
  <r>
    <s v="Atomberg Technologies Private Limit"/>
    <d v="2025-11-08T00:00:00"/>
    <s v="3277064280"/>
    <x v="15"/>
    <x v="15"/>
    <s v="NOS"/>
    <s v="ZFG1"/>
    <s v="FG0010"/>
    <n v="-360"/>
    <n v="-151696.79999999999"/>
    <n v="-360"/>
    <n v="-360"/>
    <d v="2025-11-08T00:00:00"/>
    <n v="-173937.6"/>
    <s v="RV"/>
    <s v="Billing doc.transfer"/>
    <s v="01"/>
    <s v="Finished Goods"/>
    <s v="FG-PCB-CF"/>
    <s v="FG-PCB-CF"/>
    <b v="0"/>
    <n v="-22147.20000000007"/>
    <n v="0.12732842122692314"/>
    <s v="November-25"/>
    <n v="483.16"/>
    <n v="-360"/>
    <n v="421.37999999999982"/>
    <n v="373.01999999999981"/>
    <n v="22"/>
    <n v="0.26"/>
    <n v="26.1"/>
    <n v="0.26000000000001222"/>
    <n v="-151790.39999999994"/>
    <n v="-134287.19999999992"/>
    <n v="-7920"/>
    <n v="-93.600000000000009"/>
    <n v="-9489.6"/>
    <n v="-6.3664629124104977E-11"/>
    <n v="0.12732842122692312"/>
    <n v="421.38"/>
    <n v="-93.600000000011278"/>
    <n v="1.8"/>
    <n v="15.99"/>
    <n v="8.31"/>
    <n v="-151696.79999999999"/>
    <n v="-7920"/>
    <n v="-648"/>
    <n v="-5756.4"/>
    <n v="-2991.6000000000004"/>
    <n v="-93.600000000000009"/>
    <n v="0"/>
  </r>
  <r>
    <s v="GODREJ &amp; BOYCE MFG. CO. LTD Shirwal"/>
    <d v="2025-11-07T00:00:00"/>
    <s v="3271308439"/>
    <x v="1"/>
    <x v="1"/>
    <s v="NOS"/>
    <s v="ZFG1"/>
    <s v="FG0011"/>
    <n v="2300"/>
    <n v="1061151"/>
    <n v="2300"/>
    <n v="2300"/>
    <d v="2025-11-07T00:00:00"/>
    <n v="1509513"/>
    <s v="RV"/>
    <s v="Billing doc.transfer"/>
    <s v="01"/>
    <s v="Finished Goods"/>
    <s v="FG-PCB-Ref"/>
    <s v="FG-PCB-Ref"/>
    <b v="0"/>
    <n v="447810"/>
    <n v="0.29665859121451754"/>
    <s v="November-25"/>
    <n v="656.31"/>
    <n v="2300"/>
    <n v="461.37"/>
    <n v="401.59000000000003"/>
    <n v="28.32"/>
    <n v="0.24"/>
    <n v="31.22"/>
    <n v="0.23999999999997357"/>
    <n v="1061703"/>
    <n v="923657.00000000012"/>
    <n v="65136"/>
    <n v="552"/>
    <n v="72358"/>
    <n v="-1.1641532182693481E-10"/>
    <n v="0.29665859121451754"/>
    <n v="461.37"/>
    <n v="551.99999999988358"/>
    <n v="2.3199999999999998"/>
    <n v="20.59"/>
    <n v="8.31"/>
    <n v="1061151"/>
    <n v="65136"/>
    <n v="5336"/>
    <n v="47357"/>
    <n v="19113"/>
    <n v="552"/>
    <n v="0"/>
  </r>
  <r>
    <s v="Atomberg Technologies Private Limit"/>
    <d v="2025-11-07T00:00:00"/>
    <s v="3271308424"/>
    <x v="2"/>
    <x v="2"/>
    <s v="NOS"/>
    <s v="ZSFG"/>
    <s v="SF0045"/>
    <n v="1120"/>
    <n v="165390.39999999999"/>
    <n v="1120"/>
    <n v="1120"/>
    <d v="2025-11-07T00:00:00"/>
    <n v="182492.79999999999"/>
    <s v="RV"/>
    <s v="Billing doc.transfer"/>
    <s v="01"/>
    <s v="Semi-Finished Goods"/>
    <s v="SFG-GV5 Stator"/>
    <s v="Sub Ass.-Mech Stator"/>
    <b v="0"/>
    <n v="17102.400000000023"/>
    <n v="9.3715478090094645E-2"/>
    <s v="November-25"/>
    <n v="162.94"/>
    <n v="1120"/>
    <n v="147.66999999999996"/>
    <n v="144.21999999999997"/>
    <n v="1.5"/>
    <n v="0"/>
    <n v="1.95"/>
    <n v="-1.1324274851176597E-14"/>
    <n v="165390.39999999997"/>
    <n v="161526.39999999997"/>
    <n v="1680"/>
    <n v="0"/>
    <n v="2184"/>
    <n v="2.9103830456733704E-11"/>
    <n v="9.3715478090094617E-2"/>
    <n v="147.66999999999999"/>
    <n v="0"/>
    <n v="0.05"/>
    <n v="0.4"/>
    <n v="1.5"/>
    <n v="165390.39999999999"/>
    <n v="1680"/>
    <n v="56"/>
    <n v="448"/>
    <n v="1680"/>
    <n v="0"/>
    <n v="0"/>
  </r>
  <r>
    <s v="Atomberg Technologies Private Limit"/>
    <d v="2025-11-07T00:00:00"/>
    <s v="3271308684"/>
    <x v="2"/>
    <x v="2"/>
    <s v="NOS"/>
    <s v="ZSFG"/>
    <s v="SF0045"/>
    <n v="2728"/>
    <n v="402843.76"/>
    <n v="2728"/>
    <n v="2728"/>
    <d v="2025-11-07T00:00:00"/>
    <n v="444500.32"/>
    <s v="RV"/>
    <s v="Billing doc.transfer"/>
    <s v="01"/>
    <s v="Semi-Finished Goods"/>
    <s v="SFG-GV5 Stator"/>
    <s v="Sub Ass.-Mech Stator"/>
    <b v="0"/>
    <n v="41656.560000000114"/>
    <n v="9.371547809009477E-2"/>
    <s v="November-25"/>
    <n v="162.94"/>
    <n v="2728"/>
    <n v="147.66999999999996"/>
    <n v="144.21999999999997"/>
    <n v="1.5"/>
    <n v="0"/>
    <n v="1.95"/>
    <n v="-1.1324274851176597E-14"/>
    <n v="402843.75999999989"/>
    <n v="393432.15999999992"/>
    <n v="4092"/>
    <n v="0"/>
    <n v="5319.5999999999995"/>
    <n v="9.3677954282611609E-11"/>
    <n v="9.3715478090094728E-2"/>
    <n v="147.67000000000002"/>
    <n v="-2.2737367544323206E-11"/>
    <n v="0.05"/>
    <n v="0.4"/>
    <n v="1.5"/>
    <n v="402843.76"/>
    <n v="4092"/>
    <n v="136.4"/>
    <n v="1091.2"/>
    <n v="4092"/>
    <n v="0"/>
    <n v="0"/>
  </r>
  <r>
    <s v="RONCH POLYMERS PRIVATE LIMITED"/>
    <d v="2025-11-07T00:00:00"/>
    <s v="3271308732"/>
    <x v="59"/>
    <x v="59"/>
    <s v="NOS"/>
    <s v="ZFG1"/>
    <s v="FG0015"/>
    <n v="175"/>
    <n v="79542.75"/>
    <n v="175"/>
    <n v="175"/>
    <d v="2025-11-07T00:00:00"/>
    <n v="72782.5"/>
    <s v="RV"/>
    <s v="Billing doc.transfer"/>
    <s v="06"/>
    <s v="Finished Goods"/>
    <s v="FG-PCB-WP"/>
    <s v="FG-PCB-WP"/>
    <b v="0"/>
    <n v="-6790"/>
    <n v="-9.3291656648232746E-2"/>
    <s v="November-25"/>
    <n v="415.9"/>
    <n v="175"/>
    <n v="454.53000000000009"/>
    <n v="392.59000000000003"/>
    <n v="29.55"/>
    <n v="0.17"/>
    <n v="32.22"/>
    <n v="0.17000000000005855"/>
    <n v="79572.5"/>
    <n v="68703.25"/>
    <n v="5171.25"/>
    <n v="29.750000000000004"/>
    <n v="5668.25"/>
    <n v="0"/>
    <n v="-9.329165664823269E-2"/>
    <n v="454.53"/>
    <n v="29.75"/>
    <n v="2.42"/>
    <n v="21.49"/>
    <n v="8.31"/>
    <n v="79542.75"/>
    <n v="5171.25"/>
    <n v="423.5"/>
    <n v="3760.7499999999995"/>
    <n v="1454.25"/>
    <n v="29.750000000000004"/>
    <n v="0"/>
  </r>
  <r>
    <s v="Atomberg Technologies Private Limit"/>
    <d v="2025-11-07T00:00:00"/>
    <s v="3271308810"/>
    <x v="3"/>
    <x v="3"/>
    <s v="NOS"/>
    <s v="ZFG1"/>
    <s v="FG0010"/>
    <n v="928"/>
    <n v="598587.84"/>
    <n v="928"/>
    <n v="928"/>
    <d v="2025-11-07T00:00:00"/>
    <n v="676103.68000000005"/>
    <s v="RV"/>
    <s v="Billing doc.transfer"/>
    <s v="01"/>
    <s v="Finished Goods"/>
    <s v="FG-PCB-CF"/>
    <s v="FG-PCB-CF"/>
    <b v="0"/>
    <n v="77116.800000000279"/>
    <n v="0.11406061271549398"/>
    <s v="November-25"/>
    <n v="728.56000000000006"/>
    <n v="928"/>
    <n v="645.02999999999963"/>
    <n v="582.23999999999967"/>
    <n v="29.88"/>
    <n v="0.43"/>
    <n v="32.480000000000004"/>
    <n v="0.42999999999996419"/>
    <n v="598986.87999999977"/>
    <n v="540318.71999999974"/>
    <n v="27728.639999999999"/>
    <n v="399.04"/>
    <n v="30540.480000000003"/>
    <n v="2.255546860396862E-10"/>
    <n v="0.11406061271549395"/>
    <n v="645.03"/>
    <n v="399.04000000002998"/>
    <n v="2.4500000000000002"/>
    <n v="21.72"/>
    <n v="8.31"/>
    <n v="598587.84"/>
    <n v="27728.639999999999"/>
    <n v="2273.6000000000004"/>
    <n v="20156.16"/>
    <n v="7711.68"/>
    <n v="399.04"/>
    <n v="0"/>
  </r>
  <r>
    <s v="Atomberg Technologies Private Limit"/>
    <d v="2025-11-07T00:00:00"/>
    <s v="3271308687"/>
    <x v="3"/>
    <x v="3"/>
    <s v="NOS"/>
    <s v="ZFG1"/>
    <s v="FG0010"/>
    <n v="396"/>
    <n v="255431.88"/>
    <n v="396"/>
    <n v="396"/>
    <d v="2025-11-07T00:00:00"/>
    <n v="288509.76"/>
    <s v="RV"/>
    <s v="Billing doc.transfer"/>
    <s v="01"/>
    <s v="Finished Goods"/>
    <s v="FG-PCB-CF"/>
    <s v="FG-PCB-CF"/>
    <b v="0"/>
    <n v="32907.600000000122"/>
    <n v="0.114060612715494"/>
    <s v="November-25"/>
    <n v="728.56000000000006"/>
    <n v="396"/>
    <n v="645.02999999999963"/>
    <n v="582.23999999999967"/>
    <n v="29.88"/>
    <n v="0.43"/>
    <n v="32.480000000000004"/>
    <n v="0.42999999999996419"/>
    <n v="255602.15999999989"/>
    <n v="230567.03999999986"/>
    <n v="11832.48"/>
    <n v="170.28"/>
    <n v="13032.360000000002"/>
    <n v="1.4006218407303095E-10"/>
    <n v="0.11406061271549395"/>
    <n v="645.03"/>
    <n v="170.28000000002248"/>
    <n v="2.4500000000000002"/>
    <n v="21.72"/>
    <n v="8.31"/>
    <n v="255431.88"/>
    <n v="11832.48"/>
    <n v="970.2"/>
    <n v="8601.119999999999"/>
    <n v="3290.76"/>
    <n v="170.28"/>
    <n v="0"/>
  </r>
  <r>
    <s v="Atomberg Technologies Private Limit"/>
    <d v="2025-11-07T00:00:00"/>
    <s v="3271308423"/>
    <x v="60"/>
    <x v="60"/>
    <s v="NOS"/>
    <s v="ZFG1"/>
    <s v="FG0010"/>
    <n v="105"/>
    <n v="34362.300000000003"/>
    <n v="105"/>
    <n v="105"/>
    <d v="2025-11-07T00:00:00"/>
    <n v="35677.949999999997"/>
    <s v="RV"/>
    <s v="Billing doc.transfer"/>
    <s v="01"/>
    <s v="Finished Goods"/>
    <s v="FG-PCB-CF"/>
    <s v="FG-PCB-CF"/>
    <b v="0"/>
    <n v="1297.8000000000029"/>
    <n v="3.6375408340445656E-2"/>
    <s v="November-25"/>
    <n v="339.78999999999996"/>
    <n v="105"/>
    <n v="327.26"/>
    <n v="275.87999999999994"/>
    <n v="23.720000000000002"/>
    <n v="0.17"/>
    <n v="27.49"/>
    <n v="0.17000000000005144"/>
    <n v="34380.149999999994"/>
    <n v="28967.399999999994"/>
    <n v="2490.6000000000004"/>
    <n v="17.850000000000001"/>
    <n v="2904.2999999999997"/>
    <n v="8.6401996668428183E-12"/>
    <n v="3.6375408340445614E-2"/>
    <n v="327.26000000000005"/>
    <n v="17.849999999999909"/>
    <n v="1.94"/>
    <n v="17.239999999999998"/>
    <n v="8.31"/>
    <n v="34362.300000000003"/>
    <n v="2490.6000000000004"/>
    <n v="203.7"/>
    <n v="1810.1999999999998"/>
    <n v="872.55000000000007"/>
    <n v="17.850000000000001"/>
    <n v="0"/>
  </r>
  <r>
    <s v="KAYNES TECHNOLOGY INDIA LIMITED"/>
    <d v="2025-11-07T00:00:00"/>
    <s v="3271308737"/>
    <x v="88"/>
    <x v="88"/>
    <s v="NOS"/>
    <s v="ZROH"/>
    <s v="RM0004"/>
    <n v="30000"/>
    <n v="78000"/>
    <n v="30000"/>
    <n v="30000"/>
    <d v="2025-11-07T00:00:00"/>
    <n v="78000"/>
    <s v="RV"/>
    <s v="Billing doc.transfer"/>
    <s v="06"/>
    <s v="Raw Material"/>
    <s v="RM-Eletro-Diodes"/>
    <s v="Raw Material"/>
    <b v="0"/>
    <n v="78000"/>
    <n v="1"/>
    <s v="November-25"/>
    <n v="2.6"/>
    <n v="30000"/>
    <n v="0"/>
    <n v="0"/>
    <n v="0"/>
    <n v="0"/>
    <n v="0"/>
    <n v="0"/>
    <n v="0"/>
    <n v="0"/>
    <n v="0"/>
    <n v="0"/>
    <n v="0"/>
    <n v="78000"/>
    <n v="1"/>
    <n v="2.6"/>
    <n v="0"/>
    <n v="0"/>
    <n v="0"/>
    <n v="0"/>
    <n v="78000"/>
    <n v="0"/>
    <n v="0"/>
    <n v="0"/>
    <n v="0"/>
    <n v="0"/>
    <n v="0"/>
  </r>
  <r>
    <s v="KAYNES TECHNOLOGY INDIA LIMITED"/>
    <d v="2025-11-07T00:00:00"/>
    <s v="3271308737"/>
    <x v="89"/>
    <x v="89"/>
    <s v="NOS"/>
    <s v="ZROH"/>
    <s v="L002"/>
    <n v="40000"/>
    <n v="110000"/>
    <n v="40000"/>
    <n v="40000"/>
    <d v="2025-11-07T00:00:00"/>
    <n v="110000"/>
    <s v="RV"/>
    <s v="Billing doc.transfer"/>
    <s v="06"/>
    <s v="Raw Material"/>
    <s v="Raw Materials"/>
    <s v="Raw Material"/>
    <b v="0"/>
    <n v="110000"/>
    <n v="1"/>
    <s v="November-25"/>
    <n v="2.75"/>
    <n v="40000"/>
    <n v="0"/>
    <n v="0"/>
    <n v="0"/>
    <n v="0"/>
    <n v="0"/>
    <n v="0"/>
    <n v="0"/>
    <n v="0"/>
    <n v="0"/>
    <n v="0"/>
    <n v="0"/>
    <n v="110000"/>
    <n v="1"/>
    <n v="2.75"/>
    <n v="0"/>
    <n v="0"/>
    <n v="0"/>
    <n v="0"/>
    <n v="110000"/>
    <n v="0"/>
    <n v="0"/>
    <n v="0"/>
    <n v="0"/>
    <n v="0"/>
    <n v="0"/>
  </r>
  <r>
    <s v="KAYNES TECHNOLOGY INDIA LIMITED"/>
    <d v="2025-11-07T00:00:00"/>
    <s v="3271308737"/>
    <x v="90"/>
    <x v="90"/>
    <s v="NOS"/>
    <s v="ZROH"/>
    <s v="RM0026"/>
    <n v="39600"/>
    <n v="1268216.29"/>
    <n v="39600"/>
    <n v="39600"/>
    <d v="2025-11-07T00:00:00"/>
    <n v="1184832"/>
    <s v="RV"/>
    <s v="Billing doc.transfer"/>
    <s v="06"/>
    <s v="Raw Material"/>
    <s v="RM-Eletro-PCB"/>
    <s v="Raw Material"/>
    <b v="0"/>
    <n v="1184832"/>
    <n v="1"/>
    <s v="November-25"/>
    <n v="29.92"/>
    <n v="39600"/>
    <n v="0"/>
    <n v="0"/>
    <n v="0"/>
    <n v="0"/>
    <n v="0"/>
    <n v="0"/>
    <n v="0"/>
    <n v="0"/>
    <n v="0"/>
    <n v="0"/>
    <n v="0"/>
    <n v="1268216.29"/>
    <n v="1"/>
    <n v="32.025663888888893"/>
    <n v="0"/>
    <n v="0"/>
    <n v="0"/>
    <n v="0"/>
    <n v="1268216.29"/>
    <n v="0"/>
    <n v="0"/>
    <n v="0"/>
    <n v="0"/>
    <n v="0"/>
    <n v="0"/>
  </r>
  <r>
    <s v="KAYNES TECHNOLOGY INDIA LIMITED"/>
    <d v="2025-11-07T00:00:00"/>
    <s v="3271308737"/>
    <x v="91"/>
    <x v="91"/>
    <s v="NOS"/>
    <s v="ZROH"/>
    <s v="L002"/>
    <n v="5000"/>
    <n v="18750"/>
    <n v="5000"/>
    <n v="5000"/>
    <d v="2025-11-07T00:00:00"/>
    <n v="18750"/>
    <s v="RV"/>
    <s v="Billing doc.transfer"/>
    <s v="06"/>
    <s v="Raw Material"/>
    <s v="Raw Materials"/>
    <s v="Raw Material"/>
    <b v="0"/>
    <n v="18750"/>
    <n v="1"/>
    <s v="November-25"/>
    <n v="3.75"/>
    <n v="5000"/>
    <n v="0"/>
    <n v="0"/>
    <n v="0"/>
    <n v="0"/>
    <n v="0"/>
    <n v="0"/>
    <n v="0"/>
    <n v="0"/>
    <n v="0"/>
    <n v="0"/>
    <n v="0"/>
    <n v="18750"/>
    <n v="1"/>
    <n v="3.75"/>
    <n v="0"/>
    <n v="0"/>
    <n v="0"/>
    <n v="0"/>
    <n v="18750"/>
    <n v="0"/>
    <n v="0"/>
    <n v="0"/>
    <n v="0"/>
    <n v="0"/>
    <n v="0"/>
  </r>
  <r>
    <s v="KAYNES TECHNOLOGY INDIA LIMITED"/>
    <d v="2025-11-07T00:00:00"/>
    <s v="3271308737"/>
    <x v="92"/>
    <x v="62"/>
    <s v="NOS"/>
    <s v="ZROH"/>
    <s v="RM0001"/>
    <n v="20000"/>
    <n v="7400"/>
    <n v="20000"/>
    <n v="20000"/>
    <d v="2025-11-07T00:00:00"/>
    <n v="7400"/>
    <s v="RV"/>
    <s v="Billing doc.transfer"/>
    <s v="06"/>
    <s v="Raw Material"/>
    <s v="RM-Eletro-Capacitor"/>
    <s v="Raw Material"/>
    <b v="0"/>
    <n v="7400"/>
    <n v="1"/>
    <s v="November-25"/>
    <n v="0.37"/>
    <n v="20000"/>
    <n v="0"/>
    <n v="0"/>
    <n v="0"/>
    <n v="0"/>
    <n v="0"/>
    <n v="0"/>
    <n v="0"/>
    <n v="0"/>
    <n v="0"/>
    <n v="0"/>
    <n v="0"/>
    <n v="7400"/>
    <n v="1"/>
    <n v="0.37"/>
    <n v="0"/>
    <n v="0"/>
    <n v="0"/>
    <n v="0"/>
    <n v="7400"/>
    <n v="0"/>
    <n v="0"/>
    <n v="0"/>
    <n v="0"/>
    <n v="0"/>
    <n v="0"/>
  </r>
  <r>
    <s v="KAYNES TECHNOLOGY INDIA LIMITED"/>
    <d v="2025-11-07T00:00:00"/>
    <s v="3271308794"/>
    <x v="52"/>
    <x v="52"/>
    <s v="NOS"/>
    <s v="ZROH"/>
    <s v="RM0009"/>
    <n v="1200"/>
    <n v="9233.2199999999993"/>
    <n v="1200"/>
    <n v="1200"/>
    <d v="2025-11-07T00:00:00"/>
    <n v="7956"/>
    <s v="RV"/>
    <s v="Billing doc.transfer"/>
    <s v="06"/>
    <s v="Raw Material"/>
    <s v="RM-Mech. Accessories"/>
    <s v="Raw Material"/>
    <b v="0"/>
    <n v="7956"/>
    <n v="1"/>
    <s v="November-25"/>
    <n v="6.63"/>
    <n v="1200"/>
    <n v="0"/>
    <n v="0"/>
    <n v="0"/>
    <n v="0"/>
    <n v="0"/>
    <n v="0"/>
    <n v="0"/>
    <n v="0"/>
    <n v="0"/>
    <n v="0"/>
    <n v="0"/>
    <n v="9233.2199999999993"/>
    <n v="1"/>
    <n v="7.6943499999999991"/>
    <n v="0"/>
    <n v="0"/>
    <n v="0"/>
    <n v="0"/>
    <n v="9233.2199999999993"/>
    <n v="0"/>
    <n v="0"/>
    <n v="0"/>
    <n v="0"/>
    <n v="0"/>
    <n v="0"/>
  </r>
  <r>
    <s v="KAYNES TECHNOLOGY INDIA LIMITED"/>
    <d v="2025-11-07T00:00:00"/>
    <s v="3271308794"/>
    <x v="44"/>
    <x v="44"/>
    <s v="NOS"/>
    <s v="ZROH"/>
    <s v="L002"/>
    <n v="3000"/>
    <n v="1503.83"/>
    <n v="3000"/>
    <n v="3000"/>
    <d v="2025-11-07T00:00:00"/>
    <n v="1680"/>
    <s v="RV"/>
    <s v="Billing doc.transfer"/>
    <s v="06"/>
    <s v="Raw Material"/>
    <s v="Raw Materials"/>
    <s v="Raw Material"/>
    <b v="0"/>
    <n v="1680"/>
    <n v="1"/>
    <s v="November-25"/>
    <n v="0.56000000000000005"/>
    <n v="3000"/>
    <n v="0"/>
    <n v="0"/>
    <n v="0"/>
    <n v="0"/>
    <n v="0"/>
    <n v="0"/>
    <n v="0"/>
    <n v="0"/>
    <n v="0"/>
    <n v="0"/>
    <n v="0"/>
    <n v="1503.83"/>
    <n v="1"/>
    <n v="0.50127666666666659"/>
    <n v="0"/>
    <n v="0"/>
    <n v="0"/>
    <n v="0"/>
    <n v="1503.83"/>
    <n v="0"/>
    <n v="0"/>
    <n v="0"/>
    <n v="0"/>
    <n v="0"/>
    <n v="0"/>
  </r>
  <r>
    <s v="KAYNES TECHNOLOGY INDIA LIMITED"/>
    <d v="2025-11-07T00:00:00"/>
    <s v="3271308794"/>
    <x v="93"/>
    <x v="92"/>
    <s v="NOS"/>
    <s v="ZROH"/>
    <s v="RM0004"/>
    <n v="7500"/>
    <n v="3732.29"/>
    <n v="7500"/>
    <n v="7500"/>
    <d v="2025-11-07T00:00:00"/>
    <n v="4050"/>
    <s v="RV"/>
    <s v="Billing doc.transfer"/>
    <s v="06"/>
    <s v="Raw Material"/>
    <s v="RM-Eletro-Diodes"/>
    <s v="Raw Material"/>
    <b v="0"/>
    <n v="4050"/>
    <n v="1"/>
    <s v="November-25"/>
    <n v="0.54"/>
    <n v="7500"/>
    <n v="0"/>
    <n v="0"/>
    <n v="0"/>
    <n v="0"/>
    <n v="0"/>
    <n v="0"/>
    <n v="0"/>
    <n v="0"/>
    <n v="0"/>
    <n v="0"/>
    <n v="0"/>
    <n v="3732.29"/>
    <n v="1"/>
    <n v="0.49763866666666667"/>
    <n v="0"/>
    <n v="0"/>
    <n v="0"/>
    <n v="0"/>
    <n v="3732.29"/>
    <n v="0"/>
    <n v="0"/>
    <n v="0"/>
    <n v="0"/>
    <n v="0"/>
    <n v="0"/>
  </r>
  <r>
    <s v="KAYNES TECHNOLOGY INDIA LIMITED"/>
    <d v="2025-11-07T00:00:00"/>
    <s v="3271308794"/>
    <x v="94"/>
    <x v="93"/>
    <s v="NOS"/>
    <s v="ZROH"/>
    <s v="RM0007"/>
    <n v="4000"/>
    <n v="3200"/>
    <n v="4000"/>
    <n v="4000"/>
    <d v="2025-11-07T00:00:00"/>
    <n v="3680"/>
    <s v="RV"/>
    <s v="Billing doc.transfer"/>
    <s v="06"/>
    <s v="Raw Material"/>
    <s v="RM-Eletro-Resistor"/>
    <s v="Raw Material"/>
    <b v="0"/>
    <n v="3680"/>
    <n v="1"/>
    <s v="November-25"/>
    <n v="0.92"/>
    <n v="4000"/>
    <n v="0"/>
    <n v="0"/>
    <n v="0"/>
    <n v="0"/>
    <n v="0"/>
    <n v="0"/>
    <n v="0"/>
    <n v="0"/>
    <n v="0"/>
    <n v="0"/>
    <n v="0"/>
    <n v="3200"/>
    <n v="1"/>
    <n v="0.8"/>
    <n v="0"/>
    <n v="0"/>
    <n v="0"/>
    <n v="0"/>
    <n v="3200"/>
    <n v="0"/>
    <n v="0"/>
    <n v="0"/>
    <n v="0"/>
    <n v="0"/>
    <n v="0"/>
  </r>
  <r>
    <s v="KAYNES TECHNOLOGY INDIA LIMITED"/>
    <d v="2025-11-07T00:00:00"/>
    <s v="3271308794"/>
    <x v="95"/>
    <x v="94"/>
    <s v="NOS"/>
    <s v="ZROH"/>
    <s v="RM0004"/>
    <n v="3000"/>
    <n v="8153.23"/>
    <n v="3000"/>
    <n v="3000"/>
    <d v="2025-11-07T00:00:00"/>
    <n v="8370"/>
    <s v="RV"/>
    <s v="Billing doc.transfer"/>
    <s v="06"/>
    <s v="Raw Material"/>
    <s v="RM-Eletro-Diodes"/>
    <s v="Raw Material"/>
    <b v="0"/>
    <n v="8370"/>
    <n v="1"/>
    <s v="November-25"/>
    <n v="2.79"/>
    <n v="3000"/>
    <n v="0"/>
    <n v="0"/>
    <n v="0"/>
    <n v="0"/>
    <n v="0"/>
    <n v="0"/>
    <n v="0"/>
    <n v="0"/>
    <n v="0"/>
    <n v="0"/>
    <n v="0"/>
    <n v="8153.23"/>
    <n v="1"/>
    <n v="2.7177433333333334"/>
    <n v="0"/>
    <n v="0"/>
    <n v="0"/>
    <n v="0"/>
    <n v="8153.23"/>
    <n v="0"/>
    <n v="0"/>
    <n v="0"/>
    <n v="0"/>
    <n v="0"/>
    <n v="0"/>
  </r>
  <r>
    <s v="KAYNES TECHNOLOGY INDIA LIMITED"/>
    <d v="2025-11-07T00:00:00"/>
    <s v="3271308794"/>
    <x v="96"/>
    <x v="95"/>
    <s v="NOS"/>
    <s v="ZROH"/>
    <s v="RM0009"/>
    <n v="4000"/>
    <n v="313.95999999999998"/>
    <n v="4000"/>
    <n v="4000"/>
    <d v="2025-11-07T00:00:00"/>
    <n v="440"/>
    <s v="RV"/>
    <s v="Billing doc.transfer"/>
    <s v="06"/>
    <s v="Raw Material"/>
    <s v="RM-Mech. Accessories"/>
    <s v="Raw Material"/>
    <b v="0"/>
    <n v="440"/>
    <n v="1"/>
    <s v="November-25"/>
    <n v="0.11"/>
    <n v="4000"/>
    <n v="0"/>
    <n v="0"/>
    <n v="0"/>
    <n v="0"/>
    <n v="0"/>
    <n v="0"/>
    <n v="0"/>
    <n v="0"/>
    <n v="0"/>
    <n v="0"/>
    <n v="0"/>
    <n v="313.95999999999998"/>
    <n v="1"/>
    <n v="7.848999999999999E-2"/>
    <n v="0"/>
    <n v="0"/>
    <n v="0"/>
    <n v="0"/>
    <n v="313.95999999999998"/>
    <n v="0"/>
    <n v="0"/>
    <n v="0"/>
    <n v="0"/>
    <n v="0"/>
    <n v="0"/>
  </r>
  <r>
    <s v="KAYNES TECHNOLOGY INDIA LIMITED"/>
    <d v="2025-11-07T00:00:00"/>
    <s v="3271308794"/>
    <x v="97"/>
    <x v="96"/>
    <s v="NOS"/>
    <s v="ZROH"/>
    <s v="RM0009"/>
    <n v="4000"/>
    <n v="519.48"/>
    <n v="4000"/>
    <n v="4000"/>
    <d v="2025-11-07T00:00:00"/>
    <n v="520"/>
    <s v="RV"/>
    <s v="Billing doc.transfer"/>
    <s v="06"/>
    <s v="Raw Material"/>
    <s v="RM-Mech. Accessories"/>
    <s v="Raw Material"/>
    <b v="0"/>
    <n v="520"/>
    <n v="1"/>
    <s v="November-25"/>
    <n v="0.13"/>
    <n v="4000"/>
    <n v="0"/>
    <n v="0"/>
    <n v="0"/>
    <n v="0"/>
    <n v="0"/>
    <n v="0"/>
    <n v="0"/>
    <n v="0"/>
    <n v="0"/>
    <n v="0"/>
    <n v="0"/>
    <n v="519.48"/>
    <n v="1"/>
    <n v="0.12987000000000001"/>
    <n v="0"/>
    <n v="0"/>
    <n v="0"/>
    <n v="0"/>
    <n v="519.48"/>
    <n v="0"/>
    <n v="0"/>
    <n v="0"/>
    <n v="0"/>
    <n v="0"/>
    <n v="0"/>
  </r>
  <r>
    <s v="KAYNES TECHNOLOGY INDIA LIMITED"/>
    <d v="2025-11-07T00:00:00"/>
    <s v="3271308794"/>
    <x v="98"/>
    <x v="97"/>
    <s v="NOS"/>
    <s v="ZROH"/>
    <s v="RM0009"/>
    <n v="2500"/>
    <n v="24038.55"/>
    <n v="2500"/>
    <n v="2500"/>
    <d v="2025-11-07T00:00:00"/>
    <n v="25175"/>
    <s v="RV"/>
    <s v="Billing doc.transfer"/>
    <s v="06"/>
    <s v="Raw Material"/>
    <s v="RM-Mech. Accessories"/>
    <s v="Raw Material"/>
    <b v="0"/>
    <n v="25175"/>
    <n v="1"/>
    <s v="November-25"/>
    <n v="10.07"/>
    <n v="2500"/>
    <n v="0"/>
    <n v="0"/>
    <n v="0"/>
    <n v="0"/>
    <n v="0"/>
    <n v="0"/>
    <n v="0"/>
    <n v="0"/>
    <n v="0"/>
    <n v="0"/>
    <n v="0"/>
    <n v="24038.55"/>
    <n v="1"/>
    <n v="9.6154200000000003"/>
    <n v="0"/>
    <n v="0"/>
    <n v="0"/>
    <n v="0"/>
    <n v="24038.55"/>
    <n v="0"/>
    <n v="0"/>
    <n v="0"/>
    <n v="0"/>
    <n v="0"/>
    <n v="0"/>
  </r>
  <r>
    <s v="KAYNES TECHNOLOGY INDIA LIMITED"/>
    <d v="2025-11-07T00:00:00"/>
    <s v="3271308794"/>
    <x v="99"/>
    <x v="98"/>
    <s v="NOS"/>
    <s v="ZROH"/>
    <s v="RM0009"/>
    <n v="4000"/>
    <n v="16565.82"/>
    <n v="4000"/>
    <n v="4000"/>
    <d v="2025-11-07T00:00:00"/>
    <n v="16480"/>
    <s v="RV"/>
    <s v="Billing doc.transfer"/>
    <s v="06"/>
    <s v="Raw Material"/>
    <s v="RM-Mech. Accessories"/>
    <s v="Raw Material"/>
    <b v="0"/>
    <n v="16480"/>
    <n v="1"/>
    <s v="November-25"/>
    <n v="4.12"/>
    <n v="4000"/>
    <n v="0"/>
    <n v="0"/>
    <n v="0"/>
    <n v="0"/>
    <n v="0"/>
    <n v="0"/>
    <n v="0"/>
    <n v="0"/>
    <n v="0"/>
    <n v="0"/>
    <n v="0"/>
    <n v="16565.82"/>
    <n v="1"/>
    <n v="4.1414549999999997"/>
    <n v="0"/>
    <n v="0"/>
    <n v="0"/>
    <n v="0"/>
    <n v="16565.82"/>
    <n v="0"/>
    <n v="0"/>
    <n v="0"/>
    <n v="0"/>
    <n v="0"/>
    <n v="0"/>
  </r>
  <r>
    <s v="KAYNES TECHNOLOGY INDIA LIMITED"/>
    <d v="2025-11-07T00:00:00"/>
    <s v="3271308794"/>
    <x v="100"/>
    <x v="99"/>
    <s v="NOS"/>
    <s v="ZROH"/>
    <s v="RM0009"/>
    <n v="3000"/>
    <n v="147650.39000000001"/>
    <n v="3000"/>
    <n v="3000"/>
    <d v="2025-11-07T00:00:00"/>
    <n v="159210"/>
    <s v="RV"/>
    <s v="Billing doc.transfer"/>
    <s v="06"/>
    <s v="Raw Material"/>
    <s v="RM-Mech. Accessories"/>
    <s v="Raw Material"/>
    <b v="0"/>
    <n v="159210"/>
    <n v="1"/>
    <s v="November-25"/>
    <n v="53.07"/>
    <n v="3000"/>
    <n v="0"/>
    <n v="0"/>
    <n v="0"/>
    <n v="0"/>
    <n v="0"/>
    <n v="0"/>
    <n v="0"/>
    <n v="0"/>
    <n v="0"/>
    <n v="0"/>
    <n v="0"/>
    <n v="147650.39000000001"/>
    <n v="1"/>
    <n v="49.216796666666674"/>
    <n v="0"/>
    <n v="0"/>
    <n v="0"/>
    <n v="0"/>
    <n v="147650.39000000001"/>
    <n v="0"/>
    <n v="0"/>
    <n v="0"/>
    <n v="0"/>
    <n v="0"/>
    <n v="0"/>
  </r>
  <r>
    <s v="GODREJ &amp; BOYCE MFG. CO. LTD  MOHALI"/>
    <d v="2025-11-06T00:00:00"/>
    <s v="3271308164"/>
    <x v="1"/>
    <x v="1"/>
    <s v="NOS"/>
    <s v="ZFG1"/>
    <s v="FG0011"/>
    <n v="5000"/>
    <n v="2306850"/>
    <n v="5000"/>
    <n v="5000"/>
    <d v="2025-11-06T00:00:00"/>
    <n v="3296550"/>
    <s v="RV"/>
    <s v="Billing doc.transfer"/>
    <s v="01"/>
    <s v="Finished Goods"/>
    <s v="FG-PCB-Ref"/>
    <s v="FG-PCB-Ref"/>
    <b v="0"/>
    <n v="988500"/>
    <n v="0.29985894344087"/>
    <s v="November-25"/>
    <n v="659.31"/>
    <n v="5000"/>
    <n v="461.37"/>
    <n v="401.59000000000003"/>
    <n v="28.32"/>
    <n v="0.24"/>
    <n v="31.22"/>
    <n v="0.23999999999997357"/>
    <n v="2308050"/>
    <n v="2007950.0000000002"/>
    <n v="141600"/>
    <n v="1200"/>
    <n v="157300"/>
    <n v="-2.3283064365386963E-10"/>
    <n v="0.29985894344087005"/>
    <n v="461.37"/>
    <n v="1199.9999999997672"/>
    <n v="2.3199999999999998"/>
    <n v="20.59"/>
    <n v="8.31"/>
    <n v="2306850"/>
    <n v="141600"/>
    <n v="11600"/>
    <n v="102950"/>
    <n v="41550"/>
    <n v="1200"/>
    <n v="0"/>
  </r>
  <r>
    <s v="Atomberg Technologies Private Limit"/>
    <d v="2025-11-06T00:00:00"/>
    <s v="3271308126"/>
    <x v="18"/>
    <x v="18"/>
    <s v="NOS"/>
    <s v="ZSFG"/>
    <s v="SF0045"/>
    <n v="1491"/>
    <n v="284736.27"/>
    <n v="1491"/>
    <n v="1491"/>
    <d v="2025-11-06T00:00:00"/>
    <n v="309770.15999999997"/>
    <s v="RV"/>
    <s v="Billing doc.transfer"/>
    <s v="01"/>
    <s v="Semi-Finished Goods"/>
    <s v="SFG-GV5 Stator"/>
    <s v="Sub Ass.-Mech Stator"/>
    <b v="0"/>
    <n v="25033.890000000014"/>
    <n v="8.0814401232191038E-2"/>
    <s v="November-25"/>
    <n v="207.76"/>
    <n v="1491"/>
    <n v="190.96999999999997"/>
    <n v="187.51999999999998"/>
    <n v="1.5"/>
    <n v="0"/>
    <n v="1.95"/>
    <n v="-1.1324274851176597E-14"/>
    <n v="284736.26999999996"/>
    <n v="279592.31999999995"/>
    <n v="2236.5"/>
    <n v="0"/>
    <n v="2907.45"/>
    <n v="7.0031092036515474E-11"/>
    <n v="8.081440123219108E-2"/>
    <n v="190.97"/>
    <n v="1.1823431123048067E-11"/>
    <n v="0.05"/>
    <n v="0.4"/>
    <n v="1.5"/>
    <n v="284736.27"/>
    <n v="2236.5"/>
    <n v="74.55"/>
    <n v="596.4"/>
    <n v="2236.5"/>
    <n v="0"/>
    <n v="0"/>
  </r>
  <r>
    <s v="Atomberg Technologies Private Limit"/>
    <d v="2025-11-06T00:00:00"/>
    <s v="3271308159"/>
    <x v="2"/>
    <x v="2"/>
    <s v="NOS"/>
    <s v="ZSFG"/>
    <s v="SF0045"/>
    <n v="2128"/>
    <n v="314241.76"/>
    <n v="2128"/>
    <n v="2128"/>
    <d v="2025-11-06T00:00:00"/>
    <n v="346736.32"/>
    <s v="RV"/>
    <s v="Billing doc.transfer"/>
    <s v="01"/>
    <s v="Semi-Finished Goods"/>
    <s v="SFG-GV5 Stator"/>
    <s v="Sub Ass.-Mech Stator"/>
    <b v="0"/>
    <n v="32494.560000000114"/>
    <n v="9.3715478090094839E-2"/>
    <s v="November-25"/>
    <n v="162.94"/>
    <n v="2128"/>
    <n v="147.66999999999996"/>
    <n v="144.21999999999997"/>
    <n v="1.5"/>
    <n v="0"/>
    <n v="1.95"/>
    <n v="-1.1324274851176597E-14"/>
    <n v="314241.75999999989"/>
    <n v="306900.15999999992"/>
    <n v="3192"/>
    <n v="0"/>
    <n v="4149.5999999999995"/>
    <n v="9.3677954282611609E-11"/>
    <n v="9.3715478090094839E-2"/>
    <n v="147.67000000000002"/>
    <n v="-2.2737367544323206E-11"/>
    <n v="0.05"/>
    <n v="0.4"/>
    <n v="1.5"/>
    <n v="314241.76"/>
    <n v="3192"/>
    <n v="106.4"/>
    <n v="851.2"/>
    <n v="3192"/>
    <n v="0"/>
    <n v="0"/>
  </r>
  <r>
    <s v="Atomberg Technologies Private Limit"/>
    <d v="2025-11-06T00:00:00"/>
    <s v="3271308126"/>
    <x v="2"/>
    <x v="2"/>
    <s v="NOS"/>
    <s v="ZSFG"/>
    <s v="SF0045"/>
    <n v="3248"/>
    <n v="479632.16"/>
    <n v="3248"/>
    <n v="3248"/>
    <d v="2025-11-06T00:00:00"/>
    <n v="529229.12"/>
    <s v="RV"/>
    <s v="Billing doc.transfer"/>
    <s v="01"/>
    <s v="Semi-Finished Goods"/>
    <s v="SFG-GV5 Stator"/>
    <s v="Sub Ass.-Mech Stator"/>
    <b v="0"/>
    <n v="49596.960000000137"/>
    <n v="9.371547809009477E-2"/>
    <s v="November-25"/>
    <n v="162.94"/>
    <n v="3248"/>
    <n v="147.66999999999996"/>
    <n v="144.21999999999997"/>
    <n v="1.5"/>
    <n v="0"/>
    <n v="1.95"/>
    <n v="-1.1324274851176597E-14"/>
    <n v="479632.15999999986"/>
    <n v="468426.55999999988"/>
    <n v="4872"/>
    <n v="0"/>
    <n v="6333.5999999999995"/>
    <n v="9.3677954282611609E-11"/>
    <n v="9.3715478090094728E-2"/>
    <n v="147.66999999999999"/>
    <n v="-2.2737367544323206E-11"/>
    <n v="0.05"/>
    <n v="0.4"/>
    <n v="1.5"/>
    <n v="479632.16"/>
    <n v="4872"/>
    <n v="162.4"/>
    <n v="1299.2"/>
    <n v="4872"/>
    <n v="0"/>
    <n v="0"/>
  </r>
  <r>
    <s v="Atomberg Technologies Private Limit"/>
    <d v="2025-11-06T00:00:00"/>
    <s v="3271308117"/>
    <x v="15"/>
    <x v="15"/>
    <s v="NOS"/>
    <s v="ZFG1"/>
    <s v="FG0010"/>
    <n v="1930"/>
    <n v="813263.4"/>
    <n v="1930"/>
    <n v="1930"/>
    <d v="2025-11-06T00:00:00"/>
    <n v="932498.8"/>
    <s v="RV"/>
    <s v="Billing doc.transfer"/>
    <s v="01"/>
    <s v="Finished Goods"/>
    <s v="FG-PCB-CF"/>
    <s v="FG-PCB-CF"/>
    <b v="0"/>
    <n v="118733.60000000033"/>
    <n v="0.12732842122692309"/>
    <s v="November-25"/>
    <n v="483.16"/>
    <n v="1930"/>
    <n v="421.37999999999982"/>
    <n v="373.01999999999981"/>
    <n v="22"/>
    <n v="0.26"/>
    <n v="26.1"/>
    <n v="0.26000000000001222"/>
    <n v="813765.19999999972"/>
    <n v="719928.59999999963"/>
    <n v="42460"/>
    <n v="501.8"/>
    <n v="50874.8"/>
    <n v="3.92901711165905E-10"/>
    <n v="0.12732842122692312"/>
    <n v="421.38"/>
    <n v="501.80000000009022"/>
    <n v="1.8"/>
    <n v="15.99"/>
    <n v="8.31"/>
    <n v="813263.4"/>
    <n v="42460"/>
    <n v="3474"/>
    <n v="30860.7"/>
    <n v="16038.300000000001"/>
    <n v="501.8"/>
    <n v="0"/>
  </r>
  <r>
    <s v="Hinjewadi RnD"/>
    <d v="2025-11-06T00:00:00"/>
    <s v="3271308143"/>
    <x v="5"/>
    <x v="5"/>
    <s v="NOS"/>
    <s v="ZFG1"/>
    <s v="FG0010"/>
    <n v="12"/>
    <n v="3925.56"/>
    <n v="12"/>
    <n v="12"/>
    <d v="2025-11-06T00:00:00"/>
    <n v="4092.84"/>
    <s v="RV"/>
    <s v="Billing doc.transfer"/>
    <s v="03"/>
    <s v="Finished Goods"/>
    <s v="FG-PCB-CF"/>
    <s v="FG-PCB-CF"/>
    <b v="0"/>
    <n v="165.24000000000024"/>
    <n v="4.0372943970446003E-2"/>
    <s v="November-25"/>
    <n v="341.07"/>
    <n v="12"/>
    <n v="327.13"/>
    <n v="278.14"/>
    <n v="22.400000000000002"/>
    <n v="0.17"/>
    <n v="26.42"/>
    <n v="0.17000000000000526"/>
    <n v="3927.6"/>
    <n v="3337.68"/>
    <n v="268.8"/>
    <n v="2.04"/>
    <n v="319.08000000000004"/>
    <n v="0"/>
    <n v="4.0372943970445996E-2"/>
    <n v="327.13"/>
    <n v="2.0400000000000205"/>
    <n v="1.8299999999999998"/>
    <n v="16.28"/>
    <n v="8.31"/>
    <n v="3925.56"/>
    <n v="268.8"/>
    <n v="21.959999999999997"/>
    <n v="195.36"/>
    <n v="99.72"/>
    <n v="2.04"/>
    <n v="0"/>
  </r>
  <r>
    <s v="Hinjewadi RnD"/>
    <d v="2025-11-06T00:00:00"/>
    <s v="3271308121"/>
    <x v="5"/>
    <x v="5"/>
    <s v="NOS"/>
    <s v="ZFG1"/>
    <s v="FG0010"/>
    <n v="35"/>
    <n v="11449.55"/>
    <n v="35"/>
    <n v="35"/>
    <d v="2025-11-06T00:00:00"/>
    <n v="11937.45"/>
    <s v="RV"/>
    <s v="Billing doc.transfer"/>
    <s v="03"/>
    <s v="Finished Goods"/>
    <s v="FG-PCB-CF"/>
    <s v="FG-PCB-CF"/>
    <b v="0"/>
    <n v="481.95000000000073"/>
    <n v="4.037294397044601E-2"/>
    <s v="November-25"/>
    <n v="341.07"/>
    <n v="35"/>
    <n v="327.13"/>
    <n v="278.14"/>
    <n v="22.400000000000002"/>
    <n v="0.17"/>
    <n v="26.42"/>
    <n v="0.17000000000000526"/>
    <n v="11455.5"/>
    <n v="9734.9"/>
    <n v="784.00000000000011"/>
    <n v="5.95"/>
    <n v="930.65000000000009"/>
    <n v="0"/>
    <n v="4.0372943970445996E-2"/>
    <n v="327.13"/>
    <n v="5.9500000000001592"/>
    <n v="1.8299999999999998"/>
    <n v="16.28"/>
    <n v="8.31"/>
    <n v="11449.55"/>
    <n v="784.00000000000011"/>
    <n v="64.05"/>
    <n v="569.80000000000007"/>
    <n v="290.85000000000002"/>
    <n v="5.95"/>
    <n v="0"/>
  </r>
  <r>
    <s v="KAYNES TECHNOLOGY INDIA LIMITED"/>
    <d v="2025-11-06T00:00:00"/>
    <s v="3271308358"/>
    <x v="52"/>
    <x v="52"/>
    <s v="NOS"/>
    <s v="ZROH"/>
    <s v="RM0009"/>
    <n v="1207"/>
    <n v="9930.7800000000007"/>
    <n v="1207"/>
    <n v="1207"/>
    <d v="2025-11-06T00:00:00"/>
    <n v="8002.41"/>
    <s v="RV"/>
    <s v="Billing doc.transfer"/>
    <s v="06"/>
    <s v="Raw Material"/>
    <s v="RM-Mech. Accessories"/>
    <s v="Raw Material"/>
    <b v="0"/>
    <n v="8002.41"/>
    <n v="1"/>
    <s v="November-25"/>
    <n v="6.63"/>
    <n v="1207"/>
    <n v="0"/>
    <n v="0"/>
    <n v="0"/>
    <n v="0"/>
    <n v="0"/>
    <n v="0"/>
    <n v="0"/>
    <n v="0"/>
    <n v="0"/>
    <n v="0"/>
    <n v="0"/>
    <n v="9930.7800000000007"/>
    <n v="1"/>
    <n v="8.2276553438276725"/>
    <n v="0"/>
    <n v="0"/>
    <n v="0"/>
    <n v="0"/>
    <n v="9930.7800000000007"/>
    <n v="0"/>
    <n v="0"/>
    <n v="0"/>
    <n v="0"/>
    <n v="0"/>
    <n v="0"/>
  </r>
  <r>
    <s v="GODREJ &amp; BOYCE MFG. CO. LTD  MOHALI"/>
    <d v="2025-11-06T00:00:00"/>
    <s v="3277064031"/>
    <x v="41"/>
    <x v="41"/>
    <s v="NOS"/>
    <s v="ZSFG"/>
    <s v="SF0056"/>
    <n v="-5"/>
    <n v="-2659.55"/>
    <n v="-5"/>
    <n v="-5"/>
    <d v="2025-11-06T00:00:00"/>
    <n v="-2834.4"/>
    <s v="RV"/>
    <s v="Billing doc.transfer"/>
    <s v="01"/>
    <s v="Semi-Finished Goods"/>
    <s v="SFG-Ref Stator"/>
    <s v="SFG-Ref Stator"/>
    <b v="0"/>
    <n v="-174.84999999999991"/>
    <n v="6.1688540784645744E-2"/>
    <s v="November-25"/>
    <n v="566.88"/>
    <n v="-5"/>
    <n v="531.91000000000008"/>
    <n v="528.46"/>
    <n v="1.5"/>
    <n v="0"/>
    <n v="1.95"/>
    <n v="4.5519144009631418E-14"/>
    <n v="-2659.55"/>
    <n v="-2642.3"/>
    <n v="-7.5"/>
    <n v="0"/>
    <n v="-9.75"/>
    <n v="0"/>
    <n v="6.1688540784645696E-2"/>
    <n v="531.91000000000008"/>
    <n v="0"/>
    <n v="0.05"/>
    <n v="0.4"/>
    <n v="1.5"/>
    <n v="-2659.55"/>
    <n v="-7.5"/>
    <n v="-0.25"/>
    <n v="-2"/>
    <n v="-7.5"/>
    <n v="0"/>
    <n v="0"/>
  </r>
  <r>
    <s v="Atomberg Technologies Private Limit"/>
    <d v="2025-11-05T00:00:00"/>
    <s v="3271307942"/>
    <x v="2"/>
    <x v="2"/>
    <s v="NOS"/>
    <s v="ZSFG"/>
    <s v="SF0045"/>
    <n v="1008"/>
    <n v="148851.35999999999"/>
    <n v="1008"/>
    <n v="1008"/>
    <d v="2025-11-05T00:00:00"/>
    <n v="164243.51999999999"/>
    <s v="RV"/>
    <s v="Billing doc.transfer"/>
    <s v="01"/>
    <s v="Semi-Finished Goods"/>
    <s v="SFG-GV5 Stator"/>
    <s v="Sub Ass.-Mech Stator"/>
    <b v="0"/>
    <n v="15392.160000000003"/>
    <n v="9.3715478090094534E-2"/>
    <s v="November-25"/>
    <n v="162.94"/>
    <n v="1008"/>
    <n v="147.66999999999996"/>
    <n v="144.21999999999997"/>
    <n v="1.5"/>
    <n v="0"/>
    <n v="1.95"/>
    <n v="-1.1324274851176597E-14"/>
    <n v="148851.35999999999"/>
    <n v="145373.75999999998"/>
    <n v="1512"/>
    <n v="0"/>
    <n v="1965.6"/>
    <n v="5.9117155615240335E-12"/>
    <n v="9.3715478090094506E-2"/>
    <n v="147.66999999999999"/>
    <n v="5.9117155615240335E-12"/>
    <n v="0.05"/>
    <n v="0.4"/>
    <n v="1.5"/>
    <n v="148851.35999999999"/>
    <n v="1512"/>
    <n v="50.400000000000006"/>
    <n v="403.20000000000005"/>
    <n v="1512"/>
    <n v="0"/>
    <n v="0"/>
  </r>
  <r>
    <s v="Atomberg Technologies Private Limit"/>
    <d v="2025-11-05T00:00:00"/>
    <s v="3271307847"/>
    <x v="2"/>
    <x v="2"/>
    <s v="NOS"/>
    <s v="ZSFG"/>
    <s v="SF0045"/>
    <n v="2088"/>
    <n v="308334.96000000002"/>
    <n v="2088"/>
    <n v="2088"/>
    <d v="2025-11-05T00:00:00"/>
    <n v="340218.72"/>
    <s v="RV"/>
    <s v="Billing doc.transfer"/>
    <s v="01"/>
    <s v="Semi-Finished Goods"/>
    <s v="SFG-GV5 Stator"/>
    <s v="Sub Ass.-Mech Stator"/>
    <b v="0"/>
    <n v="31883.760000000068"/>
    <n v="9.3715478090094714E-2"/>
    <s v="November-25"/>
    <n v="162.94"/>
    <n v="2088"/>
    <n v="147.66999999999996"/>
    <n v="144.21999999999997"/>
    <n v="1.5"/>
    <n v="0"/>
    <n v="1.95"/>
    <n v="-1.1324274851176597E-14"/>
    <n v="308334.9599999999"/>
    <n v="301131.35999999993"/>
    <n v="3132"/>
    <n v="0"/>
    <n v="4071.6"/>
    <n v="9.3223206931725144E-11"/>
    <n v="9.3715478090094728E-2"/>
    <n v="147.67000000000002"/>
    <n v="-2.319211489520967E-11"/>
    <n v="0.05"/>
    <n v="0.4"/>
    <n v="1.5"/>
    <n v="308334.96000000002"/>
    <n v="3132"/>
    <n v="104.4"/>
    <n v="835.2"/>
    <n v="3132"/>
    <n v="0"/>
    <n v="0"/>
  </r>
  <r>
    <s v="Atomberg Technologies Private Limit"/>
    <d v="2025-11-05T00:00:00"/>
    <s v="3271307930"/>
    <x v="8"/>
    <x v="8"/>
    <s v="NOS"/>
    <s v="ZFG1"/>
    <s v="FG0010"/>
    <n v="360"/>
    <n v="117072"/>
    <n v="360"/>
    <n v="360"/>
    <d v="2025-11-05T00:00:00"/>
    <n v="130881.60000000001"/>
    <s v="RV"/>
    <s v="Billing doc.transfer"/>
    <s v="01"/>
    <s v="Finished Goods"/>
    <s v="FG-PCB-CF"/>
    <s v="FG-PCB-CF"/>
    <b v="0"/>
    <n v="13716.000000000015"/>
    <n v="0.10479700737154814"/>
    <s v="November-25"/>
    <n v="363.56"/>
    <n v="360"/>
    <n v="325.19999999999993"/>
    <n v="271.52999999999997"/>
    <n v="23.84"/>
    <n v="0.26"/>
    <n v="29.569999999999997"/>
    <n v="0.25999999999996248"/>
    <n v="117165.59999999999"/>
    <n v="97750.799999999988"/>
    <n v="8582.4"/>
    <n v="93.600000000000009"/>
    <n v="10738.8"/>
    <n v="0"/>
    <n v="0.10479700737154818"/>
    <n v="325.2"/>
    <n v="93.600000000004002"/>
    <n v="1.9500000000000002"/>
    <n v="17.329999999999998"/>
    <n v="10.29"/>
    <n v="117072"/>
    <n v="8582.4"/>
    <n v="702.00000000000011"/>
    <n v="6238.7999999999993"/>
    <n v="3704.3999999999996"/>
    <n v="93.600000000000009"/>
    <n v="0"/>
  </r>
  <r>
    <s v="Atomberg Technologies Private Limit"/>
    <d v="2025-11-05T00:00:00"/>
    <s v="3271307845"/>
    <x v="8"/>
    <x v="8"/>
    <s v="NOS"/>
    <s v="ZFG1"/>
    <s v="FG0010"/>
    <n v="200"/>
    <n v="65040"/>
    <n v="200"/>
    <n v="200"/>
    <d v="2025-11-05T00:00:00"/>
    <n v="72712"/>
    <s v="RV"/>
    <s v="Billing doc.transfer"/>
    <s v="01"/>
    <s v="Finished Goods"/>
    <s v="FG-PCB-CF"/>
    <s v="FG-PCB-CF"/>
    <b v="0"/>
    <n v="7620.0000000000073"/>
    <n v="0.10479700737154812"/>
    <s v="November-25"/>
    <n v="363.56"/>
    <n v="200"/>
    <n v="325.19999999999993"/>
    <n v="271.52999999999997"/>
    <n v="23.84"/>
    <n v="0.26"/>
    <n v="29.569999999999997"/>
    <n v="0.25999999999996248"/>
    <n v="65091.999999999993"/>
    <n v="54305.999999999993"/>
    <n v="4768"/>
    <n v="52"/>
    <n v="5965.9999999999991"/>
    <n v="8.1854523159563541E-12"/>
    <n v="0.10479700737154818"/>
    <n v="325.2"/>
    <n v="52.000000000000909"/>
    <n v="1.9500000000000002"/>
    <n v="17.329999999999998"/>
    <n v="10.29"/>
    <n v="65040"/>
    <n v="4768"/>
    <n v="390.00000000000006"/>
    <n v="3465.9999999999995"/>
    <n v="2058"/>
    <n v="52"/>
    <n v="0"/>
  </r>
  <r>
    <s v="RONCH POLYMERS PRIVATE LIMITED"/>
    <d v="2025-11-05T00:00:00"/>
    <s v="3271307939"/>
    <x v="59"/>
    <x v="59"/>
    <s v="NOS"/>
    <s v="ZFG1"/>
    <s v="FG0015"/>
    <n v="105"/>
    <n v="47725.65"/>
    <n v="105"/>
    <n v="105"/>
    <d v="2025-11-05T00:00:00"/>
    <n v="43669.5"/>
    <s v="RV"/>
    <s v="Billing doc.transfer"/>
    <s v="06"/>
    <s v="Finished Goods"/>
    <s v="FG-PCB-WP"/>
    <s v="FG-PCB-WP"/>
    <b v="0"/>
    <n v="-4074"/>
    <n v="-9.3291656648232746E-2"/>
    <s v="November-25"/>
    <n v="415.9"/>
    <n v="105"/>
    <n v="454.53000000000009"/>
    <n v="392.59000000000003"/>
    <n v="29.55"/>
    <n v="0.17"/>
    <n v="32.22"/>
    <n v="0.17000000000005855"/>
    <n v="47743.5"/>
    <n v="41221.950000000004"/>
    <n v="3102.75"/>
    <n v="17.850000000000001"/>
    <n v="3400.95"/>
    <n v="0"/>
    <n v="-9.329165664823269E-2"/>
    <n v="454.53000000000003"/>
    <n v="17.849999999995816"/>
    <n v="2.42"/>
    <n v="21.49"/>
    <n v="8.31"/>
    <n v="47725.65"/>
    <n v="3102.75"/>
    <n v="254.1"/>
    <n v="2256.4499999999998"/>
    <n v="872.55000000000007"/>
    <n v="17.850000000000001"/>
    <n v="0"/>
  </r>
  <r>
    <s v="Atomberg Technologies Private Limit"/>
    <d v="2025-11-05T00:00:00"/>
    <s v="3271307846"/>
    <x v="101"/>
    <x v="100"/>
    <s v="NOS"/>
    <s v="ZFG1"/>
    <s v="FG0010"/>
    <n v="380"/>
    <n v="124343.6"/>
    <n v="380"/>
    <n v="380"/>
    <d v="2025-11-05T00:00:00"/>
    <n v="129120.2"/>
    <s v="RV"/>
    <s v="Billing doc.transfer"/>
    <s v="01"/>
    <s v="Finished Goods"/>
    <s v="FG-PCB-CF"/>
    <s v="FG-PCB-CF"/>
    <b v="0"/>
    <n v="4708.199999999968"/>
    <n v="3.6463698166514368E-2"/>
    <s v="November-25"/>
    <n v="339.79"/>
    <n v="380"/>
    <n v="327.23000000000008"/>
    <n v="275.85000000000002"/>
    <n v="23.720000000000002"/>
    <n v="0.17"/>
    <n v="27.49"/>
    <n v="0.17000000000005144"/>
    <n v="124412.00000000003"/>
    <n v="104823.00000000001"/>
    <n v="9013.6"/>
    <n v="64.600000000000009"/>
    <n v="10510.8"/>
    <n v="-3.8000000000083674"/>
    <n v="3.6463698166514402E-2"/>
    <n v="327.22000000000003"/>
    <n v="64.600000000014916"/>
    <n v="1.94"/>
    <n v="17.239999999999998"/>
    <n v="8.31"/>
    <n v="124343.6"/>
    <n v="9013.6"/>
    <n v="737.19999999999993"/>
    <n v="6551.2"/>
    <n v="3157.8"/>
    <n v="64.600000000000009"/>
    <n v="0"/>
  </r>
  <r>
    <s v="Atomberg Technologies Private Limit"/>
    <d v="2025-11-05T00:00:00"/>
    <s v="3271308116"/>
    <x v="3"/>
    <x v="3"/>
    <s v="NOS"/>
    <s v="ZFG1"/>
    <s v="FG0010"/>
    <n v="175"/>
    <n v="112880.25"/>
    <n v="175"/>
    <n v="175"/>
    <d v="2025-11-05T00:00:00"/>
    <n v="127498"/>
    <s v="RV"/>
    <s v="Billing doc.transfer"/>
    <s v="01"/>
    <s v="Finished Goods"/>
    <s v="FG-PCB-CF"/>
    <s v="FG-PCB-CF"/>
    <b v="0"/>
    <n v="14542.500000000058"/>
    <n v="0.11406061271549403"/>
    <s v="November-25"/>
    <n v="728.56"/>
    <n v="175"/>
    <n v="645.02999999999963"/>
    <n v="582.23999999999967"/>
    <n v="29.88"/>
    <n v="0.43"/>
    <n v="32.480000000000004"/>
    <n v="0.42999999999996419"/>
    <n v="112955.49999999994"/>
    <n v="101891.99999999994"/>
    <n v="5229"/>
    <n v="75.25"/>
    <n v="5759.2500000000009"/>
    <n v="5.7298166211694479E-11"/>
    <n v="0.11406061271549406"/>
    <n v="645.03"/>
    <n v="75.249999999999091"/>
    <n v="2.4500000000000002"/>
    <n v="21.72"/>
    <n v="8.31"/>
    <n v="112880.25"/>
    <n v="5229"/>
    <n v="428.75000000000006"/>
    <n v="3801"/>
    <n v="1454.25"/>
    <n v="75.25"/>
    <n v="0"/>
  </r>
  <r>
    <s v="Atomberg Technologies Private Limit"/>
    <d v="2025-11-05T00:00:00"/>
    <s v="3271307929"/>
    <x v="3"/>
    <x v="3"/>
    <s v="NOS"/>
    <s v="ZFG1"/>
    <s v="FG0010"/>
    <n v="245"/>
    <n v="158032.35"/>
    <n v="245"/>
    <n v="245"/>
    <d v="2025-11-05T00:00:00"/>
    <n v="178497.2"/>
    <s v="RV"/>
    <s v="Billing doc.transfer"/>
    <s v="01"/>
    <s v="Finished Goods"/>
    <s v="FG-PCB-CF"/>
    <s v="FG-PCB-CF"/>
    <b v="0"/>
    <n v="20359.500000000058"/>
    <n v="0.11406061271549389"/>
    <s v="November-25"/>
    <n v="728.56000000000006"/>
    <n v="245"/>
    <n v="645.02999999999963"/>
    <n v="582.23999999999967"/>
    <n v="29.88"/>
    <n v="0.43"/>
    <n v="32.480000000000004"/>
    <n v="0.42999999999996419"/>
    <n v="158137.69999999995"/>
    <n v="142648.79999999993"/>
    <n v="7320.5999999999995"/>
    <n v="105.35"/>
    <n v="8062.9500000000016"/>
    <n v="7.4578565545380116E-11"/>
    <n v="0.11406061271549395"/>
    <n v="645.03"/>
    <n v="105.35000000002219"/>
    <n v="2.4500000000000002"/>
    <n v="21.72"/>
    <n v="8.31"/>
    <n v="158032.35"/>
    <n v="7320.5999999999995"/>
    <n v="600.25"/>
    <n v="5321.4"/>
    <n v="2035.95"/>
    <n v="105.35"/>
    <n v="0"/>
  </r>
  <r>
    <s v="Atomberg Technologies Private Limit"/>
    <d v="2025-11-05T00:00:00"/>
    <s v="3271307848"/>
    <x v="3"/>
    <x v="3"/>
    <s v="NOS"/>
    <s v="ZFG1"/>
    <s v="FG0010"/>
    <n v="240"/>
    <n v="154807.20000000001"/>
    <n v="240"/>
    <n v="240"/>
    <d v="2025-11-05T00:00:00"/>
    <n v="174854.39999999999"/>
    <s v="RV"/>
    <s v="Billing doc.transfer"/>
    <s v="01"/>
    <s v="Finished Goods"/>
    <s v="FG-PCB-CF"/>
    <s v="FG-PCB-CF"/>
    <b v="0"/>
    <n v="19944.000000000058"/>
    <n v="0.11406061271549392"/>
    <s v="November-25"/>
    <n v="728.56"/>
    <n v="240"/>
    <n v="645.02999999999963"/>
    <n v="582.23999999999967"/>
    <n v="29.88"/>
    <n v="0.43"/>
    <n v="32.480000000000004"/>
    <n v="0.42999999999996419"/>
    <n v="154910.39999999994"/>
    <n v="139737.59999999992"/>
    <n v="7171.2"/>
    <n v="103.2"/>
    <n v="7898.4000000000005"/>
    <n v="9.276845958083868E-11"/>
    <n v="0.11406061271549395"/>
    <n v="645.03000000000009"/>
    <n v="103.2000000000171"/>
    <n v="2.4500000000000002"/>
    <n v="21.72"/>
    <n v="8.31"/>
    <n v="154807.20000000001"/>
    <n v="7171.2"/>
    <n v="588"/>
    <n v="5212.7999999999993"/>
    <n v="1994.4"/>
    <n v="103.2"/>
    <n v="0"/>
  </r>
  <r>
    <s v="Atomberg Technologies Private Limit"/>
    <d v="2025-11-05T00:00:00"/>
    <s v="3271307929"/>
    <x v="11"/>
    <x v="11"/>
    <s v="NOS"/>
    <s v="ZFG1"/>
    <s v="FG0010"/>
    <n v="1095"/>
    <n v="358207.35"/>
    <n v="1095"/>
    <n v="1095"/>
    <d v="2025-11-05T00:00:00"/>
    <n v="373471.65"/>
    <s v="RV"/>
    <s v="Billing doc.transfer"/>
    <s v="01"/>
    <s v="Finished Goods"/>
    <s v="FG-PCB-CF"/>
    <s v="FG-PCB-CF"/>
    <b v="0"/>
    <n v="15078.149999999965"/>
    <n v="4.037294397044585E-2"/>
    <s v="November-25"/>
    <n v="341.07"/>
    <n v="1095"/>
    <n v="327.13000000000005"/>
    <n v="278.14000000000004"/>
    <n v="22.400000000000002"/>
    <n v="0.17"/>
    <n v="26.42"/>
    <n v="0.17000000000000526"/>
    <n v="358393.50000000006"/>
    <n v="304563.30000000005"/>
    <n v="24528.000000000004"/>
    <n v="186.15"/>
    <n v="29116.050000000003"/>
    <n v="-7.6397554948925972E-11"/>
    <n v="4.0372943970445885E-2"/>
    <n v="327.13"/>
    <n v="186.15000000000509"/>
    <n v="1.8299999999999998"/>
    <n v="16.28"/>
    <n v="8.31"/>
    <n v="358207.35"/>
    <n v="24528.000000000004"/>
    <n v="2003.85"/>
    <n v="17826.600000000002"/>
    <n v="9099.4500000000007"/>
    <n v="186.15"/>
    <n v="0"/>
  </r>
  <r>
    <s v="Atomberg Technologies Private Limit"/>
    <d v="2025-11-05T00:00:00"/>
    <s v="3271307846"/>
    <x v="4"/>
    <x v="4"/>
    <s v="NOS"/>
    <s v="ZFG1"/>
    <s v="FG0010"/>
    <n v="1210"/>
    <n v="509906.1"/>
    <n v="1210"/>
    <n v="1210"/>
    <d v="2025-11-05T00:00:00"/>
    <n v="584623.6"/>
    <s v="RV"/>
    <s v="Billing doc.transfer"/>
    <s v="01"/>
    <s v="Finished Goods"/>
    <s v="FG-PCB-CF"/>
    <s v="FG-PCB-CF"/>
    <b v="0"/>
    <n v="74402.900000000198"/>
    <n v="0.12726632999420517"/>
    <s v="November-25"/>
    <n v="483.15999999999997"/>
    <n v="1210"/>
    <n v="421.40999999999985"/>
    <n v="373.04999999999984"/>
    <n v="22"/>
    <n v="0.26"/>
    <n v="26.1"/>
    <n v="0.26000000000001222"/>
    <n v="510220.69999999978"/>
    <n v="451390.49999999983"/>
    <n v="26620"/>
    <n v="314.60000000000002"/>
    <n v="31895.599999999999"/>
    <n v="1.5279510989785194E-10"/>
    <n v="0.12726632999420517"/>
    <n v="421.40999999999997"/>
    <n v="314.59999999995489"/>
    <n v="1.8"/>
    <n v="15.99"/>
    <n v="8.31"/>
    <n v="509906.1"/>
    <n v="26620"/>
    <n v="2178"/>
    <n v="19347.900000000001"/>
    <n v="10055.1"/>
    <n v="314.60000000000002"/>
    <n v="0"/>
  </r>
  <r>
    <s v="Atomberg Technologies Private Limit"/>
    <d v="2025-11-05T00:00:00"/>
    <s v="3271308116"/>
    <x v="15"/>
    <x v="15"/>
    <s v="NOS"/>
    <s v="ZFG1"/>
    <s v="FG0010"/>
    <n v="360"/>
    <n v="151696.79999999999"/>
    <n v="360"/>
    <n v="360"/>
    <d v="2025-11-05T00:00:00"/>
    <n v="173937.6"/>
    <s v="RV"/>
    <s v="Billing doc.transfer"/>
    <s v="01"/>
    <s v="Finished Goods"/>
    <s v="FG-PCB-CF"/>
    <s v="FG-PCB-CF"/>
    <b v="0"/>
    <n v="22147.20000000007"/>
    <n v="0.12732842122692314"/>
    <s v="November-25"/>
    <n v="483.16"/>
    <n v="360"/>
    <n v="421.37999999999982"/>
    <n v="373.01999999999981"/>
    <n v="22"/>
    <n v="0.26"/>
    <n v="26.1"/>
    <n v="0.26000000000001222"/>
    <n v="151790.39999999994"/>
    <n v="134287.19999999992"/>
    <n v="7920"/>
    <n v="93.600000000000009"/>
    <n v="9489.6"/>
    <n v="6.3664629124104977E-11"/>
    <n v="0.12732842122692312"/>
    <n v="421.38"/>
    <n v="93.600000000011278"/>
    <n v="1.8"/>
    <n v="15.99"/>
    <n v="8.31"/>
    <n v="151696.79999999999"/>
    <n v="7920"/>
    <n v="648"/>
    <n v="5756.4"/>
    <n v="2991.6000000000004"/>
    <n v="93.600000000000009"/>
    <n v="0"/>
  </r>
  <r>
    <s v="Atomberg Technologies Private Limit"/>
    <d v="2025-11-05T00:00:00"/>
    <s v="3271307946"/>
    <x v="15"/>
    <x v="15"/>
    <s v="NOS"/>
    <s v="ZFG1"/>
    <s v="FG0010"/>
    <n v="210"/>
    <n v="88489.8"/>
    <n v="210"/>
    <n v="210"/>
    <d v="2025-11-05T00:00:00"/>
    <n v="101463.6"/>
    <s v="RV"/>
    <s v="Billing doc.transfer"/>
    <s v="01"/>
    <s v="Finished Goods"/>
    <s v="FG-PCB-CF"/>
    <s v="FG-PCB-CF"/>
    <b v="0"/>
    <n v="12919.200000000041"/>
    <n v="0.12732842122692314"/>
    <s v="November-25"/>
    <n v="483.16"/>
    <n v="210"/>
    <n v="421.37999999999982"/>
    <n v="373.01999999999981"/>
    <n v="22"/>
    <n v="0.26"/>
    <n v="26.1"/>
    <n v="0.26000000000001222"/>
    <n v="88544.399999999965"/>
    <n v="78334.199999999953"/>
    <n v="4620"/>
    <n v="54.6"/>
    <n v="5535.6"/>
    <n v="4.9112713895738125E-11"/>
    <n v="0.12732842122692312"/>
    <n v="421.38"/>
    <n v="54.600000000011278"/>
    <n v="1.8"/>
    <n v="15.99"/>
    <n v="8.31"/>
    <n v="88489.8"/>
    <n v="4620"/>
    <n v="378"/>
    <n v="3357.9"/>
    <n v="1745.1000000000001"/>
    <n v="54.6"/>
    <n v="0"/>
  </r>
  <r>
    <s v="Atomberg Technologies Private Limit"/>
    <d v="2025-11-05T00:00:00"/>
    <s v="3271307846"/>
    <x v="5"/>
    <x v="5"/>
    <s v="NOS"/>
    <s v="ZFG1"/>
    <s v="FG0010"/>
    <n v="555"/>
    <n v="181557.15"/>
    <n v="555"/>
    <n v="555"/>
    <d v="2025-11-05T00:00:00"/>
    <n v="189293.85"/>
    <s v="RV"/>
    <s v="Billing doc.transfer"/>
    <s v="01"/>
    <s v="Finished Goods"/>
    <s v="FG-PCB-CF"/>
    <s v="FG-PCB-CF"/>
    <b v="0"/>
    <n v="7642.3500000000058"/>
    <n v="4.0372943970445982E-2"/>
    <s v="November-25"/>
    <n v="341.07"/>
    <n v="555"/>
    <n v="327.13"/>
    <n v="278.14"/>
    <n v="22.400000000000002"/>
    <n v="0.17"/>
    <n v="26.42"/>
    <n v="0.17000000000000526"/>
    <n v="181651.5"/>
    <n v="154367.69999999998"/>
    <n v="12432.000000000002"/>
    <n v="94.350000000000009"/>
    <n v="14757.45"/>
    <n v="0"/>
    <n v="4.0372943970445996E-2"/>
    <n v="327.13"/>
    <n v="94.350000000014916"/>
    <n v="1.8299999999999998"/>
    <n v="16.28"/>
    <n v="8.31"/>
    <n v="181557.15"/>
    <n v="12432.000000000002"/>
    <n v="1015.6499999999999"/>
    <n v="9035.4000000000015"/>
    <n v="4612.05"/>
    <n v="94.350000000000009"/>
    <n v="0"/>
  </r>
  <r>
    <s v="Atomberg Technologies Private Limit"/>
    <d v="2025-11-05T00:00:00"/>
    <s v="3271308116"/>
    <x v="102"/>
    <x v="101"/>
    <s v="NOS"/>
    <s v="ZFG1"/>
    <s v="FG0010"/>
    <n v="490"/>
    <n v="160279"/>
    <n v="490"/>
    <n v="490"/>
    <d v="2025-11-05T00:00:00"/>
    <n v="167124.29999999999"/>
    <s v="RV"/>
    <s v="Billing doc.transfer"/>
    <s v="01"/>
    <s v="Finished Goods"/>
    <s v="FG-PCB-CF"/>
    <s v="FG-PCB-CF"/>
    <b v="0"/>
    <n v="6762.0000000000291"/>
    <n v="4.0460902454041867E-2"/>
    <s v="November-25"/>
    <n v="341.07"/>
    <n v="490"/>
    <n v="327.09999999999991"/>
    <n v="278.1099999999999"/>
    <n v="22.400000000000002"/>
    <n v="0.17"/>
    <n v="26.42"/>
    <n v="0.17000000000000526"/>
    <n v="160362.29999999996"/>
    <n v="136273.89999999997"/>
    <n v="10976.000000000002"/>
    <n v="83.300000000000011"/>
    <n v="13029.1"/>
    <n v="3.2741809263825417E-11"/>
    <n v="4.046090245404188E-2"/>
    <n v="327.10000000000002"/>
    <n v="83.299999999991996"/>
    <n v="1.8299999999999998"/>
    <n v="16.28"/>
    <n v="8.31"/>
    <n v="160279"/>
    <n v="10976.000000000002"/>
    <n v="896.69999999999993"/>
    <n v="7977.2000000000007"/>
    <n v="4071.9"/>
    <n v="83.300000000000011"/>
    <n v="0"/>
  </r>
  <r>
    <s v="Atomberg Technologies Private Limit"/>
    <d v="2025-11-05T00:00:00"/>
    <s v="3277063954"/>
    <x v="103"/>
    <x v="102"/>
    <s v="NOS"/>
    <s v="ZFG1"/>
    <s v="FG0012"/>
    <n v="-4"/>
    <n v="-2787.6"/>
    <n v="-4"/>
    <n v="-4"/>
    <d v="2025-11-05T00:00:00"/>
    <n v="-3448.96"/>
    <s v="RV"/>
    <s v="Billing doc.transfer"/>
    <s v="01"/>
    <s v="Finished Goods"/>
    <s v="FG-PCB-MG"/>
    <s v="FG-PCB-MG"/>
    <b v="0"/>
    <n v="-659.84000000000151"/>
    <n v="0.19131564297643391"/>
    <s v="November-25"/>
    <n v="862.24"/>
    <n v="-4"/>
    <n v="696.91999999999973"/>
    <n v="623.88999999999965"/>
    <n v="28.97"/>
    <n v="0.36"/>
    <n v="43.699999999999996"/>
    <n v="0.3600000000000918"/>
    <n v="-2789.1199999999985"/>
    <n v="-2495.5599999999986"/>
    <n v="-115.88"/>
    <n v="-1.44"/>
    <n v="-176.23999999999998"/>
    <n v="7.9999999998648263E-2"/>
    <n v="0.19131564297643389"/>
    <n v="696.9"/>
    <n v="-1.4399999999999693"/>
    <n v="2.37"/>
    <n v="21.06"/>
    <n v="20.27"/>
    <n v="-2787.6"/>
    <n v="-115.88"/>
    <n v="-9.48"/>
    <n v="-84.24"/>
    <n v="-81.08"/>
    <n v="-1.44"/>
    <n v="0"/>
  </r>
  <r>
    <s v="Atomberg Technologies Private Limit"/>
    <d v="2025-11-04T00:00:00"/>
    <s v="3271307567"/>
    <x v="18"/>
    <x v="18"/>
    <s v="NOS"/>
    <s v="ZSFG"/>
    <s v="SF0045"/>
    <n v="2240"/>
    <n v="427772.8"/>
    <n v="2240"/>
    <n v="2240"/>
    <d v="2025-11-04T00:00:00"/>
    <n v="465382.40000000002"/>
    <s v="RV"/>
    <s v="Billing doc.transfer"/>
    <s v="01"/>
    <s v="Semi-Finished Goods"/>
    <s v="SFG-GV5 Stator"/>
    <s v="Sub Ass.-Mech Stator"/>
    <b v="0"/>
    <n v="37609.600000000093"/>
    <n v="8.0814401232191191E-2"/>
    <s v="November-25"/>
    <n v="207.76000000000002"/>
    <n v="2240"/>
    <n v="190.96999999999997"/>
    <n v="187.51999999999998"/>
    <n v="1.5"/>
    <n v="0"/>
    <n v="1.95"/>
    <n v="-1.1324274851176597E-14"/>
    <n v="427772.79999999993"/>
    <n v="420044.79999999993"/>
    <n v="3360"/>
    <n v="0"/>
    <n v="4368"/>
    <n v="5.8207660913467407E-11"/>
    <n v="8.0814401232191191E-2"/>
    <n v="190.97"/>
    <n v="0"/>
    <n v="0.05"/>
    <n v="0.4"/>
    <n v="1.5"/>
    <n v="427772.8"/>
    <n v="3360"/>
    <n v="112"/>
    <n v="896"/>
    <n v="3360"/>
    <n v="0"/>
    <n v="0"/>
  </r>
  <r>
    <s v="Atomberg Technologies Private Limit"/>
    <d v="2025-11-04T00:00:00"/>
    <s v="3271307570"/>
    <x v="18"/>
    <x v="18"/>
    <s v="NOS"/>
    <s v="ZSFG"/>
    <s v="SF0045"/>
    <n v="708"/>
    <n v="135206.76"/>
    <n v="708"/>
    <n v="708"/>
    <d v="2025-11-04T00:00:00"/>
    <n v="147094.07999999999"/>
    <s v="RV"/>
    <s v="Billing doc.transfer"/>
    <s v="01"/>
    <s v="Semi-Finished Goods"/>
    <s v="SFG-GV5 Stator"/>
    <s v="Sub Ass.-Mech Stator"/>
    <b v="0"/>
    <n v="11887.320000000007"/>
    <n v="8.0814401232191038E-2"/>
    <s v="November-25"/>
    <n v="207.76"/>
    <n v="708"/>
    <n v="190.96999999999997"/>
    <n v="187.51999999999998"/>
    <n v="1.5"/>
    <n v="0"/>
    <n v="1.95"/>
    <n v="-1.1324274851176597E-14"/>
    <n v="135206.75999999998"/>
    <n v="132764.15999999997"/>
    <n v="1062"/>
    <n v="0"/>
    <n v="1380.6"/>
    <n v="3.5015546018257737E-11"/>
    <n v="8.081440123219108E-2"/>
    <n v="190.97000000000003"/>
    <n v="5.9117155615240335E-12"/>
    <n v="0.05"/>
    <n v="0.4"/>
    <n v="1.5"/>
    <n v="135206.76"/>
    <n v="1062"/>
    <n v="35.4"/>
    <n v="283.2"/>
    <n v="1062"/>
    <n v="0"/>
    <n v="0"/>
  </r>
  <r>
    <s v="Atomberg Technologies Private Limit"/>
    <d v="2025-11-04T00:00:00"/>
    <s v="3271307573"/>
    <x v="2"/>
    <x v="2"/>
    <s v="NOS"/>
    <s v="ZSFG"/>
    <s v="SF0045"/>
    <n v="1840"/>
    <n v="271712.8"/>
    <n v="1840"/>
    <n v="1840"/>
    <d v="2025-11-04T00:00:00"/>
    <n v="299809.59999999998"/>
    <s v="RV"/>
    <s v="Billing doc.transfer"/>
    <s v="01"/>
    <s v="Semi-Finished Goods"/>
    <s v="SFG-GV5 Stator"/>
    <s v="Sub Ass.-Mech Stator"/>
    <b v="0"/>
    <n v="28096.800000000047"/>
    <n v="9.3715478090094673E-2"/>
    <s v="November-25"/>
    <n v="162.94"/>
    <n v="1840"/>
    <n v="147.66999999999996"/>
    <n v="144.21999999999997"/>
    <n v="1.5"/>
    <n v="0"/>
    <n v="1.95"/>
    <n v="-1.1324274851176597E-14"/>
    <n v="271712.79999999993"/>
    <n v="265364.79999999993"/>
    <n v="2760"/>
    <n v="0"/>
    <n v="3588"/>
    <n v="5.8207660913467407E-11"/>
    <n v="9.3715478090094728E-2"/>
    <n v="147.66999999999999"/>
    <n v="0"/>
    <n v="0.05"/>
    <n v="0.4"/>
    <n v="1.5"/>
    <n v="271712.8"/>
    <n v="2760"/>
    <n v="92"/>
    <n v="736"/>
    <n v="2760"/>
    <n v="0"/>
    <n v="0"/>
  </r>
  <r>
    <s v="Atomberg Technologies Private Limit"/>
    <d v="2025-11-04T00:00:00"/>
    <s v="3271307841"/>
    <x v="2"/>
    <x v="2"/>
    <s v="NOS"/>
    <s v="ZSFG"/>
    <s v="SF0045"/>
    <n v="1120"/>
    <n v="165390.39999999999"/>
    <n v="1120"/>
    <n v="1120"/>
    <d v="2025-11-04T00:00:00"/>
    <n v="182492.79999999999"/>
    <s v="RV"/>
    <s v="Billing doc.transfer"/>
    <s v="01"/>
    <s v="Semi-Finished Goods"/>
    <s v="SFG-GV5 Stator"/>
    <s v="Sub Ass.-Mech Stator"/>
    <b v="0"/>
    <n v="17102.400000000023"/>
    <n v="9.3715478090094645E-2"/>
    <s v="November-25"/>
    <n v="162.94"/>
    <n v="1120"/>
    <n v="147.66999999999996"/>
    <n v="144.21999999999997"/>
    <n v="1.5"/>
    <n v="0"/>
    <n v="1.95"/>
    <n v="-1.1324274851176597E-14"/>
    <n v="165390.39999999997"/>
    <n v="161526.39999999997"/>
    <n v="1680"/>
    <n v="0"/>
    <n v="2184"/>
    <n v="2.9103830456733704E-11"/>
    <n v="9.3715478090094617E-2"/>
    <n v="147.66999999999999"/>
    <n v="0"/>
    <n v="0.05"/>
    <n v="0.4"/>
    <n v="1.5"/>
    <n v="165390.39999999999"/>
    <n v="1680"/>
    <n v="56"/>
    <n v="448"/>
    <n v="1680"/>
    <n v="0"/>
    <n v="0"/>
  </r>
  <r>
    <s v="Atomberg Technologies Private Limit"/>
    <d v="2025-11-04T00:00:00"/>
    <s v="3271307568"/>
    <x v="3"/>
    <x v="3"/>
    <s v="NOS"/>
    <s v="ZFG1"/>
    <s v="FG0010"/>
    <n v="175"/>
    <n v="112880.25"/>
    <n v="175"/>
    <n v="175"/>
    <d v="2025-11-04T00:00:00"/>
    <n v="127498"/>
    <s v="RV"/>
    <s v="Billing doc.transfer"/>
    <s v="01"/>
    <s v="Finished Goods"/>
    <s v="FG-PCB-CF"/>
    <s v="FG-PCB-CF"/>
    <b v="0"/>
    <n v="14542.500000000058"/>
    <n v="0.11406061271549403"/>
    <s v="November-25"/>
    <n v="728.56"/>
    <n v="175"/>
    <n v="645.02999999999963"/>
    <n v="582.23999999999967"/>
    <n v="29.88"/>
    <n v="0.43"/>
    <n v="32.480000000000004"/>
    <n v="0.42999999999996419"/>
    <n v="112955.49999999994"/>
    <n v="101891.99999999994"/>
    <n v="5229"/>
    <n v="75.25"/>
    <n v="5759.2500000000009"/>
    <n v="5.7298166211694479E-11"/>
    <n v="0.11406061271549406"/>
    <n v="645.03"/>
    <n v="75.249999999999091"/>
    <n v="2.4500000000000002"/>
    <n v="21.72"/>
    <n v="8.31"/>
    <n v="112880.25"/>
    <n v="5229"/>
    <n v="428.75000000000006"/>
    <n v="3801"/>
    <n v="1454.25"/>
    <n v="75.25"/>
    <n v="0"/>
  </r>
  <r>
    <s v="Atomberg Technologies Private Limit"/>
    <d v="2025-11-04T00:00:00"/>
    <s v="3271307565"/>
    <x v="3"/>
    <x v="3"/>
    <s v="NOS"/>
    <s v="ZFG1"/>
    <s v="FG0010"/>
    <n v="175"/>
    <n v="112880.25"/>
    <n v="175"/>
    <n v="175"/>
    <d v="2025-11-04T00:00:00"/>
    <n v="127498"/>
    <s v="RV"/>
    <s v="Billing doc.transfer"/>
    <s v="01"/>
    <s v="Finished Goods"/>
    <s v="FG-PCB-CF"/>
    <s v="FG-PCB-CF"/>
    <b v="0"/>
    <n v="14542.500000000058"/>
    <n v="0.11406061271549403"/>
    <s v="November-25"/>
    <n v="728.56"/>
    <n v="175"/>
    <n v="645.02999999999963"/>
    <n v="582.23999999999967"/>
    <n v="29.88"/>
    <n v="0.43"/>
    <n v="32.480000000000004"/>
    <n v="0.42999999999996419"/>
    <n v="112955.49999999994"/>
    <n v="101891.99999999994"/>
    <n v="5229"/>
    <n v="75.25"/>
    <n v="5759.2500000000009"/>
    <n v="5.7298166211694479E-11"/>
    <n v="0.11406061271549406"/>
    <n v="645.03"/>
    <n v="75.249999999999091"/>
    <n v="2.4500000000000002"/>
    <n v="21.72"/>
    <n v="8.31"/>
    <n v="112880.25"/>
    <n v="5229"/>
    <n v="428.75000000000006"/>
    <n v="3801"/>
    <n v="1454.25"/>
    <n v="75.25"/>
    <n v="0"/>
  </r>
  <r>
    <s v="Atomberg Technologies Private Limit"/>
    <d v="2025-11-04T00:00:00"/>
    <s v="3271307569"/>
    <x v="11"/>
    <x v="11"/>
    <s v="NOS"/>
    <s v="ZFG1"/>
    <s v="FG0010"/>
    <n v="1026"/>
    <n v="335635.38"/>
    <n v="1026"/>
    <n v="1026"/>
    <d v="2025-11-04T00:00:00"/>
    <n v="349937.82"/>
    <s v="RV"/>
    <s v="Billing doc.transfer"/>
    <s v="01"/>
    <s v="Finished Goods"/>
    <s v="FG-PCB-CF"/>
    <s v="FG-PCB-CF"/>
    <b v="0"/>
    <n v="14128.019999999902"/>
    <n v="4.037294397044567E-2"/>
    <s v="November-25"/>
    <n v="341.07"/>
    <n v="1026"/>
    <n v="327.13000000000005"/>
    <n v="278.14000000000004"/>
    <n v="22.400000000000002"/>
    <n v="0.17"/>
    <n v="26.42"/>
    <n v="0.17000000000000526"/>
    <n v="335809.8000000001"/>
    <n v="285371.64000000007"/>
    <n v="22982.400000000001"/>
    <n v="174.42000000000002"/>
    <n v="27281.34"/>
    <n v="-6.9121597334742546E-11"/>
    <n v="4.0372943970445663E-2"/>
    <n v="327.13"/>
    <n v="174.420000000031"/>
    <n v="1.8299999999999998"/>
    <n v="16.28"/>
    <n v="8.31"/>
    <n v="335635.38"/>
    <n v="22982.400000000001"/>
    <n v="1877.58"/>
    <n v="16703.280000000002"/>
    <n v="8526.0600000000013"/>
    <n v="174.42000000000002"/>
    <n v="0"/>
  </r>
  <r>
    <s v="Atomberg Technologies Private Limit"/>
    <d v="2025-11-04T00:00:00"/>
    <s v="3271307569"/>
    <x v="8"/>
    <x v="8"/>
    <s v="NOS"/>
    <s v="ZFG1"/>
    <s v="FG0010"/>
    <n v="372"/>
    <n v="120974.39999999999"/>
    <n v="372"/>
    <n v="372"/>
    <d v="2025-11-04T00:00:00"/>
    <n v="135244.32"/>
    <s v="RV"/>
    <s v="Billing doc.transfer"/>
    <s v="01"/>
    <s v="Finished Goods"/>
    <s v="FG-PCB-CF"/>
    <s v="FG-PCB-CF"/>
    <b v="0"/>
    <n v="14173.200000000026"/>
    <n v="0.10479700737154821"/>
    <s v="November-25"/>
    <n v="363.56"/>
    <n v="372"/>
    <n v="325.19999999999993"/>
    <n v="271.52999999999997"/>
    <n v="23.84"/>
    <n v="0.26"/>
    <n v="29.569999999999997"/>
    <n v="0.25999999999996248"/>
    <n v="121071.11999999998"/>
    <n v="101009.15999999999"/>
    <n v="8868.48"/>
    <n v="96.72"/>
    <n v="11096.759999999998"/>
    <n v="0"/>
    <n v="0.10479700737154818"/>
    <n v="325.2"/>
    <n v="96.719999999993888"/>
    <n v="1.9500000000000002"/>
    <n v="17.329999999999998"/>
    <n v="10.29"/>
    <n v="120974.39999999999"/>
    <n v="8868.48"/>
    <n v="725.40000000000009"/>
    <n v="6446.7599999999993"/>
    <n v="3827.8799999999997"/>
    <n v="96.72"/>
    <n v="0"/>
  </r>
  <r>
    <s v="Atomberg Technologies Private Limit"/>
    <d v="2025-11-04T00:00:00"/>
    <s v="3271307565"/>
    <x v="8"/>
    <x v="8"/>
    <s v="NOS"/>
    <s v="ZFG1"/>
    <s v="FG0010"/>
    <n v="100"/>
    <n v="32520"/>
    <n v="100"/>
    <n v="100"/>
    <d v="2025-11-04T00:00:00"/>
    <n v="36356"/>
    <s v="RV"/>
    <s v="Billing doc.transfer"/>
    <s v="01"/>
    <s v="Finished Goods"/>
    <s v="FG-PCB-CF"/>
    <s v="FG-PCB-CF"/>
    <b v="0"/>
    <n v="3810.0000000000036"/>
    <n v="0.10479700737154812"/>
    <s v="November-25"/>
    <n v="363.56"/>
    <n v="100"/>
    <n v="325.19999999999993"/>
    <n v="271.52999999999997"/>
    <n v="23.84"/>
    <n v="0.26"/>
    <n v="29.569999999999997"/>
    <n v="0.25999999999996248"/>
    <n v="32545.999999999996"/>
    <n v="27152.999999999996"/>
    <n v="2384"/>
    <n v="26"/>
    <n v="2982.9999999999995"/>
    <n v="4.0927261579781771E-12"/>
    <n v="0.10479700737154818"/>
    <n v="325.2"/>
    <n v="26.000000000000455"/>
    <n v="1.9500000000000002"/>
    <n v="17.329999999999998"/>
    <n v="10.29"/>
    <n v="32520"/>
    <n v="2384"/>
    <n v="195.00000000000003"/>
    <n v="1732.9999999999998"/>
    <n v="1029"/>
    <n v="26"/>
    <n v="0"/>
  </r>
  <r>
    <s v="Atomberg Technologies Private Limit"/>
    <d v="2025-11-04T00:00:00"/>
    <s v="3271307569"/>
    <x v="4"/>
    <x v="4"/>
    <s v="NOS"/>
    <s v="ZFG1"/>
    <s v="FG0010"/>
    <n v="1225"/>
    <n v="516227.25"/>
    <n v="1225"/>
    <n v="1225"/>
    <d v="2025-11-04T00:00:00"/>
    <n v="591871"/>
    <s v="RV"/>
    <s v="Billing doc.transfer"/>
    <s v="01"/>
    <s v="Finished Goods"/>
    <s v="FG-PCB-CF"/>
    <s v="FG-PCB-CF"/>
    <b v="0"/>
    <n v="75325.250000000175"/>
    <n v="0.12726632999420512"/>
    <s v="November-25"/>
    <n v="483.16"/>
    <n v="1225"/>
    <n v="421.40999999999985"/>
    <n v="373.04999999999984"/>
    <n v="22"/>
    <n v="0.26"/>
    <n v="26.1"/>
    <n v="0.26000000000001222"/>
    <n v="516545.74999999983"/>
    <n v="456986.24999999983"/>
    <n v="26950"/>
    <n v="318.5"/>
    <n v="32291"/>
    <n v="1.7462298274040222E-10"/>
    <n v="0.12726632999420506"/>
    <n v="421.41"/>
    <n v="318.5"/>
    <n v="1.8"/>
    <n v="15.99"/>
    <n v="8.31"/>
    <n v="516227.25"/>
    <n v="26950"/>
    <n v="2205"/>
    <n v="19587.75"/>
    <n v="10179.75"/>
    <n v="318.5"/>
    <n v="0"/>
  </r>
  <r>
    <s v="Atomberg Technologies Private Limit"/>
    <d v="2025-11-04T00:00:00"/>
    <s v="3271307569"/>
    <x v="28"/>
    <x v="28"/>
    <s v="NOS"/>
    <s v="ZFG1"/>
    <s v="FG0010"/>
    <n v="210"/>
    <n v="88489.8"/>
    <n v="210"/>
    <n v="210"/>
    <d v="2025-11-04T00:00:00"/>
    <n v="101463.6"/>
    <s v="RV"/>
    <s v="Billing doc.transfer"/>
    <s v="01"/>
    <s v="Finished Goods"/>
    <s v="FG-PCB-CF"/>
    <s v="FG-PCB-CF"/>
    <b v="0"/>
    <n v="12919.200000000041"/>
    <n v="0.12732842122692314"/>
    <s v="November-25"/>
    <n v="483.16"/>
    <n v="210"/>
    <n v="421.37999999999982"/>
    <n v="373.01999999999981"/>
    <n v="22"/>
    <n v="0.26"/>
    <n v="26.1"/>
    <n v="0.26000000000001222"/>
    <n v="88544.399999999965"/>
    <n v="78334.199999999953"/>
    <n v="4620"/>
    <n v="54.6"/>
    <n v="5535.6"/>
    <n v="4.9112713895738125E-11"/>
    <n v="0.12732842122692312"/>
    <n v="421.38"/>
    <n v="54.600000000011278"/>
    <n v="1.8"/>
    <n v="15.99"/>
    <n v="8.31"/>
    <n v="88489.8"/>
    <n v="4620"/>
    <n v="378"/>
    <n v="3357.9"/>
    <n v="1745.1000000000001"/>
    <n v="54.6"/>
    <n v="0"/>
  </r>
  <r>
    <s v="Atomberg Technologies Private Limit"/>
    <d v="2025-11-04T00:00:00"/>
    <s v="3271307566"/>
    <x v="28"/>
    <x v="28"/>
    <s v="NOS"/>
    <s v="ZFG1"/>
    <s v="FG0010"/>
    <n v="210"/>
    <n v="88489.8"/>
    <n v="210"/>
    <n v="210"/>
    <d v="2025-11-04T00:00:00"/>
    <n v="101463.6"/>
    <s v="RV"/>
    <s v="Billing doc.transfer"/>
    <s v="01"/>
    <s v="Finished Goods"/>
    <s v="FG-PCB-CF"/>
    <s v="FG-PCB-CF"/>
    <b v="0"/>
    <n v="12919.200000000041"/>
    <n v="0.12732842122692314"/>
    <s v="November-25"/>
    <n v="483.16"/>
    <n v="210"/>
    <n v="421.37999999999982"/>
    <n v="373.01999999999981"/>
    <n v="22"/>
    <n v="0.26"/>
    <n v="26.1"/>
    <n v="0.26000000000001222"/>
    <n v="88544.399999999965"/>
    <n v="78334.199999999953"/>
    <n v="4620"/>
    <n v="54.6"/>
    <n v="5535.6"/>
    <n v="4.9112713895738125E-11"/>
    <n v="0.12732842122692312"/>
    <n v="421.38"/>
    <n v="54.600000000011278"/>
    <n v="1.8"/>
    <n v="15.99"/>
    <n v="8.31"/>
    <n v="88489.8"/>
    <n v="4620"/>
    <n v="378"/>
    <n v="3357.9"/>
    <n v="1745.1000000000001"/>
    <n v="54.6"/>
    <n v="0"/>
  </r>
  <r>
    <s v="Atomberg Technologies Private Limit"/>
    <d v="2025-11-04T00:00:00"/>
    <s v="3271307569"/>
    <x v="5"/>
    <x v="5"/>
    <s v="NOS"/>
    <s v="ZFG1"/>
    <s v="FG0010"/>
    <n v="1745"/>
    <n v="570841.85"/>
    <n v="1745"/>
    <n v="1745"/>
    <d v="2025-11-04T00:00:00"/>
    <n v="595167.15"/>
    <s v="RV"/>
    <s v="Billing doc.transfer"/>
    <s v="01"/>
    <s v="Finished Goods"/>
    <s v="FG-PCB-CF"/>
    <s v="FG-PCB-CF"/>
    <b v="0"/>
    <n v="24028.649999999907"/>
    <n v="4.0372943970445795E-2"/>
    <s v="November-25"/>
    <n v="341.07"/>
    <n v="1745"/>
    <n v="327.13"/>
    <n v="278.14"/>
    <n v="22.400000000000002"/>
    <n v="0.17"/>
    <n v="26.42"/>
    <n v="0.17000000000000526"/>
    <n v="571138.50000000012"/>
    <n v="485354.3"/>
    <n v="39088.000000000007"/>
    <n v="296.65000000000003"/>
    <n v="46399.55"/>
    <n v="0"/>
    <n v="4.0372943970445774E-2"/>
    <n v="327.13"/>
    <n v="296.65000000011787"/>
    <n v="1.8299999999999998"/>
    <n v="16.28"/>
    <n v="8.31"/>
    <n v="570841.85"/>
    <n v="39088.000000000007"/>
    <n v="3193.35"/>
    <n v="28408.600000000002"/>
    <n v="14500.95"/>
    <n v="296.65000000000003"/>
    <n v="0"/>
  </r>
  <r>
    <s v="Atomberg Technologies Private Limit"/>
    <d v="2025-11-04T00:00:00"/>
    <s v="3271307565"/>
    <x v="5"/>
    <x v="5"/>
    <s v="NOS"/>
    <s v="ZFG1"/>
    <s v="FG0010"/>
    <n v="900"/>
    <n v="294417"/>
    <n v="900"/>
    <n v="900"/>
    <d v="2025-11-04T00:00:00"/>
    <n v="306963"/>
    <s v="RV"/>
    <s v="Billing doc.transfer"/>
    <s v="01"/>
    <s v="Finished Goods"/>
    <s v="FG-PCB-CF"/>
    <s v="FG-PCB-CF"/>
    <b v="0"/>
    <n v="12393"/>
    <n v="4.0372943970445947E-2"/>
    <s v="November-25"/>
    <n v="341.07"/>
    <n v="900"/>
    <n v="327.13"/>
    <n v="278.14"/>
    <n v="22.400000000000002"/>
    <n v="0.17"/>
    <n v="26.42"/>
    <n v="0.17000000000000526"/>
    <n v="294570"/>
    <n v="250326"/>
    <n v="20160.000000000004"/>
    <n v="153"/>
    <n v="23931"/>
    <n v="0"/>
    <n v="4.0372943970445996E-2"/>
    <n v="327.13"/>
    <n v="152.99999999999636"/>
    <n v="1.8299999999999998"/>
    <n v="16.28"/>
    <n v="8.31"/>
    <n v="294417"/>
    <n v="20160.000000000004"/>
    <n v="1646.9999999999998"/>
    <n v="14652.000000000002"/>
    <n v="7479"/>
    <n v="153"/>
    <n v="0"/>
  </r>
  <r>
    <s v="SYRMA SGS TECHNOLOGY LIMITED"/>
    <d v="2025-11-04T00:00:00"/>
    <s v="3271307572"/>
    <x v="45"/>
    <x v="45"/>
    <s v="NOS"/>
    <s v="ZROH"/>
    <s v="RM0005"/>
    <n v="20000"/>
    <n v="183220.06"/>
    <n v="20000"/>
    <n v="20000"/>
    <d v="2025-11-04T00:00:00"/>
    <n v="183600"/>
    <s v="RV"/>
    <s v="Billing doc.transfer"/>
    <s v="06"/>
    <s v="Raw Material"/>
    <s v="RM-Eletro-IC"/>
    <s v="Raw Material"/>
    <b v="0"/>
    <n v="183600"/>
    <n v="1"/>
    <s v="November-25"/>
    <n v="9.18"/>
    <n v="20000"/>
    <n v="0"/>
    <n v="0"/>
    <n v="0"/>
    <n v="0"/>
    <n v="0"/>
    <n v="0"/>
    <n v="0"/>
    <n v="0"/>
    <n v="0"/>
    <n v="0"/>
    <n v="0"/>
    <n v="183220.06"/>
    <n v="1"/>
    <n v="9.1610029999999991"/>
    <n v="0"/>
    <n v="0"/>
    <n v="0"/>
    <n v="0"/>
    <n v="183220.06"/>
    <n v="0"/>
    <n v="0"/>
    <n v="0"/>
    <n v="0"/>
    <n v="0"/>
    <n v="0"/>
  </r>
  <r>
    <s v="Atomberg Technologies Private Limit"/>
    <d v="2025-11-04T00:00:00"/>
    <s v="3271307844"/>
    <x v="101"/>
    <x v="100"/>
    <s v="NOS"/>
    <s v="ZFG1"/>
    <s v="FG0010"/>
    <n v="350"/>
    <n v="114527"/>
    <n v="350"/>
    <n v="350"/>
    <d v="2025-11-04T00:00:00"/>
    <n v="118926.5"/>
    <s v="RV"/>
    <s v="Billing doc.transfer"/>
    <s v="01"/>
    <s v="Finished Goods"/>
    <s v="FG-PCB-CF"/>
    <s v="FG-PCB-CF"/>
    <b v="0"/>
    <n v="4336.4999999999854"/>
    <n v="3.6463698166514492E-2"/>
    <s v="November-25"/>
    <n v="339.79"/>
    <n v="350"/>
    <n v="327.23000000000008"/>
    <n v="275.85000000000002"/>
    <n v="23.720000000000002"/>
    <n v="0.17"/>
    <n v="27.49"/>
    <n v="0.17000000000005144"/>
    <n v="114590.00000000001"/>
    <n v="96547.500000000015"/>
    <n v="8302"/>
    <n v="59.500000000000007"/>
    <n v="9681"/>
    <n v="-3.5000000000145519"/>
    <n v="3.6463698166514513E-2"/>
    <n v="327.22000000000003"/>
    <n v="59.5"/>
    <n v="1.94"/>
    <n v="17.239999999999998"/>
    <n v="8.31"/>
    <n v="114527"/>
    <n v="8302"/>
    <n v="679"/>
    <n v="6033.9999999999991"/>
    <n v="2908.5"/>
    <n v="59.500000000000007"/>
    <n v="0"/>
  </r>
  <r>
    <s v="Atomberg Technologies Private Limit"/>
    <d v="2025-11-04T00:00:00"/>
    <s v="3271307842"/>
    <x v="3"/>
    <x v="3"/>
    <s v="NOS"/>
    <s v="ZFG1"/>
    <s v="FG0010"/>
    <n v="350"/>
    <n v="225760.5"/>
    <n v="350"/>
    <n v="350"/>
    <d v="2025-11-04T00:00:00"/>
    <n v="254996"/>
    <s v="RV"/>
    <s v="Billing doc.transfer"/>
    <s v="01"/>
    <s v="Finished Goods"/>
    <s v="FG-PCB-CF"/>
    <s v="FG-PCB-CF"/>
    <b v="0"/>
    <n v="29085.000000000116"/>
    <n v="0.11406061271549403"/>
    <s v="November-25"/>
    <n v="728.56"/>
    <n v="350"/>
    <n v="645.02999999999963"/>
    <n v="582.23999999999967"/>
    <n v="29.88"/>
    <n v="0.43"/>
    <n v="32.480000000000004"/>
    <n v="0.42999999999996419"/>
    <n v="225910.99999999988"/>
    <n v="203783.99999999988"/>
    <n v="10458"/>
    <n v="150.5"/>
    <n v="11518.500000000002"/>
    <n v="1.1459633242338896E-10"/>
    <n v="0.11406061271549406"/>
    <n v="645.03"/>
    <n v="150.49999999999818"/>
    <n v="2.4500000000000002"/>
    <n v="21.72"/>
    <n v="8.31"/>
    <n v="225760.5"/>
    <n v="10458"/>
    <n v="857.50000000000011"/>
    <n v="7602"/>
    <n v="2908.5"/>
    <n v="150.5"/>
    <n v="0"/>
  </r>
  <r>
    <s v="Atomberg Technologies Private Limit"/>
    <d v="2025-11-04T00:00:00"/>
    <s v="3271307844"/>
    <x v="5"/>
    <x v="5"/>
    <s v="NOS"/>
    <s v="ZFG1"/>
    <s v="FG0010"/>
    <n v="1115"/>
    <n v="364749.95"/>
    <n v="1115"/>
    <n v="1115"/>
    <d v="2025-11-04T00:00:00"/>
    <n v="380293.05"/>
    <s v="RV"/>
    <s v="Billing doc.transfer"/>
    <s v="01"/>
    <s v="Finished Goods"/>
    <s v="FG-PCB-CF"/>
    <s v="FG-PCB-CF"/>
    <b v="0"/>
    <n v="15353.550000000047"/>
    <n v="4.0372943970446072E-2"/>
    <s v="November-25"/>
    <n v="341.07"/>
    <n v="1115"/>
    <n v="327.13"/>
    <n v="278.14"/>
    <n v="22.400000000000002"/>
    <n v="0.17"/>
    <n v="26.42"/>
    <n v="0.17000000000000526"/>
    <n v="364939.49999999994"/>
    <n v="310126.09999999998"/>
    <n v="24976.000000000004"/>
    <n v="189.55"/>
    <n v="29647.850000000002"/>
    <n v="2.9103830456733704E-11"/>
    <n v="4.0372943970446107E-2"/>
    <n v="327.13"/>
    <n v="189.54999999995925"/>
    <n v="1.8299999999999998"/>
    <n v="16.28"/>
    <n v="8.31"/>
    <n v="364749.95"/>
    <n v="24976.000000000004"/>
    <n v="2040.4499999999998"/>
    <n v="18152.2"/>
    <n v="9265.6500000000015"/>
    <n v="189.55"/>
    <n v="0"/>
  </r>
  <r>
    <s v="Atomberg Technologies Private Limit"/>
    <d v="2025-11-04T00:00:00"/>
    <s v="3271307842"/>
    <x v="5"/>
    <x v="5"/>
    <s v="NOS"/>
    <s v="ZFG1"/>
    <s v="FG0010"/>
    <n v="310"/>
    <n v="101410.3"/>
    <n v="310"/>
    <n v="310"/>
    <d v="2025-11-04T00:00:00"/>
    <n v="105731.7"/>
    <s v="RV"/>
    <s v="Billing doc.transfer"/>
    <s v="01"/>
    <s v="Finished Goods"/>
    <s v="FG-PCB-CF"/>
    <s v="FG-PCB-CF"/>
    <b v="0"/>
    <n v="4268.7000000000116"/>
    <n v="4.0372943970446058E-2"/>
    <s v="November-25"/>
    <n v="341.07"/>
    <n v="310"/>
    <n v="327.13"/>
    <n v="278.14"/>
    <n v="22.400000000000002"/>
    <n v="0.17"/>
    <n v="26.42"/>
    <n v="0.17000000000000526"/>
    <n v="101462.99999999999"/>
    <n v="86223.4"/>
    <n v="6944.0000000000009"/>
    <n v="52.7"/>
    <n v="8242.9000000000015"/>
    <n v="0"/>
    <n v="4.0372943970446107E-2"/>
    <n v="327.13"/>
    <n v="52.699999999989814"/>
    <n v="1.8299999999999998"/>
    <n v="16.28"/>
    <n v="8.31"/>
    <n v="101410.3"/>
    <n v="6944.0000000000009"/>
    <n v="567.29999999999995"/>
    <n v="5046.8"/>
    <n v="2576.1000000000004"/>
    <n v="52.7"/>
    <n v="0"/>
  </r>
  <r>
    <s v="Atomberg Technologies Private Limit"/>
    <d v="2025-11-03T00:00:00"/>
    <s v="3271307554"/>
    <x v="60"/>
    <x v="60"/>
    <s v="NOS"/>
    <s v="ZFG1"/>
    <s v="FG0010"/>
    <n v="70"/>
    <n v="22908.2"/>
    <n v="70"/>
    <n v="70"/>
    <d v="2025-11-03T00:00:00"/>
    <n v="24651.200000000001"/>
    <s v="RV"/>
    <s v="Billing doc.transfer"/>
    <s v="01"/>
    <s v="Finished Goods"/>
    <s v="FG-PCB-CF"/>
    <s v="FG-PCB-CF"/>
    <b v="0"/>
    <n v="1731.1000000000022"/>
    <n v="7.0223761926397177E-2"/>
    <s v="November-25"/>
    <n v="352.16"/>
    <n v="70"/>
    <n v="327.26"/>
    <n v="275.87999999999994"/>
    <n v="23.720000000000002"/>
    <n v="0.17"/>
    <n v="27.49"/>
    <n v="0.17000000000005144"/>
    <n v="22920.1"/>
    <n v="19311.599999999995"/>
    <n v="1660.4"/>
    <n v="11.9"/>
    <n v="1936.2"/>
    <n v="5.6843418860808015E-12"/>
    <n v="7.0223761926397232E-2"/>
    <n v="327.26"/>
    <n v="11.900000000003502"/>
    <n v="1.94"/>
    <n v="17.239999999999998"/>
    <n v="8.31"/>
    <n v="22908.2"/>
    <n v="1660.4"/>
    <n v="135.79999999999998"/>
    <n v="1206.8"/>
    <n v="581.70000000000005"/>
    <n v="11.9"/>
    <n v="0"/>
  </r>
  <r>
    <s v="Atomberg Technologies Private Limit"/>
    <d v="2025-11-03T00:00:00"/>
    <s v="3271307541"/>
    <x v="2"/>
    <x v="2"/>
    <s v="NOS"/>
    <s v="ZSFG"/>
    <s v="SF0045"/>
    <n v="896"/>
    <n v="132312.32000000001"/>
    <n v="896"/>
    <n v="896"/>
    <d v="2025-11-03T00:00:00"/>
    <n v="145994.23999999999"/>
    <s v="RV"/>
    <s v="Billing doc.transfer"/>
    <s v="01"/>
    <s v="Semi-Finished Goods"/>
    <s v="SFG-GV5 Stator"/>
    <s v="Sub Ass.-Mech Stator"/>
    <b v="0"/>
    <n v="13681.920000000013"/>
    <n v="9.3715478090094603E-2"/>
    <s v="November-25"/>
    <n v="162.94"/>
    <n v="896"/>
    <n v="147.66999999999996"/>
    <n v="144.21999999999997"/>
    <n v="1.5"/>
    <n v="0"/>
    <n v="1.95"/>
    <n v="-1.1324274851176597E-14"/>
    <n v="132312.31999999998"/>
    <n v="129221.11999999997"/>
    <n v="1344"/>
    <n v="0"/>
    <n v="1747.2"/>
    <n v="4.0699887904338539E-11"/>
    <n v="9.3715478090094617E-2"/>
    <n v="147.67000000000002"/>
    <n v="1.1596057447604835E-11"/>
    <n v="0.05"/>
    <n v="0.4"/>
    <n v="1.5"/>
    <n v="132312.32000000001"/>
    <n v="1344"/>
    <n v="44.800000000000004"/>
    <n v="358.40000000000003"/>
    <n v="1344"/>
    <n v="0"/>
    <n v="0"/>
  </r>
  <r>
    <s v="Atomberg Technologies Private Limit"/>
    <d v="2025-11-03T00:00:00"/>
    <s v="3271307124"/>
    <x v="2"/>
    <x v="2"/>
    <s v="NOS"/>
    <s v="ZSFG"/>
    <s v="SF0045"/>
    <n v="2256"/>
    <n v="333143.52"/>
    <n v="2256"/>
    <n v="2256"/>
    <d v="2025-11-03T00:00:00"/>
    <n v="367592.64"/>
    <s v="RV"/>
    <s v="Billing doc.transfer"/>
    <s v="01"/>
    <s v="Semi-Finished Goods"/>
    <s v="SFG-GV5 Stator"/>
    <s v="Sub Ass.-Mech Stator"/>
    <b v="0"/>
    <n v="34449.120000000054"/>
    <n v="9.3715478090094659E-2"/>
    <s v="November-25"/>
    <n v="162.94"/>
    <n v="2256"/>
    <n v="147.66999999999996"/>
    <n v="144.21999999999997"/>
    <n v="1.5"/>
    <n v="0"/>
    <n v="1.95"/>
    <n v="-1.1324274851176597E-14"/>
    <n v="333143.51999999996"/>
    <n v="325360.31999999995"/>
    <n v="3384"/>
    <n v="0"/>
    <n v="4399.2"/>
    <n v="7.0031092036515474E-11"/>
    <n v="9.3715478090094617E-2"/>
    <n v="147.67000000000002"/>
    <n v="1.1823431123048067E-11"/>
    <n v="0.05"/>
    <n v="0.4"/>
    <n v="1.5"/>
    <n v="333143.52"/>
    <n v="3384"/>
    <n v="112.80000000000001"/>
    <n v="902.40000000000009"/>
    <n v="3384"/>
    <n v="0"/>
    <n v="0"/>
  </r>
  <r>
    <s v="Atomberg Technologies Private Limit"/>
    <d v="2025-11-03T00:00:00"/>
    <s v="3271307001"/>
    <x v="15"/>
    <x v="15"/>
    <s v="NOS"/>
    <s v="ZFG1"/>
    <s v="FG0010"/>
    <n v="1093"/>
    <n v="460568.34"/>
    <n v="1093"/>
    <n v="1093"/>
    <d v="2025-11-03T00:00:00"/>
    <n v="528093.88"/>
    <s v="RV"/>
    <s v="Billing doc.transfer"/>
    <s v="01"/>
    <s v="Finished Goods"/>
    <s v="FG-PCB-CF"/>
    <s v="FG-PCB-CF"/>
    <b v="0"/>
    <n v="67241.360000000219"/>
    <n v="0.12732842122692317"/>
    <s v="November-25"/>
    <n v="483.16"/>
    <n v="1093"/>
    <n v="421.37999999999982"/>
    <n v="373.01999999999981"/>
    <n v="22"/>
    <n v="0.26"/>
    <n v="26.1"/>
    <n v="0.26000000000001222"/>
    <n v="460852.51999999979"/>
    <n v="407710.85999999981"/>
    <n v="24046"/>
    <n v="284.18"/>
    <n v="28811.480000000003"/>
    <n v="2.1100277081131935E-10"/>
    <n v="0.12732842122692312"/>
    <n v="421.38"/>
    <n v="284.17999999997119"/>
    <n v="1.8"/>
    <n v="15.99"/>
    <n v="8.31"/>
    <n v="460568.34"/>
    <n v="24046"/>
    <n v="1967.4"/>
    <n v="17477.07"/>
    <n v="9082.83"/>
    <n v="284.18"/>
    <n v="0"/>
  </r>
  <r>
    <s v="Atomberg Technologies Private Limit"/>
    <d v="2025-11-03T00:00:00"/>
    <s v="3271307029"/>
    <x v="20"/>
    <x v="20"/>
    <s v="NOS"/>
    <s v="ZFG1"/>
    <s v="FG0010"/>
    <n v="175"/>
    <n v="73741.5"/>
    <n v="175"/>
    <n v="175"/>
    <d v="2025-11-03T00:00:00"/>
    <n v="84553"/>
    <s v="RV"/>
    <s v="Billing doc.transfer"/>
    <s v="01"/>
    <s v="Finished Goods"/>
    <s v="FG-PCB-CF"/>
    <s v="FG-PCB-CF"/>
    <b v="0"/>
    <n v="10766.000000000029"/>
    <n v="0.12732842122692312"/>
    <s v="November-25"/>
    <n v="483.16"/>
    <n v="175"/>
    <n v="421.37999999999982"/>
    <n v="373.01999999999981"/>
    <n v="22"/>
    <n v="0.26"/>
    <n v="26.1"/>
    <n v="0.26000000000001222"/>
    <n v="73786.999999999971"/>
    <n v="65278.499999999964"/>
    <n v="3850"/>
    <n v="45.5"/>
    <n v="4613"/>
    <n v="3.637978807091713E-11"/>
    <n v="0.12732842122692312"/>
    <n v="421.38"/>
    <n v="45.500000000007276"/>
    <n v="1.8"/>
    <n v="15.99"/>
    <n v="8.31"/>
    <n v="73741.5"/>
    <n v="3850"/>
    <n v="315"/>
    <n v="2798.25"/>
    <n v="1454.25"/>
    <n v="45.5"/>
    <n v="0"/>
  </r>
  <r>
    <s v="Atomberg Technologies Private Limit"/>
    <d v="2025-11-03T00:00:00"/>
    <s v="3271307540"/>
    <x v="101"/>
    <x v="100"/>
    <s v="NOS"/>
    <s v="ZFG1"/>
    <s v="FG0010"/>
    <n v="105"/>
    <n v="34358.1"/>
    <n v="105"/>
    <n v="105"/>
    <d v="2025-11-03T00:00:00"/>
    <n v="35677.949999999997"/>
    <s v="RV"/>
    <s v="Billing doc.transfer"/>
    <s v="01"/>
    <s v="Finished Goods"/>
    <s v="FG-PCB-CF"/>
    <s v="FG-PCB-CF"/>
    <b v="0"/>
    <n v="1300.9499999999898"/>
    <n v="3.6463698166514333E-2"/>
    <s v="November-25"/>
    <n v="339.78999999999996"/>
    <n v="105"/>
    <n v="327.23000000000008"/>
    <n v="275.85000000000002"/>
    <n v="23.720000000000002"/>
    <n v="0.17"/>
    <n v="27.49"/>
    <n v="0.17000000000005144"/>
    <n v="34377.000000000007"/>
    <n v="28964.250000000004"/>
    <n v="2490.6000000000004"/>
    <n v="17.850000000000001"/>
    <n v="2904.2999999999997"/>
    <n v="-1.0500000000051841"/>
    <n v="3.6463698166514291E-2"/>
    <n v="327.21999999999997"/>
    <n v="17.850000000003547"/>
    <n v="1.94"/>
    <n v="17.239999999999998"/>
    <n v="8.31"/>
    <n v="34358.1"/>
    <n v="2490.6000000000004"/>
    <n v="203.7"/>
    <n v="1810.1999999999998"/>
    <n v="872.55000000000007"/>
    <n v="17.850000000000001"/>
    <n v="0"/>
  </r>
  <r>
    <s v="Atomberg Technologies Private Limit"/>
    <d v="2025-11-03T00:00:00"/>
    <s v="3271307000"/>
    <x v="3"/>
    <x v="3"/>
    <s v="NOS"/>
    <s v="ZFG1"/>
    <s v="FG0010"/>
    <n v="280"/>
    <n v="180608.4"/>
    <n v="280"/>
    <n v="280"/>
    <d v="2025-11-03T00:00:00"/>
    <n v="203996.79999999999"/>
    <s v="RV"/>
    <s v="Billing doc.transfer"/>
    <s v="01"/>
    <s v="Finished Goods"/>
    <s v="FG-PCB-CF"/>
    <s v="FG-PCB-CF"/>
    <b v="0"/>
    <n v="23268.000000000116"/>
    <n v="0.11406061271549416"/>
    <s v="November-25"/>
    <n v="728.56"/>
    <n v="280"/>
    <n v="645.02999999999963"/>
    <n v="582.23999999999967"/>
    <n v="29.88"/>
    <n v="0.43"/>
    <n v="32.480000000000004"/>
    <n v="0.42999999999996419"/>
    <n v="180728.79999999987"/>
    <n v="163027.1999999999"/>
    <n v="8366.4"/>
    <n v="120.39999999999999"/>
    <n v="9214.8000000000011"/>
    <n v="9.822542779147625E-11"/>
    <n v="0.11406061271549417"/>
    <n v="645.03"/>
    <n v="120.39999999997599"/>
    <n v="2.4500000000000002"/>
    <n v="21.72"/>
    <n v="8.31"/>
    <n v="180608.4"/>
    <n v="8366.4"/>
    <n v="686"/>
    <n v="6081.5999999999995"/>
    <n v="2326.8000000000002"/>
    <n v="120.39999999999999"/>
    <n v="0"/>
  </r>
  <r>
    <s v="Atomberg Technologies Private Limit"/>
    <d v="2025-11-03T00:00:00"/>
    <s v="3271307540"/>
    <x v="3"/>
    <x v="3"/>
    <s v="NOS"/>
    <s v="ZFG1"/>
    <s v="FG0010"/>
    <n v="135"/>
    <n v="87079.05"/>
    <n v="135"/>
    <n v="135"/>
    <d v="2025-11-03T00:00:00"/>
    <n v="98355.6"/>
    <s v="RV"/>
    <s v="Billing doc.transfer"/>
    <s v="01"/>
    <s v="Finished Goods"/>
    <s v="FG-PCB-CF"/>
    <s v="FG-PCB-CF"/>
    <b v="0"/>
    <n v="11218.500000000044"/>
    <n v="0.11406061271549402"/>
    <s v="November-25"/>
    <n v="728.56000000000006"/>
    <n v="135"/>
    <n v="645.02999999999963"/>
    <n v="582.23999999999967"/>
    <n v="29.88"/>
    <n v="0.43"/>
    <n v="32.480000000000004"/>
    <n v="0.42999999999996419"/>
    <n v="87137.099999999962"/>
    <n v="78602.399999999951"/>
    <n v="4033.7999999999997"/>
    <n v="58.05"/>
    <n v="4442.8500000000004"/>
    <n v="5.2750692702829838E-11"/>
    <n v="0.11406061271549406"/>
    <n v="645.03"/>
    <n v="58.050000000012005"/>
    <n v="2.4500000000000002"/>
    <n v="21.72"/>
    <n v="8.31"/>
    <n v="87079.05"/>
    <n v="4033.7999999999997"/>
    <n v="330.75"/>
    <n v="2932.2"/>
    <n v="1121.8500000000001"/>
    <n v="58.05"/>
    <n v="0"/>
  </r>
  <r>
    <s v="Atomberg Technologies Private Limit"/>
    <d v="2025-11-03T00:00:00"/>
    <s v="3271307000"/>
    <x v="11"/>
    <x v="11"/>
    <s v="NOS"/>
    <s v="ZFG1"/>
    <s v="FG0010"/>
    <n v="1120"/>
    <n v="366385.6"/>
    <n v="1120"/>
    <n v="1120"/>
    <d v="2025-11-03T00:00:00"/>
    <n v="381998.4"/>
    <s v="RV"/>
    <s v="Billing doc.transfer"/>
    <s v="01"/>
    <s v="Finished Goods"/>
    <s v="FG-PCB-CF"/>
    <s v="FG-PCB-CF"/>
    <b v="0"/>
    <n v="15422.399999999965"/>
    <n v="4.0372943970445857E-2"/>
    <s v="November-25"/>
    <n v="341.07"/>
    <n v="1120"/>
    <n v="327.13000000000005"/>
    <n v="278.14000000000004"/>
    <n v="22.400000000000002"/>
    <n v="0.17"/>
    <n v="26.42"/>
    <n v="0.17000000000000526"/>
    <n v="366576.00000000006"/>
    <n v="311516.80000000005"/>
    <n v="25088.000000000004"/>
    <n v="190.4"/>
    <n v="29780.800000000003"/>
    <n v="-7.6397554948925972E-11"/>
    <n v="4.0372943970445885E-2"/>
    <n v="327.13"/>
    <n v="190.40000000000509"/>
    <n v="1.8299999999999998"/>
    <n v="16.28"/>
    <n v="8.31"/>
    <n v="366385.6"/>
    <n v="25088.000000000004"/>
    <n v="2049.6"/>
    <n v="18233.600000000002"/>
    <n v="9307.2000000000007"/>
    <n v="190.4"/>
    <n v="0"/>
  </r>
  <r>
    <s v="Atomberg Technologies Private Limit"/>
    <d v="2025-11-03T00:00:00"/>
    <s v="3271307555"/>
    <x v="8"/>
    <x v="8"/>
    <s v="NOS"/>
    <s v="ZFG1"/>
    <s v="FG0010"/>
    <n v="140"/>
    <n v="45528"/>
    <n v="140"/>
    <n v="140"/>
    <d v="2025-11-03T00:00:00"/>
    <n v="50898.400000000001"/>
    <s v="RV"/>
    <s v="Billing doc.transfer"/>
    <s v="01"/>
    <s v="Finished Goods"/>
    <s v="FG-PCB-CF"/>
    <s v="FG-PCB-CF"/>
    <b v="0"/>
    <n v="5334.0000000000073"/>
    <n v="0.10479700737154816"/>
    <s v="November-25"/>
    <n v="363.56"/>
    <n v="140"/>
    <n v="325.19999999999993"/>
    <n v="271.52999999999997"/>
    <n v="23.84"/>
    <n v="0.26"/>
    <n v="29.569999999999997"/>
    <n v="0.25999999999996248"/>
    <n v="45564.399999999994"/>
    <n v="38014.199999999997"/>
    <n v="3337.6"/>
    <n v="36.4"/>
    <n v="4176.1999999999989"/>
    <n v="0"/>
    <n v="0.10479700737154818"/>
    <n v="325.2"/>
    <n v="36.399999999997817"/>
    <n v="1.9500000000000002"/>
    <n v="17.329999999999998"/>
    <n v="10.29"/>
    <n v="45528"/>
    <n v="3337.6"/>
    <n v="273"/>
    <n v="2426.1999999999998"/>
    <n v="1440.6"/>
    <n v="36.4"/>
    <n v="0"/>
  </r>
  <r>
    <s v="Atomberg Technologies Private Limit"/>
    <d v="2025-11-03T00:00:00"/>
    <s v="3271307020"/>
    <x v="8"/>
    <x v="8"/>
    <s v="NOS"/>
    <s v="ZFG1"/>
    <s v="FG0010"/>
    <n v="300"/>
    <n v="97560"/>
    <n v="300"/>
    <n v="300"/>
    <d v="2025-11-03T00:00:00"/>
    <n v="109068"/>
    <s v="RV"/>
    <s v="Billing doc.transfer"/>
    <s v="01"/>
    <s v="Finished Goods"/>
    <s v="FG-PCB-CF"/>
    <s v="FG-PCB-CF"/>
    <b v="0"/>
    <n v="11430.000000000015"/>
    <n v="0.10479700737154816"/>
    <s v="November-25"/>
    <n v="363.56"/>
    <n v="300"/>
    <n v="325.19999999999993"/>
    <n v="271.52999999999997"/>
    <n v="23.84"/>
    <n v="0.26"/>
    <n v="29.569999999999997"/>
    <n v="0.25999999999996248"/>
    <n v="97637.999999999985"/>
    <n v="81458.999999999985"/>
    <n v="7152"/>
    <n v="78"/>
    <n v="8948.9999999999982"/>
    <n v="1.6370904631912708E-11"/>
    <n v="0.10479700737154818"/>
    <n v="325.2"/>
    <n v="78.000000000001819"/>
    <n v="1.9500000000000002"/>
    <n v="17.329999999999998"/>
    <n v="10.29"/>
    <n v="97560"/>
    <n v="7152"/>
    <n v="585"/>
    <n v="5198.9999999999991"/>
    <n v="3086.9999999999995"/>
    <n v="78"/>
    <n v="0"/>
  </r>
  <r>
    <s v="Atomberg Technologies Private Limit"/>
    <d v="2025-11-03T00:00:00"/>
    <s v="3271307540"/>
    <x v="8"/>
    <x v="8"/>
    <s v="NOS"/>
    <s v="ZFG1"/>
    <s v="FG0010"/>
    <n v="335"/>
    <n v="108942"/>
    <n v="335"/>
    <n v="335"/>
    <d v="2025-11-03T00:00:00"/>
    <n v="121792.6"/>
    <s v="RV"/>
    <s v="Billing doc.transfer"/>
    <s v="01"/>
    <s v="Finished Goods"/>
    <s v="FG-PCB-CF"/>
    <s v="FG-PCB-CF"/>
    <b v="0"/>
    <n v="12763.500000000015"/>
    <n v="0.10479700737154814"/>
    <s v="November-25"/>
    <n v="363.56"/>
    <n v="335"/>
    <n v="325.19999999999993"/>
    <n v="271.52999999999997"/>
    <n v="23.84"/>
    <n v="0.26"/>
    <n v="29.569999999999997"/>
    <n v="0.25999999999996248"/>
    <n v="109029.09999999999"/>
    <n v="90962.549999999988"/>
    <n v="7986.4"/>
    <n v="87.100000000000009"/>
    <n v="9993.0499999999993"/>
    <n v="0"/>
    <n v="0.10479700737154818"/>
    <n v="325.2"/>
    <n v="87.100000000004002"/>
    <n v="1.9500000000000002"/>
    <n v="17.329999999999998"/>
    <n v="10.29"/>
    <n v="108942"/>
    <n v="7986.4"/>
    <n v="653.25000000000011"/>
    <n v="5805.5499999999993"/>
    <n v="3447.1499999999996"/>
    <n v="87.100000000000009"/>
    <n v="0"/>
  </r>
  <r>
    <s v="Atomberg Technologies Private Limit"/>
    <d v="2025-11-03T00:00:00"/>
    <s v="3271307020"/>
    <x v="4"/>
    <x v="4"/>
    <s v="NOS"/>
    <s v="ZFG1"/>
    <s v="FG0010"/>
    <n v="1120"/>
    <n v="471979.2"/>
    <n v="1120"/>
    <n v="1120"/>
    <d v="2025-11-03T00:00:00"/>
    <n v="541139.19999999995"/>
    <s v="RV"/>
    <s v="Billing doc.transfer"/>
    <s v="01"/>
    <s v="Finished Goods"/>
    <s v="FG-PCB-CF"/>
    <s v="FG-PCB-CF"/>
    <b v="0"/>
    <n v="68868.800000000105"/>
    <n v="0.12726632999420504"/>
    <s v="November-25"/>
    <n v="483.15999999999997"/>
    <n v="1120"/>
    <n v="421.40999999999985"/>
    <n v="373.04999999999984"/>
    <n v="22"/>
    <n v="0.26"/>
    <n v="26.1"/>
    <n v="0.26000000000001222"/>
    <n v="472270.39999999985"/>
    <n v="417815.99999999983"/>
    <n v="24640"/>
    <n v="291.2"/>
    <n v="29523.200000000001"/>
    <n v="1.8553691916167736E-10"/>
    <n v="0.12726632999420506"/>
    <n v="421.41"/>
    <n v="291.20000000002256"/>
    <n v="1.8"/>
    <n v="15.99"/>
    <n v="8.31"/>
    <n v="471979.2"/>
    <n v="24640"/>
    <n v="2016"/>
    <n v="17908.8"/>
    <n v="9307.2000000000007"/>
    <n v="291.2"/>
    <n v="0"/>
  </r>
  <r>
    <s v="Atomberg Technologies Private Limit"/>
    <d v="2025-11-03T00:00:00"/>
    <s v="3271307555"/>
    <x v="28"/>
    <x v="28"/>
    <s v="NOS"/>
    <s v="ZFG1"/>
    <s v="FG0010"/>
    <n v="350"/>
    <n v="147483"/>
    <n v="350"/>
    <n v="350"/>
    <d v="2025-11-03T00:00:00"/>
    <n v="169106"/>
    <s v="RV"/>
    <s v="Billing doc.transfer"/>
    <s v="01"/>
    <s v="Finished Goods"/>
    <s v="FG-PCB-CF"/>
    <s v="FG-PCB-CF"/>
    <b v="0"/>
    <n v="21532.000000000058"/>
    <n v="0.12732842122692312"/>
    <s v="November-25"/>
    <n v="483.16"/>
    <n v="350"/>
    <n v="421.37999999999982"/>
    <n v="373.01999999999981"/>
    <n v="22"/>
    <n v="0.26"/>
    <n v="26.1"/>
    <n v="0.26000000000001222"/>
    <n v="147573.99999999994"/>
    <n v="130556.99999999993"/>
    <n v="7700"/>
    <n v="91"/>
    <n v="9226"/>
    <n v="7.2759576141834259E-11"/>
    <n v="0.12732842122692312"/>
    <n v="421.38"/>
    <n v="91.000000000014552"/>
    <n v="1.8"/>
    <n v="15.99"/>
    <n v="8.31"/>
    <n v="147483"/>
    <n v="7700"/>
    <n v="630"/>
    <n v="5596.5"/>
    <n v="2908.5"/>
    <n v="91"/>
    <n v="0"/>
  </r>
  <r>
    <s v="Atomberg Technologies Private Limit"/>
    <d v="2025-11-03T00:00:00"/>
    <s v="3271307540"/>
    <x v="28"/>
    <x v="28"/>
    <s v="NOS"/>
    <s v="ZFG1"/>
    <s v="FG0010"/>
    <n v="350"/>
    <n v="147483"/>
    <n v="350"/>
    <n v="350"/>
    <d v="2025-11-03T00:00:00"/>
    <n v="169106"/>
    <s v="RV"/>
    <s v="Billing doc.transfer"/>
    <s v="01"/>
    <s v="Finished Goods"/>
    <s v="FG-PCB-CF"/>
    <s v="FG-PCB-CF"/>
    <b v="0"/>
    <n v="21532.000000000058"/>
    <n v="0.12732842122692312"/>
    <s v="November-25"/>
    <n v="483.16"/>
    <n v="350"/>
    <n v="421.37999999999982"/>
    <n v="373.01999999999981"/>
    <n v="22"/>
    <n v="0.26"/>
    <n v="26.1"/>
    <n v="0.26000000000001222"/>
    <n v="147573.99999999994"/>
    <n v="130556.99999999993"/>
    <n v="7700"/>
    <n v="91"/>
    <n v="9226"/>
    <n v="7.2759576141834259E-11"/>
    <n v="0.12732842122692312"/>
    <n v="421.38"/>
    <n v="91.000000000014552"/>
    <n v="1.8"/>
    <n v="15.99"/>
    <n v="8.31"/>
    <n v="147483"/>
    <n v="7700"/>
    <n v="630"/>
    <n v="5596.5"/>
    <n v="2908.5"/>
    <n v="91"/>
    <n v="0"/>
  </r>
  <r>
    <s v="Atomberg Technologies Private Limit"/>
    <d v="2025-11-03T00:00:00"/>
    <s v="3271307020"/>
    <x v="16"/>
    <x v="16"/>
    <s v="NOS"/>
    <s v="ZFG1"/>
    <s v="FG0010"/>
    <n v="1080"/>
    <n v="352371.6"/>
    <n v="1080"/>
    <n v="1080"/>
    <d v="2025-11-03T00:00:00"/>
    <n v="392644.8"/>
    <s v="RV"/>
    <s v="Billing doc.transfer"/>
    <s v="01"/>
    <s v="Finished Goods"/>
    <s v="FG-PCB-CF"/>
    <s v="FG-PCB-CF"/>
    <b v="0"/>
    <n v="40003.200000000012"/>
    <n v="0.10188139509296956"/>
    <s v="November-25"/>
    <n v="363.56"/>
    <n v="1080"/>
    <n v="326.27"/>
    <n v="271.52999999999997"/>
    <n v="20.94"/>
    <n v="0.25"/>
    <n v="33.550000000000004"/>
    <n v="0.25000000000000711"/>
    <n v="352641.6"/>
    <n v="293252.39999999997"/>
    <n v="22615.200000000001"/>
    <n v="270"/>
    <n v="36504.000000000007"/>
    <n v="0"/>
    <n v="0.10188139509296956"/>
    <n v="326.27"/>
    <n v="270.00000000000728"/>
    <n v="1.7100000000000002"/>
    <n v="15.22"/>
    <n v="16.62"/>
    <n v="352371.6"/>
    <n v="22615.200000000001"/>
    <n v="1846.8000000000002"/>
    <n v="16437.600000000002"/>
    <n v="17949.600000000002"/>
    <n v="270"/>
    <n v="0"/>
  </r>
  <r>
    <s v="Atomberg Technologies Private Limit"/>
    <d v="2025-11-03T00:00:00"/>
    <s v="3271307020"/>
    <x v="5"/>
    <x v="5"/>
    <s v="NOS"/>
    <s v="ZFG1"/>
    <s v="FG0010"/>
    <n v="4480"/>
    <n v="1465542.4"/>
    <n v="4480"/>
    <n v="4480"/>
    <d v="2025-11-03T00:00:00"/>
    <n v="1527993.6"/>
    <s v="RV"/>
    <s v="Billing doc.transfer"/>
    <s v="01"/>
    <s v="Finished Goods"/>
    <s v="FG-PCB-CF"/>
    <s v="FG-PCB-CF"/>
    <b v="0"/>
    <n v="61689.600000000093"/>
    <n v="4.037294397044601E-2"/>
    <s v="November-25"/>
    <n v="341.07"/>
    <n v="4480"/>
    <n v="327.13"/>
    <n v="278.14"/>
    <n v="22.400000000000002"/>
    <n v="0.17"/>
    <n v="26.42"/>
    <n v="0.17000000000000526"/>
    <n v="1466304"/>
    <n v="1246067.2"/>
    <n v="100352.00000000001"/>
    <n v="761.6"/>
    <n v="119123.20000000001"/>
    <n v="0"/>
    <n v="4.0372943970445996E-2"/>
    <n v="327.13"/>
    <n v="761.60000000002037"/>
    <n v="1.8299999999999998"/>
    <n v="16.28"/>
    <n v="8.31"/>
    <n v="1465542.4"/>
    <n v="100352.00000000001"/>
    <n v="8198.4"/>
    <n v="72934.400000000009"/>
    <n v="37228.800000000003"/>
    <n v="761.6"/>
    <n v="0"/>
  </r>
  <r>
    <s v="Atomberg Technologies Private Limit"/>
    <d v="2025-11-03T00:00:00"/>
    <s v="3271307555"/>
    <x v="5"/>
    <x v="5"/>
    <s v="NOS"/>
    <s v="ZFG1"/>
    <s v="FG0010"/>
    <n v="840"/>
    <n v="274789.2"/>
    <n v="840"/>
    <n v="840"/>
    <d v="2025-11-03T00:00:00"/>
    <n v="286498.8"/>
    <s v="RV"/>
    <s v="Billing doc.transfer"/>
    <s v="01"/>
    <s v="Finished Goods"/>
    <s v="FG-PCB-CF"/>
    <s v="FG-PCB-CF"/>
    <b v="0"/>
    <n v="11566.800000000047"/>
    <n v="4.0372943970446114E-2"/>
    <s v="November-25"/>
    <n v="341.07"/>
    <n v="840"/>
    <n v="327.13"/>
    <n v="278.14"/>
    <n v="22.400000000000002"/>
    <n v="0.17"/>
    <n v="26.42"/>
    <n v="0.17000000000000526"/>
    <n v="274931.99999999994"/>
    <n v="233637.59999999998"/>
    <n v="18816"/>
    <n v="142.80000000000001"/>
    <n v="22335.600000000002"/>
    <n v="3.2741809263825417E-11"/>
    <n v="4.0372943970446107E-2"/>
    <n v="327.13"/>
    <n v="142.79999999996289"/>
    <n v="1.8299999999999998"/>
    <n v="16.28"/>
    <n v="8.31"/>
    <n v="274789.2"/>
    <n v="18816"/>
    <n v="1537.1999999999998"/>
    <n v="13675.2"/>
    <n v="6980.4000000000005"/>
    <n v="142.80000000000001"/>
    <n v="0"/>
  </r>
  <r>
    <s v="GODREJ &amp; BOYCE MFG. CO. LTD  MOHALI"/>
    <d v="2025-11-01T00:00:00"/>
    <s v="3271306675"/>
    <x v="1"/>
    <x v="1"/>
    <s v="NOS"/>
    <s v="ZFG1"/>
    <s v="FG0011"/>
    <n v="2400"/>
    <n v="1107288"/>
    <n v="2400"/>
    <n v="2400"/>
    <d v="2025-11-01T00:00:00"/>
    <n v="1582344"/>
    <s v="RV"/>
    <s v="Billing doc.transfer"/>
    <s v="01"/>
    <s v="Finished Goods"/>
    <s v="FG-PCB-Ref"/>
    <s v="FG-PCB-Ref"/>
    <b v="0"/>
    <n v="474480"/>
    <n v="0.29985894344087"/>
    <s v="November-25"/>
    <n v="659.31"/>
    <n v="2400"/>
    <n v="461.37"/>
    <n v="401.59000000000003"/>
    <n v="28.32"/>
    <n v="0.24"/>
    <n v="31.22"/>
    <n v="0.23999999999997357"/>
    <n v="1107864"/>
    <n v="963816.00000000012"/>
    <n v="67968"/>
    <n v="576"/>
    <n v="75504"/>
    <n v="-1.1641532182693481E-10"/>
    <n v="0.29985894344087005"/>
    <n v="461.37"/>
    <n v="575.99999999988358"/>
    <n v="2.3199999999999998"/>
    <n v="20.59"/>
    <n v="8.31"/>
    <n v="1107288"/>
    <n v="67968"/>
    <n v="5568"/>
    <n v="49416"/>
    <n v="19944"/>
    <n v="576"/>
    <n v="0"/>
  </r>
  <r>
    <s v="Atomberg Technologies Private Limit"/>
    <d v="2025-11-01T00:00:00"/>
    <s v="3271306603"/>
    <x v="18"/>
    <x v="18"/>
    <s v="NOS"/>
    <s v="ZSFG"/>
    <s v="SF0045"/>
    <n v="2240"/>
    <n v="427974.40000000002"/>
    <n v="2240"/>
    <n v="2240"/>
    <d v="2025-11-01T00:00:00"/>
    <n v="465382.40000000002"/>
    <s v="RV"/>
    <s v="Billing doc.transfer"/>
    <s v="01"/>
    <s v="Semi-Finished Goods"/>
    <s v="SFG-GV5 Stator"/>
    <s v="Sub Ass.-Mech Stator"/>
    <b v="0"/>
    <n v="37609.600000000093"/>
    <n v="8.0814401232191191E-2"/>
    <s v="November-25"/>
    <n v="207.76000000000002"/>
    <n v="2240"/>
    <n v="190.96999999999997"/>
    <n v="187.51999999999998"/>
    <n v="1.5"/>
    <n v="0"/>
    <n v="1.95"/>
    <n v="-1.1324274851176597E-14"/>
    <n v="427772.79999999993"/>
    <n v="420044.79999999993"/>
    <n v="3360"/>
    <n v="0"/>
    <n v="4368"/>
    <n v="201.60000000009313"/>
    <n v="8.0814401232191191E-2"/>
    <n v="191.06"/>
    <n v="0"/>
    <n v="0.05"/>
    <n v="0.4"/>
    <n v="1.5"/>
    <n v="427974.40000000002"/>
    <n v="3360"/>
    <n v="112"/>
    <n v="896"/>
    <n v="3360"/>
    <n v="0"/>
    <n v="0"/>
  </r>
  <r>
    <s v="Atomberg Technologies Private Limit"/>
    <d v="2025-11-01T00:00:00"/>
    <s v="3271306603"/>
    <x v="2"/>
    <x v="2"/>
    <s v="NOS"/>
    <s v="ZSFG"/>
    <s v="SF0045"/>
    <n v="1120"/>
    <n v="165491.20000000001"/>
    <n v="1120"/>
    <n v="1120"/>
    <d v="2025-11-01T00:00:00"/>
    <n v="182492.79999999999"/>
    <s v="RV"/>
    <s v="Billing doc.transfer"/>
    <s v="01"/>
    <s v="Semi-Finished Goods"/>
    <s v="SFG-GV5 Stator"/>
    <s v="Sub Ass.-Mech Stator"/>
    <b v="0"/>
    <n v="17102.400000000023"/>
    <n v="9.3715478090094645E-2"/>
    <s v="November-25"/>
    <n v="162.94"/>
    <n v="1120"/>
    <n v="147.66999999999996"/>
    <n v="144.21999999999997"/>
    <n v="1.5"/>
    <n v="0"/>
    <n v="1.95"/>
    <n v="-1.1324274851176597E-14"/>
    <n v="165390.39999999997"/>
    <n v="161526.39999999997"/>
    <n v="1680"/>
    <n v="0"/>
    <n v="2184"/>
    <n v="100.80000000004657"/>
    <n v="9.3715478090094617E-2"/>
    <n v="147.76000000000002"/>
    <n v="0"/>
    <n v="0.05"/>
    <n v="0.4"/>
    <n v="1.5"/>
    <n v="165491.20000000001"/>
    <n v="1680"/>
    <n v="56"/>
    <n v="448"/>
    <n v="1680"/>
    <n v="0"/>
    <n v="0"/>
  </r>
  <r>
    <s v="Atomberg Technologies Private Limit"/>
    <d v="2025-11-01T00:00:00"/>
    <s v="3271306998"/>
    <x v="2"/>
    <x v="2"/>
    <s v="NOS"/>
    <s v="ZSFG"/>
    <s v="SF0045"/>
    <n v="840"/>
    <n v="124118.39999999999"/>
    <n v="840"/>
    <n v="840"/>
    <d v="2025-11-01T00:00:00"/>
    <n v="136869.6"/>
    <s v="RV"/>
    <s v="Billing doc.transfer"/>
    <s v="01"/>
    <s v="Semi-Finished Goods"/>
    <s v="SFG-GV5 Stator"/>
    <s v="Sub Ass.-Mech Stator"/>
    <b v="0"/>
    <n v="12826.800000000032"/>
    <n v="9.3715478090094742E-2"/>
    <s v="November-25"/>
    <n v="162.94"/>
    <n v="840"/>
    <n v="147.66999999999996"/>
    <n v="144.21999999999997"/>
    <n v="1.5"/>
    <n v="0"/>
    <n v="1.95"/>
    <n v="-1.1324274851176597E-14"/>
    <n v="124042.79999999997"/>
    <n v="121144.79999999997"/>
    <n v="1260"/>
    <n v="0"/>
    <n v="1638"/>
    <n v="75.600000000020373"/>
    <n v="9.3715478090094728E-2"/>
    <n v="147.76"/>
    <n v="0"/>
    <n v="0.05"/>
    <n v="0.4"/>
    <n v="1.5"/>
    <n v="124118.39999999999"/>
    <n v="1260"/>
    <n v="42"/>
    <n v="336"/>
    <n v="1260"/>
    <n v="0"/>
    <n v="0"/>
  </r>
  <r>
    <s v="Atomberg Technologies Private Limit"/>
    <d v="2025-11-01T00:00:00"/>
    <s v="3271306604"/>
    <x v="35"/>
    <x v="35"/>
    <s v="NOS"/>
    <s v="ZSFG"/>
    <s v="SF0045"/>
    <n v="2275"/>
    <n v="284875.5"/>
    <n v="2275"/>
    <n v="2275"/>
    <d v="2025-11-01T00:00:00"/>
    <n v="301187.25"/>
    <s v="RV"/>
    <s v="Billing doc.transfer"/>
    <s v="01"/>
    <s v="Semi-Finished Goods"/>
    <s v="SFG-GV5 Stator"/>
    <s v="Sub Ass.-Mech Stator"/>
    <b v="0"/>
    <n v="16516.5"/>
    <n v="5.4837978699297532E-2"/>
    <s v="November-25"/>
    <n v="132.38999999999999"/>
    <n v="2275"/>
    <n v="125.13"/>
    <n v="121.67999999999999"/>
    <n v="1.5"/>
    <n v="0"/>
    <n v="1.95"/>
    <n v="2.886579864025407E-15"/>
    <n v="284670.75"/>
    <n v="276822"/>
    <n v="3412.5"/>
    <n v="0"/>
    <n v="4436.25"/>
    <n v="204.75"/>
    <n v="5.4837978699297518E-2"/>
    <n v="125.22"/>
    <n v="0"/>
    <n v="0.05"/>
    <n v="0.4"/>
    <n v="1.5"/>
    <n v="284875.5"/>
    <n v="3412.5"/>
    <n v="113.75"/>
    <n v="910"/>
    <n v="3412.5"/>
    <n v="0"/>
    <n v="0"/>
  </r>
  <r>
    <s v="Atomberg Technologies Private Limit"/>
    <d v="2025-11-01T00:00:00"/>
    <s v="3271306999"/>
    <x v="3"/>
    <x v="3"/>
    <s v="NOS"/>
    <s v="ZFG1"/>
    <s v="FG0010"/>
    <n v="315"/>
    <n v="203184.45"/>
    <n v="315"/>
    <n v="315"/>
    <d v="2025-11-01T00:00:00"/>
    <n v="229496.4"/>
    <s v="RV"/>
    <s v="Billing doc.transfer"/>
    <s v="01"/>
    <s v="Finished Goods"/>
    <s v="FG-PCB-CF"/>
    <s v="FG-PCB-CF"/>
    <b v="0"/>
    <n v="26176.500000000087"/>
    <n v="0.11406061271549396"/>
    <s v="November-25"/>
    <n v="728.56"/>
    <n v="315"/>
    <n v="645.02999999999963"/>
    <n v="582.23999999999967"/>
    <n v="29.88"/>
    <n v="0.43"/>
    <n v="32.480000000000004"/>
    <n v="0.42999999999996419"/>
    <n v="203319.89999999991"/>
    <n v="183405.59999999989"/>
    <n v="9412.1999999999989"/>
    <n v="135.44999999999999"/>
    <n v="10366.650000000001"/>
    <n v="1.2187229003757238E-10"/>
    <n v="0.11406061271549395"/>
    <n v="645.03000000000009"/>
    <n v="135.4500000000171"/>
    <n v="2.4500000000000002"/>
    <n v="21.72"/>
    <n v="8.31"/>
    <n v="203184.45"/>
    <n v="9412.1999999999989"/>
    <n v="771.75"/>
    <n v="6841.7999999999993"/>
    <n v="2617.65"/>
    <n v="135.44999999999999"/>
    <n v="0"/>
  </r>
  <r>
    <s v="Atomberg Technologies Private Limit"/>
    <d v="2025-11-01T00:00:00"/>
    <s v="3271306594"/>
    <x v="3"/>
    <x v="3"/>
    <s v="NOS"/>
    <s v="ZFG1"/>
    <s v="FG0010"/>
    <n v="234"/>
    <n v="150937.01999999999"/>
    <n v="234"/>
    <n v="234"/>
    <d v="2025-11-01T00:00:00"/>
    <n v="170483.04"/>
    <s v="RV"/>
    <s v="Billing doc.transfer"/>
    <s v="01"/>
    <s v="Finished Goods"/>
    <s v="FG-PCB-CF"/>
    <s v="FG-PCB-CF"/>
    <b v="0"/>
    <n v="19445.400000000081"/>
    <n v="0.11406061271549404"/>
    <s v="November-25"/>
    <n v="728.56000000000006"/>
    <n v="234"/>
    <n v="645.02999999999963"/>
    <n v="582.23999999999967"/>
    <n v="29.88"/>
    <n v="0.43"/>
    <n v="32.480000000000004"/>
    <n v="0.42999999999996419"/>
    <n v="151037.63999999993"/>
    <n v="136244.15999999992"/>
    <n v="6991.92"/>
    <n v="100.62"/>
    <n v="7700.9400000000005"/>
    <n v="7.2759576141834259E-11"/>
    <n v="0.11406061271549406"/>
    <n v="645.03"/>
    <n v="100.6200000000099"/>
    <n v="2.4500000000000002"/>
    <n v="21.72"/>
    <n v="8.31"/>
    <n v="150937.01999999999"/>
    <n v="6991.92"/>
    <n v="573.30000000000007"/>
    <n v="5082.4799999999996"/>
    <n v="1944.5400000000002"/>
    <n v="100.62"/>
    <n v="0"/>
  </r>
  <r>
    <s v="Atomberg Technologies Private Limit"/>
    <d v="2025-11-01T00:00:00"/>
    <s v="3271306999"/>
    <x v="8"/>
    <x v="8"/>
    <s v="NOS"/>
    <s v="ZFG1"/>
    <s v="FG0010"/>
    <n v="120"/>
    <n v="39024"/>
    <n v="120"/>
    <n v="120"/>
    <d v="2025-11-01T00:00:00"/>
    <n v="43627.199999999997"/>
    <s v="RV"/>
    <s v="Billing doc.transfer"/>
    <s v="01"/>
    <s v="Finished Goods"/>
    <s v="FG-PCB-CF"/>
    <s v="FG-PCB-CF"/>
    <b v="0"/>
    <n v="4572"/>
    <n v="0.10479700737154803"/>
    <s v="November-25"/>
    <n v="363.56"/>
    <n v="120"/>
    <n v="325.19999999999993"/>
    <n v="271.52999999999997"/>
    <n v="23.84"/>
    <n v="0.26"/>
    <n v="29.569999999999997"/>
    <n v="0.25999999999996248"/>
    <n v="39055.199999999997"/>
    <n v="32583.599999999999"/>
    <n v="2860.8"/>
    <n v="31.200000000000003"/>
    <n v="3579.5999999999995"/>
    <n v="0"/>
    <n v="0.10479700737154807"/>
    <n v="325.2"/>
    <n v="31.199999999998909"/>
    <n v="1.9500000000000002"/>
    <n v="17.329999999999998"/>
    <n v="10.29"/>
    <n v="39024"/>
    <n v="2860.8"/>
    <n v="234.00000000000003"/>
    <n v="2079.6"/>
    <n v="1234.8"/>
    <n v="31.200000000000003"/>
    <n v="0"/>
  </r>
  <r>
    <s v="Atomberg Technologies Private Limit"/>
    <d v="2025-11-01T00:00:00"/>
    <s v="3271306999"/>
    <x v="9"/>
    <x v="9"/>
    <s v="NOS"/>
    <s v="ZFG1"/>
    <s v="FG0010"/>
    <n v="96"/>
    <n v="20793.599999999999"/>
    <n v="96"/>
    <n v="96"/>
    <d v="2025-11-01T00:00:00"/>
    <n v="21554.880000000001"/>
    <s v="RV"/>
    <s v="Billing doc.transfer"/>
    <s v="01"/>
    <s v="Finished Goods"/>
    <s v="FG-PCB-CF"/>
    <s v="FG-PCB-CF"/>
    <b v="0"/>
    <n v="757.4400000000096"/>
    <n v="3.5140070369216139E-2"/>
    <s v="November-25"/>
    <n v="224.53"/>
    <n v="96"/>
    <n v="216.59999999999994"/>
    <n v="174.98999999999995"/>
    <n v="18.389999999999997"/>
    <n v="0.04"/>
    <n v="23.18"/>
    <n v="3.9999999999988489E-2"/>
    <n v="20797.439999999991"/>
    <n v="16799.039999999994"/>
    <n v="1765.4399999999996"/>
    <n v="3.84"/>
    <n v="2229.12"/>
    <n v="5.4569682106375694E-12"/>
    <n v="3.5140070369216181E-2"/>
    <n v="216.6"/>
    <n v="3.8399999999983265"/>
    <n v="1.5"/>
    <n v="13.37"/>
    <n v="8.31"/>
    <n v="20793.599999999999"/>
    <n v="1765.4399999999996"/>
    <n v="144"/>
    <n v="1283.52"/>
    <n v="797.76"/>
    <n v="3.84"/>
    <n v="0"/>
  </r>
  <r>
    <s v="Atomberg Technologies Private Limit"/>
    <d v="2025-11-01T00:00:00"/>
    <s v="3271306593"/>
    <x v="4"/>
    <x v="4"/>
    <s v="NOS"/>
    <s v="ZFG1"/>
    <s v="FG0010"/>
    <n v="1120"/>
    <n v="471979.2"/>
    <n v="1120"/>
    <n v="1120"/>
    <d v="2025-11-01T00:00:00"/>
    <n v="541139.19999999995"/>
    <s v="RV"/>
    <s v="Billing doc.transfer"/>
    <s v="01"/>
    <s v="Finished Goods"/>
    <s v="FG-PCB-CF"/>
    <s v="FG-PCB-CF"/>
    <b v="0"/>
    <n v="68868.800000000105"/>
    <n v="0.12726632999420504"/>
    <s v="November-25"/>
    <n v="483.15999999999997"/>
    <n v="1120"/>
    <n v="421.40999999999985"/>
    <n v="373.04999999999984"/>
    <n v="22"/>
    <n v="0.26"/>
    <n v="26.1"/>
    <n v="0.26000000000001222"/>
    <n v="472270.39999999985"/>
    <n v="417815.99999999983"/>
    <n v="24640"/>
    <n v="291.2"/>
    <n v="29523.200000000001"/>
    <n v="1.8553691916167736E-10"/>
    <n v="0.12726632999420506"/>
    <n v="421.41"/>
    <n v="291.20000000002256"/>
    <n v="1.8"/>
    <n v="15.99"/>
    <n v="8.31"/>
    <n v="471979.2"/>
    <n v="24640"/>
    <n v="2016"/>
    <n v="17908.8"/>
    <n v="9307.2000000000007"/>
    <n v="291.2"/>
    <n v="0"/>
  </r>
  <r>
    <s v="Atomberg Technologies Private Limit"/>
    <d v="2025-11-01T00:00:00"/>
    <s v="3271306602"/>
    <x v="4"/>
    <x v="4"/>
    <s v="NOS"/>
    <s v="ZFG1"/>
    <s v="FG0010"/>
    <n v="1120"/>
    <n v="471979.2"/>
    <n v="1120"/>
    <n v="1120"/>
    <d v="2025-11-01T00:00:00"/>
    <n v="541139.19999999995"/>
    <s v="RV"/>
    <s v="Billing doc.transfer"/>
    <s v="01"/>
    <s v="Finished Goods"/>
    <s v="FG-PCB-CF"/>
    <s v="FG-PCB-CF"/>
    <b v="0"/>
    <n v="68868.800000000105"/>
    <n v="0.12726632999420504"/>
    <s v="November-25"/>
    <n v="483.15999999999997"/>
    <n v="1120"/>
    <n v="421.40999999999985"/>
    <n v="373.04999999999984"/>
    <n v="22"/>
    <n v="0.26"/>
    <n v="26.1"/>
    <n v="0.26000000000001222"/>
    <n v="472270.39999999985"/>
    <n v="417815.99999999983"/>
    <n v="24640"/>
    <n v="291.2"/>
    <n v="29523.200000000001"/>
    <n v="1.8553691916167736E-10"/>
    <n v="0.12726632999420506"/>
    <n v="421.41"/>
    <n v="291.20000000002256"/>
    <n v="1.8"/>
    <n v="15.99"/>
    <n v="8.31"/>
    <n v="471979.2"/>
    <n v="24640"/>
    <n v="2016"/>
    <n v="17908.8"/>
    <n v="9307.2000000000007"/>
    <n v="291.2"/>
    <n v="0"/>
  </r>
  <r>
    <s v="Atomberg Technologies Private Limit"/>
    <d v="2025-11-01T00:00:00"/>
    <s v="3271306602"/>
    <x v="16"/>
    <x v="16"/>
    <s v="NOS"/>
    <s v="ZFG1"/>
    <s v="FG0010"/>
    <n v="1080"/>
    <n v="352371.6"/>
    <n v="1080"/>
    <n v="1080"/>
    <d v="2025-11-01T00:00:00"/>
    <n v="392644.8"/>
    <s v="RV"/>
    <s v="Billing doc.transfer"/>
    <s v="01"/>
    <s v="Finished Goods"/>
    <s v="FG-PCB-CF"/>
    <s v="FG-PCB-CF"/>
    <b v="0"/>
    <n v="40003.200000000012"/>
    <n v="0.10188139509296956"/>
    <s v="November-25"/>
    <n v="363.56"/>
    <n v="1080"/>
    <n v="326.27"/>
    <n v="271.52999999999997"/>
    <n v="20.94"/>
    <n v="0.25"/>
    <n v="33.550000000000004"/>
    <n v="0.25000000000000711"/>
    <n v="352641.6"/>
    <n v="293252.39999999997"/>
    <n v="22615.200000000001"/>
    <n v="270"/>
    <n v="36504.000000000007"/>
    <n v="0"/>
    <n v="0.10188139509296956"/>
    <n v="326.27"/>
    <n v="270.00000000000728"/>
    <n v="1.7100000000000002"/>
    <n v="15.22"/>
    <n v="16.62"/>
    <n v="352371.6"/>
    <n v="22615.200000000001"/>
    <n v="1846.8000000000002"/>
    <n v="16437.600000000002"/>
    <n v="17949.600000000002"/>
    <n v="270"/>
    <n v="0"/>
  </r>
  <r>
    <s v="Atomberg Technologies Private Limit"/>
    <d v="2025-11-01T00:00:00"/>
    <s v="3271306999"/>
    <x v="5"/>
    <x v="5"/>
    <s v="NOS"/>
    <s v="ZFG1"/>
    <s v="FG0010"/>
    <n v="300"/>
    <n v="98139"/>
    <n v="300"/>
    <n v="300"/>
    <d v="2025-11-01T00:00:00"/>
    <n v="102321"/>
    <s v="RV"/>
    <s v="Billing doc.transfer"/>
    <s v="01"/>
    <s v="Finished Goods"/>
    <s v="FG-PCB-CF"/>
    <s v="FG-PCB-CF"/>
    <b v="0"/>
    <n v="4131"/>
    <n v="4.0372943970445947E-2"/>
    <s v="November-25"/>
    <n v="341.07"/>
    <n v="300"/>
    <n v="327.13"/>
    <n v="278.14"/>
    <n v="22.400000000000002"/>
    <n v="0.17"/>
    <n v="26.42"/>
    <n v="0.17000000000000526"/>
    <n v="98190"/>
    <n v="83442"/>
    <n v="6720.0000000000009"/>
    <n v="51.000000000000007"/>
    <n v="7977.0000000000009"/>
    <n v="0"/>
    <n v="4.0372943970445996E-2"/>
    <n v="327.13"/>
    <n v="50.999999999998181"/>
    <n v="1.8299999999999998"/>
    <n v="16.28"/>
    <n v="8.31"/>
    <n v="98139"/>
    <n v="6720.0000000000009"/>
    <n v="549"/>
    <n v="4884"/>
    <n v="2493"/>
    <n v="51.000000000000007"/>
    <n v="0"/>
  </r>
  <r>
    <s v="Atomberg Technologies Private Limit"/>
    <d v="2025-11-01T00:00:00"/>
    <s v="3271306593"/>
    <x v="5"/>
    <x v="5"/>
    <s v="NOS"/>
    <s v="ZFG1"/>
    <s v="FG0010"/>
    <n v="1120"/>
    <n v="366385.6"/>
    <n v="1120"/>
    <n v="1120"/>
    <d v="2025-11-01T00:00:00"/>
    <n v="381998.4"/>
    <s v="RV"/>
    <s v="Billing doc.transfer"/>
    <s v="01"/>
    <s v="Finished Goods"/>
    <s v="FG-PCB-CF"/>
    <s v="FG-PCB-CF"/>
    <b v="0"/>
    <n v="15422.400000000023"/>
    <n v="4.037294397044601E-2"/>
    <s v="November-25"/>
    <n v="341.07"/>
    <n v="1120"/>
    <n v="327.13"/>
    <n v="278.14"/>
    <n v="22.400000000000002"/>
    <n v="0.17"/>
    <n v="26.42"/>
    <n v="0.17000000000000526"/>
    <n v="366576"/>
    <n v="311516.79999999999"/>
    <n v="25088.000000000004"/>
    <n v="190.4"/>
    <n v="29780.800000000003"/>
    <n v="0"/>
    <n v="4.0372943970445996E-2"/>
    <n v="327.13"/>
    <n v="190.40000000000509"/>
    <n v="1.8299999999999998"/>
    <n v="16.28"/>
    <n v="8.31"/>
    <n v="366385.6"/>
    <n v="25088.000000000004"/>
    <n v="2049.6"/>
    <n v="18233.600000000002"/>
    <n v="9307.2000000000007"/>
    <n v="190.4"/>
    <n v="0"/>
  </r>
  <r>
    <s v="Atomberg Technologies Private Limit"/>
    <d v="2025-11-01T00:00:00"/>
    <s v="3271306594"/>
    <x v="5"/>
    <x v="5"/>
    <s v="NOS"/>
    <s v="ZFG1"/>
    <s v="FG0010"/>
    <n v="1120"/>
    <n v="366385.6"/>
    <n v="1120"/>
    <n v="1120"/>
    <d v="2025-11-01T00:00:00"/>
    <n v="381998.4"/>
    <s v="RV"/>
    <s v="Billing doc.transfer"/>
    <s v="01"/>
    <s v="Finished Goods"/>
    <s v="FG-PCB-CF"/>
    <s v="FG-PCB-CF"/>
    <b v="0"/>
    <n v="15422.400000000023"/>
    <n v="4.037294397044601E-2"/>
    <s v="November-25"/>
    <n v="341.07"/>
    <n v="1120"/>
    <n v="327.13"/>
    <n v="278.14"/>
    <n v="22.400000000000002"/>
    <n v="0.17"/>
    <n v="26.42"/>
    <n v="0.17000000000000526"/>
    <n v="366576"/>
    <n v="311516.79999999999"/>
    <n v="25088.000000000004"/>
    <n v="190.4"/>
    <n v="29780.800000000003"/>
    <n v="0"/>
    <n v="4.0372943970445996E-2"/>
    <n v="327.13"/>
    <n v="190.40000000000509"/>
    <n v="1.8299999999999998"/>
    <n v="16.28"/>
    <n v="8.31"/>
    <n v="366385.6"/>
    <n v="25088.000000000004"/>
    <n v="2049.6"/>
    <n v="18233.600000000002"/>
    <n v="9307.2000000000007"/>
    <n v="190.4"/>
    <n v="0"/>
  </r>
  <r>
    <s v="Atomberg Technologies Private Limit"/>
    <d v="2025-11-01T00:00:00"/>
    <s v="3271306602"/>
    <x v="5"/>
    <x v="5"/>
    <s v="NOS"/>
    <s v="ZFG1"/>
    <s v="FG0010"/>
    <n v="2250"/>
    <n v="736042.5"/>
    <n v="2250"/>
    <n v="2250"/>
    <d v="2025-11-01T00:00:00"/>
    <n v="767407.5"/>
    <s v="RV"/>
    <s v="Billing doc.transfer"/>
    <s v="01"/>
    <s v="Finished Goods"/>
    <s v="FG-PCB-CF"/>
    <s v="FG-PCB-CF"/>
    <b v="0"/>
    <n v="30982.5"/>
    <n v="4.0372943970445947E-2"/>
    <s v="November-25"/>
    <n v="341.07"/>
    <n v="2250"/>
    <n v="327.13"/>
    <n v="278.14"/>
    <n v="22.400000000000002"/>
    <n v="0.17"/>
    <n v="26.42"/>
    <n v="0.17000000000000526"/>
    <n v="736425"/>
    <n v="625815"/>
    <n v="50400.000000000007"/>
    <n v="382.5"/>
    <n v="59827.500000000007"/>
    <n v="0"/>
    <n v="4.0372943970445996E-2"/>
    <n v="327.13"/>
    <n v="382.49999999998545"/>
    <n v="1.8299999999999998"/>
    <n v="16.28"/>
    <n v="8.31"/>
    <n v="736042.5"/>
    <n v="50400.000000000007"/>
    <n v="4117.5"/>
    <n v="36630"/>
    <n v="18697.5"/>
    <n v="382.5"/>
    <n v="0"/>
  </r>
  <r>
    <s v="Atomberg Technologies Private Limit"/>
    <d v="2025-11-01T00:00:00"/>
    <s v="3271306594"/>
    <x v="7"/>
    <x v="7"/>
    <s v="NOS"/>
    <s v="ZFG1"/>
    <s v="FG0010"/>
    <n v="1260"/>
    <n v="412146"/>
    <n v="1260"/>
    <n v="1260"/>
    <d v="2025-11-01T00:00:00"/>
    <n v="429748.2"/>
    <s v="RV"/>
    <s v="Billing doc.transfer"/>
    <s v="01"/>
    <s v="Finished Goods"/>
    <s v="FG-PCB-CF"/>
    <s v="FG-PCB-CF"/>
    <b v="0"/>
    <n v="17388.000000000116"/>
    <n v="4.0460902454041964E-2"/>
    <s v="November-25"/>
    <n v="341.07"/>
    <n v="1260"/>
    <n v="327.09999999999991"/>
    <n v="278.1099999999999"/>
    <n v="22.400000000000002"/>
    <n v="0.17"/>
    <n v="26.42"/>
    <n v="0.17000000000000526"/>
    <n v="412360.1999999999"/>
    <n v="350418.59999999986"/>
    <n v="28224.000000000004"/>
    <n v="214.20000000000002"/>
    <n v="33503.4"/>
    <n v="1.3824319466948509E-10"/>
    <n v="4.0460902454041991E-2"/>
    <n v="327.10000000000002"/>
    <n v="214.20000000003347"/>
    <n v="1.8299999999999998"/>
    <n v="16.28"/>
    <n v="8.31"/>
    <n v="412146"/>
    <n v="28224.000000000004"/>
    <n v="2305.7999999999997"/>
    <n v="20512.800000000003"/>
    <n v="10470.6"/>
    <n v="214.20000000000002"/>
    <n v="0"/>
  </r>
  <r>
    <s v="Atomberg Technologies Private Limit"/>
    <d v="2025-11-01T00:00:00"/>
    <s v="3271306602"/>
    <x v="7"/>
    <x v="7"/>
    <s v="NOS"/>
    <s v="ZFG1"/>
    <s v="FG0010"/>
    <n v="770"/>
    <n v="251867"/>
    <n v="770"/>
    <n v="770"/>
    <d v="2025-11-01T00:00:00"/>
    <n v="262623.90000000002"/>
    <s v="RV"/>
    <s v="Billing doc.transfer"/>
    <s v="01"/>
    <s v="Finished Goods"/>
    <s v="FG-PCB-CF"/>
    <s v="FG-PCB-CF"/>
    <b v="0"/>
    <n v="10626.000000000087"/>
    <n v="4.0460902454042019E-2"/>
    <s v="November-25"/>
    <n v="341.07000000000005"/>
    <n v="770"/>
    <n v="327.09999999999991"/>
    <n v="278.1099999999999"/>
    <n v="22.400000000000002"/>
    <n v="0.17"/>
    <n v="26.42"/>
    <n v="0.17000000000000526"/>
    <n v="251997.89999999994"/>
    <n v="214144.69999999992"/>
    <n v="17248"/>
    <n v="130.9"/>
    <n v="20474.300000000003"/>
    <n v="7.2759576141834259E-11"/>
    <n v="4.0460902454041991E-2"/>
    <n v="327.10000000000002"/>
    <n v="130.90000000000873"/>
    <n v="1.8299999999999998"/>
    <n v="16.28"/>
    <n v="8.31"/>
    <n v="251867"/>
    <n v="17248"/>
    <n v="1409.1"/>
    <n v="12535.6"/>
    <n v="6398.7000000000007"/>
    <n v="130.9"/>
    <n v="0"/>
  </r>
  <r>
    <s v="INYANTRA TECHNOLOGIES PRIVATE LIMIT"/>
    <d v="2025-11-01T00:00:00"/>
    <s v="3271306674"/>
    <x v="75"/>
    <x v="75"/>
    <s v="NOS"/>
    <s v="ZROH"/>
    <s v="RM0007"/>
    <n v="28000"/>
    <n v="54600"/>
    <n v="28000"/>
    <n v="28000"/>
    <d v="2025-11-01T00:00:00"/>
    <n v="54600"/>
    <s v="RV"/>
    <s v="Billing doc.transfer"/>
    <s v="01"/>
    <s v="Raw Material"/>
    <s v="RM-Eletro-Resistor"/>
    <s v="Raw Material"/>
    <b v="0"/>
    <n v="54600"/>
    <n v="1"/>
    <s v="November-25"/>
    <n v="1.95"/>
    <n v="28000"/>
    <n v="0"/>
    <n v="0"/>
    <n v="0"/>
    <n v="0"/>
    <n v="0"/>
    <n v="0"/>
    <n v="0"/>
    <n v="0"/>
    <n v="0"/>
    <n v="0"/>
    <n v="0"/>
    <n v="54600"/>
    <n v="1"/>
    <n v="1.95"/>
    <n v="0"/>
    <n v="0"/>
    <n v="0"/>
    <n v="0"/>
    <n v="54600"/>
    <n v="0"/>
    <n v="0"/>
    <n v="0"/>
    <n v="0"/>
    <n v="0"/>
    <n v="0"/>
  </r>
  <r>
    <s v="INYANTRA TECHNOLOGIES PRIVATE LIMIT"/>
    <d v="2025-11-01T00:00:00"/>
    <s v="3271306674"/>
    <x v="104"/>
    <x v="103"/>
    <s v="NOS"/>
    <s v="ZROH"/>
    <s v="RM0005"/>
    <n v="48000"/>
    <n v="499199.62"/>
    <n v="48000"/>
    <n v="48000"/>
    <d v="2025-11-01T00:00:00"/>
    <n v="502080"/>
    <s v="RV"/>
    <s v="Billing doc.transfer"/>
    <s v="01"/>
    <s v="Raw Material"/>
    <s v="RM-Eletro-IC"/>
    <s v="Raw Material"/>
    <b v="0"/>
    <n v="502080"/>
    <n v="1"/>
    <s v="November-25"/>
    <n v="10.46"/>
    <n v="48000"/>
    <n v="0"/>
    <n v="0"/>
    <n v="0"/>
    <n v="0"/>
    <n v="0"/>
    <n v="0"/>
    <n v="0"/>
    <n v="0"/>
    <n v="0"/>
    <n v="0"/>
    <n v="0"/>
    <n v="499199.62"/>
    <n v="1"/>
    <n v="10.399992083333332"/>
    <n v="0"/>
    <n v="0"/>
    <n v="0"/>
    <n v="0"/>
    <n v="499199.62"/>
    <n v="0"/>
    <n v="0"/>
    <n v="0"/>
    <n v="0"/>
    <n v="0"/>
    <n v="0"/>
  </r>
  <r>
    <s v="INYANTRA TECHNOLOGIES PRIVATE LIMIT"/>
    <d v="2025-11-01T00:00:00"/>
    <s v="3271306674"/>
    <x v="105"/>
    <x v="104"/>
    <s v="NOS"/>
    <s v="ZROH"/>
    <s v="RM0005"/>
    <n v="39000"/>
    <n v="478092.29"/>
    <n v="39000"/>
    <n v="39000"/>
    <d v="2025-11-01T00:00:00"/>
    <n v="477360"/>
    <s v="RV"/>
    <s v="Billing doc.transfer"/>
    <s v="01"/>
    <s v="Raw Material"/>
    <s v="RM-Eletro-IC"/>
    <s v="Raw Material"/>
    <b v="0"/>
    <n v="477360"/>
    <n v="1"/>
    <s v="November-25"/>
    <n v="12.24"/>
    <n v="39000"/>
    <n v="0"/>
    <n v="0"/>
    <n v="0"/>
    <n v="0"/>
    <n v="0"/>
    <n v="0"/>
    <n v="0"/>
    <n v="0"/>
    <n v="0"/>
    <n v="0"/>
    <n v="0"/>
    <n v="478092.29"/>
    <n v="1"/>
    <n v="12.258776666666666"/>
    <n v="0"/>
    <n v="0"/>
    <n v="0"/>
    <n v="0"/>
    <n v="478092.29"/>
    <n v="0"/>
    <n v="0"/>
    <n v="0"/>
    <n v="0"/>
    <n v="0"/>
    <n v="0"/>
  </r>
  <r>
    <s v="INYANTRA TECHNOLOGIES PRIVATE LIMIT"/>
    <d v="2025-11-01T00:00:00"/>
    <s v="3271306674"/>
    <x v="63"/>
    <x v="63"/>
    <s v="NOS"/>
    <s v="ZROH"/>
    <s v="RM0001"/>
    <n v="99000"/>
    <n v="62418.45"/>
    <n v="99000"/>
    <n v="99000"/>
    <d v="2025-11-01T00:00:00"/>
    <n v="62370"/>
    <s v="RV"/>
    <s v="Billing doc.transfer"/>
    <s v="01"/>
    <s v="Raw Material"/>
    <s v="RM-Eletro-Capacitor"/>
    <s v="Raw Material"/>
    <b v="0"/>
    <n v="62370"/>
    <n v="1"/>
    <s v="November-25"/>
    <n v="0.63"/>
    <n v="99000"/>
    <n v="0"/>
    <n v="0"/>
    <n v="0"/>
    <n v="0"/>
    <n v="0"/>
    <n v="0"/>
    <n v="0"/>
    <n v="0"/>
    <n v="0"/>
    <n v="0"/>
    <n v="0"/>
    <n v="62418.45"/>
    <n v="1"/>
    <n v="0.63048939393939396"/>
    <n v="0"/>
    <n v="0"/>
    <n v="0"/>
    <n v="0"/>
    <n v="62418.45"/>
    <n v="0"/>
    <n v="0"/>
    <n v="0"/>
    <n v="0"/>
    <n v="0"/>
    <n v="0"/>
  </r>
  <r>
    <s v="INYANTRA TECHNOLOGIES PRIVATE LIMIT"/>
    <d v="2025-11-01T00:00:00"/>
    <s v="3271306674"/>
    <x v="80"/>
    <x v="80"/>
    <s v="NOS"/>
    <s v="ZROH"/>
    <s v="RM0001"/>
    <n v="14400"/>
    <n v="144436.87"/>
    <n v="14400"/>
    <n v="14400"/>
    <d v="2025-11-01T00:00:00"/>
    <n v="149760"/>
    <s v="RV"/>
    <s v="Billing doc.transfer"/>
    <s v="01"/>
    <s v="Raw Material"/>
    <s v="RM-Eletro-Capacitor"/>
    <s v="Raw Material"/>
    <b v="0"/>
    <n v="149760"/>
    <n v="1"/>
    <s v="November-25"/>
    <n v="10.4"/>
    <n v="14400"/>
    <n v="0"/>
    <n v="0"/>
    <n v="0"/>
    <n v="0"/>
    <n v="0"/>
    <n v="0"/>
    <n v="0"/>
    <n v="0"/>
    <n v="0"/>
    <n v="0"/>
    <n v="0"/>
    <n v="144436.87"/>
    <n v="1"/>
    <n v="10.030338194444445"/>
    <n v="0"/>
    <n v="0"/>
    <n v="0"/>
    <n v="0"/>
    <n v="144436.87"/>
    <n v="0"/>
    <n v="0"/>
    <n v="0"/>
    <n v="0"/>
    <n v="0"/>
    <n v="0"/>
  </r>
  <r>
    <s v="INYANTRA TECHNOLOGIES PRIVATE LIMIT"/>
    <d v="2025-11-01T00:00:00"/>
    <s v="3271306674"/>
    <x v="106"/>
    <x v="105"/>
    <s v="NOS"/>
    <s v="ZROH"/>
    <s v="RM0002"/>
    <n v="19500"/>
    <n v="205725"/>
    <n v="19500"/>
    <n v="19500"/>
    <d v="2025-11-01T00:00:00"/>
    <n v="205725"/>
    <s v="RV"/>
    <s v="Billing doc.transfer"/>
    <s v="01"/>
    <s v="Raw Material"/>
    <s v="RM-Eletro-Connecter"/>
    <s v="Raw Material"/>
    <b v="0"/>
    <n v="205725"/>
    <n v="1"/>
    <s v="November-25"/>
    <n v="10.55"/>
    <n v="19500"/>
    <n v="0"/>
    <n v="0"/>
    <n v="0"/>
    <n v="0"/>
    <n v="0"/>
    <n v="0"/>
    <n v="0"/>
    <n v="0"/>
    <n v="0"/>
    <n v="0"/>
    <n v="0"/>
    <n v="205725"/>
    <n v="1"/>
    <n v="10.55"/>
    <n v="0"/>
    <n v="0"/>
    <n v="0"/>
    <n v="0"/>
    <n v="205725"/>
    <n v="0"/>
    <n v="0"/>
    <n v="0"/>
    <n v="0"/>
    <n v="0"/>
    <n v="0"/>
  </r>
  <r>
    <s v="INYANTRA TECHNOLOGIES PRIVATE LIMIT"/>
    <d v="2025-11-01T00:00:00"/>
    <s v="3271306674"/>
    <x v="107"/>
    <x v="106"/>
    <s v="NOS"/>
    <s v="ZROH"/>
    <s v="L002"/>
    <n v="49800"/>
    <n v="283362"/>
    <n v="49800"/>
    <n v="49800"/>
    <d v="2025-11-01T00:00:00"/>
    <n v="283362"/>
    <s v="RV"/>
    <s v="Billing doc.transfer"/>
    <s v="01"/>
    <s v="Raw Material"/>
    <s v="Raw Materials"/>
    <s v="Raw Material"/>
    <b v="0"/>
    <n v="283362"/>
    <n v="1"/>
    <s v="November-25"/>
    <n v="5.69"/>
    <n v="49800"/>
    <n v="0"/>
    <n v="0"/>
    <n v="0"/>
    <n v="0"/>
    <n v="0"/>
    <n v="0"/>
    <n v="0"/>
    <n v="0"/>
    <n v="0"/>
    <n v="0"/>
    <n v="0"/>
    <n v="283362"/>
    <n v="1"/>
    <n v="5.69"/>
    <n v="0"/>
    <n v="0"/>
    <n v="0"/>
    <n v="0"/>
    <n v="283362"/>
    <n v="0"/>
    <n v="0"/>
    <n v="0"/>
    <n v="0"/>
    <n v="0"/>
    <n v="0"/>
  </r>
  <r>
    <s v="INYANTRA TECHNOLOGIES PRIVATE LIMIT"/>
    <d v="2025-11-01T00:00:00"/>
    <s v="3271306674"/>
    <x v="108"/>
    <x v="107"/>
    <s v="NOS"/>
    <s v="ZROH"/>
    <s v="RM0026"/>
    <n v="37455"/>
    <n v="136588.82999999999"/>
    <n v="37455"/>
    <n v="37455"/>
    <d v="2025-11-01T00:00:00"/>
    <n v="151318.20000000001"/>
    <s v="RV"/>
    <s v="Billing doc.transfer"/>
    <s v="01"/>
    <s v="Raw Material"/>
    <s v="RM-Eletro-PCB"/>
    <s v="Raw Material"/>
    <b v="0"/>
    <n v="151318.20000000001"/>
    <n v="1"/>
    <s v="November-25"/>
    <n v="4.04"/>
    <n v="37455"/>
    <n v="0"/>
    <n v="0"/>
    <n v="0"/>
    <n v="0"/>
    <n v="0"/>
    <n v="0"/>
    <n v="0"/>
    <n v="0"/>
    <n v="0"/>
    <n v="0"/>
    <n v="0"/>
    <n v="136588.82999999999"/>
    <n v="1"/>
    <n v="3.646744893872647"/>
    <n v="0"/>
    <n v="0"/>
    <n v="0"/>
    <n v="0"/>
    <n v="136588.82999999999"/>
    <n v="0"/>
    <n v="0"/>
    <n v="0"/>
    <n v="0"/>
    <n v="0"/>
    <n v="0"/>
  </r>
  <r>
    <s v="INYANTRA TECHNOLOGIES PRIVATE LIMIT"/>
    <d v="2025-11-01T00:00:00"/>
    <s v="3271306674"/>
    <x v="109"/>
    <x v="108"/>
    <s v="NOS"/>
    <s v="ZROH"/>
    <s v="RM0009"/>
    <n v="40500"/>
    <n v="1026910.49"/>
    <n v="40500"/>
    <n v="40500"/>
    <d v="2025-11-01T00:00:00"/>
    <n v="1138860"/>
    <s v="RV"/>
    <s v="Billing doc.transfer"/>
    <s v="01"/>
    <s v="Raw Material"/>
    <s v="RM-Mech. Accessories"/>
    <s v="Raw Material"/>
    <b v="0"/>
    <n v="1138860"/>
    <n v="1"/>
    <s v="November-25"/>
    <n v="28.12"/>
    <n v="40500"/>
    <n v="0"/>
    <n v="0"/>
    <n v="0"/>
    <n v="0"/>
    <n v="0"/>
    <n v="0"/>
    <n v="0"/>
    <n v="0"/>
    <n v="0"/>
    <n v="0"/>
    <n v="0"/>
    <n v="1026910.49"/>
    <n v="1"/>
    <n v="25.355814567901234"/>
    <n v="0"/>
    <n v="0"/>
    <n v="0"/>
    <n v="0"/>
    <n v="1026910.49"/>
    <n v="0"/>
    <n v="0"/>
    <n v="0"/>
    <n v="0"/>
    <n v="0"/>
    <n v="0"/>
  </r>
  <r>
    <s v="INYANTRA TECHNOLOGIES PRIVATE LIMIT"/>
    <d v="2025-11-01T00:00:00"/>
    <s v="3271306674"/>
    <x v="67"/>
    <x v="67"/>
    <s v="NOS"/>
    <s v="ZROH"/>
    <s v="RM0005"/>
    <n v="14950"/>
    <n v="1448103.19"/>
    <n v="14950"/>
    <n v="14950"/>
    <d v="2025-11-01T00:00:00"/>
    <n v="1463904"/>
    <s v="RV"/>
    <s v="Billing doc.transfer"/>
    <s v="01"/>
    <s v="Raw Material"/>
    <s v="RM-Eletro-IC"/>
    <s v="Raw Material"/>
    <b v="0"/>
    <n v="1463904"/>
    <n v="1"/>
    <s v="November-25"/>
    <n v="97.92"/>
    <n v="14950"/>
    <n v="0"/>
    <n v="0"/>
    <n v="0"/>
    <n v="0"/>
    <n v="0"/>
    <n v="0"/>
    <n v="0"/>
    <n v="0"/>
    <n v="0"/>
    <n v="0"/>
    <n v="0"/>
    <n v="1448103.19"/>
    <n v="1"/>
    <n v="96.86308963210702"/>
    <n v="0"/>
    <n v="0"/>
    <n v="0"/>
    <n v="0"/>
    <n v="1448103.19"/>
    <n v="0"/>
    <n v="0"/>
    <n v="0"/>
    <n v="0"/>
    <n v="0"/>
    <n v="0"/>
  </r>
  <r>
    <s v="INYANTRA TECHNOLOGIES PRIVATE LIMIT"/>
    <d v="2025-11-01T00:00:00"/>
    <s v="3271306674"/>
    <x v="110"/>
    <x v="109"/>
    <s v="NOS"/>
    <s v="ZROH"/>
    <s v="RM0009"/>
    <n v="39150"/>
    <n v="1302346.57"/>
    <n v="39150"/>
    <n v="39150"/>
    <d v="2025-11-01T00:00:00"/>
    <n v="1350675"/>
    <s v="RV"/>
    <s v="Billing doc.transfer"/>
    <s v="01"/>
    <s v="Raw Material"/>
    <s v="RM-Mech. Accessories"/>
    <s v="Raw Material"/>
    <b v="0"/>
    <n v="385627.5"/>
    <n v="0.28550724637681157"/>
    <s v="November-25"/>
    <n v="34.5"/>
    <n v="39150"/>
    <n v="24.65"/>
    <n v="24.65"/>
    <n v="0"/>
    <n v="0"/>
    <n v="0"/>
    <n v="0"/>
    <n v="965047.5"/>
    <n v="965047.5"/>
    <n v="0"/>
    <n v="0"/>
    <n v="0"/>
    <n v="337299.07000000007"/>
    <n v="0.28550724637681157"/>
    <n v="33.265557343550448"/>
    <n v="0"/>
    <n v="0"/>
    <n v="0"/>
    <n v="0"/>
    <n v="1302346.57"/>
    <n v="0"/>
    <n v="0"/>
    <n v="0"/>
    <n v="0"/>
    <n v="0"/>
    <n v="0"/>
  </r>
  <r>
    <s v="INYANTRA TECHNOLOGIES PRIVATE LIMIT"/>
    <d v="2025-11-01T00:00:00"/>
    <s v="3271306674"/>
    <x v="62"/>
    <x v="62"/>
    <s v="NOS"/>
    <s v="ZROH"/>
    <s v="RM0001"/>
    <n v="50000"/>
    <n v="18500"/>
    <n v="50000"/>
    <n v="50000"/>
    <d v="2025-11-01T00:00:00"/>
    <n v="18500"/>
    <s v="RV"/>
    <s v="Billing doc.transfer"/>
    <s v="01"/>
    <s v="Raw Material"/>
    <s v="RM-Eletro-Capacitor"/>
    <s v="Raw Material"/>
    <b v="0"/>
    <n v="18500"/>
    <n v="1"/>
    <s v="November-25"/>
    <n v="0.37"/>
    <n v="50000"/>
    <n v="0"/>
    <n v="0"/>
    <n v="0"/>
    <n v="0"/>
    <n v="0"/>
    <n v="0"/>
    <n v="0"/>
    <n v="0"/>
    <n v="0"/>
    <n v="0"/>
    <n v="0"/>
    <n v="18500"/>
    <n v="1"/>
    <n v="0.37"/>
    <n v="0"/>
    <n v="0"/>
    <n v="0"/>
    <n v="0"/>
    <n v="18500"/>
    <n v="0"/>
    <n v="0"/>
    <n v="0"/>
    <n v="0"/>
    <n v="0"/>
    <n v="0"/>
  </r>
  <r>
    <s v="INYANTRA TECHNOLOGIES PRIVATE LIMIT"/>
    <d v="2025-11-01T00:00:00"/>
    <s v="3271306674"/>
    <x v="66"/>
    <x v="66"/>
    <s v="NOS"/>
    <s v="ZROH"/>
    <s v="RM0007"/>
    <n v="60000"/>
    <n v="3359.99"/>
    <n v="60000"/>
    <n v="60000"/>
    <d v="2025-11-01T00:00:00"/>
    <n v="3600"/>
    <s v="RV"/>
    <s v="Billing doc.transfer"/>
    <s v="01"/>
    <s v="Raw Material"/>
    <s v="RM-Eletro-Resistor"/>
    <s v="Raw Material"/>
    <b v="0"/>
    <n v="3600"/>
    <n v="1"/>
    <s v="November-25"/>
    <n v="0.06"/>
    <n v="60000"/>
    <n v="0"/>
    <n v="0"/>
    <n v="0"/>
    <n v="0"/>
    <n v="0"/>
    <n v="0"/>
    <n v="0"/>
    <n v="0"/>
    <n v="0"/>
    <n v="0"/>
    <n v="0"/>
    <n v="3359.99"/>
    <n v="1"/>
    <n v="5.5999833333333332E-2"/>
    <n v="0"/>
    <n v="0"/>
    <n v="0"/>
    <n v="0"/>
    <n v="3359.99"/>
    <n v="0"/>
    <n v="0"/>
    <n v="0"/>
    <n v="0"/>
    <n v="0"/>
    <n v="0"/>
  </r>
  <r>
    <s v="INYANTRA TECHNOLOGIES PRIVATE LIMIT"/>
    <d v="2025-11-01T00:00:00"/>
    <s v="3271306674"/>
    <x v="74"/>
    <x v="74"/>
    <s v="NOS"/>
    <s v="ZROH"/>
    <s v="RM0007"/>
    <n v="30000"/>
    <n v="1681.06"/>
    <n v="30000"/>
    <n v="30000"/>
    <d v="2025-11-01T00:00:00"/>
    <n v="1800"/>
    <s v="RV"/>
    <s v="Billing doc.transfer"/>
    <s v="01"/>
    <s v="Raw Material"/>
    <s v="RM-Eletro-Resistor"/>
    <s v="Raw Material"/>
    <b v="0"/>
    <n v="1800"/>
    <n v="1"/>
    <s v="November-25"/>
    <n v="0.06"/>
    <n v="30000"/>
    <n v="0"/>
    <n v="0"/>
    <n v="0"/>
    <n v="0"/>
    <n v="0"/>
    <n v="0"/>
    <n v="0"/>
    <n v="0"/>
    <n v="0"/>
    <n v="0"/>
    <n v="0"/>
    <n v="1681.06"/>
    <n v="1"/>
    <n v="5.6035333333333333E-2"/>
    <n v="0"/>
    <n v="0"/>
    <n v="0"/>
    <n v="0"/>
    <n v="1681.06"/>
    <n v="0"/>
    <n v="0"/>
    <n v="0"/>
    <n v="0"/>
    <n v="0"/>
    <n v="0"/>
  </r>
  <r>
    <s v="INYANTRA TECHNOLOGIES PRIVATE LIMIT"/>
    <d v="2025-11-01T00:00:00"/>
    <s v="3271306674"/>
    <x v="61"/>
    <x v="61"/>
    <s v="NOS"/>
    <s v="ZROH"/>
    <s v="RM0001"/>
    <n v="50000"/>
    <n v="45194.96"/>
    <n v="50000"/>
    <n v="50000"/>
    <d v="2025-11-01T00:00:00"/>
    <n v="45500"/>
    <s v="RV"/>
    <s v="Billing doc.transfer"/>
    <s v="01"/>
    <s v="Raw Material"/>
    <s v="RM-Eletro-Capacitor"/>
    <s v="Raw Material"/>
    <b v="0"/>
    <n v="45500"/>
    <n v="1"/>
    <s v="November-25"/>
    <n v="0.91"/>
    <n v="50000"/>
    <n v="0"/>
    <n v="0"/>
    <n v="0"/>
    <n v="0"/>
    <n v="0"/>
    <n v="0"/>
    <n v="0"/>
    <n v="0"/>
    <n v="0"/>
    <n v="0"/>
    <n v="0"/>
    <n v="45194.96"/>
    <n v="1"/>
    <n v="0.90389920000000001"/>
    <n v="0"/>
    <n v="0"/>
    <n v="0"/>
    <n v="0"/>
    <n v="45194.96"/>
    <n v="0"/>
    <n v="0"/>
    <n v="0"/>
    <n v="0"/>
    <n v="0"/>
    <n v="0"/>
  </r>
  <r>
    <s v="INYANTRA TECHNOLOGIES PRIVATE LIMIT"/>
    <d v="2025-11-01T00:00:00"/>
    <s v="3271306674"/>
    <x v="68"/>
    <x v="68"/>
    <s v="NOS"/>
    <s v="ZROH"/>
    <s v="L002"/>
    <n v="60000"/>
    <n v="33792.51"/>
    <n v="60000"/>
    <n v="60000"/>
    <d v="2025-11-01T00:00:00"/>
    <n v="28800"/>
    <s v="RV"/>
    <s v="Billing doc.transfer"/>
    <s v="01"/>
    <s v="Raw Material"/>
    <s v="Raw Materials"/>
    <s v="Raw Material"/>
    <b v="0"/>
    <n v="28800"/>
    <n v="1"/>
    <s v="November-25"/>
    <n v="0.48"/>
    <n v="60000"/>
    <n v="0"/>
    <n v="0"/>
    <n v="0"/>
    <n v="0"/>
    <n v="0"/>
    <n v="0"/>
    <n v="0"/>
    <n v="0"/>
    <n v="0"/>
    <n v="0"/>
    <n v="0"/>
    <n v="33792.51"/>
    <n v="1"/>
    <n v="0.5632085"/>
    <n v="0"/>
    <n v="0"/>
    <n v="0"/>
    <n v="0"/>
    <n v="33792.51"/>
    <n v="0"/>
    <n v="0"/>
    <n v="0"/>
    <n v="0"/>
    <n v="0"/>
    <n v="0"/>
  </r>
  <r>
    <s v="INYANTRA TECHNOLOGIES PRIVATE LIMIT"/>
    <d v="2025-11-01T00:00:00"/>
    <s v="3271306674"/>
    <x v="73"/>
    <x v="73"/>
    <s v="NOS"/>
    <s v="ZROH"/>
    <s v="L002"/>
    <n v="40000"/>
    <n v="280000"/>
    <n v="40000"/>
    <n v="40000"/>
    <d v="2025-11-01T00:00:00"/>
    <n v="280000"/>
    <s v="RV"/>
    <s v="Billing doc.transfer"/>
    <s v="01"/>
    <s v="Raw Material"/>
    <s v="Raw Materials"/>
    <s v="Raw Material"/>
    <b v="0"/>
    <n v="280000"/>
    <n v="1"/>
    <s v="November-25"/>
    <n v="7"/>
    <n v="40000"/>
    <n v="0"/>
    <n v="0"/>
    <n v="0"/>
    <n v="0"/>
    <n v="0"/>
    <n v="0"/>
    <n v="0"/>
    <n v="0"/>
    <n v="0"/>
    <n v="0"/>
    <n v="0"/>
    <n v="280000"/>
    <n v="1"/>
    <n v="7"/>
    <n v="0"/>
    <n v="0"/>
    <n v="0"/>
    <n v="0"/>
    <n v="280000"/>
    <n v="0"/>
    <n v="0"/>
    <n v="0"/>
    <n v="0"/>
    <n v="0"/>
    <n v="0"/>
  </r>
  <r>
    <s v="INYANTRA TECHNOLOGIES PRIVATE LIMIT"/>
    <d v="2025-11-01T00:00:00"/>
    <s v="3271306674"/>
    <x v="111"/>
    <x v="110"/>
    <s v="NOS"/>
    <s v="ZROH"/>
    <s v="RM0001"/>
    <n v="20000"/>
    <n v="144473.04999999999"/>
    <n v="20000"/>
    <n v="20000"/>
    <d v="2025-11-01T00:00:00"/>
    <n v="145600"/>
    <s v="RV"/>
    <s v="Billing doc.transfer"/>
    <s v="01"/>
    <s v="Raw Material"/>
    <s v="RM-Eletro-Capacitor"/>
    <s v="Raw Material"/>
    <b v="0"/>
    <n v="145600"/>
    <n v="1"/>
    <s v="November-25"/>
    <n v="7.28"/>
    <n v="20000"/>
    <n v="0"/>
    <n v="0"/>
    <n v="0"/>
    <n v="0"/>
    <n v="0"/>
    <n v="0"/>
    <n v="0"/>
    <n v="0"/>
    <n v="0"/>
    <n v="0"/>
    <n v="0"/>
    <n v="144473.04999999999"/>
    <n v="1"/>
    <n v="7.2236524999999991"/>
    <n v="0"/>
    <n v="0"/>
    <n v="0"/>
    <n v="0"/>
    <n v="144473.04999999999"/>
    <n v="0"/>
    <n v="0"/>
    <n v="0"/>
    <n v="0"/>
    <n v="0"/>
    <n v="0"/>
  </r>
  <r>
    <s v="INYANTRA TECHNOLOGIES PRIVATE LIMIT"/>
    <d v="2025-11-01T00:00:00"/>
    <s v="3271306674"/>
    <x v="76"/>
    <x v="76"/>
    <s v="NOS"/>
    <s v="ZROH"/>
    <s v="RM0007"/>
    <n v="40000"/>
    <n v="2240"/>
    <n v="40000"/>
    <n v="40000"/>
    <d v="2025-11-01T00:00:00"/>
    <n v="2400"/>
    <s v="RV"/>
    <s v="Billing doc.transfer"/>
    <s v="01"/>
    <s v="Raw Material"/>
    <s v="RM-Eletro-Resistor"/>
    <s v="Raw Material"/>
    <b v="0"/>
    <n v="2400"/>
    <n v="1"/>
    <s v="November-25"/>
    <n v="0.06"/>
    <n v="40000"/>
    <n v="0"/>
    <n v="0"/>
    <n v="0"/>
    <n v="0"/>
    <n v="0"/>
    <n v="0"/>
    <n v="0"/>
    <n v="0"/>
    <n v="0"/>
    <n v="0"/>
    <n v="0"/>
    <n v="2240"/>
    <n v="1"/>
    <n v="5.6000000000000001E-2"/>
    <n v="0"/>
    <n v="0"/>
    <n v="0"/>
    <n v="0"/>
    <n v="2240"/>
    <n v="0"/>
    <n v="0"/>
    <n v="0"/>
    <n v="0"/>
    <n v="0"/>
    <n v="0"/>
  </r>
  <r>
    <s v="INYANTRA TECHNOLOGIES PRIVATE LIMIT"/>
    <d v="2025-11-01T00:00:00"/>
    <s v="3271306674"/>
    <x v="71"/>
    <x v="71"/>
    <s v="NOS"/>
    <s v="ZROH"/>
    <s v="RM0007"/>
    <n v="40000"/>
    <n v="2239.9899999999998"/>
    <n v="40000"/>
    <n v="40000"/>
    <d v="2025-11-01T00:00:00"/>
    <n v="2400"/>
    <s v="RV"/>
    <s v="Billing doc.transfer"/>
    <s v="01"/>
    <s v="Raw Material"/>
    <s v="RM-Eletro-Resistor"/>
    <s v="Raw Material"/>
    <b v="0"/>
    <n v="2400"/>
    <n v="1"/>
    <s v="November-25"/>
    <n v="0.06"/>
    <n v="40000"/>
    <n v="0"/>
    <n v="0"/>
    <n v="0"/>
    <n v="0"/>
    <n v="0"/>
    <n v="0"/>
    <n v="0"/>
    <n v="0"/>
    <n v="0"/>
    <n v="0"/>
    <n v="0"/>
    <n v="2239.9899999999998"/>
    <n v="1"/>
    <n v="5.5999749999999994E-2"/>
    <n v="0"/>
    <n v="0"/>
    <n v="0"/>
    <n v="0"/>
    <n v="2239.9899999999998"/>
    <n v="0"/>
    <n v="0"/>
    <n v="0"/>
    <n v="0"/>
    <n v="0"/>
    <n v="0"/>
  </r>
  <r>
    <s v="INYANTRA TECHNOLOGIES PRIVATE LIMIT"/>
    <d v="2025-11-01T00:00:00"/>
    <s v="3271306674"/>
    <x v="72"/>
    <x v="72"/>
    <s v="NOS"/>
    <s v="ZROH"/>
    <s v="RM0007"/>
    <n v="40000"/>
    <n v="2240"/>
    <n v="40000"/>
    <n v="40000"/>
    <d v="2025-11-01T00:00:00"/>
    <n v="2400"/>
    <s v="RV"/>
    <s v="Billing doc.transfer"/>
    <s v="01"/>
    <s v="Raw Material"/>
    <s v="RM-Eletro-Resistor"/>
    <s v="Raw Material"/>
    <b v="0"/>
    <n v="2400"/>
    <n v="1"/>
    <s v="November-25"/>
    <n v="0.06"/>
    <n v="40000"/>
    <n v="0"/>
    <n v="0"/>
    <n v="0"/>
    <n v="0"/>
    <n v="0"/>
    <n v="0"/>
    <n v="0"/>
    <n v="0"/>
    <n v="0"/>
    <n v="0"/>
    <n v="0"/>
    <n v="2240"/>
    <n v="1"/>
    <n v="5.6000000000000001E-2"/>
    <n v="0"/>
    <n v="0"/>
    <n v="0"/>
    <n v="0"/>
    <n v="2240"/>
    <n v="0"/>
    <n v="0"/>
    <n v="0"/>
    <n v="0"/>
    <n v="0"/>
    <n v="0"/>
  </r>
  <r>
    <s v="INYANTRA TECHNOLOGIES PRIVATE LIMIT"/>
    <d v="2025-11-01T00:00:00"/>
    <s v="3271306674"/>
    <x v="79"/>
    <x v="79"/>
    <s v="NOS"/>
    <s v="ZROH"/>
    <s v="RM0007"/>
    <n v="40000"/>
    <n v="3560"/>
    <n v="40000"/>
    <n v="40000"/>
    <d v="2025-11-01T00:00:00"/>
    <n v="3600"/>
    <s v="RV"/>
    <s v="Billing doc.transfer"/>
    <s v="01"/>
    <s v="Raw Material"/>
    <s v="RM-Eletro-Resistor"/>
    <s v="Raw Material"/>
    <b v="0"/>
    <n v="3600"/>
    <n v="1"/>
    <s v="November-25"/>
    <n v="0.09"/>
    <n v="40000"/>
    <n v="0"/>
    <n v="0"/>
    <n v="0"/>
    <n v="0"/>
    <n v="0"/>
    <n v="0"/>
    <n v="0"/>
    <n v="0"/>
    <n v="0"/>
    <n v="0"/>
    <n v="0"/>
    <n v="3560"/>
    <n v="1"/>
    <n v="8.8999999999999996E-2"/>
    <n v="0"/>
    <n v="0"/>
    <n v="0"/>
    <n v="0"/>
    <n v="3560"/>
    <n v="0"/>
    <n v="0"/>
    <n v="0"/>
    <n v="0"/>
    <n v="0"/>
    <n v="0"/>
  </r>
  <r>
    <s v="INYANTRA TECHNOLOGIES PRIVATE LIMIT"/>
    <d v="2025-11-01T00:00:00"/>
    <s v="3271306674"/>
    <x v="78"/>
    <x v="78"/>
    <s v="NOS"/>
    <s v="ZROH"/>
    <s v="RM0007"/>
    <n v="40000"/>
    <n v="2880"/>
    <n v="40000"/>
    <n v="40000"/>
    <d v="2025-11-01T00:00:00"/>
    <n v="2800"/>
    <s v="RV"/>
    <s v="Billing doc.transfer"/>
    <s v="01"/>
    <s v="Raw Material"/>
    <s v="RM-Eletro-Resistor"/>
    <s v="Raw Material"/>
    <b v="0"/>
    <n v="2800"/>
    <n v="1"/>
    <s v="November-25"/>
    <n v="7.0000000000000007E-2"/>
    <n v="40000"/>
    <n v="0"/>
    <n v="0"/>
    <n v="0"/>
    <n v="0"/>
    <n v="0"/>
    <n v="0"/>
    <n v="0"/>
    <n v="0"/>
    <n v="0"/>
    <n v="0"/>
    <n v="0"/>
    <n v="2880"/>
    <n v="1"/>
    <n v="7.1999999999999995E-2"/>
    <n v="0"/>
    <n v="0"/>
    <n v="0"/>
    <n v="0"/>
    <n v="2880"/>
    <n v="0"/>
    <n v="0"/>
    <n v="0"/>
    <n v="0"/>
    <n v="0"/>
    <n v="0"/>
  </r>
  <r>
    <s v="INYANTRA TECHNOLOGIES PRIVATE LIMIT"/>
    <d v="2025-11-01T00:00:00"/>
    <s v="3271306674"/>
    <x v="70"/>
    <x v="70"/>
    <s v="NOS"/>
    <s v="ZROH"/>
    <s v="RM0007"/>
    <n v="100000"/>
    <n v="5599.98"/>
    <n v="100000"/>
    <n v="100000"/>
    <d v="2025-11-01T00:00:00"/>
    <n v="6000"/>
    <s v="RV"/>
    <s v="Billing doc.transfer"/>
    <s v="01"/>
    <s v="Raw Material"/>
    <s v="RM-Eletro-Resistor"/>
    <s v="Raw Material"/>
    <b v="0"/>
    <n v="6000"/>
    <n v="1"/>
    <s v="November-25"/>
    <n v="0.06"/>
    <n v="100000"/>
    <n v="0"/>
    <n v="0"/>
    <n v="0"/>
    <n v="0"/>
    <n v="0"/>
    <n v="0"/>
    <n v="0"/>
    <n v="0"/>
    <n v="0"/>
    <n v="0"/>
    <n v="0"/>
    <n v="5599.98"/>
    <n v="1"/>
    <n v="5.5999799999999995E-2"/>
    <n v="0"/>
    <n v="0"/>
    <n v="0"/>
    <n v="0"/>
    <n v="5599.98"/>
    <n v="0"/>
    <n v="0"/>
    <n v="0"/>
    <n v="0"/>
    <n v="0"/>
    <n v="0"/>
  </r>
  <r>
    <s v="INYANTRA TECHNOLOGIES PRIVATE LIMIT"/>
    <d v="2025-11-01T00:00:00"/>
    <s v="3271306674"/>
    <x v="64"/>
    <x v="64"/>
    <s v="NOS"/>
    <s v="ZROH"/>
    <s v="RM0001"/>
    <n v="100000"/>
    <n v="166000"/>
    <n v="100000"/>
    <n v="100000"/>
    <d v="2025-11-01T00:00:00"/>
    <n v="166000"/>
    <s v="RV"/>
    <s v="Billing doc.transfer"/>
    <s v="01"/>
    <s v="Raw Material"/>
    <s v="RM-Eletro-Capacitor"/>
    <s v="Raw Material"/>
    <b v="0"/>
    <n v="166000"/>
    <n v="1"/>
    <s v="November-25"/>
    <n v="1.66"/>
    <n v="100000"/>
    <n v="0"/>
    <n v="0"/>
    <n v="0"/>
    <n v="0"/>
    <n v="0"/>
    <n v="0"/>
    <n v="0"/>
    <n v="0"/>
    <n v="0"/>
    <n v="0"/>
    <n v="0"/>
    <n v="166000"/>
    <n v="1"/>
    <n v="1.66"/>
    <n v="0"/>
    <n v="0"/>
    <n v="0"/>
    <n v="0"/>
    <n v="166000"/>
    <n v="0"/>
    <n v="0"/>
    <n v="0"/>
    <n v="0"/>
    <n v="0"/>
    <n v="0"/>
  </r>
  <r>
    <s v="INYANTRA TECHNOLOGIES PRIVATE LIMIT"/>
    <d v="2025-11-01T00:00:00"/>
    <s v="3271306674"/>
    <x v="65"/>
    <x v="65"/>
    <s v="NOS"/>
    <s v="ZROH"/>
    <s v="RM0001"/>
    <n v="100000"/>
    <n v="50005.05"/>
    <n v="100000"/>
    <n v="100000"/>
    <d v="2025-11-01T00:00:00"/>
    <n v="50000"/>
    <s v="RV"/>
    <s v="Billing doc.transfer"/>
    <s v="01"/>
    <s v="Raw Material"/>
    <s v="RM-Eletro-Capacitor"/>
    <s v="Raw Material"/>
    <b v="0"/>
    <n v="50000"/>
    <n v="1"/>
    <s v="November-25"/>
    <n v="0.5"/>
    <n v="100000"/>
    <n v="0"/>
    <n v="0"/>
    <n v="0"/>
    <n v="0"/>
    <n v="0"/>
    <n v="0"/>
    <n v="0"/>
    <n v="0"/>
    <n v="0"/>
    <n v="0"/>
    <n v="0"/>
    <n v="50005.05"/>
    <n v="1"/>
    <n v="0.50005050000000006"/>
    <n v="0"/>
    <n v="0"/>
    <n v="0"/>
    <n v="0"/>
    <n v="50005.05"/>
    <n v="0"/>
    <n v="0"/>
    <n v="0"/>
    <n v="0"/>
    <n v="0"/>
    <n v="0"/>
  </r>
  <r>
    <s v="INYANTRA TECHNOLOGIES PRIVATE LIMIT"/>
    <d v="2025-11-01T00:00:00"/>
    <s v="3271306674"/>
    <x v="112"/>
    <x v="111"/>
    <s v="NOS"/>
    <s v="ZROH"/>
    <s v="RM0007"/>
    <n v="40000"/>
    <n v="2240.0100000000002"/>
    <n v="40000"/>
    <n v="40000"/>
    <d v="2025-11-01T00:00:00"/>
    <n v="2400"/>
    <s v="RV"/>
    <s v="Billing doc.transfer"/>
    <s v="01"/>
    <s v="Raw Material"/>
    <s v="RM-Eletro-Resistor"/>
    <s v="Raw Material"/>
    <b v="0"/>
    <n v="2400"/>
    <n v="1"/>
    <s v="November-25"/>
    <n v="0.06"/>
    <n v="40000"/>
    <n v="0"/>
    <n v="0"/>
    <n v="0"/>
    <n v="0"/>
    <n v="0"/>
    <n v="0"/>
    <n v="0"/>
    <n v="0"/>
    <n v="0"/>
    <n v="0"/>
    <n v="0"/>
    <n v="2240.0100000000002"/>
    <n v="1"/>
    <n v="5.6000250000000008E-2"/>
    <n v="0"/>
    <n v="0"/>
    <n v="0"/>
    <n v="0"/>
    <n v="2240.0100000000002"/>
    <n v="0"/>
    <n v="0"/>
    <n v="0"/>
    <n v="0"/>
    <n v="0"/>
    <n v="0"/>
  </r>
  <r>
    <s v="INYANTRA TECHNOLOGIES PRIVATE LIMIT"/>
    <d v="2025-11-01T00:00:00"/>
    <s v="3271306674"/>
    <x v="69"/>
    <x v="69"/>
    <s v="NOS"/>
    <s v="ZROH"/>
    <s v="RM0007"/>
    <n v="300000"/>
    <n v="18000"/>
    <n v="300000"/>
    <n v="300000"/>
    <d v="2025-11-01T00:00:00"/>
    <n v="18000"/>
    <s v="RV"/>
    <s v="Billing doc.transfer"/>
    <s v="01"/>
    <s v="Raw Material"/>
    <s v="RM-Eletro-Resistor"/>
    <s v="Raw Material"/>
    <b v="0"/>
    <n v="18000"/>
    <n v="1"/>
    <s v="November-25"/>
    <n v="0.06"/>
    <n v="300000"/>
    <n v="0"/>
    <n v="0"/>
    <n v="0"/>
    <n v="0"/>
    <n v="0"/>
    <n v="0"/>
    <n v="0"/>
    <n v="0"/>
    <n v="0"/>
    <n v="0"/>
    <n v="0"/>
    <n v="18000"/>
    <n v="1"/>
    <n v="0.06"/>
    <n v="0"/>
    <n v="0"/>
    <n v="0"/>
    <n v="0"/>
    <n v="18000"/>
    <n v="0"/>
    <n v="0"/>
    <n v="0"/>
    <n v="0"/>
    <n v="0"/>
    <n v="0"/>
  </r>
  <r>
    <s v="INYANTRA TECHNOLOGIES PRIVATE LIMIT"/>
    <d v="2025-11-01T00:00:00"/>
    <s v="3271306674"/>
    <x v="113"/>
    <x v="112"/>
    <s v="NOS"/>
    <s v="ZROH"/>
    <s v="RM0007"/>
    <n v="40000"/>
    <n v="800"/>
    <n v="40000"/>
    <n v="40000"/>
    <d v="2025-11-01T00:00:00"/>
    <n v="800"/>
    <s v="RV"/>
    <s v="Billing doc.transfer"/>
    <s v="01"/>
    <s v="Raw Material"/>
    <s v="RM-Eletro-Resistor"/>
    <s v="Raw Material"/>
    <b v="0"/>
    <n v="800"/>
    <n v="1"/>
    <s v="November-25"/>
    <n v="0.02"/>
    <n v="40000"/>
    <n v="0"/>
    <n v="0"/>
    <n v="0"/>
    <n v="0"/>
    <n v="0"/>
    <n v="0"/>
    <n v="0"/>
    <n v="0"/>
    <n v="0"/>
    <n v="0"/>
    <n v="0"/>
    <n v="800"/>
    <n v="1"/>
    <n v="0.02"/>
    <n v="0"/>
    <n v="0"/>
    <n v="0"/>
    <n v="0"/>
    <n v="800"/>
    <n v="0"/>
    <n v="0"/>
    <n v="0"/>
    <n v="0"/>
    <n v="0"/>
    <n v="0"/>
  </r>
  <r>
    <s v="INYANTRA TECHNOLOGIES PRIVATE LIMIT"/>
    <d v="2025-11-01T00:00:00"/>
    <s v="3271306674"/>
    <x v="77"/>
    <x v="77"/>
    <s v="NOS"/>
    <s v="ZROH"/>
    <s v="RM0007"/>
    <n v="40000"/>
    <n v="2240"/>
    <n v="40000"/>
    <n v="40000"/>
    <d v="2025-11-01T00:00:00"/>
    <n v="2400"/>
    <s v="RV"/>
    <s v="Billing doc.transfer"/>
    <s v="01"/>
    <s v="Raw Material"/>
    <s v="RM-Eletro-Resistor"/>
    <s v="Raw Material"/>
    <b v="0"/>
    <n v="2400"/>
    <n v="1"/>
    <s v="November-25"/>
    <n v="0.06"/>
    <n v="40000"/>
    <n v="0"/>
    <n v="0"/>
    <n v="0"/>
    <n v="0"/>
    <n v="0"/>
    <n v="0"/>
    <n v="0"/>
    <n v="0"/>
    <n v="0"/>
    <n v="0"/>
    <n v="0"/>
    <n v="2240"/>
    <n v="1"/>
    <n v="5.6000000000000001E-2"/>
    <n v="0"/>
    <n v="0"/>
    <n v="0"/>
    <n v="0"/>
    <n v="2240"/>
    <n v="0"/>
    <n v="0"/>
    <n v="0"/>
    <n v="0"/>
    <n v="0"/>
    <n v="0"/>
  </r>
  <r>
    <s v="INYANTRA TECHNOLOGIES PRIVATE LIMIT"/>
    <d v="2025-11-01T00:00:00"/>
    <s v="3271306674"/>
    <x v="114"/>
    <x v="113"/>
    <s v="NOS"/>
    <s v="ZROH"/>
    <s v="RM0007"/>
    <n v="30000"/>
    <n v="600"/>
    <n v="30000"/>
    <n v="30000"/>
    <d v="2025-11-01T00:00:00"/>
    <n v="600"/>
    <s v="RV"/>
    <s v="Billing doc.transfer"/>
    <s v="01"/>
    <s v="Raw Material"/>
    <s v="RM-Eletro-Resistor"/>
    <s v="Raw Material"/>
    <b v="0"/>
    <n v="600"/>
    <n v="1"/>
    <s v="November-25"/>
    <n v="0.02"/>
    <n v="30000"/>
    <n v="0"/>
    <n v="0"/>
    <n v="0"/>
    <n v="0"/>
    <n v="0"/>
    <n v="0"/>
    <n v="0"/>
    <n v="0"/>
    <n v="0"/>
    <n v="0"/>
    <n v="0"/>
    <n v="600"/>
    <n v="1"/>
    <n v="0.02"/>
    <n v="0"/>
    <n v="0"/>
    <n v="0"/>
    <n v="0"/>
    <n v="600"/>
    <n v="0"/>
    <n v="0"/>
    <n v="0"/>
    <n v="0"/>
    <n v="0"/>
    <n v="0"/>
  </r>
  <r>
    <s v="INYANTRA TECHNOLOGIES PRIVATE LIMIT"/>
    <d v="2025-11-01T00:00:00"/>
    <s v="3271306674"/>
    <x v="115"/>
    <x v="114"/>
    <s v="NOS"/>
    <s v="ZROH"/>
    <s v="RM0009"/>
    <n v="20000"/>
    <n v="89600"/>
    <n v="20000"/>
    <n v="20000"/>
    <d v="2025-11-01T00:00:00"/>
    <n v="89600"/>
    <s v="RV"/>
    <s v="Billing doc.transfer"/>
    <s v="01"/>
    <s v="Raw Material"/>
    <s v="RM-Mech. Accessories"/>
    <s v="Raw Material"/>
    <b v="0"/>
    <n v="89600"/>
    <n v="1"/>
    <s v="November-25"/>
    <n v="4.4800000000000004"/>
    <n v="20000"/>
    <n v="0"/>
    <n v="0"/>
    <n v="0"/>
    <n v="0"/>
    <n v="0"/>
    <n v="0"/>
    <n v="0"/>
    <n v="0"/>
    <n v="0"/>
    <n v="0"/>
    <n v="0"/>
    <n v="89600"/>
    <n v="1"/>
    <n v="4.4800000000000004"/>
    <n v="0"/>
    <n v="0"/>
    <n v="0"/>
    <n v="0"/>
    <n v="89600"/>
    <n v="0"/>
    <n v="0"/>
    <n v="0"/>
    <n v="0"/>
    <n v="0"/>
    <n v="0"/>
  </r>
  <r>
    <s v="INYANTRA TECHNOLOGIES PRIVATE LIMIT"/>
    <d v="2025-11-01T00:00:00"/>
    <s v="3271306674"/>
    <x v="83"/>
    <x v="83"/>
    <s v="NOS"/>
    <s v="ZROH"/>
    <s v="RM0009"/>
    <n v="50000"/>
    <n v="385540.35"/>
    <n v="50000"/>
    <n v="50000"/>
    <d v="2025-11-01T00:00:00"/>
    <n v="392000"/>
    <s v="RV"/>
    <s v="Billing doc.transfer"/>
    <s v="01"/>
    <s v="Raw Material"/>
    <s v="RM-Mech. Accessories"/>
    <s v="Raw Material"/>
    <b v="0"/>
    <n v="392000"/>
    <n v="1"/>
    <s v="November-25"/>
    <n v="7.84"/>
    <n v="50000"/>
    <n v="0"/>
    <n v="0"/>
    <n v="0"/>
    <n v="0"/>
    <n v="0"/>
    <n v="0"/>
    <n v="0"/>
    <n v="0"/>
    <n v="0"/>
    <n v="0"/>
    <n v="0"/>
    <n v="385540.35"/>
    <n v="1"/>
    <n v="7.710807"/>
    <n v="0"/>
    <n v="0"/>
    <n v="0"/>
    <n v="0"/>
    <n v="385540.35"/>
    <n v="0"/>
    <n v="0"/>
    <n v="0"/>
    <n v="0"/>
    <n v="0"/>
    <n v="0"/>
  </r>
  <r>
    <s v="INYANTRA TECHNOLOGIES PRIVATE LIMIT"/>
    <d v="2025-11-01T00:00:00"/>
    <s v="3271306674"/>
    <x v="116"/>
    <x v="84"/>
    <s v="NOS"/>
    <s v="ZROH"/>
    <s v="RM0009"/>
    <n v="30000"/>
    <n v="600"/>
    <n v="30000"/>
    <n v="30000"/>
    <d v="2025-11-01T00:00:00"/>
    <n v="600"/>
    <s v="RV"/>
    <s v="Billing doc.transfer"/>
    <s v="01"/>
    <s v="Raw Material"/>
    <s v="RM-Mech. Accessories"/>
    <s v="Raw Material"/>
    <b v="0"/>
    <n v="600"/>
    <n v="1"/>
    <s v="November-25"/>
    <n v="0.02"/>
    <n v="30000"/>
    <n v="0"/>
    <n v="0"/>
    <n v="0"/>
    <n v="0"/>
    <n v="0"/>
    <n v="0"/>
    <n v="0"/>
    <n v="0"/>
    <n v="0"/>
    <n v="0"/>
    <n v="0"/>
    <n v="600"/>
    <n v="1"/>
    <n v="0.02"/>
    <n v="0"/>
    <n v="0"/>
    <n v="0"/>
    <n v="0"/>
    <n v="600"/>
    <n v="0"/>
    <n v="0"/>
    <n v="0"/>
    <n v="0"/>
    <n v="0"/>
    <n v="0"/>
  </r>
  <r>
    <s v="INYANTRA TECHNOLOGIES PRIVATE LIMIT"/>
    <d v="2025-11-01T00:00:00"/>
    <s v="3271306674"/>
    <x v="117"/>
    <x v="115"/>
    <s v="NOS"/>
    <s v="ZROH"/>
    <s v="RM0009"/>
    <n v="40000"/>
    <n v="3802.71"/>
    <n v="40000"/>
    <n v="40000"/>
    <d v="2025-11-01T00:00:00"/>
    <n v="4000"/>
    <s v="RV"/>
    <s v="Billing doc.transfer"/>
    <s v="01"/>
    <s v="Raw Material"/>
    <s v="RM-Mech. Accessories"/>
    <s v="Raw Material"/>
    <b v="0"/>
    <n v="4000"/>
    <n v="1"/>
    <s v="November-25"/>
    <n v="0.1"/>
    <n v="40000"/>
    <n v="0"/>
    <n v="0"/>
    <n v="0"/>
    <n v="0"/>
    <n v="0"/>
    <n v="0"/>
    <n v="0"/>
    <n v="0"/>
    <n v="0"/>
    <n v="0"/>
    <n v="0"/>
    <n v="3802.71"/>
    <n v="1"/>
    <n v="9.5067750000000006E-2"/>
    <n v="0"/>
    <n v="0"/>
    <n v="0"/>
    <n v="0"/>
    <n v="3802.71"/>
    <n v="0"/>
    <n v="0"/>
    <n v="0"/>
    <n v="0"/>
    <n v="0"/>
    <n v="0"/>
  </r>
  <r>
    <s v="INYANTRA TECHNOLOGIES PRIVATE LIMIT"/>
    <d v="2025-11-01T00:00:00"/>
    <s v="3271306674"/>
    <x v="81"/>
    <x v="81"/>
    <s v="NOS"/>
    <s v="ZROH"/>
    <s v="RM0009"/>
    <n v="50000"/>
    <n v="250000"/>
    <n v="50000"/>
    <n v="50000"/>
    <d v="2025-11-01T00:00:00"/>
    <n v="250000"/>
    <s v="RV"/>
    <s v="Billing doc.transfer"/>
    <s v="01"/>
    <s v="Raw Material"/>
    <s v="RM-Mech. Accessories"/>
    <s v="Raw Material"/>
    <b v="0"/>
    <n v="250000"/>
    <n v="1"/>
    <s v="November-25"/>
    <n v="5"/>
    <n v="50000"/>
    <n v="0"/>
    <n v="0"/>
    <n v="0"/>
    <n v="0"/>
    <n v="0"/>
    <n v="0"/>
    <n v="0"/>
    <n v="0"/>
    <n v="0"/>
    <n v="0"/>
    <n v="0"/>
    <n v="250000"/>
    <n v="1"/>
    <n v="5"/>
    <n v="0"/>
    <n v="0"/>
    <n v="0"/>
    <n v="0"/>
    <n v="250000"/>
    <n v="0"/>
    <n v="0"/>
    <n v="0"/>
    <n v="0"/>
    <n v="0"/>
    <n v="0"/>
  </r>
  <r>
    <s v="INYANTRA TECHNOLOGIES PRIVATE LIMIT"/>
    <d v="2025-11-01T00:00:00"/>
    <s v="3271306674"/>
    <x v="82"/>
    <x v="82"/>
    <s v="NOS"/>
    <s v="ZROH"/>
    <s v="RM0009"/>
    <n v="50000"/>
    <n v="24218.75"/>
    <n v="50000"/>
    <n v="50000"/>
    <d v="2025-11-01T00:00:00"/>
    <n v="21500"/>
    <s v="RV"/>
    <s v="Billing doc.transfer"/>
    <s v="01"/>
    <s v="Raw Material"/>
    <s v="RM-Mech. Accessories"/>
    <s v="Raw Material"/>
    <b v="0"/>
    <n v="21500"/>
    <n v="1"/>
    <s v="November-25"/>
    <n v="0.43"/>
    <n v="50000"/>
    <n v="0"/>
    <n v="0"/>
    <n v="0"/>
    <n v="0"/>
    <n v="0"/>
    <n v="0"/>
    <n v="0"/>
    <n v="0"/>
    <n v="0"/>
    <n v="0"/>
    <n v="0"/>
    <n v="24218.75"/>
    <n v="1"/>
    <n v="0.484375"/>
    <n v="0"/>
    <n v="0"/>
    <n v="0"/>
    <n v="0"/>
    <n v="24218.75"/>
    <n v="0"/>
    <n v="0"/>
    <n v="0"/>
    <n v="0"/>
    <n v="0"/>
    <n v="0"/>
  </r>
  <r>
    <s v="INYANTRA TECHNOLOGIES PRIVATE LIMIT"/>
    <d v="2025-11-01T00:00:00"/>
    <s v="3271306662"/>
    <x v="118"/>
    <x v="116"/>
    <s v="NOS"/>
    <s v="ZROH"/>
    <s v="RM0005"/>
    <n v="30000"/>
    <n v="1919351.16"/>
    <n v="30000"/>
    <n v="30000"/>
    <d v="2025-11-01T00:00:00"/>
    <n v="1960500"/>
    <s v="RV"/>
    <s v="Billing doc.transfer"/>
    <s v="01"/>
    <s v="Raw Material"/>
    <s v="RM-Eletro-IC"/>
    <s v="Raw Material"/>
    <b v="0"/>
    <n v="1960500"/>
    <n v="1"/>
    <s v="November-25"/>
    <n v="65.349999999999994"/>
    <n v="30000"/>
    <n v="0"/>
    <n v="0"/>
    <n v="0"/>
    <n v="0"/>
    <n v="0"/>
    <n v="0"/>
    <n v="0"/>
    <n v="0"/>
    <n v="0"/>
    <n v="0"/>
    <n v="0"/>
    <n v="1919351.16"/>
    <n v="1"/>
    <n v="63.978372"/>
    <n v="0"/>
    <n v="0"/>
    <n v="0"/>
    <n v="0"/>
    <n v="1919351.16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0C466-8A59-48B2-BCFA-0741A4CE356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L123" firstHeaderRow="0" firstDataRow="1" firstDataCol="2"/>
  <pivotFields count="51">
    <pivotField compact="0" outline="0" showAll="0" defaultSubtotal="0"/>
    <pivotField compact="0" numFmtId="14" outline="0" showAll="0" defaultSubtotal="0"/>
    <pivotField compact="0" outline="0" showAll="0" defaultSubtotal="0"/>
    <pivotField axis="axisRow" compact="0" outline="0" showAll="0" defaultSubtotal="0">
      <items count="119">
        <item x="35"/>
        <item x="32"/>
        <item x="36"/>
        <item x="37"/>
        <item x="2"/>
        <item x="33"/>
        <item x="40"/>
        <item x="41"/>
        <item x="18"/>
        <item x="24"/>
        <item x="30"/>
        <item x="31"/>
        <item x="29"/>
        <item x="106"/>
        <item x="61"/>
        <item x="62"/>
        <item x="63"/>
        <item x="64"/>
        <item x="65"/>
        <item x="39"/>
        <item x="43"/>
        <item x="88"/>
        <item x="44"/>
        <item x="93"/>
        <item x="13"/>
        <item x="45"/>
        <item x="91"/>
        <item x="84"/>
        <item x="85"/>
        <item x="42"/>
        <item x="66"/>
        <item x="118"/>
        <item x="67"/>
        <item x="68"/>
        <item x="89"/>
        <item x="107"/>
        <item x="69"/>
        <item x="70"/>
        <item x="71"/>
        <item x="72"/>
        <item x="112"/>
        <item x="73"/>
        <item x="90"/>
        <item x="74"/>
        <item x="94"/>
        <item x="75"/>
        <item x="76"/>
        <item x="77"/>
        <item x="78"/>
        <item x="79"/>
        <item x="104"/>
        <item x="19"/>
        <item x="111"/>
        <item x="80"/>
        <item x="105"/>
        <item x="113"/>
        <item x="114"/>
        <item x="23"/>
        <item x="108"/>
        <item x="86"/>
        <item x="92"/>
        <item x="95"/>
        <item x="110"/>
        <item x="96"/>
        <item x="97"/>
        <item x="109"/>
        <item x="81"/>
        <item x="117"/>
        <item x="57"/>
        <item x="82"/>
        <item x="83"/>
        <item x="46"/>
        <item x="47"/>
        <item x="48"/>
        <item x="49"/>
        <item x="98"/>
        <item x="99"/>
        <item x="115"/>
        <item x="116"/>
        <item x="50"/>
        <item x="100"/>
        <item x="51"/>
        <item x="52"/>
        <item x="53"/>
        <item x="1"/>
        <item x="0"/>
        <item x="87"/>
        <item x="5"/>
        <item x="103"/>
        <item x="25"/>
        <item x="26"/>
        <item x="27"/>
        <item x="101"/>
        <item x="102"/>
        <item x="7"/>
        <item x="6"/>
        <item x="4"/>
        <item x="11"/>
        <item x="58"/>
        <item x="16"/>
        <item x="8"/>
        <item x="14"/>
        <item x="9"/>
        <item x="60"/>
        <item x="3"/>
        <item x="17"/>
        <item x="59"/>
        <item x="28"/>
        <item x="15"/>
        <item x="20"/>
        <item x="21"/>
        <item x="54"/>
        <item x="55"/>
        <item x="56"/>
        <item x="34"/>
        <item x="10"/>
        <item x="22"/>
        <item x="38"/>
        <item x="12"/>
      </items>
    </pivotField>
    <pivotField axis="axisRow" compact="0" outline="0" showAll="0" defaultSubtotal="0">
      <items count="117">
        <item x="29"/>
        <item x="0"/>
        <item x="3"/>
        <item x="41"/>
        <item x="80"/>
        <item x="110"/>
        <item x="114"/>
        <item x="50"/>
        <item x="95"/>
        <item x="65"/>
        <item x="96"/>
        <item x="63"/>
        <item x="64"/>
        <item x="61"/>
        <item x="62"/>
        <item x="48"/>
        <item x="47"/>
        <item x="105"/>
        <item x="19"/>
        <item x="92"/>
        <item x="46"/>
        <item x="44"/>
        <item x="83"/>
        <item x="94"/>
        <item x="39"/>
        <item x="43"/>
        <item x="86"/>
        <item x="8"/>
        <item x="34"/>
        <item x="38"/>
        <item x="22"/>
        <item x="10"/>
        <item x="56"/>
        <item x="55"/>
        <item x="17"/>
        <item x="54"/>
        <item x="59"/>
        <item x="101"/>
        <item x="7"/>
        <item x="6"/>
        <item x="20"/>
        <item x="28"/>
        <item x="15"/>
        <item x="4"/>
        <item x="24"/>
        <item x="60"/>
        <item x="11"/>
        <item x="100"/>
        <item x="91"/>
        <item x="99"/>
        <item x="116"/>
        <item x="13"/>
        <item x="104"/>
        <item x="97"/>
        <item x="98"/>
        <item x="103"/>
        <item x="45"/>
        <item x="67"/>
        <item x="21"/>
        <item x="9"/>
        <item x="14"/>
        <item x="88"/>
        <item x="32"/>
        <item x="30"/>
        <item x="23"/>
        <item x="106"/>
        <item x="81"/>
        <item x="73"/>
        <item x="102"/>
        <item x="25"/>
        <item x="109"/>
        <item x="107"/>
        <item x="90"/>
        <item x="108"/>
        <item x="1"/>
        <item x="27"/>
        <item x="5"/>
        <item x="12"/>
        <item x="26"/>
        <item x="58"/>
        <item x="75"/>
        <item x="93"/>
        <item x="113"/>
        <item x="79"/>
        <item x="72"/>
        <item x="71"/>
        <item x="76"/>
        <item x="78"/>
        <item x="77"/>
        <item x="112"/>
        <item x="74"/>
        <item x="70"/>
        <item x="66"/>
        <item x="69"/>
        <item x="115"/>
        <item x="84"/>
        <item x="49"/>
        <item x="111"/>
        <item x="82"/>
        <item x="40"/>
        <item x="37"/>
        <item x="16"/>
        <item x="68"/>
        <item x="87"/>
        <item x="36"/>
        <item x="35"/>
        <item x="57"/>
        <item x="85"/>
        <item x="42"/>
        <item x="31"/>
        <item x="52"/>
        <item x="53"/>
        <item x="89"/>
        <item x="51"/>
        <item x="2"/>
        <item x="33"/>
        <item x="1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numFmtId="14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numFmtId="165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6" outline="0" showAll="0" defaultSubtotal="0"/>
    <pivotField dataField="1" compact="0" numFmtId="166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6" outline="0" showAll="0" defaultSubtotal="0"/>
    <pivotField compact="0" numFmtId="9" outline="0" showAll="0" defaultSubtotal="0"/>
    <pivotField compact="0" numFmtId="164" outline="0" showAll="0" defaultSubtotal="0"/>
    <pivotField compact="0" numFmtId="166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164" outline="0" showAll="0" defaultSubtotal="0"/>
  </pivotFields>
  <rowFields count="2">
    <field x="3"/>
    <field x="4"/>
  </rowFields>
  <rowItems count="120">
    <i>
      <x/>
      <x v="105"/>
    </i>
    <i>
      <x v="1"/>
      <x v="62"/>
    </i>
    <i>
      <x v="2"/>
      <x v="104"/>
    </i>
    <i>
      <x v="3"/>
      <x v="100"/>
    </i>
    <i>
      <x v="4"/>
      <x v="114"/>
    </i>
    <i>
      <x v="5"/>
      <x v="115"/>
    </i>
    <i>
      <x v="6"/>
      <x v="99"/>
    </i>
    <i>
      <x v="7"/>
      <x v="3"/>
    </i>
    <i>
      <x v="8"/>
      <x v="116"/>
    </i>
    <i>
      <x v="9"/>
      <x v="44"/>
    </i>
    <i>
      <x v="10"/>
      <x v="63"/>
    </i>
    <i>
      <x v="11"/>
      <x v="109"/>
    </i>
    <i>
      <x v="12"/>
      <x/>
    </i>
    <i>
      <x v="13"/>
      <x v="17"/>
    </i>
    <i>
      <x v="14"/>
      <x v="13"/>
    </i>
    <i>
      <x v="15"/>
      <x v="14"/>
    </i>
    <i>
      <x v="16"/>
      <x v="11"/>
    </i>
    <i>
      <x v="17"/>
      <x v="12"/>
    </i>
    <i>
      <x v="18"/>
      <x v="9"/>
    </i>
    <i>
      <x v="19"/>
      <x v="24"/>
    </i>
    <i>
      <x v="20"/>
      <x v="25"/>
    </i>
    <i>
      <x v="21"/>
      <x v="61"/>
    </i>
    <i>
      <x v="22"/>
      <x v="21"/>
    </i>
    <i>
      <x v="23"/>
      <x v="19"/>
    </i>
    <i>
      <x v="24"/>
      <x v="51"/>
    </i>
    <i>
      <x v="25"/>
      <x v="56"/>
    </i>
    <i>
      <x v="26"/>
      <x v="48"/>
    </i>
    <i>
      <x v="27"/>
      <x v="95"/>
    </i>
    <i>
      <x v="28"/>
      <x v="107"/>
    </i>
    <i>
      <x v="29"/>
      <x v="108"/>
    </i>
    <i>
      <x v="30"/>
      <x v="92"/>
    </i>
    <i>
      <x v="31"/>
      <x v="50"/>
    </i>
    <i>
      <x v="32"/>
      <x v="57"/>
    </i>
    <i>
      <x v="33"/>
      <x v="102"/>
    </i>
    <i>
      <x v="34"/>
      <x v="112"/>
    </i>
    <i>
      <x v="35"/>
      <x v="65"/>
    </i>
    <i>
      <x v="36"/>
      <x v="93"/>
    </i>
    <i>
      <x v="37"/>
      <x v="91"/>
    </i>
    <i>
      <x v="38"/>
      <x v="85"/>
    </i>
    <i>
      <x v="39"/>
      <x v="84"/>
    </i>
    <i>
      <x v="40"/>
      <x v="97"/>
    </i>
    <i>
      <x v="41"/>
      <x v="67"/>
    </i>
    <i>
      <x v="42"/>
      <x v="72"/>
    </i>
    <i>
      <x v="43"/>
      <x v="90"/>
    </i>
    <i>
      <x v="44"/>
      <x v="81"/>
    </i>
    <i>
      <x v="45"/>
      <x v="80"/>
    </i>
    <i>
      <x v="46"/>
      <x v="86"/>
    </i>
    <i>
      <x v="47"/>
      <x v="88"/>
    </i>
    <i>
      <x v="48"/>
      <x v="87"/>
    </i>
    <i>
      <x v="49"/>
      <x v="83"/>
    </i>
    <i>
      <x v="50"/>
      <x v="55"/>
    </i>
    <i>
      <x v="51"/>
      <x v="18"/>
    </i>
    <i>
      <x v="52"/>
      <x v="5"/>
    </i>
    <i>
      <x v="53"/>
      <x v="4"/>
    </i>
    <i>
      <x v="54"/>
      <x v="52"/>
    </i>
    <i>
      <x v="55"/>
      <x v="89"/>
    </i>
    <i>
      <x v="56"/>
      <x v="82"/>
    </i>
    <i>
      <x v="57"/>
      <x v="64"/>
    </i>
    <i>
      <x v="58"/>
      <x v="71"/>
    </i>
    <i>
      <x v="59"/>
      <x v="26"/>
    </i>
    <i>
      <x v="60"/>
      <x v="14"/>
    </i>
    <i>
      <x v="61"/>
      <x v="23"/>
    </i>
    <i>
      <x v="62"/>
      <x v="70"/>
    </i>
    <i>
      <x v="63"/>
      <x v="8"/>
    </i>
    <i>
      <x v="64"/>
      <x v="10"/>
    </i>
    <i>
      <x v="65"/>
      <x v="73"/>
    </i>
    <i>
      <x v="66"/>
      <x v="66"/>
    </i>
    <i>
      <x v="67"/>
      <x v="94"/>
    </i>
    <i>
      <x v="68"/>
      <x v="106"/>
    </i>
    <i>
      <x v="69"/>
      <x v="98"/>
    </i>
    <i>
      <x v="70"/>
      <x v="22"/>
    </i>
    <i>
      <x v="71"/>
      <x v="20"/>
    </i>
    <i>
      <x v="72"/>
      <x v="16"/>
    </i>
    <i>
      <x v="73"/>
      <x v="15"/>
    </i>
    <i>
      <x v="74"/>
      <x v="96"/>
    </i>
    <i>
      <x v="75"/>
      <x v="53"/>
    </i>
    <i>
      <x v="76"/>
      <x v="54"/>
    </i>
    <i>
      <x v="77"/>
      <x v="6"/>
    </i>
    <i>
      <x v="78"/>
      <x v="95"/>
    </i>
    <i>
      <x v="79"/>
      <x v="7"/>
    </i>
    <i>
      <x v="80"/>
      <x v="49"/>
    </i>
    <i>
      <x v="81"/>
      <x v="113"/>
    </i>
    <i>
      <x v="82"/>
      <x v="110"/>
    </i>
    <i>
      <x v="83"/>
      <x v="111"/>
    </i>
    <i>
      <x v="84"/>
      <x v="74"/>
    </i>
    <i>
      <x v="85"/>
      <x v="1"/>
    </i>
    <i>
      <x v="86"/>
      <x v="103"/>
    </i>
    <i>
      <x v="87"/>
      <x v="76"/>
    </i>
    <i>
      <x v="88"/>
      <x v="68"/>
    </i>
    <i>
      <x v="89"/>
      <x v="69"/>
    </i>
    <i>
      <x v="90"/>
      <x v="78"/>
    </i>
    <i>
      <x v="91"/>
      <x v="75"/>
    </i>
    <i>
      <x v="92"/>
      <x v="47"/>
    </i>
    <i>
      <x v="93"/>
      <x v="37"/>
    </i>
    <i>
      <x v="94"/>
      <x v="38"/>
    </i>
    <i>
      <x v="95"/>
      <x v="39"/>
    </i>
    <i>
      <x v="96"/>
      <x v="43"/>
    </i>
    <i>
      <x v="97"/>
      <x v="46"/>
    </i>
    <i>
      <x v="98"/>
      <x v="79"/>
    </i>
    <i>
      <x v="99"/>
      <x v="101"/>
    </i>
    <i>
      <x v="100"/>
      <x v="27"/>
    </i>
    <i>
      <x v="101"/>
      <x v="60"/>
    </i>
    <i>
      <x v="102"/>
      <x v="59"/>
    </i>
    <i>
      <x v="103"/>
      <x v="45"/>
    </i>
    <i>
      <x v="104"/>
      <x v="2"/>
    </i>
    <i>
      <x v="105"/>
      <x v="34"/>
    </i>
    <i>
      <x v="106"/>
      <x v="36"/>
    </i>
    <i>
      <x v="107"/>
      <x v="41"/>
    </i>
    <i>
      <x v="108"/>
      <x v="42"/>
    </i>
    <i>
      <x v="109"/>
      <x v="40"/>
    </i>
    <i>
      <x v="110"/>
      <x v="58"/>
    </i>
    <i>
      <x v="111"/>
      <x v="35"/>
    </i>
    <i>
      <x v="112"/>
      <x v="33"/>
    </i>
    <i>
      <x v="113"/>
      <x v="32"/>
    </i>
    <i>
      <x v="114"/>
      <x v="28"/>
    </i>
    <i>
      <x v="115"/>
      <x v="31"/>
    </i>
    <i>
      <x v="116"/>
      <x v="30"/>
    </i>
    <i>
      <x v="117"/>
      <x v="29"/>
    </i>
    <i>
      <x v="118"/>
      <x v="7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Billed Quantity" fld="11" baseField="0" baseItem="0"/>
    <dataField name="Sum of Net Value" fld="13" baseField="0" baseItem="0"/>
    <dataField name="Sum of BOM Cost22" fld="44" baseField="0" baseItem="0" numFmtId="164"/>
    <dataField name="Sum of Labour Cost2" fld="45" baseField="0" baseItem="0" numFmtId="164"/>
    <dataField name="Sum of Total STAFF COST" fld="46" baseField="0" baseItem="0" numFmtId="164"/>
    <dataField name="Sum of Total PLANT OH COST" fld="47" baseField="0" baseItem="0" numFmtId="164"/>
    <dataField name="Sum of Total CONSUMABLES COST" fld="48" baseField="0" baseItem="0" numFmtId="164"/>
    <dataField name="Sum of Droppage Cost2" fld="49" baseField="0" baseItem="0" numFmtId="164"/>
    <dataField name="Average of ASP" fld="24" subtotal="average" baseField="4" baseItem="105"/>
    <dataField name="Sum of PGI COST" fld="32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441D2-6C07-4081-A8E0-AF1EE9805D5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G10" firstHeaderRow="0" firstDataRow="1" firstDataCol="1" rowPageCount="3" colPageCount="1"/>
  <pivotFields count="41">
    <pivotField compact="0" outline="0" showAll="0" defaultSubtotal="0"/>
    <pivotField compact="0" numFmtId="14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numFmtId="4" outline="0" showAll="0" defaultSubtotal="0"/>
    <pivotField compact="0" numFmtId="3" outline="0" showAll="0" defaultSubtotal="0"/>
    <pivotField compact="0" numFmtId="3" outline="0" showAll="0" defaultSubtotal="0"/>
    <pivotField axis="axisPage" compact="0" numFmtId="14" outline="0" multipleItemSelectionAllowed="1" showAll="0" defaultSubtotal="0">
      <items count="284">
        <item m="1" x="221"/>
        <item m="1" x="220"/>
        <item m="1" x="219"/>
        <item m="1" x="218"/>
        <item m="1" x="217"/>
        <item m="1" x="216"/>
        <item m="1" x="215"/>
        <item m="1" x="214"/>
        <item m="1" x="213"/>
        <item m="1" x="212"/>
        <item m="1" x="211"/>
        <item m="1" x="210"/>
        <item m="1" x="209"/>
        <item m="1" x="208"/>
        <item m="1" x="207"/>
        <item m="1" x="206"/>
        <item m="1" x="205"/>
        <item m="1" x="204"/>
        <item m="1" x="203"/>
        <item m="1" x="202"/>
        <item m="1" x="201"/>
        <item m="1" x="199"/>
        <item m="1" x="200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198"/>
        <item m="1" x="197"/>
        <item m="1" x="196"/>
        <item m="1" x="195"/>
        <item m="1" x="194"/>
        <item m="1" x="193"/>
        <item m="1" x="192"/>
        <item m="1" x="191"/>
        <item m="1" x="190"/>
        <item m="1" x="189"/>
        <item m="1" x="188"/>
        <item m="1" x="187"/>
        <item m="1" x="186"/>
        <item m="1" x="185"/>
        <item m="1" x="184"/>
        <item m="1" x="183"/>
        <item m="1" x="182"/>
        <item m="1" x="181"/>
        <item m="1" x="180"/>
        <item m="1" x="179"/>
        <item m="1" x="178"/>
        <item m="1" x="177"/>
        <item m="1" x="175"/>
        <item m="1" x="176"/>
        <item m="1" x="174"/>
        <item m="1" x="173"/>
        <item m="1" x="172"/>
        <item m="1" x="171"/>
        <item m="1" x="170"/>
        <item m="1" x="168"/>
        <item m="1" x="169"/>
        <item m="1" x="167"/>
        <item m="1" x="166"/>
        <item m="1" x="165"/>
        <item m="1" x="164"/>
        <item m="1" x="163"/>
        <item m="1" x="162"/>
        <item m="1" x="161"/>
        <item m="1" x="160"/>
        <item m="1" x="159"/>
        <item m="1" x="158"/>
        <item m="1" x="157"/>
        <item m="1" x="156"/>
        <item m="1" x="155"/>
        <item m="1" x="154"/>
        <item m="1" x="153"/>
        <item m="1" x="152"/>
        <item m="1" x="151"/>
        <item m="1" x="150"/>
        <item m="1" x="148"/>
        <item m="1" x="149"/>
        <item m="1" x="147"/>
        <item m="1" x="146"/>
        <item m="1" x="144"/>
        <item m="1" x="145"/>
        <item m="1" x="143"/>
        <item m="1" x="142"/>
        <item m="1" x="141"/>
        <item m="1" x="140"/>
        <item m="1" x="139"/>
        <item m="1" x="138"/>
        <item m="1" x="137"/>
        <item m="1" x="136"/>
        <item m="1" x="135"/>
        <item m="1" x="134"/>
        <item m="1" x="133"/>
        <item m="1" x="132"/>
        <item m="1" x="131"/>
        <item m="1" x="130"/>
        <item m="1" x="129"/>
        <item m="1" x="128"/>
        <item m="1" x="127"/>
        <item m="1" x="126"/>
        <item m="1" x="125"/>
        <item m="1" x="124"/>
        <item m="1" x="123"/>
        <item m="1" x="122"/>
        <item m="1" x="121"/>
        <item m="1" x="120"/>
        <item m="1" x="119"/>
        <item m="1" x="118"/>
        <item m="1" x="117"/>
        <item m="1" x="116"/>
        <item m="1" x="115"/>
        <item m="1" x="114"/>
        <item m="1" x="113"/>
        <item m="1" x="112"/>
        <item m="1" x="111"/>
        <item m="1" x="110"/>
        <item m="1" x="109"/>
        <item m="1" x="108"/>
        <item m="1" x="107"/>
        <item m="1" x="106"/>
        <item m="1" x="105"/>
        <item m="1" x="104"/>
        <item m="1" x="103"/>
        <item m="1" x="102"/>
        <item m="1" x="101"/>
        <item m="1" x="100"/>
        <item m="1" x="99"/>
        <item m="1" x="98"/>
        <item m="1" x="97"/>
        <item m="1" x="96"/>
        <item m="1" x="95"/>
        <item m="1" x="94"/>
        <item m="1" x="92"/>
        <item m="1" x="93"/>
        <item m="1" x="89"/>
        <item m="1" x="90"/>
        <item m="1" x="91"/>
        <item m="1" x="88"/>
        <item m="1" x="87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4"/>
        <item m="1" x="75"/>
        <item m="1" x="73"/>
        <item m="1" x="72"/>
        <item m="1" x="71"/>
        <item m="1" x="70"/>
        <item m="1" x="69"/>
        <item m="1" x="68"/>
        <item m="1" x="67"/>
        <item m="1" x="66"/>
        <item m="1" x="65"/>
        <item m="1" x="64"/>
        <item m="1" x="63"/>
        <item m="1" x="62"/>
        <item m="1" x="61"/>
        <item m="1" x="60"/>
        <item m="1" x="59"/>
        <item m="1" x="58"/>
        <item m="1" x="57"/>
        <item m="1" x="56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2"/>
        <item m="1" x="33"/>
        <item m="1" x="34"/>
        <item m="1" x="35"/>
        <item m="1" x="30"/>
        <item m="1" x="31"/>
        <item m="1" x="29"/>
        <item m="1" x="28"/>
        <item m="1" x="27"/>
        <item m="1" x="26"/>
        <item h="1" x="25"/>
        <item h="1" x="24"/>
        <item h="1" x="23"/>
        <item h="1" x="22"/>
        <item h="1" x="21"/>
        <item h="1" x="19"/>
        <item h="1" x="20"/>
        <item h="1" x="18"/>
        <item h="1" x="17"/>
        <item h="1" x="16"/>
        <item h="1" x="15"/>
        <item h="1" x="12"/>
        <item h="1" x="13"/>
        <item h="1" x="14"/>
        <item h="1" x="11"/>
        <item h="1" x="10"/>
        <item h="1" x="9"/>
        <item h="1" x="8"/>
        <item h="1" x="6"/>
        <item h="1" x="7"/>
        <item h="1" x="5"/>
        <item h="1" x="4"/>
        <item h="1" x="3"/>
        <item h="1" x="2"/>
        <item x="0"/>
        <item h="1" x="1"/>
      </items>
    </pivotField>
    <pivotField dataField="1"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5">
        <item x="0"/>
        <item x="2"/>
        <item x="1"/>
        <item x="3"/>
        <item m="1" x="4"/>
      </items>
    </pivotField>
    <pivotField compact="0" outline="0" showAll="0" defaultSubtotal="0"/>
    <pivotField axis="axisRow" compact="0" outline="0" subtotalTop="0" showAll="0" defaultSubtotal="0">
      <items count="12">
        <item x="2"/>
        <item x="5"/>
        <item x="0"/>
        <item m="1" x="10"/>
        <item x="1"/>
        <item x="9"/>
        <item x="4"/>
        <item m="1" x="11"/>
        <item x="8"/>
        <item x="7"/>
        <item x="3"/>
        <item x="6"/>
      </items>
    </pivotField>
    <pivotField axis="axisPage" compact="0" outline="0" subtotalTop="0" showAll="0" defaultSubtotal="0">
      <items count="3">
        <item x="0"/>
        <item m="1" x="1"/>
        <item m="1" x="2"/>
      </items>
    </pivotField>
    <pivotField compact="0" numFmtId="4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numFmtId="164" outline="0" subtotalTop="0" showAll="0" defaultSubtotal="0"/>
    <pivotField compact="0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outline="0" subtotalTop="0" showAll="0" defaultSubtotal="0"/>
    <pivotField dataField="1" compact="0" numFmtId="166" outline="0" subtotalTop="0" showAll="0" defaultSubtotal="0"/>
    <pivotField dataField="1" compact="0" outline="0" subtotalTop="0" showAll="0" defaultSubtotal="0"/>
    <pivotField dataField="1" compact="0" numFmtId="164" outline="0" subtotalTop="0" showAll="0" defaultSubtotal="0"/>
    <pivotField compact="0" numFmtId="164" outline="0" subtotalTop="0" showAll="0" defaultSubtotal="0"/>
    <pivotField dataField="1" compact="0" numFmtId="164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</pivotFields>
  <rowFields count="1">
    <field x="19"/>
  </rowFields>
  <rowItems count="5">
    <i>
      <x/>
    </i>
    <i>
      <x v="2"/>
    </i>
    <i>
      <x v="4"/>
    </i>
    <i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7" hier="-1"/>
    <pageField fld="12" hier="-1"/>
    <pageField fld="20" hier="-1"/>
  </pageFields>
  <dataFields count="6">
    <dataField name="Sum of MIS Quantity" fld="25" baseField="0" baseItem="0"/>
    <dataField name="Sum of Net Value" fld="13" baseField="0" baseItem="0" numFmtId="4"/>
    <dataField name="Sum of PGI COST" fld="32" baseField="0" baseItem="0" numFmtId="166"/>
    <dataField name="Sum of BOM Cost2" fld="33" baseField="17" baseItem="1"/>
    <dataField name="Sum of Labour Cost" fld="34" baseField="0" baseItem="0" numFmtId="164"/>
    <dataField name="Sum of Other conversion cost" fld="36" baseField="0" baseItem="0" numFmtId="164"/>
  </dataFields>
  <formats count="1">
    <format dxfId="8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9A3DC-754E-4CD5-A16F-A85122B6668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G15" firstHeaderRow="0" firstDataRow="1" firstDataCol="1" rowPageCount="2" colPageCount="1"/>
  <pivotFields count="41">
    <pivotField compact="0" outline="0" showAll="0" defaultSubtotal="0"/>
    <pivotField compact="0" numFmtId="14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numFmtId="4" outline="0" showAll="0" defaultSubtotal="0"/>
    <pivotField compact="0" numFmtId="3" outline="0" showAll="0" defaultSubtotal="0"/>
    <pivotField compact="0" numFmtId="3" outline="0" showAll="0" defaultSubtotal="0"/>
    <pivotField compact="0" numFmtId="14" outline="0" showAll="0" defaultSubtotal="0"/>
    <pivotField dataField="1"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5">
        <item x="0"/>
        <item x="2"/>
        <item x="1"/>
        <item x="3"/>
        <item m="1" x="4"/>
      </items>
    </pivotField>
    <pivotField compact="0" outline="0" showAll="0" defaultSubtotal="0"/>
    <pivotField axis="axisRow" compact="0" outline="0" subtotalTop="0" showAll="0" defaultSubtotal="0">
      <items count="12">
        <item x="2"/>
        <item x="5"/>
        <item x="0"/>
        <item m="1" x="10"/>
        <item x="1"/>
        <item x="9"/>
        <item x="4"/>
        <item m="1" x="11"/>
        <item x="8"/>
        <item x="7"/>
        <item x="3"/>
        <item x="6"/>
      </items>
    </pivotField>
    <pivotField compact="0" outline="0" subtotalTop="0" showAll="0" defaultSubtotal="0"/>
    <pivotField compact="0" numFmtId="4" outline="0" subtotalTop="0" showAll="0" defaultSubtotal="0"/>
    <pivotField compact="0" numFmtId="165" outline="0" subtotalTop="0" showAll="0" defaultSubtotal="0"/>
    <pivotField axis="axisPage" compact="0" outline="0" subtotalTop="0" showAll="0" defaultSubtotal="0">
      <items count="16">
        <item m="1" x="9"/>
        <item m="1" x="10"/>
        <item m="1" x="11"/>
        <item m="1" x="12"/>
        <item m="1" x="13"/>
        <item m="1" x="14"/>
        <item m="1" x="15"/>
        <item m="1" x="8"/>
        <item m="1" x="7"/>
        <item m="1" x="5"/>
        <item m="1" x="6"/>
        <item m="1" x="4"/>
        <item m="1" x="3"/>
        <item m="1" x="2"/>
        <item m="1" x="1"/>
        <item x="0"/>
      </items>
    </pivotField>
    <pivotField compact="0" outline="0" subtotalTop="0" showAll="0" defaultSubtotal="0"/>
    <pivotField dataField="1" compact="0" outline="0" subtotalTop="0" showAll="0" defaultSubtotal="0"/>
    <pivotField compact="0" numFmtId="164" outline="0" subtotalTop="0" showAll="0" defaultSubtotal="0"/>
    <pivotField compact="0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outline="0" subtotalTop="0" showAll="0" defaultSubtotal="0"/>
    <pivotField dataField="1" compact="0" numFmtId="166" outline="0" subtotalTop="0" showAll="0" defaultSubtotal="0"/>
    <pivotField dataField="1" compact="0" outline="0" subtotalTop="0" showAll="0" defaultSubtotal="0"/>
    <pivotField dataField="1" compact="0" numFmtId="164" outline="0" subtotalTop="0" showAll="0" defaultSubtotal="0"/>
    <pivotField compact="0" numFmtId="164" outline="0" subtotalTop="0" showAll="0" defaultSubtotal="0"/>
    <pivotField dataField="1" compact="0" numFmtId="164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</pivotFields>
  <rowFields count="1">
    <field x="19"/>
  </rowFields>
  <rowItems count="11">
    <i>
      <x/>
    </i>
    <i>
      <x v="1"/>
    </i>
    <i>
      <x v="2"/>
    </i>
    <i>
      <x v="4"/>
    </i>
    <i>
      <x v="5"/>
    </i>
    <i>
      <x v="6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23" item="15" hier="-1"/>
    <pageField fld="17" hier="-1"/>
  </pageFields>
  <dataFields count="6">
    <dataField name="Sum of MIS Quantity" fld="25" baseField="0" baseItem="0"/>
    <dataField name="Sum of Net Value" fld="13" baseField="0" baseItem="0" numFmtId="4"/>
    <dataField name="Sum of PGI COST" fld="32" baseField="0" baseItem="0" numFmtId="166"/>
    <dataField name="Sum of BOM Cost2" fld="33" baseField="17" baseItem="1"/>
    <dataField name="Sum of Labour Cost" fld="34" baseField="0" baseItem="0" numFmtId="164"/>
    <dataField name="Sum of Other conversion cost" fld="3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9E7BB-FE53-4F94-9A41-6609EB8AC9D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C124" firstHeaderRow="1" firstDataRow="2" firstDataCol="2"/>
  <pivotFields count="41">
    <pivotField compact="0" outline="0" showAll="0" defaultSubtotal="0"/>
    <pivotField compact="0" numFmtId="14" outline="0" showAll="0" defaultSubtotal="0"/>
    <pivotField compact="0" outline="0" showAll="0" defaultSubtotal="0"/>
    <pivotField axis="axisRow" compact="0" outline="0" showAll="0" defaultSubtotal="0">
      <items count="147">
        <item x="35"/>
        <item m="1" x="145"/>
        <item m="1" x="146"/>
        <item x="2"/>
        <item m="1" x="144"/>
        <item x="24"/>
        <item m="1" x="143"/>
        <item x="5"/>
        <item m="1" x="120"/>
        <item x="103"/>
        <item x="25"/>
        <item x="102"/>
        <item x="7"/>
        <item x="6"/>
        <item x="4"/>
        <item x="58"/>
        <item x="16"/>
        <item x="8"/>
        <item x="9"/>
        <item x="3"/>
        <item x="17"/>
        <item m="1" x="125"/>
        <item x="18"/>
        <item m="1" x="142"/>
        <item x="1"/>
        <item x="11"/>
        <item m="1" x="141"/>
        <item m="1" x="133"/>
        <item m="1" x="134"/>
        <item x="28"/>
        <item x="109"/>
        <item x="108"/>
        <item x="111"/>
        <item x="69"/>
        <item m="1" x="135"/>
        <item x="80"/>
        <item x="113"/>
        <item x="114"/>
        <item x="106"/>
        <item m="1" x="136"/>
        <item x="63"/>
        <item m="1" x="137"/>
        <item m="1" x="138"/>
        <item m="1" x="139"/>
        <item x="45"/>
        <item m="1" x="130"/>
        <item m="1" x="131"/>
        <item m="1" x="140"/>
        <item x="118"/>
        <item m="1" x="126"/>
        <item m="1" x="127"/>
        <item m="1" x="128"/>
        <item m="1" x="129"/>
        <item m="1" x="132"/>
        <item x="0"/>
        <item m="1" x="124"/>
        <item x="101"/>
        <item m="1" x="122"/>
        <item x="33"/>
        <item m="1" x="123"/>
        <item m="1" x="121"/>
        <item x="75"/>
        <item x="104"/>
        <item x="105"/>
        <item x="107"/>
        <item x="67"/>
        <item x="110"/>
        <item x="62"/>
        <item x="66"/>
        <item x="74"/>
        <item x="61"/>
        <item x="68"/>
        <item x="73"/>
        <item x="76"/>
        <item x="71"/>
        <item x="72"/>
        <item x="79"/>
        <item x="78"/>
        <item x="70"/>
        <item x="64"/>
        <item x="65"/>
        <item x="112"/>
        <item x="77"/>
        <item x="115"/>
        <item x="83"/>
        <item x="116"/>
        <item x="117"/>
        <item x="81"/>
        <item x="82"/>
        <item x="60"/>
        <item x="15"/>
        <item x="20"/>
        <item x="59"/>
        <item x="52"/>
        <item x="41"/>
        <item x="88"/>
        <item x="89"/>
        <item x="90"/>
        <item x="91"/>
        <item x="92"/>
        <item x="44"/>
        <item x="93"/>
        <item x="94"/>
        <item x="95"/>
        <item x="96"/>
        <item x="97"/>
        <item x="98"/>
        <item x="99"/>
        <item x="100"/>
        <item m="1" x="119"/>
        <item x="36"/>
        <item x="37"/>
        <item x="84"/>
        <item x="39"/>
        <item x="85"/>
        <item x="42"/>
        <item x="57"/>
        <item x="86"/>
        <item x="87"/>
        <item x="38"/>
        <item x="43"/>
        <item x="46"/>
        <item x="47"/>
        <item x="48"/>
        <item x="49"/>
        <item x="50"/>
        <item x="51"/>
        <item x="53"/>
        <item x="54"/>
        <item x="55"/>
        <item x="56"/>
        <item x="40"/>
        <item x="27"/>
        <item x="26"/>
        <item x="34"/>
        <item x="10"/>
        <item x="22"/>
        <item x="21"/>
        <item x="14"/>
        <item x="29"/>
        <item x="19"/>
        <item x="30"/>
        <item x="31"/>
        <item x="32"/>
        <item x="23"/>
        <item x="12"/>
        <item x="13"/>
      </items>
    </pivotField>
    <pivotField axis="axisRow" compact="0" outline="0" showAll="0" defaultSubtotal="0">
      <items count="247">
        <item m="1" x="241"/>
        <item x="0"/>
        <item m="1" x="142"/>
        <item x="3"/>
        <item m="1" x="143"/>
        <item x="41"/>
        <item m="1" x="213"/>
        <item x="110"/>
        <item m="1" x="219"/>
        <item m="1" x="225"/>
        <item m="1" x="199"/>
        <item m="1" x="135"/>
        <item m="1" x="206"/>
        <item m="1" x="158"/>
        <item m="1" x="136"/>
        <item m="1" x="169"/>
        <item m="1" x="181"/>
        <item m="1" x="194"/>
        <item m="1" x="126"/>
        <item m="1" x="177"/>
        <item x="50"/>
        <item m="1" x="195"/>
        <item x="95"/>
        <item m="1" x="193"/>
        <item m="1" x="209"/>
        <item m="1" x="235"/>
        <item m="1" x="168"/>
        <item m="1" x="180"/>
        <item m="1" x="166"/>
        <item m="1" x="231"/>
        <item m="1" x="222"/>
        <item x="96"/>
        <item m="1" x="236"/>
        <item m="1" x="237"/>
        <item m="1" x="227"/>
        <item m="1" x="149"/>
        <item m="1" x="154"/>
        <item x="63"/>
        <item x="64"/>
        <item m="1" x="196"/>
        <item m="1" x="176"/>
        <item x="61"/>
        <item x="48"/>
        <item x="47"/>
        <item m="1" x="211"/>
        <item x="105"/>
        <item m="1" x="224"/>
        <item m="1" x="218"/>
        <item x="92"/>
        <item x="46"/>
        <item x="44"/>
        <item m="1" x="137"/>
        <item m="1" x="159"/>
        <item m="1" x="201"/>
        <item x="94"/>
        <item m="1" x="203"/>
        <item x="8"/>
        <item m="1" x="167"/>
        <item x="17"/>
        <item m="1" x="214"/>
        <item m="1" x="141"/>
        <item m="1" x="134"/>
        <item m="1" x="145"/>
        <item x="101"/>
        <item x="7"/>
        <item m="1" x="234"/>
        <item x="6"/>
        <item x="20"/>
        <item x="28"/>
        <item x="15"/>
        <item x="4"/>
        <item x="24"/>
        <item m="1" x="233"/>
        <item m="1" x="239"/>
        <item x="11"/>
        <item x="100"/>
        <item m="1" x="120"/>
        <item m="1" x="163"/>
        <item m="1" x="221"/>
        <item x="99"/>
        <item x="116"/>
        <item x="13"/>
        <item m="1" x="190"/>
        <item m="1" x="188"/>
        <item m="1" x="243"/>
        <item x="97"/>
        <item x="98"/>
        <item x="45"/>
        <item m="1" x="240"/>
        <item m="1" x="229"/>
        <item m="1" x="127"/>
        <item m="1" x="191"/>
        <item m="1" x="189"/>
        <item m="1" x="226"/>
        <item m="1" x="165"/>
        <item m="1" x="187"/>
        <item m="1" x="210"/>
        <item x="9"/>
        <item x="14"/>
        <item m="1" x="200"/>
        <item m="1" x="156"/>
        <item m="1" x="146"/>
        <item m="1" x="182"/>
        <item m="1" x="148"/>
        <item x="88"/>
        <item m="1" x="244"/>
        <item m="1" x="245"/>
        <item m="1" x="246"/>
        <item m="1" x="152"/>
        <item m="1" x="198"/>
        <item m="1" x="184"/>
        <item m="1" x="217"/>
        <item m="1" x="138"/>
        <item x="102"/>
        <item m="1" x="118"/>
        <item x="25"/>
        <item x="109"/>
        <item x="107"/>
        <item x="108"/>
        <item m="1" x="192"/>
        <item m="1" x="208"/>
        <item m="1" x="238"/>
        <item x="1"/>
        <item x="27"/>
        <item x="5"/>
        <item x="26"/>
        <item x="58"/>
        <item m="1" x="161"/>
        <item m="1" x="220"/>
        <item m="1" x="215"/>
        <item x="75"/>
        <item x="93"/>
        <item m="1" x="171"/>
        <item m="1" x="186"/>
        <item m="1" x="230"/>
        <item m="1" x="155"/>
        <item m="1" x="175"/>
        <item m="1" x="232"/>
        <item m="1" x="183"/>
        <item m="1" x="133"/>
        <item x="76"/>
        <item m="1" x="160"/>
        <item m="1" x="164"/>
        <item m="1" x="170"/>
        <item x="70"/>
        <item m="1" x="153"/>
        <item x="69"/>
        <item m="1" x="147"/>
        <item m="1" x="162"/>
        <item m="1" x="216"/>
        <item m="1" x="151"/>
        <item m="1" x="212"/>
        <item x="49"/>
        <item m="1" x="157"/>
        <item m="1" x="150"/>
        <item m="1" x="130"/>
        <item m="1" x="173"/>
        <item x="111"/>
        <item m="1" x="174"/>
        <item m="1" x="185"/>
        <item m="1" x="197"/>
        <item m="1" x="172"/>
        <item m="1" x="179"/>
        <item m="1" x="202"/>
        <item x="82"/>
        <item m="1" x="207"/>
        <item m="1" x="178"/>
        <item m="1" x="242"/>
        <item x="40"/>
        <item m="1" x="131"/>
        <item x="16"/>
        <item m="1" x="144"/>
        <item x="35"/>
        <item m="1" x="228"/>
        <item m="1" x="204"/>
        <item m="1" x="205"/>
        <item x="85"/>
        <item x="42"/>
        <item m="1" x="129"/>
        <item m="1" x="128"/>
        <item m="1" x="121"/>
        <item x="52"/>
        <item m="1" x="223"/>
        <item x="53"/>
        <item x="89"/>
        <item x="51"/>
        <item x="2"/>
        <item x="18"/>
        <item m="1" x="117"/>
        <item m="1" x="123"/>
        <item m="1" x="140"/>
        <item m="1" x="139"/>
        <item m="1" x="132"/>
        <item x="80"/>
        <item x="112"/>
        <item x="113"/>
        <item m="1" x="124"/>
        <item m="1" x="125"/>
        <item m="1" x="122"/>
        <item x="33"/>
        <item m="1" x="119"/>
        <item x="103"/>
        <item x="104"/>
        <item x="106"/>
        <item x="67"/>
        <item x="62"/>
        <item x="66"/>
        <item x="74"/>
        <item x="68"/>
        <item x="73"/>
        <item x="71"/>
        <item x="72"/>
        <item x="79"/>
        <item x="78"/>
        <item x="65"/>
        <item x="77"/>
        <item x="114"/>
        <item x="83"/>
        <item x="84"/>
        <item x="115"/>
        <item x="81"/>
        <item x="60"/>
        <item x="59"/>
        <item x="90"/>
        <item x="91"/>
        <item x="36"/>
        <item x="37"/>
        <item x="39"/>
        <item x="57"/>
        <item x="86"/>
        <item x="87"/>
        <item x="38"/>
        <item x="43"/>
        <item x="54"/>
        <item x="55"/>
        <item x="56"/>
        <item x="34"/>
        <item x="10"/>
        <item x="22"/>
        <item x="21"/>
        <item x="29"/>
        <item x="19"/>
        <item x="30"/>
        <item x="31"/>
        <item x="32"/>
        <item x="23"/>
        <item x="1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numFmtId="4" outline="0" showAll="0" defaultSubtotal="0"/>
    <pivotField compact="0" numFmtId="3" outline="0" showAll="0" defaultSubtotal="0"/>
    <pivotField compact="0" numFmtId="3" outline="0" showAll="0" defaultSubtotal="0"/>
    <pivotField axis="axisCol" compact="0" numFmtId="14" outline="0" showAll="0" defaultSubtotal="0">
      <items count="284">
        <item m="1" x="283"/>
        <item m="1" x="282"/>
        <item m="1" x="281"/>
        <item m="1" x="280"/>
        <item m="1" x="279"/>
        <item m="1" x="278"/>
        <item m="1" x="277"/>
        <item m="1" x="276"/>
        <item m="1" x="275"/>
        <item m="1" x="274"/>
        <item m="1" x="273"/>
        <item m="1" x="272"/>
        <item m="1" x="271"/>
        <item m="1" x="270"/>
        <item m="1" x="269"/>
        <item m="1" x="268"/>
        <item m="1" x="267"/>
        <item m="1" x="266"/>
        <item m="1" x="265"/>
        <item m="1" x="264"/>
        <item m="1" x="263"/>
        <item m="1" x="262"/>
        <item m="1" x="261"/>
        <item m="1" x="260"/>
        <item m="1" x="259"/>
        <item m="1" x="258"/>
        <item m="1" x="257"/>
        <item m="1" x="256"/>
        <item m="1" x="255"/>
        <item m="1" x="254"/>
        <item m="1" x="253"/>
        <item m="1" x="252"/>
        <item m="1" x="251"/>
        <item m="1" x="250"/>
        <item m="1" x="249"/>
        <item m="1" x="248"/>
        <item m="1" x="247"/>
        <item m="1" x="246"/>
        <item m="1" x="245"/>
        <item m="1" x="244"/>
        <item m="1" x="243"/>
        <item m="1" x="242"/>
        <item m="1" x="241"/>
        <item m="1" x="240"/>
        <item m="1" x="239"/>
        <item m="1" x="238"/>
        <item m="1" x="237"/>
        <item m="1" x="236"/>
        <item m="1" x="235"/>
        <item m="1" x="234"/>
        <item m="1" x="233"/>
        <item m="1" x="232"/>
        <item m="1" x="231"/>
        <item m="1" x="230"/>
        <item m="1" x="229"/>
        <item m="1" x="228"/>
        <item m="1" x="227"/>
        <item m="1" x="226"/>
        <item m="1" x="225"/>
        <item m="1" x="224"/>
        <item m="1" x="223"/>
        <item m="1" x="222"/>
        <item m="1" x="221"/>
        <item m="1" x="220"/>
        <item m="1" x="219"/>
        <item m="1" x="218"/>
        <item m="1" x="217"/>
        <item m="1" x="216"/>
        <item m="1" x="215"/>
        <item m="1" x="214"/>
        <item m="1" x="213"/>
        <item m="1" x="212"/>
        <item m="1" x="211"/>
        <item m="1" x="210"/>
        <item m="1" x="209"/>
        <item m="1" x="208"/>
        <item m="1" x="207"/>
        <item m="1" x="206"/>
        <item m="1" x="205"/>
        <item m="1" x="204"/>
        <item m="1" x="203"/>
        <item m="1" x="202"/>
        <item m="1" x="201"/>
        <item m="1" x="200"/>
        <item m="1" x="199"/>
        <item m="1" x="198"/>
        <item m="1" x="197"/>
        <item m="1" x="196"/>
        <item m="1" x="195"/>
        <item m="1" x="194"/>
        <item m="1" x="193"/>
        <item m="1" x="192"/>
        <item m="1" x="191"/>
        <item m="1" x="190"/>
        <item m="1" x="189"/>
        <item m="1" x="188"/>
        <item m="1" x="187"/>
        <item m="1" x="186"/>
        <item m="1" x="185"/>
        <item m="1" x="184"/>
        <item m="1" x="183"/>
        <item m="1" x="182"/>
        <item m="1" x="181"/>
        <item m="1" x="180"/>
        <item m="1" x="179"/>
        <item m="1" x="178"/>
        <item m="1" x="177"/>
        <item m="1" x="176"/>
        <item m="1" x="175"/>
        <item m="1" x="174"/>
        <item m="1" x="173"/>
        <item m="1" x="172"/>
        <item m="1" x="171"/>
        <item m="1" x="170"/>
        <item m="1" x="169"/>
        <item m="1" x="168"/>
        <item m="1" x="167"/>
        <item m="1" x="166"/>
        <item m="1" x="165"/>
        <item m="1" x="164"/>
        <item m="1" x="163"/>
        <item m="1" x="162"/>
        <item m="1" x="161"/>
        <item m="1" x="160"/>
        <item m="1" x="159"/>
        <item m="1" x="158"/>
        <item m="1" x="157"/>
        <item m="1" x="156"/>
        <item m="1" x="155"/>
        <item m="1" x="154"/>
        <item m="1" x="153"/>
        <item m="1" x="152"/>
        <item m="1" x="151"/>
        <item m="1" x="150"/>
        <item m="1" x="149"/>
        <item m="1" x="148"/>
        <item m="1" x="147"/>
        <item m="1" x="146"/>
        <item m="1" x="145"/>
        <item m="1" x="144"/>
        <item m="1" x="143"/>
        <item m="1" x="142"/>
        <item m="1" x="141"/>
        <item m="1" x="140"/>
        <item m="1" x="139"/>
        <item m="1" x="138"/>
        <item m="1" x="137"/>
        <item m="1" x="136"/>
        <item m="1" x="135"/>
        <item m="1" x="134"/>
        <item m="1" x="133"/>
        <item m="1" x="132"/>
        <item m="1" x="131"/>
        <item m="1" x="130"/>
        <item m="1" x="129"/>
        <item m="1" x="128"/>
        <item m="1" x="127"/>
        <item m="1" x="126"/>
        <item m="1" x="125"/>
        <item m="1" x="124"/>
        <item m="1" x="123"/>
        <item m="1" x="122"/>
        <item m="1" x="121"/>
        <item m="1" x="120"/>
        <item m="1" x="119"/>
        <item m="1" x="118"/>
        <item m="1" x="117"/>
        <item m="1" x="116"/>
        <item m="1" x="115"/>
        <item m="1" x="114"/>
        <item m="1" x="113"/>
        <item m="1" x="112"/>
        <item m="1" x="111"/>
        <item m="1" x="110"/>
        <item m="1" x="109"/>
        <item m="1" x="108"/>
        <item m="1" x="107"/>
        <item m="1" x="106"/>
        <item m="1" x="105"/>
        <item m="1" x="104"/>
        <item m="1" x="103"/>
        <item m="1" x="102"/>
        <item m="1" x="101"/>
        <item m="1" x="100"/>
        <item m="1" x="99"/>
        <item m="1" x="98"/>
        <item m="1" x="97"/>
        <item m="1" x="96"/>
        <item m="1" x="95"/>
        <item m="1" x="94"/>
        <item m="1" x="93"/>
        <item m="1" x="92"/>
        <item m="1" x="91"/>
        <item m="1" x="90"/>
        <item m="1" x="89"/>
        <item m="1" x="88"/>
        <item m="1" x="87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5"/>
        <item m="1" x="64"/>
        <item m="1" x="63"/>
        <item m="1" x="62"/>
        <item m="1" x="61"/>
        <item m="1" x="60"/>
        <item m="1" x="59"/>
        <item m="1" x="58"/>
        <item m="1" x="57"/>
        <item m="1" x="56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2"/>
        <item m="1" x="33"/>
        <item m="1" x="34"/>
        <item m="1" x="35"/>
        <item m="1" x="30"/>
        <item m="1" x="31"/>
        <item m="1" x="29"/>
        <item m="1" x="28"/>
        <item m="1" x="27"/>
        <item m="1" x="26"/>
        <item x="25"/>
        <item x="24"/>
        <item x="23"/>
        <item x="22"/>
        <item x="21"/>
        <item x="19"/>
        <item x="20"/>
        <item x="18"/>
        <item x="17"/>
        <item x="16"/>
        <item x="15"/>
        <item x="12"/>
        <item x="13"/>
        <item x="14"/>
        <item x="11"/>
        <item x="10"/>
        <item x="9"/>
        <item x="8"/>
        <item x="6"/>
        <item x="7"/>
        <item x="5"/>
        <item x="4"/>
        <item x="3"/>
        <item x="2"/>
        <item x="0"/>
        <item x="1"/>
      </items>
    </pivotField>
    <pivotField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numFmtId="165" outline="0" showAll="0" defaultSubtotal="0"/>
    <pivotField compact="0" outline="0" showAll="0" defaultSubtotal="0"/>
    <pivotField dataField="1" compact="0" outline="0" showAll="0" defaultSubtotal="0"/>
    <pivotField compact="0" numFmtId="3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6" outline="0" showAll="0" defaultSubtotal="0"/>
    <pivotField compact="0" numFmtId="166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6" outline="0" showAll="0" defaultSubtotal="0"/>
    <pivotField compact="0" numFmtId="9" outline="0" showAll="0" defaultSubtotal="0"/>
    <pivotField compact="0" outline="0" showAll="0" defaultSubtotal="0"/>
    <pivotField compact="0" numFmtId="166" outline="0" subtotalTop="0" showAll="0" defaultSubtotal="0"/>
  </pivotFields>
  <rowFields count="2">
    <field x="3"/>
    <field x="4"/>
  </rowFields>
  <rowItems count="120">
    <i>
      <x/>
      <x v="172"/>
    </i>
    <i>
      <x v="3"/>
      <x v="186"/>
    </i>
    <i>
      <x v="5"/>
      <x v="71"/>
    </i>
    <i>
      <x v="7"/>
      <x v="124"/>
    </i>
    <i>
      <x v="9"/>
      <x v="113"/>
    </i>
    <i>
      <x v="10"/>
      <x v="115"/>
    </i>
    <i>
      <x v="11"/>
      <x v="63"/>
    </i>
    <i>
      <x v="12"/>
      <x v="64"/>
    </i>
    <i>
      <x v="13"/>
      <x v="66"/>
    </i>
    <i>
      <x v="14"/>
      <x v="70"/>
    </i>
    <i>
      <x v="15"/>
      <x v="126"/>
    </i>
    <i>
      <x v="16"/>
      <x v="170"/>
    </i>
    <i>
      <x v="17"/>
      <x v="56"/>
    </i>
    <i>
      <x v="18"/>
      <x v="97"/>
    </i>
    <i>
      <x v="19"/>
      <x v="3"/>
    </i>
    <i>
      <x v="20"/>
      <x v="58"/>
    </i>
    <i>
      <x v="22"/>
      <x v="187"/>
    </i>
    <i>
      <x v="24"/>
      <x v="122"/>
    </i>
    <i>
      <x v="25"/>
      <x v="74"/>
    </i>
    <i>
      <x v="29"/>
      <x v="68"/>
    </i>
    <i>
      <x v="30"/>
      <x v="118"/>
    </i>
    <i>
      <x v="31"/>
      <x v="117"/>
    </i>
    <i>
      <x v="32"/>
      <x v="7"/>
    </i>
    <i>
      <x v="33"/>
      <x v="146"/>
    </i>
    <i>
      <x v="35"/>
      <x v="193"/>
    </i>
    <i>
      <x v="36"/>
      <x v="194"/>
    </i>
    <i>
      <x v="37"/>
      <x v="195"/>
    </i>
    <i>
      <x v="38"/>
      <x v="45"/>
    </i>
    <i>
      <x v="40"/>
      <x v="37"/>
    </i>
    <i>
      <x v="44"/>
      <x v="87"/>
    </i>
    <i>
      <x v="48"/>
      <x v="80"/>
    </i>
    <i>
      <x v="54"/>
      <x v="1"/>
    </i>
    <i>
      <x v="56"/>
      <x v="75"/>
    </i>
    <i>
      <x v="58"/>
      <x v="199"/>
    </i>
    <i>
      <x v="61"/>
      <x v="130"/>
    </i>
    <i>
      <x v="62"/>
      <x v="201"/>
    </i>
    <i>
      <x v="63"/>
      <x v="202"/>
    </i>
    <i>
      <x v="64"/>
      <x v="203"/>
    </i>
    <i>
      <x v="65"/>
      <x v="204"/>
    </i>
    <i>
      <x v="66"/>
      <x v="116"/>
    </i>
    <i>
      <x v="67"/>
      <x v="205"/>
    </i>
    <i>
      <x v="68"/>
      <x v="206"/>
    </i>
    <i>
      <x v="69"/>
      <x v="207"/>
    </i>
    <i>
      <x v="70"/>
      <x v="41"/>
    </i>
    <i>
      <x v="71"/>
      <x v="208"/>
    </i>
    <i>
      <x v="72"/>
      <x v="209"/>
    </i>
    <i>
      <x v="73"/>
      <x v="140"/>
    </i>
    <i>
      <x v="74"/>
      <x v="210"/>
    </i>
    <i>
      <x v="75"/>
      <x v="211"/>
    </i>
    <i>
      <x v="76"/>
      <x v="212"/>
    </i>
    <i>
      <x v="77"/>
      <x v="213"/>
    </i>
    <i>
      <x v="78"/>
      <x v="144"/>
    </i>
    <i>
      <x v="79"/>
      <x v="38"/>
    </i>
    <i>
      <x v="80"/>
      <x v="214"/>
    </i>
    <i>
      <x v="81"/>
      <x v="157"/>
    </i>
    <i>
      <x v="82"/>
      <x v="215"/>
    </i>
    <i>
      <x v="83"/>
      <x v="216"/>
    </i>
    <i>
      <x v="84"/>
      <x v="217"/>
    </i>
    <i>
      <x v="85"/>
      <x v="218"/>
    </i>
    <i>
      <x v="86"/>
      <x v="219"/>
    </i>
    <i>
      <x v="87"/>
      <x v="220"/>
    </i>
    <i>
      <x v="88"/>
      <x v="164"/>
    </i>
    <i>
      <x v="89"/>
      <x v="221"/>
    </i>
    <i>
      <x v="90"/>
      <x v="69"/>
    </i>
    <i>
      <x v="91"/>
      <x v="67"/>
    </i>
    <i>
      <x v="92"/>
      <x v="222"/>
    </i>
    <i>
      <x v="93"/>
      <x v="181"/>
    </i>
    <i>
      <x v="94"/>
      <x v="5"/>
    </i>
    <i>
      <x v="95"/>
      <x v="104"/>
    </i>
    <i>
      <x v="96"/>
      <x v="184"/>
    </i>
    <i>
      <x v="97"/>
      <x v="223"/>
    </i>
    <i>
      <x v="98"/>
      <x v="224"/>
    </i>
    <i>
      <x v="99"/>
      <x v="205"/>
    </i>
    <i>
      <x v="100"/>
      <x v="50"/>
    </i>
    <i>
      <x v="101"/>
      <x v="48"/>
    </i>
    <i>
      <x v="102"/>
      <x v="131"/>
    </i>
    <i>
      <x v="103"/>
      <x v="54"/>
    </i>
    <i>
      <x v="104"/>
      <x v="22"/>
    </i>
    <i>
      <x v="105"/>
      <x v="31"/>
    </i>
    <i>
      <x v="106"/>
      <x v="85"/>
    </i>
    <i>
      <x v="107"/>
      <x v="86"/>
    </i>
    <i>
      <x v="108"/>
      <x v="79"/>
    </i>
    <i>
      <x v="110"/>
      <x v="225"/>
    </i>
    <i>
      <x v="111"/>
      <x v="226"/>
    </i>
    <i>
      <x v="112"/>
      <x v="218"/>
    </i>
    <i>
      <x v="113"/>
      <x v="227"/>
    </i>
    <i>
      <x v="114"/>
      <x v="176"/>
    </i>
    <i>
      <x v="115"/>
      <x v="177"/>
    </i>
    <i>
      <x v="116"/>
      <x v="228"/>
    </i>
    <i>
      <x v="117"/>
      <x v="229"/>
    </i>
    <i>
      <x v="118"/>
      <x v="230"/>
    </i>
    <i>
      <x v="119"/>
      <x v="231"/>
    </i>
    <i>
      <x v="120"/>
      <x v="232"/>
    </i>
    <i>
      <x v="121"/>
      <x v="49"/>
    </i>
    <i>
      <x v="122"/>
      <x v="43"/>
    </i>
    <i>
      <x v="123"/>
      <x v="42"/>
    </i>
    <i>
      <x v="124"/>
      <x v="152"/>
    </i>
    <i>
      <x v="125"/>
      <x v="20"/>
    </i>
    <i>
      <x v="126"/>
      <x v="185"/>
    </i>
    <i>
      <x v="127"/>
      <x v="183"/>
    </i>
    <i>
      <x v="128"/>
      <x v="233"/>
    </i>
    <i>
      <x v="129"/>
      <x v="234"/>
    </i>
    <i>
      <x v="130"/>
      <x v="235"/>
    </i>
    <i>
      <x v="131"/>
      <x v="168"/>
    </i>
    <i>
      <x v="132"/>
      <x v="123"/>
    </i>
    <i>
      <x v="133"/>
      <x v="125"/>
    </i>
    <i>
      <x v="134"/>
      <x v="236"/>
    </i>
    <i>
      <x v="135"/>
      <x v="237"/>
    </i>
    <i>
      <x v="136"/>
      <x v="238"/>
    </i>
    <i>
      <x v="137"/>
      <x v="239"/>
    </i>
    <i>
      <x v="138"/>
      <x v="98"/>
    </i>
    <i>
      <x v="139"/>
      <x v="240"/>
    </i>
    <i>
      <x v="140"/>
      <x v="241"/>
    </i>
    <i>
      <x v="141"/>
      <x v="242"/>
    </i>
    <i>
      <x v="142"/>
      <x v="243"/>
    </i>
    <i>
      <x v="143"/>
      <x v="244"/>
    </i>
    <i>
      <x v="144"/>
      <x v="245"/>
    </i>
    <i>
      <x v="145"/>
      <x v="246"/>
    </i>
    <i>
      <x v="146"/>
      <x v="81"/>
    </i>
    <i t="grand">
      <x/>
    </i>
  </rowItems>
  <colFields count="1">
    <field x="12"/>
  </colFields>
  <colItems count="27"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 t="grand">
      <x/>
    </i>
  </colItems>
  <dataFields count="1">
    <dataField name="Average of ASP" fld="2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0ED3D-7E6A-4921-8009-01D59DBDFD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6">
  <location ref="A4:C47" firstHeaderRow="1" firstDataRow="1" firstDataCol="2" rowPageCount="2" colPageCount="1"/>
  <pivotFields count="41">
    <pivotField axis="axisPage" compact="0" outline="0" showAll="0" defaultSubtotal="0">
      <items count="13">
        <item x="1"/>
        <item x="3"/>
        <item x="8"/>
        <item x="4"/>
        <item x="6"/>
        <item x="2"/>
        <item x="0"/>
        <item m="1" x="12"/>
        <item m="1" x="11"/>
        <item m="1" x="10"/>
        <item x="7"/>
        <item x="9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7">
        <item m="1" x="241"/>
        <item x="110"/>
        <item m="1" x="219"/>
        <item m="1" x="199"/>
        <item m="1" x="135"/>
        <item m="1" x="158"/>
        <item m="1" x="136"/>
        <item x="50"/>
        <item m="1" x="195"/>
        <item x="95"/>
        <item m="1" x="193"/>
        <item m="1" x="209"/>
        <item m="1" x="235"/>
        <item m="1" x="222"/>
        <item m="1" x="236"/>
        <item m="1" x="237"/>
        <item m="1" x="149"/>
        <item m="1" x="154"/>
        <item x="63"/>
        <item x="64"/>
        <item m="1" x="196"/>
        <item x="61"/>
        <item x="105"/>
        <item m="1" x="218"/>
        <item x="46"/>
        <item m="1" x="137"/>
        <item m="1" x="159"/>
        <item m="1" x="201"/>
        <item x="94"/>
        <item m="1" x="203"/>
        <item m="1" x="167"/>
        <item m="1" x="214"/>
        <item m="1" x="134"/>
        <item m="1" x="145"/>
        <item x="7"/>
        <item m="1" x="234"/>
        <item x="6"/>
        <item x="20"/>
        <item x="4"/>
        <item m="1" x="233"/>
        <item m="1" x="239"/>
        <item x="11"/>
        <item x="100"/>
        <item m="1" x="163"/>
        <item m="1" x="221"/>
        <item x="99"/>
        <item x="116"/>
        <item m="1" x="190"/>
        <item m="1" x="188"/>
        <item m="1" x="243"/>
        <item x="97"/>
        <item x="98"/>
        <item x="45"/>
        <item m="1" x="240"/>
        <item m="1" x="229"/>
        <item m="1" x="191"/>
        <item m="1" x="189"/>
        <item m="1" x="165"/>
        <item m="1" x="187"/>
        <item m="1" x="210"/>
        <item m="1" x="156"/>
        <item m="1" x="146"/>
        <item m="1" x="182"/>
        <item m="1" x="148"/>
        <item x="88"/>
        <item m="1" x="244"/>
        <item m="1" x="245"/>
        <item m="1" x="246"/>
        <item m="1" x="152"/>
        <item m="1" x="198"/>
        <item m="1" x="184"/>
        <item m="1" x="217"/>
        <item m="1" x="138"/>
        <item x="102"/>
        <item m="1" x="118"/>
        <item x="25"/>
        <item m="1" x="192"/>
        <item m="1" x="238"/>
        <item x="1"/>
        <item x="5"/>
        <item m="1" x="220"/>
        <item x="93"/>
        <item m="1" x="171"/>
        <item m="1" x="160"/>
        <item m="1" x="153"/>
        <item m="1" x="147"/>
        <item m="1" x="212"/>
        <item x="49"/>
        <item m="1" x="150"/>
        <item m="1" x="173"/>
        <item m="1" x="174"/>
        <item m="1" x="185"/>
        <item m="1" x="172"/>
        <item m="1" x="179"/>
        <item m="1" x="202"/>
        <item m="1" x="207"/>
        <item m="1" x="178"/>
        <item m="1" x="242"/>
        <item x="40"/>
        <item m="1" x="131"/>
        <item x="35"/>
        <item m="1" x="204"/>
        <item m="1" x="205"/>
        <item x="52"/>
        <item x="53"/>
        <item x="51"/>
        <item x="2"/>
        <item x="18"/>
        <item x="26"/>
        <item x="15"/>
        <item m="1" x="231"/>
        <item x="16"/>
        <item x="9"/>
        <item m="1" x="121"/>
        <item x="28"/>
        <item x="17"/>
        <item x="82"/>
        <item m="1" x="177"/>
        <item m="1" x="186"/>
        <item m="1" x="169"/>
        <item m="1" x="175"/>
        <item m="1" x="206"/>
        <item m="1" x="166"/>
        <item x="96"/>
        <item x="44"/>
        <item x="14"/>
        <item x="27"/>
        <item x="0"/>
        <item m="1" x="176"/>
        <item m="1" x="213"/>
        <item m="1" x="133"/>
        <item m="1" x="180"/>
        <item m="1" x="183"/>
        <item m="1" x="157"/>
        <item x="69"/>
        <item x="111"/>
        <item m="1" x="181"/>
        <item x="76"/>
        <item m="1" x="232"/>
        <item m="1" x="155"/>
        <item m="1" x="162"/>
        <item m="1" x="197"/>
        <item m="1" x="200"/>
        <item x="107"/>
        <item x="108"/>
        <item x="109"/>
        <item m="1" x="194"/>
        <item m="1" x="211"/>
        <item x="48"/>
        <item x="47"/>
        <item x="41"/>
        <item m="1" x="127"/>
        <item m="1" x="223"/>
        <item m="1" x="224"/>
        <item m="1" x="225"/>
        <item m="1" x="126"/>
        <item m="1" x="215"/>
        <item m="1" x="226"/>
        <item m="1" x="227"/>
        <item m="1" x="216"/>
        <item m="1" x="130"/>
        <item m="1" x="228"/>
        <item m="1" x="230"/>
        <item x="92"/>
        <item m="1" x="128"/>
        <item m="1" x="129"/>
        <item x="3"/>
        <item x="89"/>
        <item m="1" x="120"/>
        <item x="101"/>
        <item x="8"/>
        <item x="58"/>
        <item m="1" x="208"/>
        <item x="24"/>
        <item x="85"/>
        <item m="1" x="151"/>
        <item m="1" x="161"/>
        <item m="1" x="164"/>
        <item x="13"/>
        <item m="1" x="168"/>
        <item m="1" x="170"/>
        <item x="42"/>
        <item x="70"/>
        <item x="75"/>
        <item m="1" x="143"/>
        <item m="1" x="144"/>
        <item m="1" x="117"/>
        <item m="1" x="141"/>
        <item m="1" x="142"/>
        <item m="1" x="123"/>
        <item m="1" x="140"/>
        <item m="1" x="139"/>
        <item m="1" x="132"/>
        <item x="80"/>
        <item x="112"/>
        <item x="113"/>
        <item m="1" x="124"/>
        <item m="1" x="125"/>
        <item m="1" x="122"/>
        <item x="33"/>
        <item m="1" x="119"/>
        <item x="103"/>
        <item x="104"/>
        <item x="106"/>
        <item x="67"/>
        <item x="62"/>
        <item x="66"/>
        <item x="74"/>
        <item x="68"/>
        <item x="73"/>
        <item x="71"/>
        <item x="72"/>
        <item x="79"/>
        <item x="78"/>
        <item x="65"/>
        <item x="77"/>
        <item x="114"/>
        <item x="83"/>
        <item x="84"/>
        <item x="115"/>
        <item x="81"/>
        <item x="60"/>
        <item x="59"/>
        <item x="90"/>
        <item x="91"/>
        <item x="36"/>
        <item x="37"/>
        <item x="39"/>
        <item x="57"/>
        <item x="86"/>
        <item x="87"/>
        <item x="38"/>
        <item x="43"/>
        <item x="54"/>
        <item x="55"/>
        <item x="56"/>
        <item x="34"/>
        <item x="10"/>
        <item x="22"/>
        <item x="21"/>
        <item x="29"/>
        <item x="19"/>
        <item x="30"/>
        <item x="31"/>
        <item x="32"/>
        <item x="23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0">
        <item x="2"/>
        <item x="9"/>
        <item x="8"/>
        <item m="1" x="24"/>
        <item x="0"/>
        <item x="6"/>
        <item x="19"/>
        <item x="5"/>
        <item x="13"/>
        <item x="4"/>
        <item x="20"/>
        <item x="17"/>
        <item x="11"/>
        <item x="12"/>
        <item x="1"/>
        <item x="14"/>
        <item x="15"/>
        <item m="1" x="25"/>
        <item m="1" x="23"/>
        <item x="22"/>
        <item x="7"/>
        <item x="16"/>
        <item m="1" x="29"/>
        <item x="21"/>
        <item m="1" x="27"/>
        <item m="1" x="28"/>
        <item m="1" x="26"/>
        <item x="10"/>
        <item x="1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0">
        <item m="1" x="134"/>
        <item x="110"/>
        <item x="92"/>
        <item m="1" x="149"/>
        <item m="1" x="188"/>
        <item m="1" x="247"/>
        <item m="1" x="195"/>
        <item m="1" x="168"/>
        <item m="1" x="180"/>
        <item m="1" x="183"/>
        <item m="1" x="147"/>
        <item m="1" x="164"/>
        <item x="69"/>
        <item m="1" x="136"/>
        <item x="67"/>
        <item x="90"/>
        <item m="1" x="135"/>
        <item m="1" x="151"/>
        <item m="1" x="167"/>
        <item m="1" x="137"/>
        <item m="1" x="182"/>
        <item m="1" x="172"/>
        <item m="1" x="215"/>
        <item m="1" x="193"/>
        <item x="70"/>
        <item m="1" x="213"/>
        <item m="1" x="148"/>
        <item m="1" x="152"/>
        <item m="1" x="185"/>
        <item m="1" x="240"/>
        <item m="1" x="242"/>
        <item m="1" x="150"/>
        <item m="1" x="259"/>
        <item x="84"/>
        <item m="1" x="246"/>
        <item x="91"/>
        <item m="1" x="216"/>
        <item m="1" x="239"/>
        <item m="1" x="260"/>
        <item m="1" x="257"/>
        <item m="1" x="214"/>
        <item m="1" x="238"/>
        <item x="95"/>
        <item m="1" x="262"/>
        <item m="1" x="177"/>
        <item x="54"/>
        <item x="57"/>
        <item m="1" x="261"/>
        <item x="56"/>
        <item m="1" x="178"/>
        <item m="1" x="264"/>
        <item m="1" x="153"/>
        <item m="1" x="265"/>
        <item m="1" x="190"/>
        <item m="1" x="140"/>
        <item m="1" x="169"/>
        <item m="1" x="254"/>
        <item m="1" x="258"/>
        <item m="1" x="198"/>
        <item x="94"/>
        <item x="103"/>
        <item m="1" x="175"/>
        <item m="1" x="157"/>
        <item m="1" x="234"/>
        <item x="55"/>
        <item m="1" x="184"/>
        <item m="1" x="267"/>
        <item m="1" x="191"/>
        <item m="1" x="255"/>
        <item m="1" x="266"/>
        <item m="1" x="194"/>
        <item m="1" x="113"/>
        <item m="1" x="235"/>
        <item m="1" x="173"/>
        <item m="1" x="230"/>
        <item m="1" x="189"/>
        <item x="96"/>
        <item m="1" x="256"/>
        <item m="1" x="179"/>
        <item x="28"/>
        <item m="1" x="117"/>
        <item x="62"/>
        <item x="38"/>
        <item m="1" x="263"/>
        <item m="1" x="231"/>
        <item m="1" x="248"/>
        <item m="1" x="176"/>
        <item x="2"/>
        <item x="21"/>
        <item x="99"/>
        <item m="1" x="229"/>
        <item m="1" x="220"/>
        <item m="1" x="268"/>
        <item m="1" x="202"/>
        <item x="16"/>
        <item x="18"/>
        <item m="1" x="269"/>
        <item m="1" x="204"/>
        <item x="4"/>
        <item x="14"/>
        <item x="22"/>
        <item m="1" x="116"/>
        <item x="98"/>
        <item x="29"/>
        <item m="1" x="253"/>
        <item x="17"/>
        <item x="15"/>
        <item m="1" x="249"/>
        <item m="1" x="250"/>
        <item m="1" x="251"/>
        <item m="1" x="252"/>
        <item m="1" x="236"/>
        <item x="73"/>
        <item m="1" x="243"/>
        <item m="1" x="244"/>
        <item m="1" x="174"/>
        <item m="1" x="232"/>
        <item m="1" x="162"/>
        <item m="1" x="245"/>
        <item m="1" x="233"/>
        <item x="71"/>
        <item m="1" x="192"/>
        <item m="1" x="158"/>
        <item x="93"/>
        <item x="88"/>
        <item x="13"/>
        <item x="19"/>
        <item x="30"/>
        <item x="0"/>
        <item m="1" x="165"/>
        <item m="1" x="170"/>
        <item m="1" x="171"/>
        <item m="1" x="241"/>
        <item m="1" x="199"/>
        <item m="1" x="200"/>
        <item m="1" x="237"/>
        <item m="1" x="181"/>
        <item m="1" x="197"/>
        <item x="52"/>
        <item x="51"/>
        <item x="97"/>
        <item m="1" x="219"/>
        <item x="41"/>
        <item m="1" x="221"/>
        <item m="1" x="222"/>
        <item m="1" x="223"/>
        <item m="1" x="224"/>
        <item m="1" x="125"/>
        <item x="75"/>
        <item m="1" x="225"/>
        <item m="1" x="226"/>
        <item m="1" x="227"/>
        <item m="1" x="206"/>
        <item m="1" x="228"/>
        <item m="1" x="127"/>
        <item m="1" x="218"/>
        <item m="1" x="209"/>
        <item m="1" x="210"/>
        <item x="20"/>
        <item m="1" x="211"/>
        <item m="1" x="212"/>
        <item m="1" x="217"/>
        <item m="1" x="166"/>
        <item x="85"/>
        <item m="1" x="130"/>
        <item m="1" x="207"/>
        <item m="1" x="143"/>
        <item m="1" x="208"/>
        <item m="1" x="119"/>
        <item x="1"/>
        <item m="1" x="205"/>
        <item m="1" x="203"/>
        <item x="3"/>
        <item m="1" x="144"/>
        <item x="27"/>
        <item x="63"/>
        <item m="1" x="201"/>
        <item x="48"/>
        <item m="1" x="154"/>
        <item m="1" x="155"/>
        <item x="89"/>
        <item m="1" x="156"/>
        <item m="1" x="159"/>
        <item m="1" x="160"/>
        <item m="1" x="161"/>
        <item m="1" x="163"/>
        <item m="1" x="186"/>
        <item m="1" x="187"/>
        <item m="1" x="196"/>
        <item x="53"/>
        <item x="50"/>
        <item m="1" x="146"/>
        <item x="47"/>
        <item m="1" x="145"/>
        <item x="60"/>
        <item x="79"/>
        <item x="64"/>
        <item x="23"/>
        <item x="5"/>
        <item x="6"/>
        <item x="35"/>
        <item m="1" x="142"/>
        <item m="1" x="141"/>
        <item m="1" x="128"/>
        <item m="1" x="129"/>
        <item m="1" x="131"/>
        <item m="1" x="132"/>
        <item m="1" x="133"/>
        <item x="78"/>
        <item x="81"/>
        <item m="1" x="138"/>
        <item m="1" x="139"/>
        <item m="1" x="122"/>
        <item m="1" x="123"/>
        <item m="1" x="124"/>
        <item m="1" x="126"/>
        <item m="1" x="121"/>
        <item x="83"/>
        <item x="43"/>
        <item x="66"/>
        <item m="1" x="120"/>
        <item m="1" x="118"/>
        <item x="36"/>
        <item m="1" x="114"/>
        <item m="1" x="115"/>
        <item x="101"/>
        <item x="102"/>
        <item x="104"/>
        <item x="105"/>
        <item x="106"/>
        <item x="72"/>
        <item x="107"/>
        <item x="68"/>
        <item x="74"/>
        <item x="108"/>
        <item x="77"/>
        <item x="76"/>
        <item x="109"/>
        <item x="80"/>
        <item x="111"/>
        <item x="100"/>
        <item x="49"/>
        <item x="65"/>
        <item x="86"/>
        <item x="87"/>
        <item m="1" x="112"/>
        <item x="39"/>
        <item x="40"/>
        <item x="46"/>
        <item x="61"/>
        <item x="82"/>
        <item x="9"/>
        <item x="7"/>
        <item x="10"/>
        <item x="58"/>
        <item x="59"/>
        <item x="44"/>
        <item x="45"/>
        <item x="37"/>
        <item x="11"/>
        <item x="25"/>
        <item x="42"/>
        <item x="8"/>
        <item x="31"/>
        <item x="32"/>
        <item x="33"/>
        <item x="34"/>
        <item x="26"/>
        <item x="24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24"/>
  </rowFields>
  <rowItems count="43">
    <i>
      <x v="34"/>
      <x v="94"/>
    </i>
    <i r="1">
      <x v="198"/>
    </i>
    <i r="1">
      <x v="199"/>
    </i>
    <i>
      <x v="36"/>
      <x v="198"/>
    </i>
    <i r="1">
      <x v="199"/>
    </i>
    <i>
      <x v="37"/>
      <x v="98"/>
    </i>
    <i r="1">
      <x v="99"/>
    </i>
    <i>
      <x v="38"/>
      <x v="98"/>
    </i>
    <i r="1">
      <x v="99"/>
    </i>
    <i>
      <x v="41"/>
      <x v="94"/>
    </i>
    <i r="1">
      <x v="198"/>
    </i>
    <i r="1">
      <x v="199"/>
    </i>
    <i>
      <x v="42"/>
      <x v="217"/>
    </i>
    <i r="1">
      <x v="219"/>
    </i>
    <i>
      <x v="79"/>
      <x v="95"/>
    </i>
    <i r="1">
      <x v="198"/>
    </i>
    <i r="1">
      <x v="199"/>
    </i>
    <i>
      <x v="109"/>
      <x v="98"/>
    </i>
    <i r="1">
      <x v="99"/>
    </i>
    <i>
      <x v="111"/>
      <x v="105"/>
    </i>
    <i r="1">
      <x v="197"/>
    </i>
    <i>
      <x v="112"/>
      <x v="106"/>
    </i>
    <i r="1">
      <x v="196"/>
    </i>
    <i r="1">
      <x v="251"/>
    </i>
    <i r="1">
      <x v="253"/>
    </i>
    <i>
      <x v="114"/>
      <x v="98"/>
    </i>
    <i r="1">
      <x v="99"/>
    </i>
    <i>
      <x v="115"/>
      <x v="126"/>
    </i>
    <i>
      <x v="166"/>
      <x v="158"/>
    </i>
    <i r="1">
      <x v="172"/>
    </i>
    <i>
      <x v="169"/>
      <x v="198"/>
    </i>
    <i>
      <x v="170"/>
      <x v="197"/>
    </i>
    <i r="1">
      <x v="252"/>
    </i>
    <i r="1">
      <x v="262"/>
    </i>
    <i>
      <x v="221"/>
      <x v="217"/>
    </i>
    <i r="1">
      <x v="219"/>
    </i>
    <i r="1">
      <x v="240"/>
    </i>
    <i>
      <x v="231"/>
      <x v="126"/>
    </i>
    <i>
      <x v="236"/>
      <x v="258"/>
    </i>
    <i>
      <x v="239"/>
      <x v="252"/>
    </i>
    <i r="1">
      <x v="262"/>
    </i>
    <i>
      <x v="246"/>
      <x v="198"/>
    </i>
    <i t="grand">
      <x/>
    </i>
  </rowItems>
  <colItems count="1">
    <i/>
  </colItems>
  <pageFields count="2">
    <pageField fld="18" item="0" hier="-1"/>
    <pageField fld="0" item="0" hier="-1"/>
  </pageFields>
  <dataFields count="1">
    <dataField name="Sum of Billed Quantity" fld="1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30A160-6DC0-40D7-BF49-D27FDF7EBCFB}" name="Sales3" displayName="Sales3" ref="A2:AJ44" totalsRowShown="0" headerRowDxfId="83" dataDxfId="81" headerRowBorderDxfId="82" tableBorderDxfId="80">
  <autoFilter ref="A2:AJ44" xr:uid="{88F4A4BB-EB81-4E86-9E09-A13C97946645}">
    <filterColumn colId="34">
      <filters>
        <filter val="1,663"/>
        <filter val="-26,544"/>
        <filter val="-26,544.00"/>
        <filter val="3,742"/>
        <filter val="-6,367.55"/>
        <filter val="-7,577"/>
      </filters>
    </filterColumn>
  </autoFilter>
  <tableColumns count="36">
    <tableColumn id="1" xr3:uid="{654EBBAC-C80E-464B-BA1F-5D519DADC673}" name="Customer Name" dataDxfId="79"/>
    <tableColumn id="2" xr3:uid="{36D8A033-0CEF-46CE-B626-6004355CA4F0}" name="Posting Date" dataDxfId="78"/>
    <tableColumn id="32" xr3:uid="{6F662029-59E0-4703-9E1A-C0AE61A4C00E}" name="Billing Document" dataDxfId="77"/>
    <tableColumn id="3" xr3:uid="{07745959-2351-4AFC-AF9D-E9B562588F72}" name="Material" dataDxfId="76"/>
    <tableColumn id="4" xr3:uid="{6CA60C56-7137-4B1F-8C2B-464A313FED17}" name="Material Description" dataDxfId="75"/>
    <tableColumn id="5" xr3:uid="{2DDEF3A4-19CC-47D3-92C1-A3D0CCB60A1B}" name="Sales Unit" dataDxfId="74"/>
    <tableColumn id="6" xr3:uid="{1A1323E0-4091-4130-BC00-24B4A5CBCB7F}" name="Material type" dataDxfId="73"/>
    <tableColumn id="7" xr3:uid="{F18C2473-1E58-4959-A714-B432C53C4487}" name="Material Group" dataDxfId="72"/>
    <tableColumn id="8" xr3:uid="{93099B27-5F94-4B52-9826-DE9C55E26412}" name="Actual delivery qty" dataDxfId="71"/>
    <tableColumn id="9" xr3:uid="{79ED6218-5F3E-4AC0-8C0C-DF3C642C8AC6}" name="PGI Amount" dataDxfId="70"/>
    <tableColumn id="10" xr3:uid="{FDA939DE-3DA6-4073-B926-C22D26D301E7}" name="PGI Quantity" dataDxfId="69"/>
    <tableColumn id="11" xr3:uid="{1E2882AB-E55D-43A5-90A5-976BB4C2CC1E}" name="Billed Quantity" dataDxfId="68"/>
    <tableColumn id="12" xr3:uid="{920ABA27-3426-4FFB-930C-095D5F7A993E}" name="Billing Date" dataDxfId="67"/>
    <tableColumn id="13" xr3:uid="{A90BA5B8-4DF6-4371-8CFF-96034BC5DB33}" name="Net Value" dataDxfId="66"/>
    <tableColumn id="14" xr3:uid="{E77DBEF3-BEE3-4E22-BB27-289E491BD5C8}" name="Document Type" dataDxfId="65"/>
    <tableColumn id="15" xr3:uid="{34C8A71A-148C-4FD2-8ADE-94CA01E39D5C}" name="Description" dataDxfId="64"/>
    <tableColumn id="16" xr3:uid="{0347F03F-9A69-4B8E-974D-B37B24D09DA9}" name="Acct Assmt Grp Cust." dataDxfId="63"/>
    <tableColumn id="17" xr3:uid="{68DB8A5D-1610-4058-983C-B04FF2F22870}" name="Material type Descr" dataDxfId="62">
      <calculatedColumnFormula>VLOOKUP(Sales3[[#This Row],[Material type]],Master!$H$3:$I$8,2,0)</calculatedColumnFormula>
    </tableColumn>
    <tableColumn id="18" xr3:uid="{A9BBFBEC-C873-4F2C-95DD-2204A778BF16}" name="Material Group Descrip" dataDxfId="61">
      <calculatedColumnFormula>VLOOKUP(Sales3[[#This Row],[Material Group]],Master!B:C,2,0)</calculatedColumnFormula>
    </tableColumn>
    <tableColumn id="19" xr3:uid="{8AE2A6F5-A4E4-4F18-803E-3D836772458D}" name="Last Day billing" dataDxfId="60">
      <calculatedColumnFormula>(TODAY()-1)=Sales3[[#This Row],[Billing Date]]</calculatedColumnFormula>
    </tableColumn>
    <tableColumn id="20" xr3:uid="{F4040CDE-C38F-49D2-988E-D5B7F2443177}" name="Gross Margin" dataDxfId="59">
      <calculatedColumnFormula>Sales3[[#This Row],[Net Value]]-Sales3[[#This Row],[PGI COST]]</calculatedColumnFormula>
    </tableColumn>
    <tableColumn id="21" xr3:uid="{10988450-CB56-4B32-B6D2-DEFD705A43B8}" name="GM %" dataDxfId="58" dataCellStyle="Percent">
      <calculatedColumnFormula>Sales3[[#This Row],[Gross Margin]]/Sales3[[#This Row],[Net Value]]</calculatedColumnFormula>
    </tableColumn>
    <tableColumn id="22" xr3:uid="{58A1EF5A-E97E-4463-9CBF-EAC77BE2DE3A}" name="Month" dataDxfId="57">
      <calculatedColumnFormula>TEXT(Sales3[[#This Row],[Billing Date]],"mmmm-yy")</calculatedColumnFormula>
    </tableColumn>
    <tableColumn id="33" xr3:uid="{9A9648F9-94DE-4047-BB04-46E840519FB1}" name="ASP" dataDxfId="56">
      <calculatedColumnFormula>Sales3[[#This Row],[Net Value]]/Sales3[[#This Row],[Billed Quantity]]</calculatedColumnFormula>
    </tableColumn>
    <tableColumn id="35" xr3:uid="{4D20D2B4-A243-4041-877C-CEBBAAE1C8AE}" name="MIS Quantity" dataDxfId="55">
      <calculatedColumnFormula>Sales3[[#This Row],[Actual delivery qty]]</calculatedColumnFormula>
    </tableColumn>
    <tableColumn id="23" xr3:uid="{4FE5F243-4966-4382-A8DF-BBE7F679D5C9}" name="PGI per unit" dataDxfId="54" dataCellStyle="Comma">
      <calculatedColumnFormula>SUM(Sales3[[#This Row],[BOM Cost]:[Other Conversion cost pu]])</calculatedColumnFormula>
    </tableColumn>
    <tableColumn id="27" xr3:uid="{ED4480C1-DE72-462B-9EA5-CA51EB52CAD1}" name="BOM Cost" dataDxfId="53" dataCellStyle="Comma">
      <calculatedColumnFormula>IF(Sales3[[#This Row],[Posting Date]]=1-7-2025,SUMIFS('COGS Break up'!#REF!,'COGS Break up'!#REF!,A3,'COGS Break up'!#REF!,Sales3[[#Headers],[BOM Cost]]),SUMIFS('COGS Break up'!#REF!,'COGS Break up'!#REF!,Sales3[[#This Row],[Material]],'COGS Break up'!#REF!,Sales3[[#Headers],[BOM Cost]]))</calculatedColumnFormula>
    </tableColumn>
    <tableColumn id="24" xr3:uid="{3D903000-AF14-47FD-911C-632FC360DF0B}" name="Labour cost per unit" dataDxfId="52" dataCellStyle="Comma">
      <calculatedColumnFormula>IF(Sales3[[#This Row],[Posting Date]]=1-7-2025,SUMIFS('COGS Break up'!#REF!,'COGS Break up'!#REF!,A3,'COGS Break up'!#REF!,Sales3[[#Headers],[Labour cost per unit]]),SUMIFS('COGS Break up'!#REF!,'COGS Break up'!#REF!,Sales3[[#This Row],[Material]],'COGS Break up'!#REF!,Sales3[[#Headers],[Labour cost per unit]]))</calculatedColumnFormula>
    </tableColumn>
    <tableColumn id="25" xr3:uid="{C5A44A6A-E335-4757-86CC-9CF12923231E}" name="Other Conversion cost pu" dataDxfId="51" dataCellStyle="Comma">
      <calculatedColumnFormula>IF(Sales3[[#This Row],[Posting Date]]=1-7-2025,SUMIFS('COGS Break up'!#REF!,'COGS Break up'!#REF!,A3,'COGS Break up'!#REF!,Sales3[[#Headers],[Other Conversion cost pu]]),SUMIFS('COGS Break up'!#REF!,'COGS Break up'!#REF!,Sales3[[#This Row],[Material]],'COGS Break up'!#REF!,Sales3[[#Headers],[Other Conversion cost pu]]))</calculatedColumnFormula>
    </tableColumn>
    <tableColumn id="26" xr3:uid="{6EA064CC-D3BA-455C-ADE8-759AF89300C5}" name="Check" dataDxfId="50" dataCellStyle="Comma">
      <calculatedColumnFormula>Sales3[[#This Row],[PGI per unit]]-Sales3[[#This Row],[BOM Cost]]-Sales3[[#This Row],[Labour cost per unit]]-Sales3[[#This Row],[Other Conversion cost pu]]</calculatedColumnFormula>
    </tableColumn>
    <tableColumn id="34" xr3:uid="{29F3DC71-4DBD-49D1-AB74-3DBA93DE9896}" name="PGI COST" dataDxfId="49" dataCellStyle="Comma">
      <calculatedColumnFormula>Sales3[[#This Row],[BOM Cost2]]+Sales3[[#This Row],[Labour Cost]]+Sales3[[#This Row],[Other conversion cost]]</calculatedColumnFormula>
    </tableColumn>
    <tableColumn id="30" xr3:uid="{F014AEAB-4C4D-4C8D-ACC6-0FB4FBCEF6B9}" name="BOM Cost2" dataDxfId="48" dataCellStyle="Comma">
      <calculatedColumnFormula>Sales3[[#This Row],[Billed Quantity]]*Sales3[[#This Row],[BOM Cost]]</calculatedColumnFormula>
    </tableColumn>
    <tableColumn id="28" xr3:uid="{CA8C0DBC-3A69-40EC-8B6D-A585B6A14F6D}" name="Labour Cost" dataDxfId="47" dataCellStyle="Comma">
      <calculatedColumnFormula>Sales3[[#This Row],[Billed Quantity]]*Sales3[[#This Row],[Labour cost per unit]]</calculatedColumnFormula>
    </tableColumn>
    <tableColumn id="29" xr3:uid="{35589D10-DBDD-4437-9A2A-215C17997B58}" name="Other conversion cost" dataDxfId="46" dataCellStyle="Comma">
      <calculatedColumnFormula>Sales3[[#This Row],[Billed Quantity]]*Sales3[[#This Row],[Other Conversion cost pu]]</calculatedColumnFormula>
    </tableColumn>
    <tableColumn id="31" xr3:uid="{BBCB4A0B-F18D-4BA8-BE1C-0C07940D7187}" name="Check2" dataDxfId="45" dataCellStyle="Comma">
      <calculatedColumnFormula>Sales3[[#This Row],[PGI Amount]]-Sales3[[#This Row],[BOM Cost2]]-Sales3[[#This Row],[Labour Cost]]-Sales3[[#This Row],[Other conversion cost]]</calculatedColumnFormula>
    </tableColumn>
    <tableColumn id="36" xr3:uid="{335F0099-A3D3-40DE-BE0C-0925578DB062}" name="Margin" dataDxfId="44">
      <calculatedColumnFormula>1-Sales3[[#This Row],[PGI COST]]/Sales3[[#This Row],[Net Value]]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D3A369-0C4D-4A1E-8B1F-C58860BA5EAE}" name="Sales4" displayName="Sales4" ref="A1:AN506" totalsRowShown="0" headerRowDxfId="43" dataDxfId="41" headerRowBorderDxfId="42" tableBorderDxfId="40">
  <autoFilter ref="A1:AN506" xr:uid="{88F4A4BB-EB81-4E86-9E09-A13C97946645}"/>
  <tableColumns count="40">
    <tableColumn id="1" xr3:uid="{D7A34666-A6DE-4EF0-A50C-276F63ED7532}" name="Customer Name" dataDxfId="39"/>
    <tableColumn id="2" xr3:uid="{B385AD7B-3521-4C55-8A3B-1ED58428E578}" name="Posting Date" dataDxfId="38"/>
    <tableColumn id="32" xr3:uid="{D79F5830-2AAE-4D2C-BA7F-2F2A8B82F6FF}" name="Billing Document" dataDxfId="37"/>
    <tableColumn id="3" xr3:uid="{C2D2B2C0-6241-40AB-84F5-ED02AF9CE6D0}" name="Material" dataDxfId="36"/>
    <tableColumn id="4" xr3:uid="{7EFEE274-7C8A-43AE-AA6F-67E9B025B319}" name="Material Description" dataDxfId="35"/>
    <tableColumn id="5" xr3:uid="{F1EAD344-A340-451A-9781-E763DA5E4D1D}" name="Sales Unit" dataDxfId="34"/>
    <tableColumn id="6" xr3:uid="{50868E89-B4B1-4981-9B9E-6F6D8266103D}" name="Material type" dataDxfId="33"/>
    <tableColumn id="7" xr3:uid="{E5B19D9B-E2FF-4A03-8723-24FDA907E003}" name="Material Group" dataDxfId="32"/>
    <tableColumn id="8" xr3:uid="{C6170C25-2533-462A-82E1-91D278C4E442}" name="Actual delivery qty" dataDxfId="31"/>
    <tableColumn id="9" xr3:uid="{7E683474-7A83-47D6-B117-01714442FDA6}" name="PGI Amount" dataDxfId="30"/>
    <tableColumn id="10" xr3:uid="{D21C18E2-269A-410C-9993-0C583289C6FD}" name="PGI Quantity" dataDxfId="29"/>
    <tableColumn id="11" xr3:uid="{5840F936-DEFB-40C4-B6A9-BBB89BCE7E41}" name="Billed Quantity" dataDxfId="28"/>
    <tableColumn id="12" xr3:uid="{70C0A643-3E2D-4EA4-879A-693098346894}" name="Billing Date" dataDxfId="27"/>
    <tableColumn id="13" xr3:uid="{59C2260C-A855-42F7-99E0-6186C481672A}" name="Net Value" dataDxfId="26"/>
    <tableColumn id="14" xr3:uid="{7FCFD5F2-C405-4F8A-9AD0-53CFB1F32A9D}" name="Document Type" dataDxfId="25"/>
    <tableColumn id="15" xr3:uid="{4FE57094-52DA-48C6-BA01-BFCCA9F0D7C1}" name="Description" dataDxfId="24"/>
    <tableColumn id="16" xr3:uid="{C7E274C6-0C5E-4EF4-89A1-CFA80ED8764F}" name="Acct Assmt Grp Cust." dataDxfId="23"/>
    <tableColumn id="17" xr3:uid="{74E17F8D-7A18-4AF0-BFE5-E2C038F2A999}" name="Material type Descr" dataDxfId="22">
      <calculatedColumnFormula>VLOOKUP(Sales4[[#This Row],[Material type]],Master!$H$3:$I$8,2,0)</calculatedColumnFormula>
    </tableColumn>
    <tableColumn id="18" xr3:uid="{C55C5C46-6942-404F-81B5-4559487617D8}" name="Material Group Descrip" dataDxfId="21">
      <calculatedColumnFormula>VLOOKUP(Sales4[[#This Row],[Material Group]],Master!B:C,2,0)</calculatedColumnFormula>
    </tableColumn>
    <tableColumn id="37" xr3:uid="{E64DC9BD-1043-469C-94F2-AC7C9FEF3C92}" name="Material Family" dataDxfId="20">
      <calculatedColumnFormula>VLOOKUP(Sales4[[#This Row],[Material Group Descrip]],Master!E:F,2,0)</calculatedColumnFormula>
    </tableColumn>
    <tableColumn id="19" xr3:uid="{EBD40713-FA6A-4581-BE0D-22D2626A1183}" name="Last Day billing" dataDxfId="19">
      <calculatedColumnFormula>(TODAY()-1)=Sales4[[#This Row],[Billing Date]]</calculatedColumnFormula>
    </tableColumn>
    <tableColumn id="20" xr3:uid="{AF20FED3-868E-4A6E-8B3C-B563348BAA9D}" name="Gross Margin" dataDxfId="18">
      <calculatedColumnFormula>Sales4[[#This Row],[Net Value]]-Sales4[[#This Row],[PGI COST]]</calculatedColumnFormula>
    </tableColumn>
    <tableColumn id="21" xr3:uid="{10DBBE8A-1E26-4FCF-B4EC-0EA732045858}" name="GM %" dataDxfId="17" dataCellStyle="Percent">
      <calculatedColumnFormula>Sales4[[#This Row],[Gross Margin]]/Sales4[[#This Row],[Net Value]]</calculatedColumnFormula>
    </tableColumn>
    <tableColumn id="22" xr3:uid="{009CFFF4-1EE3-4232-B7F4-477785C1836A}" name="Month" dataDxfId="16">
      <calculatedColumnFormula>TEXT(Sales4[[#This Row],[Billing Date]],"mmmm-yy")</calculatedColumnFormula>
    </tableColumn>
    <tableColumn id="33" xr3:uid="{7A95FDC2-9B42-4D3B-956D-7BB2AB20760E}" name="ASP" dataDxfId="15">
      <calculatedColumnFormula>Sales4[[#This Row],[Net Value]]/Sales4[[#This Row],[Billed Quantity]]</calculatedColumnFormula>
    </tableColumn>
    <tableColumn id="35" xr3:uid="{B253E861-5EB8-4274-A384-18F8622E4DE6}" name="MIS Quantity" dataDxfId="14">
      <calculatedColumnFormula>Sales4[[#This Row],[Actual delivery qty]]</calculatedColumnFormula>
    </tableColumn>
    <tableColumn id="23" xr3:uid="{DE355FF7-C664-48EE-8C3D-C14E23EEEFB8}" name="PGI per unit" dataDxfId="13" dataCellStyle="Comma">
      <calculatedColumnFormula>SUM(Sales4[[#This Row],[BOM Cost]:[Other Conversion cost pu]])</calculatedColumnFormula>
    </tableColumn>
    <tableColumn id="27" xr3:uid="{DC74A723-A327-47DF-B865-DF87287C139A}" name="BOM Cost" dataDxfId="12" dataCellStyle="Comma">
      <calculatedColumnFormula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calculatedColumnFormula>
    </tableColumn>
    <tableColumn id="24" xr3:uid="{333B899D-F6F5-4EBE-99EC-9DAE7B6A290C}" name="Labour cost per unit" dataDxfId="11" dataCellStyle="Comma">
      <calculatedColumnFormula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calculatedColumnFormula>
    </tableColumn>
    <tableColumn id="40" xr3:uid="{6967074C-9E22-4D80-9593-593D43BF9909}" name="Droppage per unit" dataDxfId="10" dataCellStyle="Comma">
      <calculatedColumnFormula>IFERROR(VLOOKUP(Sales4[[#This Row],[Material]],'COGS Break up'!#REF!,5,0),0)</calculatedColumnFormula>
    </tableColumn>
    <tableColumn id="25" xr3:uid="{9156A30E-6D2A-4BC9-9BE7-20286738FF74}" name="Other Conversion cost pu" dataDxfId="9" dataCellStyle="Comma">
      <calculatedColumnFormula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calculatedColumnFormula>
    </tableColumn>
    <tableColumn id="26" xr3:uid="{A4A41ADB-FF7A-49D2-A101-F3BE4A5622AA}" name="Check" dataDxfId="8" dataCellStyle="Comma">
      <calculatedColumnFormula>Sales4[[#This Row],[PGI per unit]]-Sales4[[#This Row],[BOM Cost]]-Sales4[[#This Row],[Labour cost per unit]]-Sales4[[#This Row],[Other Conversion cost pu]]</calculatedColumnFormula>
    </tableColumn>
    <tableColumn id="34" xr3:uid="{F6CDDD96-F887-4B0B-B66B-202B3BF2627C}" name="PGI COST" dataDxfId="7" dataCellStyle="Comma">
      <calculatedColumnFormula>Sales4[[#This Row],[BOM Cost2]]+Sales4[[#This Row],[Labour Cost]]+Sales4[[#This Row],[Other conversion cost]]</calculatedColumnFormula>
    </tableColumn>
    <tableColumn id="30" xr3:uid="{C20907D7-CD18-40FA-A6A4-3FBDCC33381D}" name="BOM Cost2" dataDxfId="6" dataCellStyle="Comma">
      <calculatedColumnFormula>Sales4[[#This Row],[Billed Quantity]]*Sales4[[#This Row],[BOM Cost]]</calculatedColumnFormula>
    </tableColumn>
    <tableColumn id="28" xr3:uid="{580903C6-1491-4159-A373-ACD4084C95F6}" name="Labour Cost" dataDxfId="5" dataCellStyle="Comma">
      <calculatedColumnFormula>Sales4[[#This Row],[Billed Quantity]]*Sales4[[#This Row],[Labour cost per unit]]</calculatedColumnFormula>
    </tableColumn>
    <tableColumn id="41" xr3:uid="{577E8A8F-5620-4E6A-8168-E245773083C2}" name="Droppage Cost" dataDxfId="4" dataCellStyle="Comma">
      <calculatedColumnFormula>Sales4[[#This Row],[Droppage per unit]]*Sales4[[#This Row],[Billed Quantity]]</calculatedColumnFormula>
    </tableColumn>
    <tableColumn id="29" xr3:uid="{EF34FFF5-0F71-491F-81E9-AB69C81EC1C8}" name="Other conversion cost" dataDxfId="3" dataCellStyle="Comma">
      <calculatedColumnFormula>Sales4[[#This Row],[Billed Quantity]]*Sales4[[#This Row],[Other Conversion cost pu]]</calculatedColumnFormula>
    </tableColumn>
    <tableColumn id="31" xr3:uid="{DB41CA51-27E5-4604-AE16-F5E587DDFA70}" name="Check2" dataDxfId="2" dataCellStyle="Comma">
      <calculatedColumnFormula>Sales4[[#This Row],[PGI Amount]]-Sales4[[#This Row],[BOM Cost2]]-Sales4[[#This Row],[Labour Cost]]-Sales4[[#This Row],[Other conversion cost]]</calculatedColumnFormula>
    </tableColumn>
    <tableColumn id="36" xr3:uid="{2300C695-2FA8-4376-A06F-BE4B7B205548}" name="Margin" dataDxfId="1">
      <calculatedColumnFormula>1-Sales4[[#This Row],[PGI COST]]/Sales4[[#This Row],[Net Value]]</calculatedColumnFormula>
    </tableColumn>
    <tableColumn id="38" xr3:uid="{82D340BE-DFF3-4B4E-8DEA-954C5DD622B3}" name="Column1" dataDxfId="0">
      <calculatedColumnFormula>Sales4[[#This Row],[PGI Amount]]/Sales4[[#This Row],[Billed 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8D7C-11EA-4657-91AE-DBB8E080C0AB}">
  <dimension ref="B1:IX18"/>
  <sheetViews>
    <sheetView topLeftCell="IM1" zoomScaleNormal="100" workbookViewId="0">
      <selection activeCell="IW9" sqref="IW9"/>
    </sheetView>
  </sheetViews>
  <sheetFormatPr defaultRowHeight="14.4" x14ac:dyDescent="0.3"/>
  <cols>
    <col min="2" max="2" width="14.77734375" bestFit="1" customWidth="1"/>
    <col min="3" max="3" width="8.77734375" bestFit="1" customWidth="1"/>
    <col min="4" max="4" width="8.33203125" bestFit="1" customWidth="1"/>
    <col min="5" max="6" width="8.77734375" bestFit="1" customWidth="1"/>
    <col min="7" max="7" width="8.33203125" bestFit="1" customWidth="1"/>
    <col min="8" max="8" width="8.77734375" bestFit="1" customWidth="1"/>
    <col min="10" max="10" width="14.77734375" bestFit="1" customWidth="1"/>
    <col min="11" max="11" width="9.5546875" bestFit="1" customWidth="1"/>
    <col min="12" max="12" width="8.77734375" bestFit="1" customWidth="1"/>
    <col min="13" max="13" width="7.33203125" bestFit="1" customWidth="1"/>
    <col min="14" max="14" width="9.5546875" bestFit="1" customWidth="1"/>
    <col min="15" max="16" width="8.77734375" bestFit="1" customWidth="1"/>
    <col min="18" max="18" width="14.77734375" bestFit="1" customWidth="1"/>
    <col min="19" max="19" width="9.5546875" bestFit="1" customWidth="1"/>
    <col min="20" max="20" width="9.77734375" bestFit="1" customWidth="1"/>
    <col min="21" max="21" width="10.5546875" bestFit="1" customWidth="1"/>
    <col min="22" max="22" width="9.77734375" bestFit="1" customWidth="1"/>
    <col min="23" max="23" width="9.5546875" bestFit="1" customWidth="1"/>
    <col min="24" max="24" width="9.77734375" bestFit="1" customWidth="1"/>
    <col min="25" max="25" width="10.5546875" bestFit="1" customWidth="1"/>
    <col min="26" max="26" width="9.77734375" bestFit="1" customWidth="1"/>
    <col min="28" max="28" width="14.77734375" bestFit="1" customWidth="1"/>
    <col min="29" max="29" width="9.5546875" bestFit="1" customWidth="1"/>
    <col min="30" max="30" width="9.77734375" bestFit="1" customWidth="1"/>
    <col min="31" max="31" width="10.5546875" bestFit="1" customWidth="1"/>
    <col min="32" max="32" width="9.77734375" bestFit="1" customWidth="1"/>
    <col min="33" max="33" width="9.5546875" bestFit="1" customWidth="1"/>
    <col min="34" max="34" width="9.77734375" bestFit="1" customWidth="1"/>
    <col min="35" max="35" width="10.5546875" bestFit="1" customWidth="1"/>
    <col min="36" max="36" width="9.77734375" bestFit="1" customWidth="1"/>
    <col min="38" max="38" width="14.77734375" bestFit="1" customWidth="1"/>
    <col min="39" max="39" width="9.5546875" bestFit="1" customWidth="1"/>
    <col min="40" max="40" width="9.77734375" bestFit="1" customWidth="1"/>
    <col min="41" max="41" width="10.5546875" bestFit="1" customWidth="1"/>
    <col min="42" max="42" width="9.77734375" bestFit="1" customWidth="1"/>
    <col min="43" max="43" width="9.5546875" bestFit="1" customWidth="1"/>
    <col min="44" max="44" width="11.21875" bestFit="1" customWidth="1"/>
    <col min="45" max="45" width="10.5546875" bestFit="1" customWidth="1"/>
    <col min="46" max="46" width="11.21875" bestFit="1" customWidth="1"/>
    <col min="48" max="48" width="14.77734375" bestFit="1" customWidth="1"/>
    <col min="49" max="49" width="9.5546875" bestFit="1" customWidth="1"/>
    <col min="50" max="50" width="9.77734375" bestFit="1" customWidth="1"/>
    <col min="51" max="51" width="10.5546875" bestFit="1" customWidth="1"/>
    <col min="52" max="52" width="9.77734375" bestFit="1" customWidth="1"/>
    <col min="53" max="53" width="9.5546875" bestFit="1" customWidth="1"/>
    <col min="54" max="54" width="11.21875" bestFit="1" customWidth="1"/>
    <col min="55" max="55" width="10.5546875" bestFit="1" customWidth="1"/>
    <col min="56" max="56" width="11.21875" bestFit="1" customWidth="1"/>
    <col min="58" max="58" width="14.77734375" bestFit="1" customWidth="1"/>
    <col min="59" max="60" width="9.77734375" bestFit="1" customWidth="1"/>
    <col min="61" max="61" width="10.5546875" bestFit="1" customWidth="1"/>
    <col min="62" max="63" width="9.77734375" bestFit="1" customWidth="1"/>
    <col min="64" max="64" width="11.21875" bestFit="1" customWidth="1"/>
    <col min="65" max="65" width="10.5546875" bestFit="1" customWidth="1"/>
    <col min="66" max="66" width="11.21875" bestFit="1" customWidth="1"/>
    <col min="68" max="68" width="14.77734375" bestFit="1" customWidth="1"/>
    <col min="69" max="69" width="9.5546875" bestFit="1" customWidth="1"/>
    <col min="70" max="70" width="8.77734375" bestFit="1" customWidth="1"/>
    <col min="71" max="71" width="10.5546875" bestFit="1" customWidth="1"/>
    <col min="72" max="72" width="7.33203125" bestFit="1" customWidth="1"/>
    <col min="73" max="73" width="9.77734375" bestFit="1" customWidth="1"/>
    <col min="74" max="74" width="11.21875" bestFit="1" customWidth="1"/>
    <col min="75" max="75" width="10.5546875" bestFit="1" customWidth="1"/>
    <col min="76" max="76" width="11.21875" bestFit="1" customWidth="1"/>
    <col min="78" max="78" width="14.77734375" bestFit="1" customWidth="1"/>
    <col min="79" max="80" width="9.77734375" bestFit="1" customWidth="1"/>
    <col min="81" max="81" width="10.5546875" bestFit="1" customWidth="1"/>
    <col min="82" max="83" width="9.77734375" bestFit="1" customWidth="1"/>
    <col min="84" max="84" width="11.21875" bestFit="1" customWidth="1"/>
    <col min="85" max="85" width="10.5546875" bestFit="1" customWidth="1"/>
    <col min="86" max="86" width="11.21875" bestFit="1" customWidth="1"/>
    <col min="88" max="88" width="14.6640625" bestFit="1" customWidth="1"/>
    <col min="89" max="89" width="9.21875" bestFit="1" customWidth="1"/>
    <col min="90" max="90" width="8.6640625" bestFit="1" customWidth="1"/>
    <col min="91" max="91" width="10.44140625" bestFit="1" customWidth="1"/>
    <col min="92" max="92" width="8.6640625" bestFit="1" customWidth="1"/>
    <col min="93" max="93" width="9.6640625" bestFit="1" customWidth="1"/>
    <col min="94" max="94" width="11.109375" bestFit="1" customWidth="1"/>
    <col min="95" max="95" width="10.44140625" bestFit="1" customWidth="1"/>
    <col min="96" max="96" width="11.109375" bestFit="1" customWidth="1"/>
    <col min="98" max="98" width="14.6640625" bestFit="1" customWidth="1"/>
    <col min="99" max="99" width="9.21875" bestFit="1" customWidth="1"/>
    <col min="100" max="100" width="9.6640625" bestFit="1" customWidth="1"/>
    <col min="101" max="101" width="10.44140625" bestFit="1" customWidth="1"/>
    <col min="102" max="103" width="9.6640625" bestFit="1" customWidth="1"/>
    <col min="104" max="104" width="11.109375" bestFit="1" customWidth="1"/>
    <col min="105" max="105" width="10.44140625" bestFit="1" customWidth="1"/>
    <col min="106" max="106" width="11.109375" bestFit="1" customWidth="1"/>
    <col min="108" max="108" width="14.6640625" bestFit="1" customWidth="1"/>
    <col min="109" max="109" width="9.21875" bestFit="1" customWidth="1"/>
    <col min="110" max="110" width="9.6640625" bestFit="1" customWidth="1"/>
    <col min="111" max="111" width="10.44140625" bestFit="1" customWidth="1"/>
    <col min="112" max="113" width="9.6640625" bestFit="1" customWidth="1"/>
    <col min="114" max="114" width="11.109375" bestFit="1" customWidth="1"/>
    <col min="115" max="115" width="10.44140625" bestFit="1" customWidth="1"/>
    <col min="116" max="116" width="11.109375" bestFit="1" customWidth="1"/>
    <col min="118" max="118" width="14.6640625" bestFit="1" customWidth="1"/>
    <col min="119" max="119" width="9.21875" bestFit="1" customWidth="1"/>
    <col min="120" max="120" width="9.6640625" bestFit="1" customWidth="1"/>
    <col min="121" max="121" width="10.44140625" bestFit="1" customWidth="1"/>
    <col min="122" max="123" width="9.6640625" bestFit="1" customWidth="1"/>
    <col min="124" max="124" width="11.109375" bestFit="1" customWidth="1"/>
    <col min="125" max="125" width="10.44140625" bestFit="1" customWidth="1"/>
    <col min="126" max="126" width="11.109375" bestFit="1" customWidth="1"/>
    <col min="128" max="128" width="14.6640625" bestFit="1" customWidth="1"/>
    <col min="129" max="129" width="9.21875" bestFit="1" customWidth="1"/>
    <col min="130" max="130" width="9.6640625" bestFit="1" customWidth="1"/>
    <col min="131" max="131" width="10.44140625" bestFit="1" customWidth="1"/>
    <col min="132" max="133" width="9.6640625" bestFit="1" customWidth="1"/>
    <col min="134" max="134" width="11.109375" bestFit="1" customWidth="1"/>
    <col min="135" max="135" width="10.44140625" bestFit="1" customWidth="1"/>
    <col min="136" max="136" width="11.109375" bestFit="1" customWidth="1"/>
    <col min="138" max="138" width="14.88671875" bestFit="1" customWidth="1"/>
    <col min="139" max="139" width="9.5546875" bestFit="1" customWidth="1"/>
    <col min="140" max="140" width="10" bestFit="1" customWidth="1"/>
    <col min="141" max="141" width="10.77734375" bestFit="1" customWidth="1"/>
    <col min="142" max="143" width="10" bestFit="1" customWidth="1"/>
    <col min="144" max="144" width="11.5546875" bestFit="1" customWidth="1"/>
    <col min="145" max="145" width="10.77734375" bestFit="1" customWidth="1"/>
    <col min="146" max="146" width="11.5546875" bestFit="1" customWidth="1"/>
    <col min="148" max="148" width="14.88671875" bestFit="1" customWidth="1"/>
    <col min="149" max="150" width="10" bestFit="1" customWidth="1"/>
    <col min="151" max="151" width="10.77734375" bestFit="1" customWidth="1"/>
    <col min="152" max="153" width="10" bestFit="1" customWidth="1"/>
    <col min="154" max="154" width="11.5546875" bestFit="1" customWidth="1"/>
    <col min="155" max="155" width="10.77734375" bestFit="1" customWidth="1"/>
    <col min="156" max="156" width="11.5546875" bestFit="1" customWidth="1"/>
    <col min="158" max="158" width="14.88671875" bestFit="1" customWidth="1"/>
    <col min="159" max="159" width="9.5546875" bestFit="1" customWidth="1"/>
    <col min="160" max="160" width="10" bestFit="1" customWidth="1"/>
    <col min="161" max="161" width="10.77734375" bestFit="1" customWidth="1"/>
    <col min="162" max="163" width="10" bestFit="1" customWidth="1"/>
    <col min="164" max="164" width="11.5546875" bestFit="1" customWidth="1"/>
    <col min="165" max="165" width="10.77734375" bestFit="1" customWidth="1"/>
    <col min="166" max="166" width="11.5546875" bestFit="1" customWidth="1"/>
    <col min="168" max="168" width="14.88671875" bestFit="1" customWidth="1"/>
    <col min="169" max="169" width="9.5546875" bestFit="1" customWidth="1"/>
    <col min="170" max="170" width="10" bestFit="1" customWidth="1"/>
    <col min="171" max="171" width="10.77734375" bestFit="1" customWidth="1"/>
    <col min="172" max="173" width="10" bestFit="1" customWidth="1"/>
    <col min="174" max="174" width="11.5546875" bestFit="1" customWidth="1"/>
    <col min="175" max="175" width="10.77734375" bestFit="1" customWidth="1"/>
    <col min="176" max="176" width="11.5546875" bestFit="1" customWidth="1"/>
    <col min="177" max="177" width="9.5546875" bestFit="1" customWidth="1"/>
    <col min="178" max="178" width="14.88671875" bestFit="1" customWidth="1"/>
    <col min="179" max="179" width="9.5546875" bestFit="1" customWidth="1"/>
    <col min="180" max="180" width="10" bestFit="1" customWidth="1"/>
    <col min="181" max="181" width="10.77734375" bestFit="1" customWidth="1"/>
    <col min="182" max="183" width="10" bestFit="1" customWidth="1"/>
    <col min="184" max="184" width="11.5546875" bestFit="1" customWidth="1"/>
    <col min="185" max="185" width="10.77734375" bestFit="1" customWidth="1"/>
    <col min="186" max="186" width="11.5546875" bestFit="1" customWidth="1"/>
    <col min="188" max="188" width="14.88671875" bestFit="1" customWidth="1"/>
    <col min="189" max="189" width="9.5546875" bestFit="1" customWidth="1"/>
    <col min="190" max="190" width="10" bestFit="1" customWidth="1"/>
    <col min="191" max="191" width="9.88671875" bestFit="1" customWidth="1"/>
    <col min="192" max="192" width="10.77734375" bestFit="1" customWidth="1"/>
    <col min="193" max="194" width="10" bestFit="1" customWidth="1"/>
    <col min="195" max="195" width="11.5546875" bestFit="1" customWidth="1"/>
    <col min="196" max="196" width="9.88671875" bestFit="1" customWidth="1"/>
    <col min="197" max="197" width="10.77734375" bestFit="1" customWidth="1"/>
    <col min="198" max="198" width="11.5546875" bestFit="1" customWidth="1"/>
    <col min="200" max="200" width="15.109375" bestFit="1" customWidth="1"/>
    <col min="201" max="203" width="10" bestFit="1" customWidth="1"/>
    <col min="204" max="204" width="10.77734375" bestFit="1" customWidth="1"/>
    <col min="205" max="205" width="10" bestFit="1" customWidth="1"/>
    <col min="206" max="207" width="11.44140625" bestFit="1" customWidth="1"/>
    <col min="208" max="208" width="10" bestFit="1" customWidth="1"/>
    <col min="209" max="209" width="10.77734375" bestFit="1" customWidth="1"/>
    <col min="210" max="210" width="11.44140625" bestFit="1" customWidth="1"/>
    <col min="211" max="211" width="4.6640625" bestFit="1" customWidth="1"/>
    <col min="212" max="212" width="14.88671875" bestFit="1" customWidth="1"/>
    <col min="213" max="214" width="10" bestFit="1" customWidth="1"/>
    <col min="215" max="215" width="9.88671875" bestFit="1" customWidth="1"/>
    <col min="216" max="216" width="10.77734375" bestFit="1" customWidth="1"/>
    <col min="217" max="217" width="10" bestFit="1" customWidth="1"/>
    <col min="218" max="219" width="11.5546875" bestFit="1" customWidth="1"/>
    <col min="220" max="220" width="10" bestFit="1" customWidth="1"/>
    <col min="221" max="221" width="10.77734375" bestFit="1" customWidth="1"/>
    <col min="222" max="222" width="11.5546875" bestFit="1" customWidth="1"/>
    <col min="223" max="223" width="9" bestFit="1" customWidth="1"/>
    <col min="224" max="224" width="15.5546875" bestFit="1" customWidth="1"/>
    <col min="225" max="225" width="10.109375" bestFit="1" customWidth="1"/>
    <col min="226" max="226" width="10.88671875" bestFit="1" customWidth="1"/>
    <col min="227" max="227" width="10.33203125" bestFit="1" customWidth="1"/>
    <col min="228" max="228" width="11.109375" bestFit="1" customWidth="1"/>
    <col min="229" max="229" width="10.88671875" bestFit="1" customWidth="1"/>
    <col min="230" max="231" width="12.44140625" bestFit="1" customWidth="1"/>
    <col min="232" max="232" width="10.88671875" bestFit="1" customWidth="1"/>
    <col min="233" max="233" width="11.109375" bestFit="1" customWidth="1"/>
    <col min="234" max="234" width="12.44140625" bestFit="1" customWidth="1"/>
    <col min="235" max="235" width="7.6640625" bestFit="1" customWidth="1"/>
    <col min="236" max="236" width="14.77734375" bestFit="1" customWidth="1"/>
    <col min="237" max="237" width="9.5546875" bestFit="1" customWidth="1"/>
    <col min="238" max="238" width="8.6640625" bestFit="1" customWidth="1"/>
    <col min="239" max="239" width="9.77734375" bestFit="1" customWidth="1"/>
    <col min="240" max="240" width="10.5546875" bestFit="1" customWidth="1"/>
    <col min="241" max="241" width="9.21875" bestFit="1" customWidth="1"/>
    <col min="242" max="243" width="12" bestFit="1" customWidth="1"/>
    <col min="244" max="244" width="10.33203125" bestFit="1" customWidth="1"/>
    <col min="245" max="245" width="10.5546875" bestFit="1" customWidth="1"/>
    <col min="246" max="246" width="12" bestFit="1" customWidth="1"/>
    <col min="248" max="248" width="14.6640625" bestFit="1" customWidth="1"/>
    <col min="249" max="249" width="9.21875" bestFit="1" customWidth="1"/>
    <col min="250" max="250" width="9.6640625" bestFit="1" customWidth="1"/>
    <col min="251" max="251" width="9.5546875" bestFit="1" customWidth="1"/>
    <col min="252" max="252" width="10.44140625" bestFit="1" customWidth="1"/>
    <col min="253" max="253" width="9.6640625" bestFit="1" customWidth="1"/>
    <col min="254" max="255" width="11.109375" bestFit="1" customWidth="1"/>
    <col min="256" max="256" width="9.6640625" bestFit="1" customWidth="1"/>
    <col min="257" max="257" width="10.44140625" bestFit="1" customWidth="1"/>
    <col min="258" max="258" width="11.109375" bestFit="1" customWidth="1"/>
  </cols>
  <sheetData>
    <row r="1" spans="2:258" ht="15" thickBot="1" x14ac:dyDescent="0.35"/>
    <row r="2" spans="2:258" ht="15" thickBot="1" x14ac:dyDescent="0.35">
      <c r="B2" s="14" t="s">
        <v>470</v>
      </c>
      <c r="C2" s="357">
        <v>45749</v>
      </c>
      <c r="D2" s="358"/>
      <c r="E2" s="359"/>
      <c r="F2" s="360" t="s">
        <v>475</v>
      </c>
      <c r="G2" s="361"/>
      <c r="H2" s="362"/>
      <c r="J2" s="14" t="s">
        <v>470</v>
      </c>
      <c r="K2" s="357">
        <v>45750</v>
      </c>
      <c r="L2" s="358"/>
      <c r="M2" s="359"/>
      <c r="N2" s="360" t="s">
        <v>475</v>
      </c>
      <c r="O2" s="361"/>
      <c r="P2" s="362"/>
      <c r="R2" s="14" t="s">
        <v>481</v>
      </c>
      <c r="S2" s="357">
        <v>45751</v>
      </c>
      <c r="T2" s="358"/>
      <c r="U2" s="358"/>
      <c r="V2" s="359"/>
      <c r="W2" s="360" t="s">
        <v>475</v>
      </c>
      <c r="X2" s="361"/>
      <c r="Y2" s="361"/>
      <c r="Z2" s="362"/>
      <c r="AB2" s="14" t="s">
        <v>481</v>
      </c>
      <c r="AC2" s="357">
        <v>45752</v>
      </c>
      <c r="AD2" s="358"/>
      <c r="AE2" s="358"/>
      <c r="AF2" s="359"/>
      <c r="AG2" s="360" t="s">
        <v>475</v>
      </c>
      <c r="AH2" s="361"/>
      <c r="AI2" s="361"/>
      <c r="AJ2" s="362"/>
      <c r="AL2" s="14" t="s">
        <v>481</v>
      </c>
      <c r="AM2" s="357">
        <v>45754</v>
      </c>
      <c r="AN2" s="358"/>
      <c r="AO2" s="358"/>
      <c r="AP2" s="359"/>
      <c r="AQ2" s="360" t="s">
        <v>475</v>
      </c>
      <c r="AR2" s="361"/>
      <c r="AS2" s="361"/>
      <c r="AT2" s="362"/>
      <c r="AV2" s="14" t="s">
        <v>481</v>
      </c>
      <c r="AW2" s="357">
        <v>45755</v>
      </c>
      <c r="AX2" s="358"/>
      <c r="AY2" s="358"/>
      <c r="AZ2" s="359"/>
      <c r="BA2" s="360" t="s">
        <v>475</v>
      </c>
      <c r="BB2" s="361"/>
      <c r="BC2" s="361"/>
      <c r="BD2" s="362"/>
      <c r="BF2" s="14" t="s">
        <v>481</v>
      </c>
      <c r="BG2" s="357">
        <v>45756</v>
      </c>
      <c r="BH2" s="358"/>
      <c r="BI2" s="358"/>
      <c r="BJ2" s="359"/>
      <c r="BK2" s="360" t="s">
        <v>475</v>
      </c>
      <c r="BL2" s="361"/>
      <c r="BM2" s="361"/>
      <c r="BN2" s="362"/>
      <c r="BP2" s="14" t="s">
        <v>481</v>
      </c>
      <c r="BQ2" s="357">
        <v>45757</v>
      </c>
      <c r="BR2" s="358"/>
      <c r="BS2" s="358"/>
      <c r="BT2" s="359"/>
      <c r="BU2" s="360" t="s">
        <v>475</v>
      </c>
      <c r="BV2" s="361"/>
      <c r="BW2" s="361"/>
      <c r="BX2" s="362"/>
      <c r="BZ2" s="14" t="s">
        <v>481</v>
      </c>
      <c r="CA2" s="374">
        <v>45758</v>
      </c>
      <c r="CB2" s="375"/>
      <c r="CC2" s="375"/>
      <c r="CD2" s="376"/>
      <c r="CE2" s="371" t="s">
        <v>475</v>
      </c>
      <c r="CF2" s="372"/>
      <c r="CG2" s="372"/>
      <c r="CH2" s="373"/>
      <c r="CJ2" s="14" t="s">
        <v>481</v>
      </c>
      <c r="CK2" s="357">
        <v>45760</v>
      </c>
      <c r="CL2" s="358"/>
      <c r="CM2" s="358"/>
      <c r="CN2" s="359"/>
      <c r="CO2" s="360" t="s">
        <v>475</v>
      </c>
      <c r="CP2" s="361"/>
      <c r="CQ2" s="361"/>
      <c r="CR2" s="362"/>
      <c r="CT2" s="14" t="s">
        <v>481</v>
      </c>
      <c r="CU2" s="357">
        <v>45761</v>
      </c>
      <c r="CV2" s="358"/>
      <c r="CW2" s="358"/>
      <c r="CX2" s="359"/>
      <c r="CY2" s="360" t="s">
        <v>475</v>
      </c>
      <c r="CZ2" s="361"/>
      <c r="DA2" s="361"/>
      <c r="DB2" s="362"/>
      <c r="DD2" s="14" t="s">
        <v>481</v>
      </c>
      <c r="DE2" s="357">
        <v>45762</v>
      </c>
      <c r="DF2" s="358"/>
      <c r="DG2" s="358"/>
      <c r="DH2" s="359"/>
      <c r="DI2" s="360" t="s">
        <v>475</v>
      </c>
      <c r="DJ2" s="361"/>
      <c r="DK2" s="361"/>
      <c r="DL2" s="362"/>
      <c r="DN2" s="14" t="s">
        <v>481</v>
      </c>
      <c r="DO2" s="357">
        <v>45763</v>
      </c>
      <c r="DP2" s="358"/>
      <c r="DQ2" s="358"/>
      <c r="DR2" s="359"/>
      <c r="DS2" s="360" t="s">
        <v>475</v>
      </c>
      <c r="DT2" s="361"/>
      <c r="DU2" s="361"/>
      <c r="DV2" s="362"/>
      <c r="DX2" s="14" t="s">
        <v>481</v>
      </c>
      <c r="DY2" s="357">
        <v>45764</v>
      </c>
      <c r="DZ2" s="358"/>
      <c r="EA2" s="358"/>
      <c r="EB2" s="359"/>
      <c r="EC2" s="360" t="s">
        <v>475</v>
      </c>
      <c r="ED2" s="361"/>
      <c r="EE2" s="361"/>
      <c r="EF2" s="362"/>
      <c r="EH2" s="14" t="s">
        <v>481</v>
      </c>
      <c r="EI2" s="357">
        <v>45765</v>
      </c>
      <c r="EJ2" s="358"/>
      <c r="EK2" s="358"/>
      <c r="EL2" s="359"/>
      <c r="EM2" s="360" t="s">
        <v>475</v>
      </c>
      <c r="EN2" s="361"/>
      <c r="EO2" s="361"/>
      <c r="EP2" s="362"/>
      <c r="ER2" s="14" t="s">
        <v>481</v>
      </c>
      <c r="ES2" s="357">
        <v>45767</v>
      </c>
      <c r="ET2" s="358"/>
      <c r="EU2" s="358"/>
      <c r="EV2" s="359"/>
      <c r="EW2" s="360" t="s">
        <v>475</v>
      </c>
      <c r="EX2" s="361"/>
      <c r="EY2" s="361"/>
      <c r="EZ2" s="362"/>
      <c r="FB2" s="14" t="s">
        <v>481</v>
      </c>
      <c r="FC2" s="357">
        <v>45768</v>
      </c>
      <c r="FD2" s="358"/>
      <c r="FE2" s="358"/>
      <c r="FF2" s="359"/>
      <c r="FG2" s="360" t="s">
        <v>475</v>
      </c>
      <c r="FH2" s="361"/>
      <c r="FI2" s="361"/>
      <c r="FJ2" s="362"/>
      <c r="FL2" s="14" t="s">
        <v>481</v>
      </c>
      <c r="FM2" s="357">
        <v>45769</v>
      </c>
      <c r="FN2" s="358"/>
      <c r="FO2" s="358"/>
      <c r="FP2" s="359"/>
      <c r="FQ2" s="360" t="s">
        <v>475</v>
      </c>
      <c r="FR2" s="361"/>
      <c r="FS2" s="361"/>
      <c r="FT2" s="362"/>
      <c r="FV2" s="14" t="s">
        <v>481</v>
      </c>
      <c r="FW2" s="357">
        <v>45770</v>
      </c>
      <c r="FX2" s="358"/>
      <c r="FY2" s="358"/>
      <c r="FZ2" s="359"/>
      <c r="GA2" s="360" t="s">
        <v>475</v>
      </c>
      <c r="GB2" s="361"/>
      <c r="GC2" s="361"/>
      <c r="GD2" s="362"/>
      <c r="GF2" s="14" t="s">
        <v>481</v>
      </c>
      <c r="GG2" s="357">
        <v>45771</v>
      </c>
      <c r="GH2" s="358"/>
      <c r="GI2" s="358"/>
      <c r="GJ2" s="358"/>
      <c r="GK2" s="359"/>
      <c r="GL2" s="360" t="s">
        <v>475</v>
      </c>
      <c r="GM2" s="361"/>
      <c r="GN2" s="361"/>
      <c r="GO2" s="361"/>
      <c r="GP2" s="362"/>
      <c r="GR2" s="14" t="s">
        <v>481</v>
      </c>
      <c r="GS2" s="357">
        <v>45772</v>
      </c>
      <c r="GT2" s="358"/>
      <c r="GU2" s="358"/>
      <c r="GV2" s="358"/>
      <c r="GW2" s="359"/>
      <c r="GX2" s="360" t="s">
        <v>475</v>
      </c>
      <c r="GY2" s="361"/>
      <c r="GZ2" s="361"/>
      <c r="HA2" s="361"/>
      <c r="HB2" s="362"/>
      <c r="HD2" s="14" t="s">
        <v>481</v>
      </c>
      <c r="HE2" s="357">
        <v>45774</v>
      </c>
      <c r="HF2" s="358"/>
      <c r="HG2" s="358"/>
      <c r="HH2" s="358"/>
      <c r="HI2" s="359"/>
      <c r="HJ2" s="360" t="s">
        <v>475</v>
      </c>
      <c r="HK2" s="361"/>
      <c r="HL2" s="361"/>
      <c r="HM2" s="361"/>
      <c r="HN2" s="362"/>
      <c r="HP2" s="14" t="s">
        <v>481</v>
      </c>
      <c r="HQ2" s="357">
        <v>45775</v>
      </c>
      <c r="HR2" s="358"/>
      <c r="HS2" s="358"/>
      <c r="HT2" s="358"/>
      <c r="HU2" s="359"/>
      <c r="HV2" s="360" t="s">
        <v>475</v>
      </c>
      <c r="HW2" s="361"/>
      <c r="HX2" s="361"/>
      <c r="HY2" s="361"/>
      <c r="HZ2" s="362"/>
      <c r="IB2" s="14" t="s">
        <v>481</v>
      </c>
      <c r="IC2" s="357">
        <v>45776</v>
      </c>
      <c r="ID2" s="358"/>
      <c r="IE2" s="358"/>
      <c r="IF2" s="358"/>
      <c r="IG2" s="359"/>
      <c r="IH2" s="360" t="s">
        <v>475</v>
      </c>
      <c r="II2" s="361"/>
      <c r="IJ2" s="361"/>
      <c r="IK2" s="361"/>
      <c r="IL2" s="362"/>
      <c r="IN2" s="14" t="s">
        <v>481</v>
      </c>
      <c r="IO2" s="357">
        <v>45777</v>
      </c>
      <c r="IP2" s="358"/>
      <c r="IQ2" s="358"/>
      <c r="IR2" s="358"/>
      <c r="IS2" s="359"/>
      <c r="IT2" s="360" t="s">
        <v>475</v>
      </c>
      <c r="IU2" s="361"/>
      <c r="IV2" s="361"/>
      <c r="IW2" s="361"/>
      <c r="IX2" s="362"/>
    </row>
    <row r="3" spans="2:258" x14ac:dyDescent="0.3">
      <c r="B3" s="34" t="s">
        <v>455</v>
      </c>
      <c r="C3" s="33" t="s">
        <v>471</v>
      </c>
      <c r="D3" s="35" t="s">
        <v>461</v>
      </c>
      <c r="E3" s="36" t="s">
        <v>462</v>
      </c>
      <c r="F3" s="37" t="s">
        <v>471</v>
      </c>
      <c r="G3" s="35" t="s">
        <v>461</v>
      </c>
      <c r="H3" s="36" t="s">
        <v>462</v>
      </c>
      <c r="J3" s="34" t="s">
        <v>455</v>
      </c>
      <c r="K3" s="33" t="s">
        <v>476</v>
      </c>
      <c r="L3" s="35" t="s">
        <v>477</v>
      </c>
      <c r="M3" s="36" t="s">
        <v>462</v>
      </c>
      <c r="N3" s="37" t="s">
        <v>476</v>
      </c>
      <c r="O3" s="35" t="s">
        <v>477</v>
      </c>
      <c r="P3" s="36" t="s">
        <v>462</v>
      </c>
      <c r="R3" s="34" t="s">
        <v>455</v>
      </c>
      <c r="S3" s="33" t="s">
        <v>476</v>
      </c>
      <c r="T3" s="35" t="s">
        <v>477</v>
      </c>
      <c r="U3" s="50" t="s">
        <v>480</v>
      </c>
      <c r="V3" s="36" t="s">
        <v>462</v>
      </c>
      <c r="W3" s="37" t="s">
        <v>476</v>
      </c>
      <c r="X3" s="35" t="s">
        <v>477</v>
      </c>
      <c r="Y3" s="50" t="s">
        <v>480</v>
      </c>
      <c r="Z3" s="36" t="s">
        <v>462</v>
      </c>
      <c r="AB3" s="34" t="s">
        <v>455</v>
      </c>
      <c r="AC3" s="33" t="s">
        <v>476</v>
      </c>
      <c r="AD3" s="35" t="s">
        <v>477</v>
      </c>
      <c r="AE3" s="50" t="s">
        <v>480</v>
      </c>
      <c r="AF3" s="36" t="s">
        <v>462</v>
      </c>
      <c r="AG3" s="37" t="s">
        <v>476</v>
      </c>
      <c r="AH3" s="35" t="s">
        <v>477</v>
      </c>
      <c r="AI3" s="50" t="s">
        <v>480</v>
      </c>
      <c r="AJ3" s="36" t="s">
        <v>462</v>
      </c>
      <c r="AL3" s="34" t="s">
        <v>455</v>
      </c>
      <c r="AM3" s="33" t="s">
        <v>476</v>
      </c>
      <c r="AN3" s="35" t="s">
        <v>477</v>
      </c>
      <c r="AO3" s="50" t="s">
        <v>480</v>
      </c>
      <c r="AP3" s="36" t="s">
        <v>462</v>
      </c>
      <c r="AQ3" s="37" t="s">
        <v>476</v>
      </c>
      <c r="AR3" s="35" t="s">
        <v>477</v>
      </c>
      <c r="AS3" s="50" t="s">
        <v>480</v>
      </c>
      <c r="AT3" s="36" t="s">
        <v>462</v>
      </c>
      <c r="AV3" s="34" t="s">
        <v>455</v>
      </c>
      <c r="AW3" s="33" t="s">
        <v>476</v>
      </c>
      <c r="AX3" s="35" t="s">
        <v>477</v>
      </c>
      <c r="AY3" s="50" t="s">
        <v>480</v>
      </c>
      <c r="AZ3" s="36" t="s">
        <v>462</v>
      </c>
      <c r="BA3" s="37" t="s">
        <v>476</v>
      </c>
      <c r="BB3" s="35" t="s">
        <v>477</v>
      </c>
      <c r="BC3" s="50" t="s">
        <v>480</v>
      </c>
      <c r="BD3" s="36" t="s">
        <v>462</v>
      </c>
      <c r="BF3" s="34" t="s">
        <v>455</v>
      </c>
      <c r="BG3" s="33" t="s">
        <v>476</v>
      </c>
      <c r="BH3" s="35" t="s">
        <v>477</v>
      </c>
      <c r="BI3" s="50" t="s">
        <v>480</v>
      </c>
      <c r="BJ3" s="36" t="s">
        <v>462</v>
      </c>
      <c r="BK3" s="37" t="s">
        <v>476</v>
      </c>
      <c r="BL3" s="35" t="s">
        <v>477</v>
      </c>
      <c r="BM3" s="50" t="s">
        <v>480</v>
      </c>
      <c r="BN3" s="36" t="s">
        <v>462</v>
      </c>
      <c r="BP3" s="34" t="s">
        <v>455</v>
      </c>
      <c r="BQ3" s="33" t="s">
        <v>476</v>
      </c>
      <c r="BR3" s="35" t="s">
        <v>477</v>
      </c>
      <c r="BS3" s="50" t="s">
        <v>480</v>
      </c>
      <c r="BT3" s="36" t="s">
        <v>462</v>
      </c>
      <c r="BU3" s="37" t="s">
        <v>476</v>
      </c>
      <c r="BV3" s="35" t="s">
        <v>477</v>
      </c>
      <c r="BW3" s="50" t="s">
        <v>480</v>
      </c>
      <c r="BX3" s="36" t="s">
        <v>462</v>
      </c>
      <c r="BZ3" s="34" t="s">
        <v>455</v>
      </c>
      <c r="CA3" s="33" t="s">
        <v>476</v>
      </c>
      <c r="CB3" s="35" t="s">
        <v>477</v>
      </c>
      <c r="CC3" s="50" t="s">
        <v>480</v>
      </c>
      <c r="CD3" s="36" t="s">
        <v>462</v>
      </c>
      <c r="CE3" s="37" t="s">
        <v>476</v>
      </c>
      <c r="CF3" s="35" t="s">
        <v>477</v>
      </c>
      <c r="CG3" s="50" t="s">
        <v>480</v>
      </c>
      <c r="CH3" s="36" t="s">
        <v>462</v>
      </c>
      <c r="CJ3" s="34" t="s">
        <v>455</v>
      </c>
      <c r="CK3" s="33" t="s">
        <v>476</v>
      </c>
      <c r="CL3" s="35" t="s">
        <v>477</v>
      </c>
      <c r="CM3" s="50" t="s">
        <v>480</v>
      </c>
      <c r="CN3" s="36" t="s">
        <v>462</v>
      </c>
      <c r="CO3" s="37" t="s">
        <v>476</v>
      </c>
      <c r="CP3" s="35" t="s">
        <v>477</v>
      </c>
      <c r="CQ3" s="50" t="s">
        <v>480</v>
      </c>
      <c r="CR3" s="36" t="s">
        <v>462</v>
      </c>
      <c r="CT3" s="34" t="s">
        <v>455</v>
      </c>
      <c r="CU3" s="33" t="s">
        <v>476</v>
      </c>
      <c r="CV3" s="35" t="s">
        <v>477</v>
      </c>
      <c r="CW3" s="50" t="s">
        <v>480</v>
      </c>
      <c r="CX3" s="36" t="s">
        <v>462</v>
      </c>
      <c r="CY3" s="37" t="s">
        <v>476</v>
      </c>
      <c r="CZ3" s="35" t="s">
        <v>477</v>
      </c>
      <c r="DA3" s="50" t="s">
        <v>480</v>
      </c>
      <c r="DB3" s="36" t="s">
        <v>462</v>
      </c>
      <c r="DD3" s="34" t="s">
        <v>455</v>
      </c>
      <c r="DE3" s="33" t="s">
        <v>476</v>
      </c>
      <c r="DF3" s="35" t="s">
        <v>477</v>
      </c>
      <c r="DG3" s="50" t="s">
        <v>480</v>
      </c>
      <c r="DH3" s="36" t="s">
        <v>462</v>
      </c>
      <c r="DI3" s="37" t="s">
        <v>476</v>
      </c>
      <c r="DJ3" s="35" t="s">
        <v>477</v>
      </c>
      <c r="DK3" s="50" t="s">
        <v>480</v>
      </c>
      <c r="DL3" s="36" t="s">
        <v>462</v>
      </c>
      <c r="DN3" s="34" t="s">
        <v>455</v>
      </c>
      <c r="DO3" s="33" t="s">
        <v>476</v>
      </c>
      <c r="DP3" s="35" t="s">
        <v>477</v>
      </c>
      <c r="DQ3" s="50" t="s">
        <v>480</v>
      </c>
      <c r="DR3" s="36" t="s">
        <v>462</v>
      </c>
      <c r="DS3" s="37" t="s">
        <v>476</v>
      </c>
      <c r="DT3" s="35" t="s">
        <v>477</v>
      </c>
      <c r="DU3" s="50" t="s">
        <v>480</v>
      </c>
      <c r="DV3" s="36" t="s">
        <v>462</v>
      </c>
      <c r="DX3" s="34" t="s">
        <v>455</v>
      </c>
      <c r="DY3" s="33" t="s">
        <v>476</v>
      </c>
      <c r="DZ3" s="35" t="s">
        <v>477</v>
      </c>
      <c r="EA3" s="50" t="s">
        <v>480</v>
      </c>
      <c r="EB3" s="36" t="s">
        <v>462</v>
      </c>
      <c r="EC3" s="37" t="s">
        <v>476</v>
      </c>
      <c r="ED3" s="35" t="s">
        <v>477</v>
      </c>
      <c r="EE3" s="50" t="s">
        <v>480</v>
      </c>
      <c r="EF3" s="36" t="s">
        <v>462</v>
      </c>
      <c r="EH3" s="34" t="s">
        <v>455</v>
      </c>
      <c r="EI3" s="33" t="s">
        <v>476</v>
      </c>
      <c r="EJ3" s="35" t="s">
        <v>477</v>
      </c>
      <c r="EK3" s="50" t="s">
        <v>480</v>
      </c>
      <c r="EL3" s="36" t="s">
        <v>462</v>
      </c>
      <c r="EM3" s="37" t="s">
        <v>476</v>
      </c>
      <c r="EN3" s="35" t="s">
        <v>477</v>
      </c>
      <c r="EO3" s="50" t="s">
        <v>480</v>
      </c>
      <c r="EP3" s="36" t="s">
        <v>462</v>
      </c>
      <c r="ER3" s="34" t="s">
        <v>455</v>
      </c>
      <c r="ES3" s="33" t="s">
        <v>476</v>
      </c>
      <c r="ET3" s="35" t="s">
        <v>477</v>
      </c>
      <c r="EU3" s="50" t="s">
        <v>480</v>
      </c>
      <c r="EV3" s="36" t="s">
        <v>462</v>
      </c>
      <c r="EW3" s="37" t="s">
        <v>476</v>
      </c>
      <c r="EX3" s="35" t="s">
        <v>477</v>
      </c>
      <c r="EY3" s="50" t="s">
        <v>480</v>
      </c>
      <c r="EZ3" s="36" t="s">
        <v>462</v>
      </c>
      <c r="FB3" s="34" t="s">
        <v>455</v>
      </c>
      <c r="FC3" s="33" t="s">
        <v>476</v>
      </c>
      <c r="FD3" s="35" t="s">
        <v>477</v>
      </c>
      <c r="FE3" s="50" t="s">
        <v>480</v>
      </c>
      <c r="FF3" s="36" t="s">
        <v>462</v>
      </c>
      <c r="FG3" s="37" t="s">
        <v>476</v>
      </c>
      <c r="FH3" s="35" t="s">
        <v>477</v>
      </c>
      <c r="FI3" s="50" t="s">
        <v>480</v>
      </c>
      <c r="FJ3" s="36" t="s">
        <v>462</v>
      </c>
      <c r="FL3" s="34" t="s">
        <v>455</v>
      </c>
      <c r="FM3" s="33" t="s">
        <v>476</v>
      </c>
      <c r="FN3" s="35" t="s">
        <v>477</v>
      </c>
      <c r="FO3" s="50" t="s">
        <v>480</v>
      </c>
      <c r="FP3" s="36" t="s">
        <v>462</v>
      </c>
      <c r="FQ3" s="37" t="s">
        <v>476</v>
      </c>
      <c r="FR3" s="35" t="s">
        <v>477</v>
      </c>
      <c r="FS3" s="50" t="s">
        <v>480</v>
      </c>
      <c r="FT3" s="36" t="s">
        <v>462</v>
      </c>
      <c r="FV3" s="34" t="s">
        <v>455</v>
      </c>
      <c r="FW3" s="33" t="s">
        <v>476</v>
      </c>
      <c r="FX3" s="35" t="s">
        <v>477</v>
      </c>
      <c r="FY3" s="50" t="s">
        <v>480</v>
      </c>
      <c r="FZ3" s="36" t="s">
        <v>462</v>
      </c>
      <c r="GA3" s="37" t="s">
        <v>476</v>
      </c>
      <c r="GB3" s="35" t="s">
        <v>477</v>
      </c>
      <c r="GC3" s="50" t="s">
        <v>480</v>
      </c>
      <c r="GD3" s="36" t="s">
        <v>462</v>
      </c>
      <c r="GF3" s="34" t="s">
        <v>455</v>
      </c>
      <c r="GG3" s="33" t="s">
        <v>476</v>
      </c>
      <c r="GH3" s="35" t="s">
        <v>477</v>
      </c>
      <c r="GI3" s="35" t="s">
        <v>489</v>
      </c>
      <c r="GJ3" s="50" t="s">
        <v>480</v>
      </c>
      <c r="GK3" s="36" t="s">
        <v>462</v>
      </c>
      <c r="GL3" s="37" t="s">
        <v>476</v>
      </c>
      <c r="GM3" s="35" t="s">
        <v>477</v>
      </c>
      <c r="GN3" s="35" t="s">
        <v>489</v>
      </c>
      <c r="GO3" s="50" t="s">
        <v>480</v>
      </c>
      <c r="GP3" s="36" t="s">
        <v>462</v>
      </c>
      <c r="GR3" s="34" t="s">
        <v>455</v>
      </c>
      <c r="GS3" s="33" t="s">
        <v>476</v>
      </c>
      <c r="GT3" s="35" t="s">
        <v>477</v>
      </c>
      <c r="GU3" s="35" t="s">
        <v>489</v>
      </c>
      <c r="GV3" s="50" t="s">
        <v>480</v>
      </c>
      <c r="GW3" s="36" t="s">
        <v>462</v>
      </c>
      <c r="GX3" s="37" t="s">
        <v>476</v>
      </c>
      <c r="GY3" s="35" t="s">
        <v>477</v>
      </c>
      <c r="GZ3" s="35" t="s">
        <v>489</v>
      </c>
      <c r="HA3" s="50" t="s">
        <v>480</v>
      </c>
      <c r="HB3" s="36" t="s">
        <v>462</v>
      </c>
      <c r="HD3" s="34" t="s">
        <v>455</v>
      </c>
      <c r="HE3" s="33" t="s">
        <v>476</v>
      </c>
      <c r="HF3" s="35" t="s">
        <v>477</v>
      </c>
      <c r="HG3" s="35" t="s">
        <v>489</v>
      </c>
      <c r="HH3" s="50" t="s">
        <v>480</v>
      </c>
      <c r="HI3" s="36" t="s">
        <v>462</v>
      </c>
      <c r="HJ3" s="37" t="s">
        <v>476</v>
      </c>
      <c r="HK3" s="35" t="s">
        <v>477</v>
      </c>
      <c r="HL3" s="35" t="s">
        <v>489</v>
      </c>
      <c r="HM3" s="50" t="s">
        <v>480</v>
      </c>
      <c r="HN3" s="36" t="s">
        <v>462</v>
      </c>
      <c r="HP3" s="34" t="s">
        <v>455</v>
      </c>
      <c r="HQ3" s="33" t="s">
        <v>476</v>
      </c>
      <c r="HR3" s="35" t="s">
        <v>477</v>
      </c>
      <c r="HS3" s="35" t="s">
        <v>489</v>
      </c>
      <c r="HT3" s="50" t="s">
        <v>480</v>
      </c>
      <c r="HU3" s="36" t="s">
        <v>462</v>
      </c>
      <c r="HV3" s="37" t="s">
        <v>476</v>
      </c>
      <c r="HW3" s="35" t="s">
        <v>477</v>
      </c>
      <c r="HX3" s="35" t="s">
        <v>489</v>
      </c>
      <c r="HY3" s="50" t="s">
        <v>480</v>
      </c>
      <c r="HZ3" s="36" t="s">
        <v>462</v>
      </c>
      <c r="IB3" s="34" t="s">
        <v>455</v>
      </c>
      <c r="IC3" s="33" t="s">
        <v>476</v>
      </c>
      <c r="ID3" s="35" t="s">
        <v>477</v>
      </c>
      <c r="IE3" s="35" t="s">
        <v>489</v>
      </c>
      <c r="IF3" s="50" t="s">
        <v>480</v>
      </c>
      <c r="IG3" s="36" t="s">
        <v>462</v>
      </c>
      <c r="IH3" s="37" t="s">
        <v>476</v>
      </c>
      <c r="II3" s="35" t="s">
        <v>477</v>
      </c>
      <c r="IJ3" s="35" t="s">
        <v>489</v>
      </c>
      <c r="IK3" s="50" t="s">
        <v>480</v>
      </c>
      <c r="IL3" s="36" t="s">
        <v>462</v>
      </c>
      <c r="IN3" s="34" t="s">
        <v>455</v>
      </c>
      <c r="IO3" s="33" t="s">
        <v>476</v>
      </c>
      <c r="IP3" s="35" t="s">
        <v>477</v>
      </c>
      <c r="IQ3" s="35" t="s">
        <v>489</v>
      </c>
      <c r="IR3" s="50" t="s">
        <v>480</v>
      </c>
      <c r="IS3" s="36" t="s">
        <v>462</v>
      </c>
      <c r="IT3" s="37" t="s">
        <v>476</v>
      </c>
      <c r="IU3" s="35" t="s">
        <v>477</v>
      </c>
      <c r="IV3" s="35" t="s">
        <v>489</v>
      </c>
      <c r="IW3" s="50" t="s">
        <v>480</v>
      </c>
      <c r="IX3" s="36" t="s">
        <v>462</v>
      </c>
    </row>
    <row r="4" spans="2:258" x14ac:dyDescent="0.3">
      <c r="B4" s="24" t="s">
        <v>456</v>
      </c>
      <c r="C4" s="30">
        <v>500</v>
      </c>
      <c r="D4" s="20">
        <v>0</v>
      </c>
      <c r="E4" s="22">
        <v>500</v>
      </c>
      <c r="F4" s="27">
        <v>500</v>
      </c>
      <c r="G4" s="20">
        <v>0</v>
      </c>
      <c r="H4" s="22">
        <v>500</v>
      </c>
      <c r="J4" s="24" t="s">
        <v>456</v>
      </c>
      <c r="K4" s="30">
        <v>0</v>
      </c>
      <c r="L4" s="20">
        <v>50</v>
      </c>
      <c r="M4" s="22">
        <v>50</v>
      </c>
      <c r="N4" s="27">
        <v>500</v>
      </c>
      <c r="O4" s="27">
        <v>50</v>
      </c>
      <c r="P4" s="22">
        <v>550</v>
      </c>
      <c r="R4" s="24" t="s">
        <v>456</v>
      </c>
      <c r="S4" s="30">
        <v>463</v>
      </c>
      <c r="T4" s="20">
        <v>14930</v>
      </c>
      <c r="U4" s="20">
        <v>100</v>
      </c>
      <c r="V4" s="22">
        <v>15493</v>
      </c>
      <c r="W4" s="27">
        <v>963</v>
      </c>
      <c r="X4" s="27">
        <v>14980</v>
      </c>
      <c r="Y4" s="54">
        <v>100</v>
      </c>
      <c r="Z4" s="22">
        <v>16043</v>
      </c>
      <c r="AB4" s="24" t="s">
        <v>456</v>
      </c>
      <c r="AC4" s="30">
        <v>0</v>
      </c>
      <c r="AD4" s="20">
        <v>6720</v>
      </c>
      <c r="AE4" s="20">
        <v>0</v>
      </c>
      <c r="AF4" s="22">
        <v>6720</v>
      </c>
      <c r="AG4" s="27">
        <v>963</v>
      </c>
      <c r="AH4" s="27">
        <v>21700</v>
      </c>
      <c r="AI4" s="54">
        <v>100</v>
      </c>
      <c r="AJ4" s="22">
        <v>22763</v>
      </c>
      <c r="AL4" s="24" t="s">
        <v>456</v>
      </c>
      <c r="AM4" s="30">
        <v>0</v>
      </c>
      <c r="AN4" s="20">
        <v>7140</v>
      </c>
      <c r="AO4" s="20">
        <v>0</v>
      </c>
      <c r="AP4" s="22">
        <v>7140</v>
      </c>
      <c r="AQ4" s="27">
        <v>963</v>
      </c>
      <c r="AR4" s="27">
        <v>28840</v>
      </c>
      <c r="AS4" s="54">
        <v>100</v>
      </c>
      <c r="AT4" s="22">
        <v>29903</v>
      </c>
      <c r="AV4" s="24" t="s">
        <v>456</v>
      </c>
      <c r="AW4" s="30">
        <v>0</v>
      </c>
      <c r="AX4" s="20">
        <v>13930</v>
      </c>
      <c r="AY4" s="20">
        <v>0</v>
      </c>
      <c r="AZ4" s="22">
        <v>13930</v>
      </c>
      <c r="BA4" s="27">
        <v>963</v>
      </c>
      <c r="BB4" s="27">
        <v>42770</v>
      </c>
      <c r="BC4" s="54">
        <v>100</v>
      </c>
      <c r="BD4" s="22">
        <v>43833</v>
      </c>
      <c r="BF4" s="24" t="s">
        <v>456</v>
      </c>
      <c r="BG4" s="30">
        <v>3000</v>
      </c>
      <c r="BH4" s="20">
        <v>8450</v>
      </c>
      <c r="BI4" s="20">
        <v>0</v>
      </c>
      <c r="BJ4" s="22">
        <v>11450</v>
      </c>
      <c r="BK4" s="27">
        <v>3963</v>
      </c>
      <c r="BL4" s="27">
        <v>51220</v>
      </c>
      <c r="BM4" s="54">
        <v>100</v>
      </c>
      <c r="BN4" s="22">
        <v>55283</v>
      </c>
      <c r="BP4" s="24" t="s">
        <v>456</v>
      </c>
      <c r="BQ4" s="30">
        <v>0</v>
      </c>
      <c r="BR4" s="20">
        <v>0</v>
      </c>
      <c r="BS4" s="20">
        <v>453</v>
      </c>
      <c r="BT4" s="22">
        <v>453</v>
      </c>
      <c r="BU4" s="27">
        <v>3963</v>
      </c>
      <c r="BV4" s="27">
        <v>51220</v>
      </c>
      <c r="BW4" s="54">
        <v>553</v>
      </c>
      <c r="BX4" s="22">
        <v>55736</v>
      </c>
      <c r="BZ4" s="24" t="s">
        <v>456</v>
      </c>
      <c r="CA4" s="30">
        <v>5000</v>
      </c>
      <c r="CB4" s="20">
        <v>15960</v>
      </c>
      <c r="CC4" s="20">
        <v>0</v>
      </c>
      <c r="CD4" s="22">
        <v>20960</v>
      </c>
      <c r="CE4" s="27">
        <v>8963</v>
      </c>
      <c r="CF4" s="27">
        <v>67180</v>
      </c>
      <c r="CG4" s="54">
        <v>553</v>
      </c>
      <c r="CH4" s="22">
        <v>76696</v>
      </c>
      <c r="CJ4" s="24" t="s">
        <v>456</v>
      </c>
      <c r="CK4" s="30">
        <v>0</v>
      </c>
      <c r="CL4" s="20">
        <v>2660</v>
      </c>
      <c r="CM4" s="20">
        <v>0</v>
      </c>
      <c r="CN4" s="22">
        <v>2660</v>
      </c>
      <c r="CO4" s="27">
        <v>8963</v>
      </c>
      <c r="CP4" s="27">
        <v>69840</v>
      </c>
      <c r="CQ4" s="54">
        <v>553</v>
      </c>
      <c r="CR4" s="22">
        <v>79356</v>
      </c>
      <c r="CT4" s="24" t="s">
        <v>456</v>
      </c>
      <c r="CU4" s="30">
        <v>0</v>
      </c>
      <c r="CV4" s="20">
        <v>7140</v>
      </c>
      <c r="CW4" s="20">
        <v>0</v>
      </c>
      <c r="CX4" s="22">
        <v>7140</v>
      </c>
      <c r="CY4" s="27">
        <v>8963</v>
      </c>
      <c r="CZ4" s="27">
        <v>76980</v>
      </c>
      <c r="DA4" s="54">
        <v>553</v>
      </c>
      <c r="DB4" s="22">
        <v>86496</v>
      </c>
      <c r="DD4" s="24" t="s">
        <v>456</v>
      </c>
      <c r="DE4" s="30">
        <v>0</v>
      </c>
      <c r="DF4" s="20">
        <v>5040</v>
      </c>
      <c r="DG4" s="20">
        <v>0</v>
      </c>
      <c r="DH4" s="22">
        <v>5040</v>
      </c>
      <c r="DI4" s="27">
        <v>8963</v>
      </c>
      <c r="DJ4" s="27">
        <v>82020</v>
      </c>
      <c r="DK4" s="54">
        <v>553</v>
      </c>
      <c r="DL4" s="22">
        <v>91536</v>
      </c>
      <c r="DN4" s="24" t="s">
        <v>456</v>
      </c>
      <c r="DO4" s="30">
        <v>0</v>
      </c>
      <c r="DP4" s="20">
        <v>8400</v>
      </c>
      <c r="DQ4" s="20">
        <v>2240</v>
      </c>
      <c r="DR4" s="22">
        <v>10640</v>
      </c>
      <c r="DS4" s="27">
        <v>8963</v>
      </c>
      <c r="DT4" s="27">
        <v>90420</v>
      </c>
      <c r="DU4" s="54">
        <v>2793</v>
      </c>
      <c r="DV4" s="22">
        <v>102176</v>
      </c>
      <c r="DX4" s="24" t="s">
        <v>456</v>
      </c>
      <c r="DY4" s="30">
        <v>0</v>
      </c>
      <c r="DZ4" s="20">
        <v>8400</v>
      </c>
      <c r="EA4" s="20">
        <v>1760</v>
      </c>
      <c r="EB4" s="22">
        <v>10160</v>
      </c>
      <c r="EC4" s="27">
        <v>8963</v>
      </c>
      <c r="ED4" s="27">
        <v>98820</v>
      </c>
      <c r="EE4" s="54">
        <v>4553</v>
      </c>
      <c r="EF4" s="22">
        <v>112336</v>
      </c>
      <c r="EH4" s="24" t="s">
        <v>456</v>
      </c>
      <c r="EI4" s="30">
        <v>0</v>
      </c>
      <c r="EJ4" s="20">
        <v>7630</v>
      </c>
      <c r="EK4" s="20">
        <v>2716</v>
      </c>
      <c r="EL4" s="22">
        <v>10346</v>
      </c>
      <c r="EM4" s="27">
        <v>8963</v>
      </c>
      <c r="EN4" s="27">
        <v>106450</v>
      </c>
      <c r="EO4" s="54">
        <v>7269</v>
      </c>
      <c r="EP4" s="22">
        <v>122682</v>
      </c>
      <c r="ER4" s="24" t="s">
        <v>456</v>
      </c>
      <c r="ES4" s="30">
        <v>4000</v>
      </c>
      <c r="ET4" s="20">
        <v>6720</v>
      </c>
      <c r="EU4" s="20">
        <v>0</v>
      </c>
      <c r="EV4" s="22">
        <v>10720</v>
      </c>
      <c r="EW4" s="27">
        <v>13418</v>
      </c>
      <c r="EX4" s="27">
        <v>112715</v>
      </c>
      <c r="EY4" s="54">
        <v>7269</v>
      </c>
      <c r="EZ4" s="22">
        <v>133402</v>
      </c>
      <c r="FB4" s="24" t="s">
        <v>456</v>
      </c>
      <c r="FC4" s="30">
        <v>0</v>
      </c>
      <c r="FD4" s="20">
        <v>5040</v>
      </c>
      <c r="FE4" s="20">
        <v>2232</v>
      </c>
      <c r="FF4" s="22">
        <v>7272</v>
      </c>
      <c r="FG4" s="27">
        <v>13418</v>
      </c>
      <c r="FH4" s="27">
        <v>117755</v>
      </c>
      <c r="FI4" s="54">
        <v>9501</v>
      </c>
      <c r="FJ4" s="22">
        <v>140674</v>
      </c>
      <c r="FL4" s="24" t="s">
        <v>456</v>
      </c>
      <c r="FM4" s="30">
        <v>0</v>
      </c>
      <c r="FN4" s="20">
        <v>5880</v>
      </c>
      <c r="FO4" s="20">
        <v>3840</v>
      </c>
      <c r="FP4" s="22">
        <v>9720</v>
      </c>
      <c r="FQ4" s="27">
        <v>12963</v>
      </c>
      <c r="FR4" s="27">
        <v>124090</v>
      </c>
      <c r="FS4" s="54">
        <v>13341</v>
      </c>
      <c r="FT4" s="22">
        <v>150394</v>
      </c>
      <c r="FU4" s="17"/>
      <c r="FV4" s="24" t="s">
        <v>456</v>
      </c>
      <c r="FW4" s="30">
        <v>0</v>
      </c>
      <c r="FX4" s="20">
        <v>8470</v>
      </c>
      <c r="FY4" s="20">
        <v>3300</v>
      </c>
      <c r="FZ4" s="22">
        <v>11770</v>
      </c>
      <c r="GA4" s="27">
        <v>12963</v>
      </c>
      <c r="GB4" s="27">
        <v>132560</v>
      </c>
      <c r="GC4" s="54">
        <v>16641</v>
      </c>
      <c r="GD4" s="22">
        <v>162164</v>
      </c>
      <c r="GE4" s="17"/>
      <c r="GF4" s="24" t="s">
        <v>456</v>
      </c>
      <c r="GG4" s="30">
        <v>0</v>
      </c>
      <c r="GH4" s="20">
        <v>5040</v>
      </c>
      <c r="GI4" s="20">
        <v>900</v>
      </c>
      <c r="GJ4" s="20">
        <v>900</v>
      </c>
      <c r="GK4" s="22">
        <v>6840</v>
      </c>
      <c r="GL4" s="27">
        <v>12963</v>
      </c>
      <c r="GM4" s="27">
        <v>137600</v>
      </c>
      <c r="GN4" s="27">
        <v>900</v>
      </c>
      <c r="GO4" s="54">
        <v>17541</v>
      </c>
      <c r="GP4" s="22">
        <v>169004</v>
      </c>
      <c r="GQ4" s="17"/>
      <c r="GR4" s="24" t="s">
        <v>456</v>
      </c>
      <c r="GS4" s="30">
        <v>3797</v>
      </c>
      <c r="GT4" s="20">
        <v>6720</v>
      </c>
      <c r="GU4" s="20">
        <v>1155</v>
      </c>
      <c r="GV4" s="20">
        <v>1200</v>
      </c>
      <c r="GW4" s="22">
        <v>12872</v>
      </c>
      <c r="GX4" s="27">
        <v>16760</v>
      </c>
      <c r="GY4" s="27">
        <v>144320</v>
      </c>
      <c r="GZ4" s="27">
        <v>2055</v>
      </c>
      <c r="HA4" s="54">
        <v>18741</v>
      </c>
      <c r="HB4" s="22">
        <v>181876</v>
      </c>
      <c r="HC4" s="17"/>
      <c r="HD4" s="24" t="s">
        <v>456</v>
      </c>
      <c r="HE4" s="30">
        <v>3000</v>
      </c>
      <c r="HF4" s="20">
        <v>7560</v>
      </c>
      <c r="HG4" s="20">
        <v>447</v>
      </c>
      <c r="HH4" s="20">
        <v>2870</v>
      </c>
      <c r="HI4" s="22">
        <v>13877</v>
      </c>
      <c r="HJ4" s="27">
        <v>19760</v>
      </c>
      <c r="HK4" s="27">
        <v>151880</v>
      </c>
      <c r="HL4" s="27">
        <v>2502</v>
      </c>
      <c r="HM4" s="54">
        <v>21611</v>
      </c>
      <c r="HN4" s="22">
        <v>195753</v>
      </c>
      <c r="HO4" s="17"/>
      <c r="HP4" s="24" t="s">
        <v>456</v>
      </c>
      <c r="HQ4" s="30">
        <v>0</v>
      </c>
      <c r="HR4" s="20">
        <v>12339</v>
      </c>
      <c r="HS4" s="20">
        <v>210</v>
      </c>
      <c r="HT4" s="20">
        <v>2907</v>
      </c>
      <c r="HU4" s="22">
        <v>15456</v>
      </c>
      <c r="HV4" s="27">
        <v>19760</v>
      </c>
      <c r="HW4" s="27">
        <v>164219</v>
      </c>
      <c r="HX4" s="27">
        <v>2712</v>
      </c>
      <c r="HY4" s="54">
        <v>24518</v>
      </c>
      <c r="HZ4" s="22">
        <v>211209</v>
      </c>
      <c r="IB4" s="24" t="s">
        <v>456</v>
      </c>
      <c r="IC4" s="30">
        <v>0</v>
      </c>
      <c r="ID4" s="20">
        <v>96</v>
      </c>
      <c r="IE4" s="20">
        <v>360</v>
      </c>
      <c r="IF4" s="20">
        <v>2540</v>
      </c>
      <c r="IG4" s="22">
        <v>2996</v>
      </c>
      <c r="IH4" s="27">
        <v>19760</v>
      </c>
      <c r="II4" s="27">
        <v>164315</v>
      </c>
      <c r="IJ4" s="27">
        <v>3072</v>
      </c>
      <c r="IK4" s="54">
        <v>27058</v>
      </c>
      <c r="IL4" s="22">
        <v>214205</v>
      </c>
      <c r="IN4" s="24" t="s">
        <v>456</v>
      </c>
      <c r="IO4" s="30">
        <v>0</v>
      </c>
      <c r="IP4" s="20">
        <v>8400</v>
      </c>
      <c r="IQ4" s="20">
        <v>175</v>
      </c>
      <c r="IR4" s="20">
        <v>2000</v>
      </c>
      <c r="IS4" s="22">
        <v>10575</v>
      </c>
      <c r="IT4" s="27">
        <v>19760</v>
      </c>
      <c r="IU4" s="27">
        <v>172715</v>
      </c>
      <c r="IV4" s="27">
        <v>3247</v>
      </c>
      <c r="IW4" s="54">
        <v>29058</v>
      </c>
      <c r="IX4" s="22">
        <v>224780</v>
      </c>
    </row>
    <row r="5" spans="2:258" x14ac:dyDescent="0.3">
      <c r="B5" s="25" t="s">
        <v>457</v>
      </c>
      <c r="C5" s="31">
        <v>369655</v>
      </c>
      <c r="D5" s="18">
        <v>0</v>
      </c>
      <c r="E5" s="19">
        <v>369655</v>
      </c>
      <c r="F5" s="28">
        <v>369655</v>
      </c>
      <c r="G5" s="18">
        <v>0</v>
      </c>
      <c r="H5" s="19">
        <v>369655</v>
      </c>
      <c r="J5" s="25" t="s">
        <v>457</v>
      </c>
      <c r="K5" s="31">
        <v>0</v>
      </c>
      <c r="L5" s="18">
        <v>23950</v>
      </c>
      <c r="M5" s="19">
        <v>23950</v>
      </c>
      <c r="N5" s="28">
        <v>369655</v>
      </c>
      <c r="O5" s="18">
        <v>23950</v>
      </c>
      <c r="P5" s="19">
        <v>393605</v>
      </c>
      <c r="R5" s="25" t="s">
        <v>457</v>
      </c>
      <c r="S5" s="31">
        <v>340911.53</v>
      </c>
      <c r="T5" s="18">
        <v>5628013.3499999996</v>
      </c>
      <c r="U5" s="18">
        <v>18123.5</v>
      </c>
      <c r="V5" s="19">
        <v>5987048.3799999999</v>
      </c>
      <c r="W5" s="28">
        <v>710566.53</v>
      </c>
      <c r="X5" s="18">
        <v>5651963.3499999996</v>
      </c>
      <c r="Y5" s="51">
        <v>18123.5</v>
      </c>
      <c r="Z5" s="19">
        <v>6380653.3799999999</v>
      </c>
      <c r="AB5" s="25" t="s">
        <v>457</v>
      </c>
      <c r="AC5" s="31">
        <v>0</v>
      </c>
      <c r="AD5" s="18">
        <v>2406297.6000000001</v>
      </c>
      <c r="AE5" s="18">
        <v>0</v>
      </c>
      <c r="AF5" s="19">
        <v>2406297.6000000001</v>
      </c>
      <c r="AG5" s="28">
        <v>710566.53</v>
      </c>
      <c r="AH5" s="18">
        <v>8058260.9499999993</v>
      </c>
      <c r="AI5" s="51">
        <v>18123.5</v>
      </c>
      <c r="AJ5" s="19">
        <v>8786950.9799999986</v>
      </c>
      <c r="AL5" s="25" t="s">
        <v>457</v>
      </c>
      <c r="AM5" s="31">
        <v>0</v>
      </c>
      <c r="AN5" s="18">
        <v>2542982.4</v>
      </c>
      <c r="AO5" s="18">
        <v>0</v>
      </c>
      <c r="AP5" s="19">
        <v>2542982.4</v>
      </c>
      <c r="AQ5" s="28">
        <v>710566.53</v>
      </c>
      <c r="AR5" s="18">
        <v>10601243.35</v>
      </c>
      <c r="AS5" s="51">
        <v>18123.5</v>
      </c>
      <c r="AT5" s="19">
        <v>11329933.379999999</v>
      </c>
      <c r="AV5" s="25" t="s">
        <v>457</v>
      </c>
      <c r="AW5" s="31">
        <v>0</v>
      </c>
      <c r="AX5" s="18">
        <v>4941988.8</v>
      </c>
      <c r="AY5" s="18">
        <v>0</v>
      </c>
      <c r="AZ5" s="19">
        <v>4941988.8</v>
      </c>
      <c r="BA5" s="28">
        <v>710566.53</v>
      </c>
      <c r="BB5" s="18">
        <v>15543232.149999999</v>
      </c>
      <c r="BC5" s="51">
        <v>18123.5</v>
      </c>
      <c r="BD5" s="19">
        <v>16271922.179999998</v>
      </c>
      <c r="BF5" s="25" t="s">
        <v>457</v>
      </c>
      <c r="BG5" s="31">
        <v>2208930</v>
      </c>
      <c r="BH5" s="18">
        <v>3009552</v>
      </c>
      <c r="BI5" s="18">
        <v>0</v>
      </c>
      <c r="BJ5" s="19">
        <v>5218482</v>
      </c>
      <c r="BK5" s="28">
        <v>2919496.5300000003</v>
      </c>
      <c r="BL5" s="18">
        <v>18552784.149999999</v>
      </c>
      <c r="BM5" s="51">
        <v>18123.5</v>
      </c>
      <c r="BN5" s="19">
        <v>21490404.18</v>
      </c>
      <c r="BP5" s="25" t="s">
        <v>457</v>
      </c>
      <c r="BQ5" s="31">
        <v>0</v>
      </c>
      <c r="BR5" s="18">
        <v>0</v>
      </c>
      <c r="BS5" s="18">
        <v>94115.28</v>
      </c>
      <c r="BT5" s="19">
        <v>94115.28</v>
      </c>
      <c r="BU5" s="28">
        <v>2919496.5300000003</v>
      </c>
      <c r="BV5" s="18">
        <v>18552784.149999999</v>
      </c>
      <c r="BW5" s="51">
        <v>112238.78</v>
      </c>
      <c r="BX5" s="19">
        <v>21584519.460000001</v>
      </c>
      <c r="BZ5" s="25" t="s">
        <v>457</v>
      </c>
      <c r="CA5" s="31">
        <v>3696550</v>
      </c>
      <c r="CB5" s="18">
        <v>5674233.6000000006</v>
      </c>
      <c r="CC5" s="18">
        <v>0</v>
      </c>
      <c r="CD5" s="19">
        <v>9370783.6000000015</v>
      </c>
      <c r="CE5" s="28">
        <v>6616046.5300000003</v>
      </c>
      <c r="CF5" s="18">
        <v>24227017.750000004</v>
      </c>
      <c r="CG5" s="51">
        <v>112238.78</v>
      </c>
      <c r="CH5" s="19">
        <v>30955303.060000006</v>
      </c>
      <c r="CJ5" s="25" t="s">
        <v>457</v>
      </c>
      <c r="CK5" s="31">
        <v>0</v>
      </c>
      <c r="CL5" s="18">
        <v>947385.6</v>
      </c>
      <c r="CM5" s="18">
        <v>0</v>
      </c>
      <c r="CN5" s="19">
        <v>947385.6</v>
      </c>
      <c r="CO5" s="28">
        <v>6616046.5300000003</v>
      </c>
      <c r="CP5" s="18">
        <v>25174403.350000001</v>
      </c>
      <c r="CQ5" s="51">
        <v>112238.78</v>
      </c>
      <c r="CR5" s="19">
        <v>31902688.660000004</v>
      </c>
      <c r="CT5" s="25" t="s">
        <v>457</v>
      </c>
      <c r="CU5" s="31">
        <v>0</v>
      </c>
      <c r="CV5" s="18">
        <v>2542982.4</v>
      </c>
      <c r="CW5" s="18">
        <v>0</v>
      </c>
      <c r="CX5" s="19">
        <v>2542982.4</v>
      </c>
      <c r="CY5" s="28">
        <v>6616046.5300000003</v>
      </c>
      <c r="CZ5" s="18">
        <v>27717385.750000004</v>
      </c>
      <c r="DA5" s="51">
        <v>112238.78</v>
      </c>
      <c r="DB5" s="19">
        <v>34445671.060000002</v>
      </c>
      <c r="DD5" s="25" t="s">
        <v>457</v>
      </c>
      <c r="DE5" s="31">
        <v>0</v>
      </c>
      <c r="DF5" s="18">
        <v>1795046.3999999999</v>
      </c>
      <c r="DG5" s="18">
        <v>0</v>
      </c>
      <c r="DH5" s="19">
        <v>1795046.3999999999</v>
      </c>
      <c r="DI5" s="28">
        <v>6616046.5300000003</v>
      </c>
      <c r="DJ5" s="18">
        <v>29512432.150000002</v>
      </c>
      <c r="DK5" s="51">
        <v>112238.78</v>
      </c>
      <c r="DL5" s="19">
        <v>36240717.460000001</v>
      </c>
      <c r="DN5" s="25" t="s">
        <v>457</v>
      </c>
      <c r="DO5" s="31">
        <v>0</v>
      </c>
      <c r="DP5" s="18">
        <v>3004646.4</v>
      </c>
      <c r="DQ5" s="18">
        <v>346550.4</v>
      </c>
      <c r="DR5" s="19">
        <v>3351196.8</v>
      </c>
      <c r="DS5" s="28">
        <v>6616046.5300000003</v>
      </c>
      <c r="DT5" s="18">
        <v>32517078.550000001</v>
      </c>
      <c r="DU5" s="51">
        <v>458789.18000000005</v>
      </c>
      <c r="DV5" s="19">
        <v>39591914.259999998</v>
      </c>
      <c r="DX5" s="25" t="s">
        <v>457</v>
      </c>
      <c r="DY5" s="31">
        <v>0</v>
      </c>
      <c r="DZ5" s="18">
        <v>2998195.2</v>
      </c>
      <c r="EA5" s="18">
        <v>272289.59999999998</v>
      </c>
      <c r="EB5" s="19">
        <v>3270484.8000000003</v>
      </c>
      <c r="EC5" s="28">
        <v>6616046.5300000003</v>
      </c>
      <c r="ED5" s="18">
        <v>35515273.75</v>
      </c>
      <c r="EE5" s="51">
        <v>731078.78</v>
      </c>
      <c r="EF5" s="19">
        <v>42862399.060000002</v>
      </c>
      <c r="EH5" s="25" t="s">
        <v>457</v>
      </c>
      <c r="EI5" s="31">
        <v>0</v>
      </c>
      <c r="EJ5" s="18">
        <v>2715680.8000000003</v>
      </c>
      <c r="EK5" s="18">
        <v>420192.36</v>
      </c>
      <c r="EL5" s="19">
        <v>3135873.16</v>
      </c>
      <c r="EM5" s="28">
        <v>6616046.5300000003</v>
      </c>
      <c r="EN5" s="18">
        <v>38230954.550000004</v>
      </c>
      <c r="EO5" s="51">
        <v>1151271.1399999999</v>
      </c>
      <c r="EP5" s="19">
        <v>45998272.220000006</v>
      </c>
      <c r="ER5" s="25" t="s">
        <v>457</v>
      </c>
      <c r="ES5" s="31">
        <v>2957240</v>
      </c>
      <c r="ET5" s="18">
        <v>2393395.2000000002</v>
      </c>
      <c r="EU5" s="18">
        <v>0</v>
      </c>
      <c r="EV5" s="19">
        <v>5350635.2</v>
      </c>
      <c r="EW5" s="28">
        <v>9733519.3300000001</v>
      </c>
      <c r="EX5" s="18">
        <v>40464116.949999996</v>
      </c>
      <c r="EY5" s="51">
        <v>1151271.1399999999</v>
      </c>
      <c r="EZ5" s="19">
        <v>51348907.419999994</v>
      </c>
      <c r="FB5" s="25" t="s">
        <v>457</v>
      </c>
      <c r="FC5" s="31">
        <v>0</v>
      </c>
      <c r="FD5" s="18">
        <v>1795046.3999999999</v>
      </c>
      <c r="FE5" s="18">
        <v>345312.72</v>
      </c>
      <c r="FF5" s="19">
        <v>2140359.12</v>
      </c>
      <c r="FG5" s="28">
        <v>9733519.3300000001</v>
      </c>
      <c r="FH5" s="18">
        <v>42259163.350000009</v>
      </c>
      <c r="FI5" s="51">
        <v>1496583.86</v>
      </c>
      <c r="FJ5" s="19">
        <v>53489266.540000007</v>
      </c>
      <c r="FL5" s="25" t="s">
        <v>457</v>
      </c>
      <c r="FM5" s="31">
        <v>0</v>
      </c>
      <c r="FN5" s="18">
        <v>2110214.4</v>
      </c>
      <c r="FO5" s="18">
        <v>594086.40000000002</v>
      </c>
      <c r="FP5" s="19">
        <v>2704300.8</v>
      </c>
      <c r="FQ5" s="28">
        <v>9573286.5299999993</v>
      </c>
      <c r="FR5" s="18">
        <v>44529610.549999997</v>
      </c>
      <c r="FS5" s="51">
        <v>2090670.26</v>
      </c>
      <c r="FT5" s="19">
        <v>56193567.339999996</v>
      </c>
      <c r="FU5" s="17"/>
      <c r="FV5" s="25" t="s">
        <v>457</v>
      </c>
      <c r="FW5" s="31">
        <v>0</v>
      </c>
      <c r="FX5" s="18">
        <v>3024772.8</v>
      </c>
      <c r="FY5" s="18">
        <v>510543</v>
      </c>
      <c r="FZ5" s="19">
        <v>3535315.8</v>
      </c>
      <c r="GA5" s="28">
        <v>9573286.5299999993</v>
      </c>
      <c r="GB5" s="18">
        <v>47554383.350000001</v>
      </c>
      <c r="GC5" s="51">
        <v>2601213.2599999998</v>
      </c>
      <c r="GD5" s="19">
        <v>59728883.140000001</v>
      </c>
      <c r="GE5" s="17"/>
      <c r="GF5" s="25" t="s">
        <v>457</v>
      </c>
      <c r="GG5" s="31">
        <v>0</v>
      </c>
      <c r="GH5" s="18">
        <v>1795046.3999999999</v>
      </c>
      <c r="GI5" s="18">
        <v>416650.5</v>
      </c>
      <c r="GJ5" s="18">
        <v>139239</v>
      </c>
      <c r="GK5" s="19">
        <v>2350935.9</v>
      </c>
      <c r="GL5" s="28">
        <v>9573286.5299999993</v>
      </c>
      <c r="GM5" s="18">
        <v>49349429.749999993</v>
      </c>
      <c r="GN5" s="18">
        <v>416650.5</v>
      </c>
      <c r="GO5" s="51">
        <v>2740452.26</v>
      </c>
      <c r="GP5" s="19">
        <v>62079819.039999992</v>
      </c>
      <c r="GQ5" s="17"/>
      <c r="GR5" s="25" t="s">
        <v>457</v>
      </c>
      <c r="GS5" s="31">
        <v>2795760.07</v>
      </c>
      <c r="GT5" s="18">
        <v>2393395.2000000002</v>
      </c>
      <c r="GU5" s="18">
        <v>821733.15</v>
      </c>
      <c r="GV5" s="18">
        <v>185652</v>
      </c>
      <c r="GW5" s="19">
        <v>6196540.4199999999</v>
      </c>
      <c r="GX5" s="28">
        <v>12369046.6</v>
      </c>
      <c r="GY5" s="18">
        <v>51742824.949999996</v>
      </c>
      <c r="GZ5" s="18">
        <v>1238383.6499999999</v>
      </c>
      <c r="HA5" s="51">
        <v>2926104.26</v>
      </c>
      <c r="HB5" s="19">
        <v>68276359.459999993</v>
      </c>
      <c r="HC5" s="17"/>
      <c r="HD5" s="25" t="s">
        <v>457</v>
      </c>
      <c r="HE5" s="31">
        <v>2217930</v>
      </c>
      <c r="HF5" s="18">
        <v>2935044</v>
      </c>
      <c r="HG5" s="18">
        <v>293091.99</v>
      </c>
      <c r="HH5" s="18">
        <v>444017.7</v>
      </c>
      <c r="HI5" s="19">
        <v>5890083.6900000004</v>
      </c>
      <c r="HJ5" s="28">
        <v>14586976.6</v>
      </c>
      <c r="HK5" s="18">
        <v>54677868.950000003</v>
      </c>
      <c r="HL5" s="18">
        <v>1531475.64</v>
      </c>
      <c r="HM5" s="51">
        <v>3370121.9599999995</v>
      </c>
      <c r="HN5" s="19">
        <v>74166443.149999991</v>
      </c>
      <c r="HO5" s="17"/>
      <c r="HP5" s="25" t="s">
        <v>457</v>
      </c>
      <c r="HQ5" s="31">
        <v>0</v>
      </c>
      <c r="HR5" s="18">
        <v>4261132.8</v>
      </c>
      <c r="HS5" s="18">
        <v>64967.7</v>
      </c>
      <c r="HT5" s="18">
        <v>425710.31999999995</v>
      </c>
      <c r="HU5" s="19">
        <v>4751810.82</v>
      </c>
      <c r="HV5" s="28">
        <v>14586976.6</v>
      </c>
      <c r="HW5" s="18">
        <v>58939001.75</v>
      </c>
      <c r="HX5" s="18">
        <v>1596443.34</v>
      </c>
      <c r="HY5" s="51">
        <v>3795832.2799999993</v>
      </c>
      <c r="HZ5" s="19">
        <v>78918253.969999999</v>
      </c>
      <c r="IB5" s="25" t="s">
        <v>457</v>
      </c>
      <c r="IC5" s="31">
        <v>0</v>
      </c>
      <c r="ID5" s="18">
        <v>45984</v>
      </c>
      <c r="IE5" s="18">
        <v>111373.2</v>
      </c>
      <c r="IF5" s="18">
        <v>392963.4</v>
      </c>
      <c r="IG5" s="19">
        <v>550320.60000000009</v>
      </c>
      <c r="IH5" s="28">
        <v>14586976.6</v>
      </c>
      <c r="II5" s="18">
        <v>58984985.75</v>
      </c>
      <c r="IJ5" s="18">
        <v>1707816.54</v>
      </c>
      <c r="IK5" s="51">
        <v>4188795.6799999997</v>
      </c>
      <c r="IL5" s="19">
        <v>79468574.569999993</v>
      </c>
      <c r="IN5" s="25" t="s">
        <v>457</v>
      </c>
      <c r="IO5" s="31">
        <v>0</v>
      </c>
      <c r="IP5" s="18">
        <v>2971584</v>
      </c>
      <c r="IQ5" s="18">
        <v>54139.75</v>
      </c>
      <c r="IR5" s="18">
        <v>309420</v>
      </c>
      <c r="IS5" s="19">
        <v>3335143.75</v>
      </c>
      <c r="IT5" s="28">
        <v>14586976.6</v>
      </c>
      <c r="IU5" s="18">
        <v>61956569.749999993</v>
      </c>
      <c r="IV5" s="18">
        <v>1761956.29</v>
      </c>
      <c r="IW5" s="51">
        <v>4498215.6800000006</v>
      </c>
      <c r="IX5" s="19">
        <v>82803718.320000008</v>
      </c>
    </row>
    <row r="6" spans="2:258" x14ac:dyDescent="0.3">
      <c r="B6" s="26" t="s">
        <v>458</v>
      </c>
      <c r="C6" s="32">
        <v>284150</v>
      </c>
      <c r="D6" s="21">
        <v>0</v>
      </c>
      <c r="E6" s="23">
        <v>284150</v>
      </c>
      <c r="F6" s="29">
        <v>284150</v>
      </c>
      <c r="G6" s="21">
        <v>0</v>
      </c>
      <c r="H6" s="23">
        <v>284150</v>
      </c>
      <c r="J6" s="26" t="s">
        <v>458</v>
      </c>
      <c r="K6" s="32">
        <v>0</v>
      </c>
      <c r="L6" s="21">
        <v>23124.5</v>
      </c>
      <c r="M6" s="23">
        <v>23124.5</v>
      </c>
      <c r="N6" s="29">
        <v>284150</v>
      </c>
      <c r="O6" s="21">
        <v>23124.5</v>
      </c>
      <c r="P6" s="23">
        <v>307274.5</v>
      </c>
      <c r="R6" s="26" t="s">
        <v>458</v>
      </c>
      <c r="S6" s="32">
        <v>263122.90000000002</v>
      </c>
      <c r="T6" s="21">
        <v>5319618.5</v>
      </c>
      <c r="U6" s="21">
        <v>18522</v>
      </c>
      <c r="V6" s="23">
        <v>5601263.4000000004</v>
      </c>
      <c r="W6" s="29">
        <v>547272.9</v>
      </c>
      <c r="X6" s="21">
        <v>5342743</v>
      </c>
      <c r="Y6" s="52">
        <v>18522</v>
      </c>
      <c r="Z6" s="23">
        <v>5908537.9000000004</v>
      </c>
      <c r="AB6" s="26" t="s">
        <v>458</v>
      </c>
      <c r="AC6" s="32">
        <v>0</v>
      </c>
      <c r="AD6" s="21">
        <v>2265513.5999999996</v>
      </c>
      <c r="AE6" s="21">
        <v>0</v>
      </c>
      <c r="AF6" s="23">
        <v>2265513.5999999996</v>
      </c>
      <c r="AG6" s="29">
        <v>547272.9</v>
      </c>
      <c r="AH6" s="21">
        <v>7608256.5999999996</v>
      </c>
      <c r="AI6" s="52">
        <v>18522</v>
      </c>
      <c r="AJ6" s="23">
        <v>8174051.5</v>
      </c>
      <c r="AL6" s="26" t="s">
        <v>458</v>
      </c>
      <c r="AM6" s="32">
        <v>0</v>
      </c>
      <c r="AN6" s="21">
        <v>2390551.7999999998</v>
      </c>
      <c r="AO6" s="21">
        <v>0</v>
      </c>
      <c r="AP6" s="23">
        <v>2390551.7999999998</v>
      </c>
      <c r="AQ6" s="29">
        <v>547272.9</v>
      </c>
      <c r="AR6" s="21">
        <v>9998808.4000000004</v>
      </c>
      <c r="AS6" s="52">
        <v>18522</v>
      </c>
      <c r="AT6" s="23">
        <v>10564603.300000001</v>
      </c>
      <c r="AV6" s="26" t="s">
        <v>458</v>
      </c>
      <c r="AW6" s="32">
        <v>0</v>
      </c>
      <c r="AX6" s="21">
        <v>4651753.4000000004</v>
      </c>
      <c r="AY6" s="21">
        <v>0</v>
      </c>
      <c r="AZ6" s="23">
        <v>4651753.4000000004</v>
      </c>
      <c r="BA6" s="29">
        <v>547272.9</v>
      </c>
      <c r="BB6" s="21">
        <v>14650561.799999999</v>
      </c>
      <c r="BC6" s="52">
        <v>18522</v>
      </c>
      <c r="BD6" s="23">
        <v>15216356.699999999</v>
      </c>
      <c r="BF6" s="26" t="s">
        <v>458</v>
      </c>
      <c r="BG6" s="32">
        <v>1449630</v>
      </c>
      <c r="BH6" s="21">
        <v>2829271</v>
      </c>
      <c r="BI6" s="21">
        <v>0</v>
      </c>
      <c r="BJ6" s="23">
        <v>4278901</v>
      </c>
      <c r="BK6" s="29">
        <v>1996902.9</v>
      </c>
      <c r="BL6" s="21">
        <v>17479832.800000001</v>
      </c>
      <c r="BM6" s="52">
        <v>18522</v>
      </c>
      <c r="BN6" s="23">
        <v>19495257.699999999</v>
      </c>
      <c r="BP6" s="26" t="s">
        <v>458</v>
      </c>
      <c r="BQ6" s="32">
        <v>0</v>
      </c>
      <c r="BR6" s="21">
        <v>0</v>
      </c>
      <c r="BS6" s="21">
        <v>96339.51</v>
      </c>
      <c r="BT6" s="23">
        <v>96339.51</v>
      </c>
      <c r="BU6" s="29">
        <v>1996902.9</v>
      </c>
      <c r="BV6" s="21">
        <v>17479832.800000001</v>
      </c>
      <c r="BW6" s="52">
        <v>114861.51</v>
      </c>
      <c r="BX6" s="23">
        <v>19591597.210000001</v>
      </c>
      <c r="BZ6" s="26" t="s">
        <v>458</v>
      </c>
      <c r="CA6" s="32">
        <v>2416050</v>
      </c>
      <c r="CB6" s="21">
        <v>5338082.3999999994</v>
      </c>
      <c r="CC6" s="21">
        <v>0</v>
      </c>
      <c r="CD6" s="23">
        <v>7754132.3999999994</v>
      </c>
      <c r="CE6" s="29">
        <v>4412952.9000000004</v>
      </c>
      <c r="CF6" s="21">
        <v>22817915.199999999</v>
      </c>
      <c r="CG6" s="52">
        <v>114861.51</v>
      </c>
      <c r="CH6" s="23">
        <v>27345729.610000003</v>
      </c>
      <c r="CJ6" s="26" t="s">
        <v>458</v>
      </c>
      <c r="CK6" s="32">
        <v>0</v>
      </c>
      <c r="CL6" s="21">
        <v>890541.4</v>
      </c>
      <c r="CM6" s="21">
        <v>0</v>
      </c>
      <c r="CN6" s="23">
        <v>890541.4</v>
      </c>
      <c r="CO6" s="29">
        <v>4412952.9000000004</v>
      </c>
      <c r="CP6" s="21">
        <v>23708456.600000001</v>
      </c>
      <c r="CQ6" s="52">
        <v>114861.51</v>
      </c>
      <c r="CR6" s="23">
        <v>28236271.010000002</v>
      </c>
      <c r="CT6" s="26" t="s">
        <v>458</v>
      </c>
      <c r="CU6" s="32">
        <v>0</v>
      </c>
      <c r="CV6" s="21">
        <v>2390561.25</v>
      </c>
      <c r="CW6" s="21">
        <v>0</v>
      </c>
      <c r="CX6" s="23">
        <v>2390561.25</v>
      </c>
      <c r="CY6" s="29">
        <v>4412952.9000000004</v>
      </c>
      <c r="CZ6" s="21">
        <v>26099017.849999998</v>
      </c>
      <c r="DA6" s="52">
        <v>114861.51</v>
      </c>
      <c r="DB6" s="23">
        <v>30626832.260000002</v>
      </c>
      <c r="DD6" s="26" t="s">
        <v>458</v>
      </c>
      <c r="DE6" s="32">
        <v>0</v>
      </c>
      <c r="DF6" s="21">
        <v>1687492.8</v>
      </c>
      <c r="DG6" s="21">
        <v>0</v>
      </c>
      <c r="DH6" s="23">
        <v>1687492.8</v>
      </c>
      <c r="DI6" s="29">
        <v>4412952.9000000004</v>
      </c>
      <c r="DJ6" s="21">
        <v>27786510.649999999</v>
      </c>
      <c r="DK6" s="52">
        <v>114861.51</v>
      </c>
      <c r="DL6" s="23">
        <v>32314325.059999999</v>
      </c>
      <c r="DN6" s="26" t="s">
        <v>458</v>
      </c>
      <c r="DO6" s="32">
        <v>0</v>
      </c>
      <c r="DP6" s="21">
        <v>2828011.2</v>
      </c>
      <c r="DQ6" s="21">
        <v>353404.8</v>
      </c>
      <c r="DR6" s="23">
        <v>3181416</v>
      </c>
      <c r="DS6" s="29">
        <v>4412952.9000000004</v>
      </c>
      <c r="DT6" s="21">
        <v>30614521.849999998</v>
      </c>
      <c r="DU6" s="52">
        <v>468266.31</v>
      </c>
      <c r="DV6" s="23">
        <v>35495741.060000002</v>
      </c>
      <c r="DX6" s="26" t="s">
        <v>458</v>
      </c>
      <c r="DY6" s="32">
        <v>0</v>
      </c>
      <c r="DZ6" s="21">
        <v>2820199.2</v>
      </c>
      <c r="EA6" s="21">
        <v>277675.2</v>
      </c>
      <c r="EB6" s="23">
        <v>3097874.4000000004</v>
      </c>
      <c r="EC6" s="29">
        <v>4412952.9000000004</v>
      </c>
      <c r="ED6" s="21">
        <v>33434721.049999997</v>
      </c>
      <c r="EE6" s="52">
        <v>745941.51</v>
      </c>
      <c r="EF6" s="23">
        <v>38593615.459999993</v>
      </c>
      <c r="EH6" s="26" t="s">
        <v>458</v>
      </c>
      <c r="EI6" s="32">
        <v>0</v>
      </c>
      <c r="EJ6" s="21">
        <v>2555618.1</v>
      </c>
      <c r="EK6" s="21">
        <v>428503.32</v>
      </c>
      <c r="EL6" s="23">
        <v>2984121.42</v>
      </c>
      <c r="EM6" s="29">
        <v>4412952.9000000004</v>
      </c>
      <c r="EN6" s="21">
        <v>35990339.149999999</v>
      </c>
      <c r="EO6" s="52">
        <v>1174444.83</v>
      </c>
      <c r="EP6" s="23">
        <v>41577736.879999995</v>
      </c>
      <c r="ER6" s="26" t="s">
        <v>458</v>
      </c>
      <c r="ES6" s="32">
        <v>1932840</v>
      </c>
      <c r="ET6" s="21">
        <v>2249940</v>
      </c>
      <c r="EU6" s="21">
        <v>0</v>
      </c>
      <c r="EV6" s="23">
        <v>4182780</v>
      </c>
      <c r="EW6" s="29">
        <v>6499141.5500000007</v>
      </c>
      <c r="EX6" s="21">
        <v>38086930.500000007</v>
      </c>
      <c r="EY6" s="52">
        <v>1174444.83</v>
      </c>
      <c r="EZ6" s="23">
        <v>45760516.88000001</v>
      </c>
      <c r="FB6" s="26" t="s">
        <v>458</v>
      </c>
      <c r="FC6" s="32">
        <v>0</v>
      </c>
      <c r="FD6" s="21">
        <v>1687492.8</v>
      </c>
      <c r="FE6" s="21">
        <v>352142.64</v>
      </c>
      <c r="FF6" s="23">
        <v>2039635.44</v>
      </c>
      <c r="FG6" s="29">
        <v>6499141.5500000007</v>
      </c>
      <c r="FH6" s="21">
        <v>39774423.300000012</v>
      </c>
      <c r="FI6" s="52">
        <v>1526587.47</v>
      </c>
      <c r="FJ6" s="23">
        <v>47800152.320000008</v>
      </c>
      <c r="FL6" s="26" t="s">
        <v>458</v>
      </c>
      <c r="FM6" s="32">
        <v>0</v>
      </c>
      <c r="FN6" s="21">
        <v>2045013.6</v>
      </c>
      <c r="FO6" s="21">
        <v>605836.80000000005</v>
      </c>
      <c r="FP6" s="23">
        <v>2650850.4000000004</v>
      </c>
      <c r="FQ6" s="29">
        <v>6345792.9000000004</v>
      </c>
      <c r="FR6" s="21">
        <v>41972785.550000012</v>
      </c>
      <c r="FS6" s="52">
        <v>2132424.27</v>
      </c>
      <c r="FT6" s="23">
        <v>50451002.720000014</v>
      </c>
      <c r="FU6" s="17"/>
      <c r="FV6" s="26" t="s">
        <v>458</v>
      </c>
      <c r="FW6" s="32">
        <v>0</v>
      </c>
      <c r="FX6" s="21">
        <v>2907121.7</v>
      </c>
      <c r="FY6" s="21">
        <v>520641</v>
      </c>
      <c r="FZ6" s="23">
        <v>3427762.7</v>
      </c>
      <c r="GA6" s="29">
        <v>6345792.9000000004</v>
      </c>
      <c r="GB6" s="21">
        <v>44879907.250000007</v>
      </c>
      <c r="GC6" s="52">
        <v>2653065.2699999996</v>
      </c>
      <c r="GD6" s="23">
        <v>53878765.420000002</v>
      </c>
      <c r="GE6" s="17"/>
      <c r="GF6" s="26" t="s">
        <v>458</v>
      </c>
      <c r="GG6" s="32">
        <v>0</v>
      </c>
      <c r="GH6" s="21">
        <v>1687492.8</v>
      </c>
      <c r="GI6" s="21">
        <v>441709.5</v>
      </c>
      <c r="GJ6" s="21">
        <v>141993</v>
      </c>
      <c r="GK6" s="23">
        <v>2271195.2999999998</v>
      </c>
      <c r="GL6" s="29">
        <v>6345792.9000000004</v>
      </c>
      <c r="GM6" s="21">
        <v>46567400.050000004</v>
      </c>
      <c r="GN6" s="21">
        <v>441709.5</v>
      </c>
      <c r="GO6" s="52">
        <v>2795058.2699999996</v>
      </c>
      <c r="GP6" s="23">
        <v>56149960.719999999</v>
      </c>
      <c r="GQ6" s="17"/>
      <c r="GR6" s="26" t="s">
        <v>458</v>
      </c>
      <c r="GS6" s="32">
        <v>1837647.63</v>
      </c>
      <c r="GT6" s="21">
        <v>2250032.4</v>
      </c>
      <c r="GU6" s="21">
        <v>770503.64999999991</v>
      </c>
      <c r="GV6" s="21">
        <v>189324</v>
      </c>
      <c r="GW6" s="23">
        <v>5047507.68</v>
      </c>
      <c r="GX6" s="29">
        <v>8183440.5300000003</v>
      </c>
      <c r="GY6" s="21">
        <v>48817432.45000001</v>
      </c>
      <c r="GZ6" s="21">
        <v>1212213.1499999999</v>
      </c>
      <c r="HA6" s="52">
        <v>2984382.2699999996</v>
      </c>
      <c r="HB6" s="23">
        <v>61197468.400000006</v>
      </c>
      <c r="HC6" s="17"/>
      <c r="HD6" s="26" t="s">
        <v>458</v>
      </c>
      <c r="HE6" s="32">
        <v>1449630</v>
      </c>
      <c r="HF6" s="21">
        <v>2824021.1999999997</v>
      </c>
      <c r="HG6" s="21">
        <v>280508.01</v>
      </c>
      <c r="HH6" s="21">
        <v>452799.9</v>
      </c>
      <c r="HI6" s="23">
        <v>5006959.1099999994</v>
      </c>
      <c r="HJ6" s="29">
        <v>9633070.5299999993</v>
      </c>
      <c r="HK6" s="21">
        <v>51641453.649999999</v>
      </c>
      <c r="HL6" s="21">
        <v>1492721.16</v>
      </c>
      <c r="HM6" s="52">
        <v>3437182.1699999995</v>
      </c>
      <c r="HN6" s="23">
        <v>66204427.509999998</v>
      </c>
      <c r="HO6" s="17"/>
      <c r="HP6" s="26" t="s">
        <v>458</v>
      </c>
      <c r="HQ6" s="32">
        <v>0</v>
      </c>
      <c r="HR6" s="21">
        <v>4000582.1100000003</v>
      </c>
      <c r="HS6" s="21">
        <v>80184.3</v>
      </c>
      <c r="HT6" s="21">
        <v>433767.68999999994</v>
      </c>
      <c r="HU6" s="23">
        <v>4514534.0999999996</v>
      </c>
      <c r="HV6" s="29">
        <v>9630171.2700000014</v>
      </c>
      <c r="HW6" s="21">
        <v>55642035.760000005</v>
      </c>
      <c r="HX6" s="21">
        <v>1572905.46</v>
      </c>
      <c r="HY6" s="52">
        <v>3870949.8599999994</v>
      </c>
      <c r="HZ6" s="23">
        <v>70716062.350000009</v>
      </c>
      <c r="IB6" s="26" t="s">
        <v>458</v>
      </c>
      <c r="IC6" s="32">
        <v>0</v>
      </c>
      <c r="ID6" s="21">
        <v>44399.040000000001</v>
      </c>
      <c r="IE6" s="21">
        <v>137458.79999999999</v>
      </c>
      <c r="IF6" s="21">
        <v>400735.80000000005</v>
      </c>
      <c r="IG6" s="23">
        <v>582593.64</v>
      </c>
      <c r="IH6" s="29">
        <v>9630171.2700000014</v>
      </c>
      <c r="II6" s="21">
        <v>55686434.800000004</v>
      </c>
      <c r="IJ6" s="21">
        <v>1710364.26</v>
      </c>
      <c r="IK6" s="52">
        <v>4271685.6599999992</v>
      </c>
      <c r="IL6" s="23">
        <v>71298655.99000001</v>
      </c>
      <c r="IN6" s="26" t="s">
        <v>458</v>
      </c>
      <c r="IO6" s="32">
        <v>0</v>
      </c>
      <c r="IP6" s="21">
        <v>2799417.6</v>
      </c>
      <c r="IQ6" s="21">
        <v>66820.25</v>
      </c>
      <c r="IR6" s="21">
        <v>315540</v>
      </c>
      <c r="IS6" s="23">
        <v>3181777.85</v>
      </c>
      <c r="IT6" s="29">
        <v>9630171.2700000014</v>
      </c>
      <c r="IU6" s="21">
        <v>58485852.399999999</v>
      </c>
      <c r="IV6" s="21">
        <v>1777184.51</v>
      </c>
      <c r="IW6" s="52">
        <v>4587225.6599999992</v>
      </c>
      <c r="IX6" s="23">
        <v>74480433.840000004</v>
      </c>
    </row>
    <row r="7" spans="2:258" x14ac:dyDescent="0.3">
      <c r="B7" s="25" t="s">
        <v>467</v>
      </c>
      <c r="C7" s="31">
        <v>255890</v>
      </c>
      <c r="D7" s="18">
        <v>0</v>
      </c>
      <c r="E7" s="19">
        <v>255890</v>
      </c>
      <c r="F7" s="28">
        <v>255890</v>
      </c>
      <c r="G7" s="18">
        <v>0</v>
      </c>
      <c r="H7" s="19">
        <v>255890</v>
      </c>
      <c r="J7" s="25" t="s">
        <v>467</v>
      </c>
      <c r="K7" s="31">
        <v>0</v>
      </c>
      <c r="L7" s="18">
        <v>20452.499999999993</v>
      </c>
      <c r="M7" s="19">
        <v>20452.499999999993</v>
      </c>
      <c r="N7" s="28">
        <v>255890</v>
      </c>
      <c r="O7" s="18">
        <v>20452.499999999993</v>
      </c>
      <c r="P7" s="19">
        <v>276342.5</v>
      </c>
      <c r="R7" s="25" t="s">
        <v>467</v>
      </c>
      <c r="S7" s="31">
        <v>236954.13999999998</v>
      </c>
      <c r="T7" s="18">
        <v>4521759.2999999989</v>
      </c>
      <c r="U7" s="18">
        <v>16472</v>
      </c>
      <c r="V7" s="19">
        <v>4775185.4399999985</v>
      </c>
      <c r="W7" s="28">
        <v>492844.14</v>
      </c>
      <c r="X7" s="18">
        <v>4542211.7999999989</v>
      </c>
      <c r="Y7" s="51">
        <v>16472</v>
      </c>
      <c r="Z7" s="19">
        <v>5051527.9399999985</v>
      </c>
      <c r="AB7" s="25" t="s">
        <v>467</v>
      </c>
      <c r="AC7" s="31">
        <v>0</v>
      </c>
      <c r="AD7" s="18">
        <v>1906396.7999999993</v>
      </c>
      <c r="AE7" s="18">
        <v>0</v>
      </c>
      <c r="AF7" s="19">
        <v>1906396.7999999993</v>
      </c>
      <c r="AG7" s="28">
        <v>492844.14</v>
      </c>
      <c r="AH7" s="18">
        <v>6448608.5999999978</v>
      </c>
      <c r="AI7" s="51">
        <v>16472</v>
      </c>
      <c r="AJ7" s="19">
        <v>6957924.7399999974</v>
      </c>
      <c r="AL7" s="25" t="s">
        <v>467</v>
      </c>
      <c r="AM7" s="31">
        <v>0</v>
      </c>
      <c r="AN7" s="18">
        <v>2008990.1999999997</v>
      </c>
      <c r="AO7" s="18">
        <v>0</v>
      </c>
      <c r="AP7" s="19">
        <v>2008990.1999999997</v>
      </c>
      <c r="AQ7" s="28">
        <v>492844.14</v>
      </c>
      <c r="AR7" s="18">
        <v>8457598.799999997</v>
      </c>
      <c r="AS7" s="51">
        <v>16472</v>
      </c>
      <c r="AT7" s="19">
        <v>8966914.9399999976</v>
      </c>
      <c r="AV7" s="25" t="s">
        <v>467</v>
      </c>
      <c r="AW7" s="31">
        <v>0</v>
      </c>
      <c r="AX7" s="18">
        <v>3907334.2000000007</v>
      </c>
      <c r="AY7" s="18">
        <v>0</v>
      </c>
      <c r="AZ7" s="19">
        <v>3907334.2000000007</v>
      </c>
      <c r="BA7" s="28">
        <v>492844.14</v>
      </c>
      <c r="BB7" s="18">
        <v>12364933</v>
      </c>
      <c r="BC7" s="51">
        <v>16472</v>
      </c>
      <c r="BD7" s="19">
        <v>12874249.140000001</v>
      </c>
      <c r="BF7" s="25" t="s">
        <v>467</v>
      </c>
      <c r="BG7" s="31">
        <v>1280070</v>
      </c>
      <c r="BH7" s="18">
        <v>2377703.0000000005</v>
      </c>
      <c r="BI7" s="18">
        <v>0</v>
      </c>
      <c r="BJ7" s="19">
        <v>3657773.0000000005</v>
      </c>
      <c r="BK7" s="28">
        <v>1772914.14</v>
      </c>
      <c r="BL7" s="18">
        <v>14742636.000000004</v>
      </c>
      <c r="BM7" s="51">
        <v>16472</v>
      </c>
      <c r="BN7" s="19">
        <v>16532022.140000004</v>
      </c>
      <c r="BP7" s="25" t="s">
        <v>467</v>
      </c>
      <c r="BQ7" s="31">
        <v>0</v>
      </c>
      <c r="BR7" s="18">
        <v>0</v>
      </c>
      <c r="BS7" s="18">
        <v>87053.010000000009</v>
      </c>
      <c r="BT7" s="19">
        <v>87053.010000000009</v>
      </c>
      <c r="BU7" s="28">
        <v>1772914.14</v>
      </c>
      <c r="BV7" s="18">
        <v>14742636.000000004</v>
      </c>
      <c r="BW7" s="51">
        <v>103525.01000000001</v>
      </c>
      <c r="BX7" s="19">
        <v>16619075.150000004</v>
      </c>
      <c r="BZ7" s="25" t="s">
        <v>467</v>
      </c>
      <c r="CA7" s="31">
        <v>2133450</v>
      </c>
      <c r="CB7" s="18">
        <v>4485180</v>
      </c>
      <c r="CC7" s="18">
        <v>0</v>
      </c>
      <c r="CD7" s="19">
        <v>6618630</v>
      </c>
      <c r="CE7" s="28">
        <v>3906364.14</v>
      </c>
      <c r="CF7" s="18">
        <v>19227816</v>
      </c>
      <c r="CG7" s="51">
        <v>103525.01000000001</v>
      </c>
      <c r="CH7" s="19">
        <v>23237705.150000002</v>
      </c>
      <c r="CJ7" s="25" t="s">
        <v>467</v>
      </c>
      <c r="CK7" s="31">
        <v>0</v>
      </c>
      <c r="CL7" s="18">
        <v>748390.99999999965</v>
      </c>
      <c r="CM7" s="18">
        <v>0</v>
      </c>
      <c r="CN7" s="19">
        <v>748390.99999999965</v>
      </c>
      <c r="CO7" s="28">
        <v>3906364.14</v>
      </c>
      <c r="CP7" s="18">
        <v>19976207</v>
      </c>
      <c r="CQ7" s="51">
        <v>103525.01000000001</v>
      </c>
      <c r="CR7" s="19">
        <v>23986096.150000002</v>
      </c>
      <c r="CT7" s="25" t="s">
        <v>467</v>
      </c>
      <c r="CU7" s="31">
        <v>0</v>
      </c>
      <c r="CV7" s="18">
        <v>2008999.6499999997</v>
      </c>
      <c r="CW7" s="18">
        <v>0</v>
      </c>
      <c r="CX7" s="19">
        <v>2008999.6499999997</v>
      </c>
      <c r="CY7" s="28">
        <v>3906364.14</v>
      </c>
      <c r="CZ7" s="18">
        <v>21985206.649999999</v>
      </c>
      <c r="DA7" s="51">
        <v>103525.01000000001</v>
      </c>
      <c r="DB7" s="19">
        <v>25995095.800000001</v>
      </c>
      <c r="DD7" s="25" t="s">
        <v>467</v>
      </c>
      <c r="DE7" s="31">
        <v>0</v>
      </c>
      <c r="DF7" s="18">
        <v>1418155.2</v>
      </c>
      <c r="DG7" s="18">
        <v>0</v>
      </c>
      <c r="DH7" s="19">
        <v>1418155.2</v>
      </c>
      <c r="DI7" s="28">
        <v>3906364.14</v>
      </c>
      <c r="DJ7" s="18">
        <v>23403361.849999998</v>
      </c>
      <c r="DK7" s="51">
        <v>103525.01000000001</v>
      </c>
      <c r="DL7" s="19">
        <v>27413251</v>
      </c>
      <c r="DN7" s="25" t="s">
        <v>467</v>
      </c>
      <c r="DO7" s="31">
        <v>0</v>
      </c>
      <c r="DP7" s="18">
        <v>2379115.1999999993</v>
      </c>
      <c r="DQ7" s="18">
        <v>307484.79999999993</v>
      </c>
      <c r="DR7" s="19">
        <v>2686599.9999999991</v>
      </c>
      <c r="DS7" s="28">
        <v>3906364.14</v>
      </c>
      <c r="DT7" s="18">
        <v>25782477.050000001</v>
      </c>
      <c r="DU7" s="51">
        <v>411009.80999999994</v>
      </c>
      <c r="DV7" s="19">
        <v>30099851</v>
      </c>
      <c r="DX7" s="25" t="s">
        <v>467</v>
      </c>
      <c r="DY7" s="31">
        <v>0</v>
      </c>
      <c r="DZ7" s="18">
        <v>2371303.1999999997</v>
      </c>
      <c r="EA7" s="18">
        <v>241595.19999999995</v>
      </c>
      <c r="EB7" s="19">
        <v>2612898.3999999994</v>
      </c>
      <c r="EC7" s="28">
        <v>3906364.14</v>
      </c>
      <c r="ED7" s="18">
        <v>28153780.25</v>
      </c>
      <c r="EE7" s="51">
        <v>652605.00999999989</v>
      </c>
      <c r="EF7" s="19">
        <v>32712749.400000002</v>
      </c>
      <c r="EH7" s="25" t="s">
        <v>467</v>
      </c>
      <c r="EI7" s="31">
        <v>0</v>
      </c>
      <c r="EJ7" s="18">
        <v>2147588.8000000003</v>
      </c>
      <c r="EK7" s="18">
        <v>372825.31999999995</v>
      </c>
      <c r="EL7" s="19">
        <v>2520414.12</v>
      </c>
      <c r="EM7" s="28">
        <v>3906364.14</v>
      </c>
      <c r="EN7" s="18">
        <v>30301369.050000001</v>
      </c>
      <c r="EO7" s="51">
        <v>1025430.3299999998</v>
      </c>
      <c r="EP7" s="19">
        <v>35233163.519999996</v>
      </c>
      <c r="ER7" s="25" t="s">
        <v>467</v>
      </c>
      <c r="ES7" s="31">
        <v>1706760</v>
      </c>
      <c r="ET7" s="18">
        <v>1890823.1999999997</v>
      </c>
      <c r="EU7" s="18">
        <v>0</v>
      </c>
      <c r="EV7" s="19">
        <v>3597583.1999999997</v>
      </c>
      <c r="EW7" s="28">
        <v>5741875.4899999993</v>
      </c>
      <c r="EX7" s="18">
        <v>32063440.899999999</v>
      </c>
      <c r="EY7" s="51">
        <v>1025430.3299999998</v>
      </c>
      <c r="EZ7" s="19">
        <v>38830746.719999999</v>
      </c>
      <c r="FB7" s="25" t="s">
        <v>467</v>
      </c>
      <c r="FC7" s="31">
        <v>0</v>
      </c>
      <c r="FD7" s="18">
        <v>1418155.2</v>
      </c>
      <c r="FE7" s="18">
        <v>306386.63999999996</v>
      </c>
      <c r="FF7" s="19">
        <v>1724541.8399999999</v>
      </c>
      <c r="FG7" s="28">
        <v>5741875.4899999993</v>
      </c>
      <c r="FH7" s="18">
        <v>33481596.100000001</v>
      </c>
      <c r="FI7" s="51">
        <v>1331816.9699999997</v>
      </c>
      <c r="FJ7" s="19">
        <v>40555288.560000002</v>
      </c>
      <c r="FL7" s="25" t="s">
        <v>467</v>
      </c>
      <c r="FM7" s="31">
        <v>0</v>
      </c>
      <c r="FN7" s="18">
        <v>1685157.5999999989</v>
      </c>
      <c r="FO7" s="18">
        <v>527116.79999999993</v>
      </c>
      <c r="FP7" s="19">
        <v>2212274.399999999</v>
      </c>
      <c r="FQ7" s="28">
        <v>5613124.1399999997</v>
      </c>
      <c r="FR7" s="18">
        <v>35295505.049999997</v>
      </c>
      <c r="FS7" s="51">
        <v>1858933.7699999998</v>
      </c>
      <c r="FT7" s="19">
        <v>42767562.960000001</v>
      </c>
      <c r="FU7" s="17"/>
      <c r="FV7" s="25" t="s">
        <v>467</v>
      </c>
      <c r="FW7" s="31">
        <v>0</v>
      </c>
      <c r="FX7" s="18">
        <v>2408465.4999999991</v>
      </c>
      <c r="FY7" s="18">
        <v>452990.99999999988</v>
      </c>
      <c r="FZ7" s="19">
        <v>2861456.4999999991</v>
      </c>
      <c r="GA7" s="28">
        <v>5613124.1399999997</v>
      </c>
      <c r="GB7" s="18">
        <v>37703970.54999999</v>
      </c>
      <c r="GC7" s="51">
        <v>2311924.7699999996</v>
      </c>
      <c r="GD7" s="19">
        <v>45629019.459999993</v>
      </c>
      <c r="GE7" s="17"/>
      <c r="GF7" s="25" t="s">
        <v>467</v>
      </c>
      <c r="GG7" s="31">
        <v>0</v>
      </c>
      <c r="GH7" s="18">
        <v>1418155.2</v>
      </c>
      <c r="GI7" s="18">
        <v>392071</v>
      </c>
      <c r="GJ7" s="18">
        <v>123542.99999999999</v>
      </c>
      <c r="GK7" s="19">
        <v>1933769.2</v>
      </c>
      <c r="GL7" s="28">
        <v>5613124.1399999997</v>
      </c>
      <c r="GM7" s="18">
        <v>39122125.749999993</v>
      </c>
      <c r="GN7" s="18">
        <v>392071</v>
      </c>
      <c r="GO7" s="51">
        <v>2435467.7699999996</v>
      </c>
      <c r="GP7" s="19">
        <v>47562788.659999996</v>
      </c>
      <c r="GQ7" s="17"/>
      <c r="GR7" s="25" t="s">
        <v>467</v>
      </c>
      <c r="GS7" s="31">
        <v>1620141.93</v>
      </c>
      <c r="GT7" s="18">
        <v>1890915.6000000006</v>
      </c>
      <c r="GU7" s="18">
        <v>703597.64999999991</v>
      </c>
      <c r="GV7" s="18">
        <v>164723.99999999997</v>
      </c>
      <c r="GW7" s="19">
        <v>4379379.18</v>
      </c>
      <c r="GX7" s="28">
        <v>7233266.0699999994</v>
      </c>
      <c r="GY7" s="18">
        <v>41013041.349999987</v>
      </c>
      <c r="GZ7" s="18">
        <v>1095668.6499999999</v>
      </c>
      <c r="HA7" s="51">
        <v>2600191.7699999996</v>
      </c>
      <c r="HB7" s="19">
        <v>51942167.839999989</v>
      </c>
      <c r="HC7" s="17"/>
      <c r="HD7" s="25" t="s">
        <v>467</v>
      </c>
      <c r="HE7" s="31">
        <v>1280070</v>
      </c>
      <c r="HF7" s="18">
        <v>2374906.7999999989</v>
      </c>
      <c r="HG7" s="18">
        <v>254892.72999999998</v>
      </c>
      <c r="HH7" s="18">
        <v>393964.89999999997</v>
      </c>
      <c r="HI7" s="19">
        <v>4303834.4299999988</v>
      </c>
      <c r="HJ7" s="28">
        <v>8513336.0700000003</v>
      </c>
      <c r="HK7" s="18">
        <v>43387948.149999991</v>
      </c>
      <c r="HL7" s="18">
        <v>1350561.38</v>
      </c>
      <c r="HM7" s="51">
        <v>2994156.669999999</v>
      </c>
      <c r="HN7" s="19">
        <v>56246002.269999996</v>
      </c>
      <c r="HO7" s="17"/>
      <c r="HP7" s="25" t="s">
        <v>467</v>
      </c>
      <c r="HQ7" s="31">
        <v>0</v>
      </c>
      <c r="HR7" s="18">
        <v>3341185.95</v>
      </c>
      <c r="HS7" s="18">
        <v>68961.900000000023</v>
      </c>
      <c r="HT7" s="18">
        <v>374174.18999999994</v>
      </c>
      <c r="HU7" s="19">
        <v>3784322.04</v>
      </c>
      <c r="HV7" s="28">
        <v>8513336.0700000003</v>
      </c>
      <c r="HW7" s="18">
        <v>46729134.099999994</v>
      </c>
      <c r="HX7" s="18">
        <v>1419523.2799999998</v>
      </c>
      <c r="HY7" s="51">
        <v>3368330.8599999994</v>
      </c>
      <c r="HZ7" s="19">
        <v>60030324.309999995</v>
      </c>
      <c r="IB7" s="25" t="s">
        <v>467</v>
      </c>
      <c r="IC7" s="31">
        <v>0</v>
      </c>
      <c r="ID7" s="18">
        <v>39268.799999999988</v>
      </c>
      <c r="IE7" s="18">
        <v>118220.40000000004</v>
      </c>
      <c r="IF7" s="18">
        <v>348665.8</v>
      </c>
      <c r="IG7" s="19">
        <v>506155</v>
      </c>
      <c r="IH7" s="28">
        <v>8513336.0700000003</v>
      </c>
      <c r="II7" s="18">
        <v>46768402.899999991</v>
      </c>
      <c r="IJ7" s="18">
        <v>1537743.68</v>
      </c>
      <c r="IK7" s="51">
        <v>3716996.6599999992</v>
      </c>
      <c r="IL7" s="19">
        <v>60536479.309999987</v>
      </c>
      <c r="IN7" s="25" t="s">
        <v>467</v>
      </c>
      <c r="IO7" s="31">
        <v>0</v>
      </c>
      <c r="IP7" s="18">
        <v>2350521.6000000006</v>
      </c>
      <c r="IQ7" s="18">
        <v>57468.250000000015</v>
      </c>
      <c r="IR7" s="18">
        <v>274539.99999999994</v>
      </c>
      <c r="IS7" s="19">
        <v>2682529.8500000006</v>
      </c>
      <c r="IT7" s="28">
        <v>8513336.0700000003</v>
      </c>
      <c r="IU7" s="18">
        <v>49118924.499999985</v>
      </c>
      <c r="IV7" s="18">
        <v>1595211.93</v>
      </c>
      <c r="IW7" s="51">
        <v>3991536.6599999992</v>
      </c>
      <c r="IX7" s="19">
        <v>63219009.159999982</v>
      </c>
    </row>
    <row r="8" spans="2:258" x14ac:dyDescent="0.3">
      <c r="B8" s="25" t="s">
        <v>468</v>
      </c>
      <c r="C8" s="31">
        <v>20505</v>
      </c>
      <c r="D8" s="18">
        <v>0</v>
      </c>
      <c r="E8" s="19">
        <v>20505</v>
      </c>
      <c r="F8" s="28">
        <v>20505</v>
      </c>
      <c r="G8" s="18">
        <v>0</v>
      </c>
      <c r="H8" s="19">
        <v>20505</v>
      </c>
      <c r="J8" s="25" t="s">
        <v>468</v>
      </c>
      <c r="K8" s="31">
        <v>0</v>
      </c>
      <c r="L8" s="18">
        <v>1936.5000000000002</v>
      </c>
      <c r="M8" s="19">
        <v>1936.5000000000002</v>
      </c>
      <c r="N8" s="28">
        <v>20505</v>
      </c>
      <c r="O8" s="18">
        <v>1936.5000000000002</v>
      </c>
      <c r="P8" s="19">
        <v>22441.5</v>
      </c>
      <c r="R8" s="25" t="s">
        <v>468</v>
      </c>
      <c r="S8" s="31">
        <v>18987.629999999997</v>
      </c>
      <c r="T8" s="18">
        <v>578238.90000000014</v>
      </c>
      <c r="U8" s="18">
        <v>1243</v>
      </c>
      <c r="V8" s="19">
        <v>598469.53000000014</v>
      </c>
      <c r="W8" s="28">
        <v>39492.629999999997</v>
      </c>
      <c r="X8" s="18">
        <v>580175.40000000014</v>
      </c>
      <c r="Y8" s="51">
        <v>1243</v>
      </c>
      <c r="Z8" s="19">
        <v>620911.03000000014</v>
      </c>
      <c r="AB8" s="25" t="s">
        <v>468</v>
      </c>
      <c r="AC8" s="31">
        <v>0</v>
      </c>
      <c r="AD8" s="18">
        <v>260265.60000000003</v>
      </c>
      <c r="AE8" s="18">
        <v>0</v>
      </c>
      <c r="AF8" s="19">
        <v>260265.60000000003</v>
      </c>
      <c r="AG8" s="28">
        <v>39492.629999999997</v>
      </c>
      <c r="AH8" s="18">
        <v>840441.00000000023</v>
      </c>
      <c r="AI8" s="51">
        <v>1243</v>
      </c>
      <c r="AJ8" s="19">
        <v>881176.63000000024</v>
      </c>
      <c r="AL8" s="25" t="s">
        <v>468</v>
      </c>
      <c r="AM8" s="31">
        <v>0</v>
      </c>
      <c r="AN8" s="18">
        <v>276532.2</v>
      </c>
      <c r="AO8" s="18">
        <v>0</v>
      </c>
      <c r="AP8" s="19">
        <v>276532.2</v>
      </c>
      <c r="AQ8" s="28">
        <v>39492.629999999997</v>
      </c>
      <c r="AR8" s="18">
        <v>1116973.2000000002</v>
      </c>
      <c r="AS8" s="51">
        <v>1243</v>
      </c>
      <c r="AT8" s="19">
        <v>1157708.83</v>
      </c>
      <c r="AV8" s="25" t="s">
        <v>468</v>
      </c>
      <c r="AW8" s="31">
        <v>0</v>
      </c>
      <c r="AX8" s="18">
        <v>539508.90000000014</v>
      </c>
      <c r="AY8" s="18">
        <v>0</v>
      </c>
      <c r="AZ8" s="19">
        <v>539508.90000000014</v>
      </c>
      <c r="BA8" s="28">
        <v>39492.629999999997</v>
      </c>
      <c r="BB8" s="18">
        <v>1656482.1</v>
      </c>
      <c r="BC8" s="51">
        <v>1243</v>
      </c>
      <c r="BD8" s="19">
        <v>1697217.73</v>
      </c>
      <c r="BF8" s="25" t="s">
        <v>468</v>
      </c>
      <c r="BG8" s="31">
        <v>123030</v>
      </c>
      <c r="BH8" s="18">
        <v>327268.50000000006</v>
      </c>
      <c r="BI8" s="18">
        <v>0</v>
      </c>
      <c r="BJ8" s="19">
        <v>450298.50000000006</v>
      </c>
      <c r="BK8" s="28">
        <v>162522.63</v>
      </c>
      <c r="BL8" s="18">
        <v>1983750.6</v>
      </c>
      <c r="BM8" s="51">
        <v>1243</v>
      </c>
      <c r="BN8" s="19">
        <v>2147516.23</v>
      </c>
      <c r="BP8" s="25" t="s">
        <v>468</v>
      </c>
      <c r="BQ8" s="31">
        <v>0</v>
      </c>
      <c r="BR8" s="18">
        <v>0</v>
      </c>
      <c r="BS8" s="18">
        <v>5630.79</v>
      </c>
      <c r="BT8" s="19">
        <v>5630.79</v>
      </c>
      <c r="BU8" s="28">
        <v>162522.63</v>
      </c>
      <c r="BV8" s="18">
        <v>1983750.6</v>
      </c>
      <c r="BW8" s="51">
        <v>6873.79</v>
      </c>
      <c r="BX8" s="19">
        <v>2153147.02</v>
      </c>
      <c r="BZ8" s="25" t="s">
        <v>468</v>
      </c>
      <c r="CA8" s="31">
        <v>205050</v>
      </c>
      <c r="CB8" s="18">
        <v>618130.80000000005</v>
      </c>
      <c r="CC8" s="18">
        <v>0</v>
      </c>
      <c r="CD8" s="19">
        <v>823180.80000000005</v>
      </c>
      <c r="CE8" s="28">
        <v>367572.63</v>
      </c>
      <c r="CF8" s="18">
        <v>2601881.4</v>
      </c>
      <c r="CG8" s="51">
        <v>6873.79</v>
      </c>
      <c r="CH8" s="19">
        <v>2976327.82</v>
      </c>
      <c r="CJ8" s="25" t="s">
        <v>468</v>
      </c>
      <c r="CK8" s="31">
        <v>0</v>
      </c>
      <c r="CL8" s="18">
        <v>103021.80000000002</v>
      </c>
      <c r="CM8" s="18">
        <v>0</v>
      </c>
      <c r="CN8" s="19">
        <v>103021.80000000002</v>
      </c>
      <c r="CO8" s="28">
        <v>367572.63</v>
      </c>
      <c r="CP8" s="18">
        <v>2704903.1999999997</v>
      </c>
      <c r="CQ8" s="51">
        <v>6873.79</v>
      </c>
      <c r="CR8" s="19">
        <v>3079349.6199999996</v>
      </c>
      <c r="CT8" s="25" t="s">
        <v>468</v>
      </c>
      <c r="CU8" s="31">
        <v>0</v>
      </c>
      <c r="CV8" s="18">
        <v>276532.2</v>
      </c>
      <c r="CW8" s="18">
        <v>0</v>
      </c>
      <c r="CX8" s="19">
        <v>276532.2</v>
      </c>
      <c r="CY8" s="28">
        <v>367572.63</v>
      </c>
      <c r="CZ8" s="18">
        <v>2981435.3999999994</v>
      </c>
      <c r="DA8" s="51">
        <v>6873.79</v>
      </c>
      <c r="DB8" s="19">
        <v>3355881.8199999994</v>
      </c>
      <c r="DD8" s="25" t="s">
        <v>468</v>
      </c>
      <c r="DE8" s="31">
        <v>0</v>
      </c>
      <c r="DF8" s="18">
        <v>195199.2</v>
      </c>
      <c r="DG8" s="18">
        <v>0</v>
      </c>
      <c r="DH8" s="19">
        <v>195199.2</v>
      </c>
      <c r="DI8" s="28">
        <v>367572.63</v>
      </c>
      <c r="DJ8" s="18">
        <v>3176634.5999999996</v>
      </c>
      <c r="DK8" s="51">
        <v>6873.79</v>
      </c>
      <c r="DL8" s="19">
        <v>3551081.0199999996</v>
      </c>
      <c r="DN8" s="25" t="s">
        <v>468</v>
      </c>
      <c r="DO8" s="31">
        <v>0</v>
      </c>
      <c r="DP8" s="18">
        <v>325332</v>
      </c>
      <c r="DQ8" s="18">
        <v>27843.200000000001</v>
      </c>
      <c r="DR8" s="19">
        <v>353175.2</v>
      </c>
      <c r="DS8" s="28">
        <v>367572.63</v>
      </c>
      <c r="DT8" s="18">
        <v>3501966.6</v>
      </c>
      <c r="DU8" s="51">
        <v>34716.99</v>
      </c>
      <c r="DV8" s="19">
        <v>3904256.22</v>
      </c>
      <c r="DX8" s="25" t="s">
        <v>468</v>
      </c>
      <c r="DY8" s="31">
        <v>0</v>
      </c>
      <c r="DZ8" s="18">
        <v>325332.00000000006</v>
      </c>
      <c r="EA8" s="18">
        <v>21876.799999999999</v>
      </c>
      <c r="EB8" s="19">
        <v>347208.80000000005</v>
      </c>
      <c r="EC8" s="28">
        <v>367572.63</v>
      </c>
      <c r="ED8" s="18">
        <v>3827298.6</v>
      </c>
      <c r="EE8" s="51">
        <v>56593.79</v>
      </c>
      <c r="EF8" s="19">
        <v>4251465.0200000005</v>
      </c>
      <c r="EH8" s="25" t="s">
        <v>468</v>
      </c>
      <c r="EI8" s="31">
        <v>0</v>
      </c>
      <c r="EJ8" s="18">
        <v>295719.2</v>
      </c>
      <c r="EK8" s="18">
        <v>33759.879999999997</v>
      </c>
      <c r="EL8" s="19">
        <v>329479.08</v>
      </c>
      <c r="EM8" s="28">
        <v>367572.63</v>
      </c>
      <c r="EN8" s="18">
        <v>4123017.8</v>
      </c>
      <c r="EO8" s="51">
        <v>90353.669999999984</v>
      </c>
      <c r="EP8" s="19">
        <v>4580944.0999999996</v>
      </c>
      <c r="ER8" s="25" t="s">
        <v>468</v>
      </c>
      <c r="ES8" s="31">
        <v>164040</v>
      </c>
      <c r="ET8" s="18">
        <v>260265.60000000003</v>
      </c>
      <c r="EU8" s="18">
        <v>0</v>
      </c>
      <c r="EV8" s="19">
        <v>424305.60000000003</v>
      </c>
      <c r="EW8" s="28">
        <v>549444.07999999996</v>
      </c>
      <c r="EX8" s="18">
        <v>4365451.95</v>
      </c>
      <c r="EY8" s="51">
        <v>90353.669999999984</v>
      </c>
      <c r="EZ8" s="19">
        <v>5005249.7</v>
      </c>
      <c r="FB8" s="25" t="s">
        <v>468</v>
      </c>
      <c r="FC8" s="31">
        <v>0</v>
      </c>
      <c r="FD8" s="18">
        <v>195199.2</v>
      </c>
      <c r="FE8" s="18">
        <v>27743.759999999998</v>
      </c>
      <c r="FF8" s="19">
        <v>222942.96000000002</v>
      </c>
      <c r="FG8" s="28">
        <v>549444.07999999996</v>
      </c>
      <c r="FH8" s="18">
        <v>4560651.1500000004</v>
      </c>
      <c r="FI8" s="51">
        <v>118097.42999999998</v>
      </c>
      <c r="FJ8" s="19">
        <v>5228192.66</v>
      </c>
      <c r="FL8" s="25" t="s">
        <v>468</v>
      </c>
      <c r="FM8" s="31">
        <v>0</v>
      </c>
      <c r="FN8" s="18">
        <v>259039.2</v>
      </c>
      <c r="FO8" s="18">
        <v>47731.199999999997</v>
      </c>
      <c r="FP8" s="19">
        <v>306770.40000000002</v>
      </c>
      <c r="FQ8" s="28">
        <v>531612.63</v>
      </c>
      <c r="FR8" s="18">
        <v>4837521.8000000007</v>
      </c>
      <c r="FS8" s="51">
        <v>165828.63</v>
      </c>
      <c r="FT8" s="19">
        <v>5534963.0600000005</v>
      </c>
      <c r="FU8" s="17"/>
      <c r="FV8" s="25" t="s">
        <v>468</v>
      </c>
      <c r="FW8" s="31">
        <v>0</v>
      </c>
      <c r="FX8" s="18">
        <v>359639.7</v>
      </c>
      <c r="FY8" s="18">
        <v>41019</v>
      </c>
      <c r="FZ8" s="19">
        <v>400658.7</v>
      </c>
      <c r="GA8" s="28">
        <v>531612.63</v>
      </c>
      <c r="GB8" s="18">
        <v>5197161.4999999991</v>
      </c>
      <c r="GC8" s="51">
        <v>206847.63</v>
      </c>
      <c r="GD8" s="19">
        <v>5935621.7599999988</v>
      </c>
      <c r="GE8" s="17"/>
      <c r="GF8" s="25" t="s">
        <v>468</v>
      </c>
      <c r="GG8" s="31">
        <v>0</v>
      </c>
      <c r="GH8" s="18">
        <v>195199.2</v>
      </c>
      <c r="GI8" s="18">
        <v>35994.5</v>
      </c>
      <c r="GJ8" s="18">
        <v>11187</v>
      </c>
      <c r="GK8" s="19">
        <v>242380.7</v>
      </c>
      <c r="GL8" s="28">
        <v>531612.63</v>
      </c>
      <c r="GM8" s="18">
        <v>5392360.7000000002</v>
      </c>
      <c r="GN8" s="18">
        <v>35994.5</v>
      </c>
      <c r="GO8" s="51">
        <v>218034.63</v>
      </c>
      <c r="GP8" s="19">
        <v>6178002.46</v>
      </c>
      <c r="GQ8" s="17"/>
      <c r="GR8" s="25" t="s">
        <v>468</v>
      </c>
      <c r="GS8" s="31">
        <v>155714.97</v>
      </c>
      <c r="GT8" s="18">
        <v>260265.60000000003</v>
      </c>
      <c r="GU8" s="18">
        <v>48555.150000000009</v>
      </c>
      <c r="GV8" s="18">
        <v>14916</v>
      </c>
      <c r="GW8" s="19">
        <v>479451.72000000009</v>
      </c>
      <c r="GX8" s="28">
        <v>687327.6</v>
      </c>
      <c r="GY8" s="18">
        <v>5652626.3000000007</v>
      </c>
      <c r="GZ8" s="18">
        <v>84549.650000000009</v>
      </c>
      <c r="HA8" s="51">
        <v>232950.63</v>
      </c>
      <c r="HB8" s="19">
        <v>6657454.1800000006</v>
      </c>
      <c r="HC8" s="17"/>
      <c r="HD8" s="25" t="s">
        <v>468</v>
      </c>
      <c r="HE8" s="31">
        <v>123030</v>
      </c>
      <c r="HF8" s="18">
        <v>323719.2</v>
      </c>
      <c r="HG8" s="18">
        <v>18586.310000000001</v>
      </c>
      <c r="HH8" s="18">
        <v>35674.1</v>
      </c>
      <c r="HI8" s="19">
        <v>501009.61</v>
      </c>
      <c r="HJ8" s="28">
        <v>810357.6</v>
      </c>
      <c r="HK8" s="18">
        <v>5976345.5000000009</v>
      </c>
      <c r="HL8" s="18">
        <v>103135.96</v>
      </c>
      <c r="HM8" s="51">
        <v>268624.73</v>
      </c>
      <c r="HN8" s="19">
        <v>7158463.790000001</v>
      </c>
      <c r="HO8" s="17"/>
      <c r="HP8" s="25" t="s">
        <v>468</v>
      </c>
      <c r="HQ8" s="31">
        <v>0</v>
      </c>
      <c r="HR8" s="18">
        <v>477889.47</v>
      </c>
      <c r="HS8" s="18">
        <v>8133.3000000000011</v>
      </c>
      <c r="HT8" s="18">
        <v>36134.009999999995</v>
      </c>
      <c r="HU8" s="19">
        <v>522156.77999999997</v>
      </c>
      <c r="HV8" s="28">
        <v>810357.6</v>
      </c>
      <c r="HW8" s="18">
        <v>6454234.9699999997</v>
      </c>
      <c r="HX8" s="18">
        <v>111269.26000000001</v>
      </c>
      <c r="HY8" s="51">
        <v>304758.74</v>
      </c>
      <c r="HZ8" s="19">
        <v>7680620.5699999994</v>
      </c>
      <c r="IB8" s="25" t="s">
        <v>468</v>
      </c>
      <c r="IC8" s="31">
        <v>0</v>
      </c>
      <c r="ID8" s="18">
        <v>3718.0800000000004</v>
      </c>
      <c r="IE8" s="18">
        <v>13942.800000000003</v>
      </c>
      <c r="IF8" s="18">
        <v>31572.199999999997</v>
      </c>
      <c r="IG8" s="19">
        <v>49233.08</v>
      </c>
      <c r="IH8" s="28">
        <v>810357.6</v>
      </c>
      <c r="II8" s="18">
        <v>6457953.0500000007</v>
      </c>
      <c r="IJ8" s="18">
        <v>125212.06000000001</v>
      </c>
      <c r="IK8" s="51">
        <v>336330.94</v>
      </c>
      <c r="IL8" s="19">
        <v>7729853.6500000004</v>
      </c>
      <c r="IN8" s="25" t="s">
        <v>468</v>
      </c>
      <c r="IO8" s="31">
        <v>0</v>
      </c>
      <c r="IP8" s="18">
        <v>325332</v>
      </c>
      <c r="IQ8" s="18">
        <v>6777.7500000000009</v>
      </c>
      <c r="IR8" s="18">
        <v>24860</v>
      </c>
      <c r="IS8" s="19">
        <v>356969.75</v>
      </c>
      <c r="IT8" s="28">
        <v>810357.6</v>
      </c>
      <c r="IU8" s="18">
        <v>6783285.0499999998</v>
      </c>
      <c r="IV8" s="18">
        <v>131989.81</v>
      </c>
      <c r="IW8" s="51">
        <v>361190.94</v>
      </c>
      <c r="IX8" s="19">
        <v>8086823.3999999994</v>
      </c>
    </row>
    <row r="9" spans="2:258" x14ac:dyDescent="0.3">
      <c r="B9" s="25" t="s">
        <v>469</v>
      </c>
      <c r="C9" s="31">
        <v>7760</v>
      </c>
      <c r="D9" s="18">
        <v>0</v>
      </c>
      <c r="E9" s="19">
        <v>7760</v>
      </c>
      <c r="F9" s="28">
        <v>7760</v>
      </c>
      <c r="G9" s="18">
        <v>0</v>
      </c>
      <c r="H9" s="19">
        <v>7760</v>
      </c>
      <c r="J9" s="25" t="s">
        <v>469</v>
      </c>
      <c r="K9" s="31">
        <v>0</v>
      </c>
      <c r="L9" s="18">
        <v>735.5</v>
      </c>
      <c r="M9" s="19">
        <v>735.5</v>
      </c>
      <c r="N9" s="28">
        <v>7760</v>
      </c>
      <c r="O9" s="18">
        <v>735.5</v>
      </c>
      <c r="P9" s="19">
        <v>8495.5</v>
      </c>
      <c r="R9" s="25" t="s">
        <v>469</v>
      </c>
      <c r="S9" s="31">
        <v>7185.76</v>
      </c>
      <c r="T9" s="18">
        <v>219620.30000000005</v>
      </c>
      <c r="U9" s="18">
        <v>807</v>
      </c>
      <c r="V9" s="19">
        <v>227613.06000000006</v>
      </c>
      <c r="W9" s="28">
        <v>14945.76</v>
      </c>
      <c r="X9" s="18">
        <v>220355.80000000005</v>
      </c>
      <c r="Y9" s="51">
        <v>807</v>
      </c>
      <c r="Z9" s="19">
        <v>236108.56000000006</v>
      </c>
      <c r="AB9" s="25" t="s">
        <v>469</v>
      </c>
      <c r="AC9" s="31">
        <v>0</v>
      </c>
      <c r="AD9" s="18">
        <v>98851.200000000012</v>
      </c>
      <c r="AE9" s="18">
        <v>0</v>
      </c>
      <c r="AF9" s="19">
        <v>98851.200000000012</v>
      </c>
      <c r="AG9" s="28">
        <v>14945.76</v>
      </c>
      <c r="AH9" s="18">
        <v>319207</v>
      </c>
      <c r="AI9" s="51">
        <v>807</v>
      </c>
      <c r="AJ9" s="19">
        <v>334959.76</v>
      </c>
      <c r="AL9" s="25" t="s">
        <v>469</v>
      </c>
      <c r="AM9" s="31">
        <v>0</v>
      </c>
      <c r="AN9" s="18">
        <v>105029.40000000001</v>
      </c>
      <c r="AO9" s="18">
        <v>0</v>
      </c>
      <c r="AP9" s="19">
        <v>105029.40000000001</v>
      </c>
      <c r="AQ9" s="28">
        <v>14945.76</v>
      </c>
      <c r="AR9" s="18">
        <v>424236.4</v>
      </c>
      <c r="AS9" s="51">
        <v>807</v>
      </c>
      <c r="AT9" s="19">
        <v>439989.16000000003</v>
      </c>
      <c r="AV9" s="25" t="s">
        <v>469</v>
      </c>
      <c r="AW9" s="31">
        <v>0</v>
      </c>
      <c r="AX9" s="18">
        <v>204910.3</v>
      </c>
      <c r="AY9" s="18">
        <v>0</v>
      </c>
      <c r="AZ9" s="19">
        <v>204910.3</v>
      </c>
      <c r="BA9" s="28">
        <v>14945.76</v>
      </c>
      <c r="BB9" s="18">
        <v>629146.70000000007</v>
      </c>
      <c r="BC9" s="51">
        <v>807</v>
      </c>
      <c r="BD9" s="19">
        <v>644899.46000000008</v>
      </c>
      <c r="BF9" s="25" t="s">
        <v>469</v>
      </c>
      <c r="BG9" s="31">
        <v>46560</v>
      </c>
      <c r="BH9" s="18">
        <v>124299.5</v>
      </c>
      <c r="BI9" s="18">
        <v>0</v>
      </c>
      <c r="BJ9" s="19">
        <v>170859.5</v>
      </c>
      <c r="BK9" s="28">
        <v>61505.760000000002</v>
      </c>
      <c r="BL9" s="18">
        <v>753446.20000000007</v>
      </c>
      <c r="BM9" s="51">
        <v>807</v>
      </c>
      <c r="BN9" s="19">
        <v>815758.96000000008</v>
      </c>
      <c r="BP9" s="25" t="s">
        <v>469</v>
      </c>
      <c r="BQ9" s="31">
        <v>0</v>
      </c>
      <c r="BR9" s="18">
        <v>0</v>
      </c>
      <c r="BS9" s="18">
        <v>3655.71</v>
      </c>
      <c r="BT9" s="19">
        <v>3655.71</v>
      </c>
      <c r="BU9" s="28">
        <v>61505.760000000002</v>
      </c>
      <c r="BV9" s="18">
        <v>753446.20000000007</v>
      </c>
      <c r="BW9" s="51">
        <v>4462.71</v>
      </c>
      <c r="BX9" s="19">
        <v>819414.67</v>
      </c>
      <c r="BZ9" s="25" t="s">
        <v>469</v>
      </c>
      <c r="CA9" s="31">
        <v>77600</v>
      </c>
      <c r="CB9" s="18">
        <v>234771.60000000003</v>
      </c>
      <c r="CC9" s="18">
        <v>0</v>
      </c>
      <c r="CD9" s="19">
        <v>312371.60000000003</v>
      </c>
      <c r="CE9" s="28">
        <v>139105.76</v>
      </c>
      <c r="CF9" s="18">
        <v>988217.80000000016</v>
      </c>
      <c r="CG9" s="51">
        <v>4462.71</v>
      </c>
      <c r="CH9" s="19">
        <v>1131786.27</v>
      </c>
      <c r="CJ9" s="25" t="s">
        <v>469</v>
      </c>
      <c r="CK9" s="31">
        <v>0</v>
      </c>
      <c r="CL9" s="18">
        <v>39128.600000000006</v>
      </c>
      <c r="CM9" s="18">
        <v>0</v>
      </c>
      <c r="CN9" s="19">
        <v>39128.600000000006</v>
      </c>
      <c r="CO9" s="28">
        <v>139105.76</v>
      </c>
      <c r="CP9" s="18">
        <v>1027346.4</v>
      </c>
      <c r="CQ9" s="51">
        <v>4462.71</v>
      </c>
      <c r="CR9" s="19">
        <v>1170914.8700000001</v>
      </c>
      <c r="CT9" s="25" t="s">
        <v>469</v>
      </c>
      <c r="CU9" s="31">
        <v>0</v>
      </c>
      <c r="CV9" s="18">
        <v>105029.40000000001</v>
      </c>
      <c r="CW9" s="18">
        <v>0</v>
      </c>
      <c r="CX9" s="19">
        <v>105029.40000000001</v>
      </c>
      <c r="CY9" s="28">
        <v>139105.76</v>
      </c>
      <c r="CZ9" s="18">
        <v>1132375.8</v>
      </c>
      <c r="DA9" s="51">
        <v>4462.71</v>
      </c>
      <c r="DB9" s="19">
        <v>1275944.27</v>
      </c>
      <c r="DD9" s="25" t="s">
        <v>469</v>
      </c>
      <c r="DE9" s="31">
        <v>0</v>
      </c>
      <c r="DF9" s="18">
        <v>74138.400000000009</v>
      </c>
      <c r="DG9" s="18">
        <v>0</v>
      </c>
      <c r="DH9" s="19">
        <v>74138.400000000009</v>
      </c>
      <c r="DI9" s="28">
        <v>139105.76</v>
      </c>
      <c r="DJ9" s="18">
        <v>1206514.2000000002</v>
      </c>
      <c r="DK9" s="51">
        <v>4462.71</v>
      </c>
      <c r="DL9" s="19">
        <v>1350082.6700000002</v>
      </c>
      <c r="DN9" s="25" t="s">
        <v>469</v>
      </c>
      <c r="DO9" s="31">
        <v>0</v>
      </c>
      <c r="DP9" s="18">
        <v>123564.00000000001</v>
      </c>
      <c r="DQ9" s="18">
        <v>18076.8</v>
      </c>
      <c r="DR9" s="19">
        <v>141640.80000000002</v>
      </c>
      <c r="DS9" s="28">
        <v>139105.76</v>
      </c>
      <c r="DT9" s="18">
        <v>1330078.2000000002</v>
      </c>
      <c r="DU9" s="51">
        <v>22539.51</v>
      </c>
      <c r="DV9" s="19">
        <v>1491723.4700000002</v>
      </c>
      <c r="DX9" s="25" t="s">
        <v>469</v>
      </c>
      <c r="DY9" s="31">
        <v>0</v>
      </c>
      <c r="DZ9" s="18">
        <v>123564.00000000001</v>
      </c>
      <c r="EA9" s="18">
        <v>14203.2</v>
      </c>
      <c r="EB9" s="19">
        <v>137767.20000000001</v>
      </c>
      <c r="EC9" s="28">
        <v>139105.76</v>
      </c>
      <c r="ED9" s="18">
        <v>1453642.2000000002</v>
      </c>
      <c r="EE9" s="51">
        <v>36742.71</v>
      </c>
      <c r="EF9" s="19">
        <v>1629490.6700000002</v>
      </c>
      <c r="EH9" s="25" t="s">
        <v>469</v>
      </c>
      <c r="EI9" s="31">
        <v>0</v>
      </c>
      <c r="EJ9" s="18">
        <v>112310.1</v>
      </c>
      <c r="EK9" s="18">
        <v>21918.12</v>
      </c>
      <c r="EL9" s="19">
        <v>134228.22</v>
      </c>
      <c r="EM9" s="28">
        <v>139105.76</v>
      </c>
      <c r="EN9" s="18">
        <v>1565952.3000000003</v>
      </c>
      <c r="EO9" s="51">
        <v>58660.829999999994</v>
      </c>
      <c r="EP9" s="19">
        <v>1763718.8900000004</v>
      </c>
      <c r="ER9" s="25" t="s">
        <v>469</v>
      </c>
      <c r="ES9" s="31">
        <v>62080</v>
      </c>
      <c r="ET9" s="18">
        <v>98851.200000000012</v>
      </c>
      <c r="EU9" s="18">
        <v>0</v>
      </c>
      <c r="EV9" s="19">
        <v>160931.20000000001</v>
      </c>
      <c r="EW9" s="28">
        <v>207951.61</v>
      </c>
      <c r="EX9" s="18">
        <v>1658037.6500000004</v>
      </c>
      <c r="EY9" s="51">
        <v>58660.829999999994</v>
      </c>
      <c r="EZ9" s="19">
        <v>1924650.0900000003</v>
      </c>
      <c r="FB9" s="25" t="s">
        <v>469</v>
      </c>
      <c r="FC9" s="31">
        <v>0</v>
      </c>
      <c r="FD9" s="18">
        <v>74138.400000000009</v>
      </c>
      <c r="FE9" s="18">
        <v>18012.240000000002</v>
      </c>
      <c r="FF9" s="19">
        <v>92150.640000000014</v>
      </c>
      <c r="FG9" s="28">
        <v>207951.61</v>
      </c>
      <c r="FH9" s="18">
        <v>1732176.0500000003</v>
      </c>
      <c r="FI9" s="51">
        <v>76673.070000000022</v>
      </c>
      <c r="FJ9" s="19">
        <v>2016800.7300000002</v>
      </c>
      <c r="FL9" s="25" t="s">
        <v>469</v>
      </c>
      <c r="FM9" s="31">
        <v>0</v>
      </c>
      <c r="FN9" s="18">
        <v>100816.80000000002</v>
      </c>
      <c r="FO9" s="18">
        <v>30988.800000000003</v>
      </c>
      <c r="FP9" s="19">
        <v>131805.60000000003</v>
      </c>
      <c r="FQ9" s="28">
        <v>201185.76</v>
      </c>
      <c r="FR9" s="18">
        <v>1839758.7000000002</v>
      </c>
      <c r="FS9" s="51">
        <v>107661.87000000001</v>
      </c>
      <c r="FT9" s="19">
        <v>2148606.33</v>
      </c>
      <c r="FU9" s="17"/>
      <c r="FV9" s="25" t="s">
        <v>469</v>
      </c>
      <c r="FW9" s="31">
        <v>0</v>
      </c>
      <c r="FX9" s="18">
        <v>139016.5</v>
      </c>
      <c r="FY9" s="18">
        <v>26631</v>
      </c>
      <c r="FZ9" s="19">
        <v>165647.5</v>
      </c>
      <c r="GA9" s="28">
        <v>201185.76</v>
      </c>
      <c r="GB9" s="18">
        <v>1978775.2000000002</v>
      </c>
      <c r="GC9" s="51">
        <v>134292.87</v>
      </c>
      <c r="GD9" s="19">
        <v>2314253.83</v>
      </c>
      <c r="GE9" s="17"/>
      <c r="GF9" s="25" t="s">
        <v>469</v>
      </c>
      <c r="GG9" s="31">
        <v>0</v>
      </c>
      <c r="GH9" s="18">
        <v>74138.400000000009</v>
      </c>
      <c r="GI9" s="18">
        <v>13644</v>
      </c>
      <c r="GJ9" s="18">
        <v>7263</v>
      </c>
      <c r="GK9" s="19">
        <v>95045.400000000009</v>
      </c>
      <c r="GL9" s="28">
        <v>201185.76</v>
      </c>
      <c r="GM9" s="18">
        <v>2052913.6000000003</v>
      </c>
      <c r="GN9" s="18">
        <v>13644</v>
      </c>
      <c r="GO9" s="51">
        <v>141555.87</v>
      </c>
      <c r="GP9" s="19">
        <v>2409299.2300000004</v>
      </c>
      <c r="GQ9" s="17"/>
      <c r="GR9" s="25" t="s">
        <v>469</v>
      </c>
      <c r="GS9" s="31">
        <v>58929.440000000002</v>
      </c>
      <c r="GT9" s="18">
        <v>98851.200000000012</v>
      </c>
      <c r="GU9" s="18">
        <v>18350.849999999999</v>
      </c>
      <c r="GV9" s="18">
        <v>9684</v>
      </c>
      <c r="GW9" s="19">
        <v>185815.49000000002</v>
      </c>
      <c r="GX9" s="28">
        <v>260115.20000000001</v>
      </c>
      <c r="GY9" s="18">
        <v>2151764.8000000007</v>
      </c>
      <c r="GZ9" s="18">
        <v>31994.85</v>
      </c>
      <c r="HA9" s="51">
        <v>151239.87</v>
      </c>
      <c r="HB9" s="19">
        <v>2595114.7200000011</v>
      </c>
      <c r="HC9" s="17"/>
      <c r="HD9" s="25" t="s">
        <v>469</v>
      </c>
      <c r="HE9" s="31">
        <v>46560</v>
      </c>
      <c r="HF9" s="18">
        <v>125395.20000000001</v>
      </c>
      <c r="HG9" s="18">
        <v>7028.9699999999993</v>
      </c>
      <c r="HH9" s="18">
        <v>23160.9</v>
      </c>
      <c r="HI9" s="19">
        <v>202145.07</v>
      </c>
      <c r="HJ9" s="28">
        <v>306675.20000000001</v>
      </c>
      <c r="HK9" s="18">
        <v>2277160.0000000005</v>
      </c>
      <c r="HL9" s="18">
        <v>39023.82</v>
      </c>
      <c r="HM9" s="51">
        <v>174400.77</v>
      </c>
      <c r="HN9" s="19">
        <v>2797259.7900000005</v>
      </c>
      <c r="HO9" s="17"/>
      <c r="HP9" s="25" t="s">
        <v>469</v>
      </c>
      <c r="HQ9" s="31">
        <v>0</v>
      </c>
      <c r="HR9" s="18">
        <v>181506.69000000003</v>
      </c>
      <c r="HS9" s="18">
        <v>3089.1000000000004</v>
      </c>
      <c r="HT9" s="18">
        <v>23459.49</v>
      </c>
      <c r="HU9" s="19">
        <v>208055.28000000003</v>
      </c>
      <c r="HV9" s="28">
        <v>306675.20000000001</v>
      </c>
      <c r="HW9" s="18">
        <v>2458666.6900000004</v>
      </c>
      <c r="HX9" s="18">
        <v>42112.92</v>
      </c>
      <c r="HY9" s="51">
        <v>197860.26</v>
      </c>
      <c r="HZ9" s="19">
        <v>3005315.0700000003</v>
      </c>
      <c r="IB9" s="25" t="s">
        <v>469</v>
      </c>
      <c r="IC9" s="31">
        <v>0</v>
      </c>
      <c r="ID9" s="18">
        <v>1412.16</v>
      </c>
      <c r="IE9" s="18">
        <v>5295.6</v>
      </c>
      <c r="IF9" s="18">
        <v>20497.800000000003</v>
      </c>
      <c r="IG9" s="19">
        <v>27205.560000000005</v>
      </c>
      <c r="IH9" s="28">
        <v>306675.20000000001</v>
      </c>
      <c r="II9" s="18">
        <v>2460078.85</v>
      </c>
      <c r="IJ9" s="18">
        <v>47408.52</v>
      </c>
      <c r="IK9" s="51">
        <v>218358.05999999997</v>
      </c>
      <c r="IL9" s="19">
        <v>3032520.6300000004</v>
      </c>
      <c r="IN9" s="25" t="s">
        <v>469</v>
      </c>
      <c r="IO9" s="31">
        <v>0</v>
      </c>
      <c r="IP9" s="18">
        <v>123564.00000000001</v>
      </c>
      <c r="IQ9" s="18">
        <v>2574.25</v>
      </c>
      <c r="IR9" s="18">
        <v>16140</v>
      </c>
      <c r="IS9" s="19">
        <v>142278.25</v>
      </c>
      <c r="IT9" s="28">
        <v>306675.20000000001</v>
      </c>
      <c r="IU9" s="18">
        <v>2583642.85</v>
      </c>
      <c r="IV9" s="18">
        <v>49982.770000000004</v>
      </c>
      <c r="IW9" s="51">
        <v>234498.05999999997</v>
      </c>
      <c r="IX9" s="19">
        <v>3174798.8800000004</v>
      </c>
    </row>
    <row r="10" spans="2:258" ht="15" thickBot="1" x14ac:dyDescent="0.35">
      <c r="B10" s="25" t="s">
        <v>459</v>
      </c>
      <c r="C10" s="31">
        <v>85505</v>
      </c>
      <c r="D10" s="18"/>
      <c r="E10" s="19">
        <v>85505</v>
      </c>
      <c r="F10" s="28">
        <v>85505</v>
      </c>
      <c r="G10" s="18"/>
      <c r="H10" s="19">
        <v>85505</v>
      </c>
      <c r="J10" s="25" t="s">
        <v>459</v>
      </c>
      <c r="K10" s="31">
        <v>0</v>
      </c>
      <c r="L10" s="18">
        <v>825.5</v>
      </c>
      <c r="M10" s="19">
        <v>825.5</v>
      </c>
      <c r="N10" s="28">
        <v>85505</v>
      </c>
      <c r="O10" s="28">
        <v>825.5</v>
      </c>
      <c r="P10" s="19">
        <v>86330.5</v>
      </c>
      <c r="R10" s="25" t="s">
        <v>459</v>
      </c>
      <c r="S10" s="31">
        <v>77788.63</v>
      </c>
      <c r="T10" s="18">
        <v>308394.84999999963</v>
      </c>
      <c r="U10" s="18">
        <v>-398.5</v>
      </c>
      <c r="V10" s="19">
        <v>385784.97999999952</v>
      </c>
      <c r="W10" s="28">
        <v>163293.63</v>
      </c>
      <c r="X10" s="28">
        <v>309220.34999999963</v>
      </c>
      <c r="Y10" s="55">
        <v>-398.5</v>
      </c>
      <c r="Z10" s="19">
        <v>472115.47999999952</v>
      </c>
      <c r="AB10" s="25" t="s">
        <v>459</v>
      </c>
      <c r="AC10" s="31">
        <v>0</v>
      </c>
      <c r="AD10" s="18">
        <v>140784.00000000047</v>
      </c>
      <c r="AE10" s="18">
        <v>0</v>
      </c>
      <c r="AF10" s="19">
        <v>140784.00000000047</v>
      </c>
      <c r="AG10" s="28">
        <v>163293.63</v>
      </c>
      <c r="AH10" s="28">
        <v>450004.34999999963</v>
      </c>
      <c r="AI10" s="55">
        <v>-398.5</v>
      </c>
      <c r="AJ10" s="19">
        <v>612899.47999999858</v>
      </c>
      <c r="AL10" s="25" t="s">
        <v>459</v>
      </c>
      <c r="AM10" s="31">
        <v>0</v>
      </c>
      <c r="AN10" s="18">
        <v>152430.60000000009</v>
      </c>
      <c r="AO10" s="18">
        <v>0</v>
      </c>
      <c r="AP10" s="19">
        <v>152430.60000000009</v>
      </c>
      <c r="AQ10" s="28">
        <v>163293.63</v>
      </c>
      <c r="AR10" s="28">
        <v>602434.94999999925</v>
      </c>
      <c r="AS10" s="55">
        <v>-398.5</v>
      </c>
      <c r="AT10" s="19">
        <v>765330.07999999821</v>
      </c>
      <c r="AV10" s="25" t="s">
        <v>459</v>
      </c>
      <c r="AW10" s="31">
        <v>0</v>
      </c>
      <c r="AX10" s="18">
        <v>290235.39999999944</v>
      </c>
      <c r="AY10" s="18">
        <v>0</v>
      </c>
      <c r="AZ10" s="19">
        <v>290235.39999999944</v>
      </c>
      <c r="BA10" s="28">
        <v>163293.63</v>
      </c>
      <c r="BB10" s="28">
        <v>892670.34999999963</v>
      </c>
      <c r="BC10" s="55">
        <v>-398.5</v>
      </c>
      <c r="BD10" s="19">
        <v>1055565.4799999986</v>
      </c>
      <c r="BF10" s="25" t="s">
        <v>459</v>
      </c>
      <c r="BG10" s="31">
        <v>759300</v>
      </c>
      <c r="BH10" s="18">
        <v>180281</v>
      </c>
      <c r="BI10" s="18">
        <v>0</v>
      </c>
      <c r="BJ10" s="19">
        <v>939581</v>
      </c>
      <c r="BK10" s="28">
        <v>922593.63000000035</v>
      </c>
      <c r="BL10" s="28">
        <v>1072951.3499999978</v>
      </c>
      <c r="BM10" s="55">
        <v>-398.5</v>
      </c>
      <c r="BN10" s="19">
        <v>1995146.4800000004</v>
      </c>
      <c r="BP10" s="25" t="s">
        <v>459</v>
      </c>
      <c r="BQ10" s="31">
        <v>0</v>
      </c>
      <c r="BR10" s="18">
        <v>0</v>
      </c>
      <c r="BS10" s="18">
        <v>-2224.2299999999959</v>
      </c>
      <c r="BT10" s="19">
        <v>-2224.2299999999959</v>
      </c>
      <c r="BU10" s="28">
        <v>922593.63000000035</v>
      </c>
      <c r="BV10" s="28">
        <v>1072951.3499999978</v>
      </c>
      <c r="BW10" s="55">
        <v>-2622.7299999999959</v>
      </c>
      <c r="BX10" s="19">
        <v>1992922.25</v>
      </c>
      <c r="BZ10" s="25" t="s">
        <v>459</v>
      </c>
      <c r="CA10" s="31">
        <v>1280500</v>
      </c>
      <c r="CB10" s="18">
        <v>336151.20000000112</v>
      </c>
      <c r="CC10" s="18">
        <v>0</v>
      </c>
      <c r="CD10" s="19">
        <v>1616651.200000002</v>
      </c>
      <c r="CE10" s="28">
        <v>2203093.63</v>
      </c>
      <c r="CF10" s="28">
        <v>1409102.5500000045</v>
      </c>
      <c r="CG10" s="55">
        <v>-2622.7299999999959</v>
      </c>
      <c r="CH10" s="19">
        <v>3609573.450000003</v>
      </c>
      <c r="CJ10" s="25" t="s">
        <v>459</v>
      </c>
      <c r="CK10" s="31">
        <v>0</v>
      </c>
      <c r="CL10" s="18">
        <v>56844.199999999953</v>
      </c>
      <c r="CM10" s="18">
        <v>0</v>
      </c>
      <c r="CN10" s="19">
        <v>56844.199999999953</v>
      </c>
      <c r="CO10" s="28">
        <v>2203093.63</v>
      </c>
      <c r="CP10" s="28">
        <v>1465946.75</v>
      </c>
      <c r="CQ10" s="55">
        <v>-2622.7299999999959</v>
      </c>
      <c r="CR10" s="19">
        <v>3666417.65</v>
      </c>
      <c r="CT10" s="25" t="s">
        <v>459</v>
      </c>
      <c r="CU10" s="31">
        <v>0</v>
      </c>
      <c r="CV10" s="18">
        <v>152421.14999999991</v>
      </c>
      <c r="CW10" s="18">
        <v>0</v>
      </c>
      <c r="CX10" s="19">
        <v>152421.14999999991</v>
      </c>
      <c r="CY10" s="28">
        <v>2203093.63</v>
      </c>
      <c r="CZ10" s="28">
        <v>1618367.900000006</v>
      </c>
      <c r="DA10" s="55">
        <v>-2622.7299999999959</v>
      </c>
      <c r="DB10" s="19">
        <v>3818838.8000000059</v>
      </c>
      <c r="DD10" s="25" t="s">
        <v>459</v>
      </c>
      <c r="DE10" s="31">
        <v>0</v>
      </c>
      <c r="DF10" s="18">
        <v>107553.59999999986</v>
      </c>
      <c r="DG10" s="18">
        <v>0</v>
      </c>
      <c r="DH10" s="19">
        <v>107553.59999999986</v>
      </c>
      <c r="DI10" s="28">
        <v>2203093.63</v>
      </c>
      <c r="DJ10" s="28">
        <v>1725921.5000000037</v>
      </c>
      <c r="DK10" s="55">
        <v>-2622.7299999999959</v>
      </c>
      <c r="DL10" s="19">
        <v>3926392.4000000036</v>
      </c>
      <c r="DN10" s="25" t="s">
        <v>459</v>
      </c>
      <c r="DO10" s="31">
        <v>0</v>
      </c>
      <c r="DP10" s="18">
        <v>176635.19999999972</v>
      </c>
      <c r="DQ10" s="18">
        <v>-6854.3999999999651</v>
      </c>
      <c r="DR10" s="19">
        <v>169780.79999999981</v>
      </c>
      <c r="DS10" s="28">
        <v>2203093.63</v>
      </c>
      <c r="DT10" s="28">
        <v>1902556.700000003</v>
      </c>
      <c r="DU10" s="55">
        <v>-9477.1299999999464</v>
      </c>
      <c r="DV10" s="19">
        <v>4096173.200000003</v>
      </c>
      <c r="DX10" s="25" t="s">
        <v>459</v>
      </c>
      <c r="DY10" s="31">
        <v>0</v>
      </c>
      <c r="DZ10" s="18">
        <v>177996</v>
      </c>
      <c r="EA10" s="18">
        <v>-5385.6000000000349</v>
      </c>
      <c r="EB10" s="19">
        <v>172610.39999999991</v>
      </c>
      <c r="EC10" s="28">
        <v>2203093.63</v>
      </c>
      <c r="ED10" s="28">
        <v>2080552.700000003</v>
      </c>
      <c r="EE10" s="55">
        <v>-14862.729999999981</v>
      </c>
      <c r="EF10" s="19">
        <v>4268783.6000000034</v>
      </c>
      <c r="EH10" s="25" t="s">
        <v>459</v>
      </c>
      <c r="EI10" s="31">
        <v>0</v>
      </c>
      <c r="EJ10" s="18">
        <v>160062.70000000019</v>
      </c>
      <c r="EK10" s="18">
        <v>-8310.960000000021</v>
      </c>
      <c r="EL10" s="19">
        <v>151751.74000000022</v>
      </c>
      <c r="EM10" s="28">
        <v>2203093.63</v>
      </c>
      <c r="EN10" s="28">
        <v>2240615.400000006</v>
      </c>
      <c r="EO10" s="55">
        <v>-23173.690000000177</v>
      </c>
      <c r="EP10" s="19">
        <v>4420535.3400000054</v>
      </c>
      <c r="ER10" s="25" t="s">
        <v>459</v>
      </c>
      <c r="ES10" s="31">
        <v>1024400</v>
      </c>
      <c r="ET10" s="18">
        <v>143455.20000000019</v>
      </c>
      <c r="EU10" s="18">
        <v>0</v>
      </c>
      <c r="EV10" s="19">
        <v>1167855.2000000002</v>
      </c>
      <c r="EW10" s="28">
        <v>3234377.7799999993</v>
      </c>
      <c r="EX10" s="28">
        <v>2377186.4499999881</v>
      </c>
      <c r="EY10" s="55">
        <v>-23173.690000000177</v>
      </c>
      <c r="EZ10" s="19">
        <v>5588390.539999987</v>
      </c>
      <c r="FB10" s="25" t="s">
        <v>459</v>
      </c>
      <c r="FC10" s="31">
        <v>0</v>
      </c>
      <c r="FD10" s="18">
        <v>107553.59999999986</v>
      </c>
      <c r="FE10" s="18">
        <v>-6829.9200000000419</v>
      </c>
      <c r="FF10" s="19">
        <v>100723.68000000017</v>
      </c>
      <c r="FG10" s="28">
        <v>3234377.7799999993</v>
      </c>
      <c r="FH10" s="28">
        <v>2484740.049999997</v>
      </c>
      <c r="FI10" s="55">
        <v>-30003.60999999987</v>
      </c>
      <c r="FJ10" s="19">
        <v>5689114.2199999969</v>
      </c>
      <c r="FL10" s="25" t="s">
        <v>459</v>
      </c>
      <c r="FM10" s="31">
        <v>0</v>
      </c>
      <c r="FN10" s="18">
        <v>65200.799999999814</v>
      </c>
      <c r="FO10" s="18">
        <v>-11750.400000000023</v>
      </c>
      <c r="FP10" s="19">
        <v>53450.39999999979</v>
      </c>
      <c r="FQ10" s="28">
        <v>3227493.629999999</v>
      </c>
      <c r="FR10" s="28">
        <v>2556824.9999999851</v>
      </c>
      <c r="FS10" s="55">
        <v>-41754.010000000009</v>
      </c>
      <c r="FT10" s="19">
        <v>5742564.6199999843</v>
      </c>
      <c r="FU10" s="17"/>
      <c r="FV10" s="25" t="s">
        <v>459</v>
      </c>
      <c r="FW10" s="31">
        <v>0</v>
      </c>
      <c r="FX10" s="18">
        <v>117651.09999999963</v>
      </c>
      <c r="FY10" s="18">
        <v>-10098</v>
      </c>
      <c r="FZ10" s="19">
        <v>107553.09999999963</v>
      </c>
      <c r="GA10" s="28">
        <v>3227493.629999999</v>
      </c>
      <c r="GB10" s="28">
        <v>2674476.099999994</v>
      </c>
      <c r="GC10" s="55">
        <v>-51852.009999999776</v>
      </c>
      <c r="GD10" s="19">
        <v>5850117.7199999932</v>
      </c>
      <c r="GE10" s="17"/>
      <c r="GF10" s="25" t="s">
        <v>459</v>
      </c>
      <c r="GG10" s="31">
        <v>0</v>
      </c>
      <c r="GH10" s="18">
        <v>107553.59999999986</v>
      </c>
      <c r="GI10" s="18">
        <v>-25059</v>
      </c>
      <c r="GJ10" s="18">
        <v>-2754</v>
      </c>
      <c r="GK10" s="19">
        <v>79740.59999999986</v>
      </c>
      <c r="GL10" s="28">
        <v>3227493.629999999</v>
      </c>
      <c r="GM10" s="28">
        <v>2782029.6999999881</v>
      </c>
      <c r="GN10" s="28">
        <v>-25059</v>
      </c>
      <c r="GO10" s="55">
        <v>-54606.009999999776</v>
      </c>
      <c r="GP10" s="19">
        <v>5929858.3199999928</v>
      </c>
      <c r="GQ10" s="17"/>
      <c r="GR10" s="25" t="s">
        <v>459</v>
      </c>
      <c r="GS10" s="31">
        <v>958112.44</v>
      </c>
      <c r="GT10" s="18">
        <v>143362.80000000028</v>
      </c>
      <c r="GU10" s="18">
        <v>51229.500000000116</v>
      </c>
      <c r="GV10" s="18">
        <v>-3672</v>
      </c>
      <c r="GW10" s="19">
        <v>1149032.7400000002</v>
      </c>
      <c r="GX10" s="28">
        <v>4185606.0699999994</v>
      </c>
      <c r="GY10" s="28">
        <v>2925392.4999999851</v>
      </c>
      <c r="GZ10" s="28">
        <v>26170.5</v>
      </c>
      <c r="HA10" s="55">
        <v>-58278.009999999776</v>
      </c>
      <c r="HB10" s="19">
        <v>7078891.0599999875</v>
      </c>
      <c r="HC10" s="17"/>
      <c r="HD10" s="25" t="s">
        <v>459</v>
      </c>
      <c r="HE10" s="31">
        <v>768300</v>
      </c>
      <c r="HF10" s="18">
        <v>111022.80000000028</v>
      </c>
      <c r="HG10" s="18">
        <v>12583.979999999981</v>
      </c>
      <c r="HH10" s="18">
        <v>-8782.2000000000116</v>
      </c>
      <c r="HI10" s="19">
        <v>883124.58000000101</v>
      </c>
      <c r="HJ10" s="28">
        <v>4953906.07</v>
      </c>
      <c r="HK10" s="28">
        <v>3036415.3000000045</v>
      </c>
      <c r="HL10" s="28">
        <v>38754.479999999981</v>
      </c>
      <c r="HM10" s="55">
        <v>-67060.209999999963</v>
      </c>
      <c r="HN10" s="19">
        <v>7962015.6399999931</v>
      </c>
      <c r="HO10" s="17"/>
      <c r="HP10" s="25" t="s">
        <v>459</v>
      </c>
      <c r="HQ10" s="31">
        <v>0</v>
      </c>
      <c r="HR10" s="18">
        <v>260550.68999999948</v>
      </c>
      <c r="HS10" s="18">
        <v>-15216.600000000006</v>
      </c>
      <c r="HT10" s="18">
        <v>-8057.3699999999953</v>
      </c>
      <c r="HU10" s="19">
        <v>237276.72000000067</v>
      </c>
      <c r="HV10" s="28">
        <v>4956805.3299999982</v>
      </c>
      <c r="HW10" s="28">
        <v>3296965.9899999946</v>
      </c>
      <c r="HX10" s="28">
        <v>23537.880000000121</v>
      </c>
      <c r="HY10" s="55">
        <v>-75117.580000000075</v>
      </c>
      <c r="HZ10" s="19">
        <v>8202191.6199999899</v>
      </c>
      <c r="IB10" s="25" t="s">
        <v>459</v>
      </c>
      <c r="IC10" s="31">
        <v>0</v>
      </c>
      <c r="ID10" s="18">
        <v>1584.9599999999991</v>
      </c>
      <c r="IE10" s="18">
        <v>-26085.599999999991</v>
      </c>
      <c r="IF10" s="18">
        <v>-7772.4000000000233</v>
      </c>
      <c r="IG10" s="19">
        <v>-32273.039999999921</v>
      </c>
      <c r="IH10" s="28">
        <v>4956805.3299999982</v>
      </c>
      <c r="II10" s="28">
        <v>3298550.9499999955</v>
      </c>
      <c r="IJ10" s="28">
        <v>-2547.7199999999721</v>
      </c>
      <c r="IK10" s="55">
        <v>-82889.979999999516</v>
      </c>
      <c r="IL10" s="19">
        <v>8169918.5799999833</v>
      </c>
      <c r="IN10" s="25" t="s">
        <v>459</v>
      </c>
      <c r="IO10" s="31">
        <v>0</v>
      </c>
      <c r="IP10" s="18">
        <v>172166.39999999991</v>
      </c>
      <c r="IQ10" s="18">
        <v>-12680.5</v>
      </c>
      <c r="IR10" s="18">
        <v>-6120</v>
      </c>
      <c r="IS10" s="19">
        <v>153365.89999999991</v>
      </c>
      <c r="IT10" s="28">
        <v>4956805.3299999982</v>
      </c>
      <c r="IU10" s="28">
        <v>3470717.349999994</v>
      </c>
      <c r="IV10" s="28">
        <v>-15228.219999999972</v>
      </c>
      <c r="IW10" s="55">
        <v>-89009.979999998584</v>
      </c>
      <c r="IX10" s="19">
        <v>8323284.4800000042</v>
      </c>
    </row>
    <row r="11" spans="2:258" ht="15" thickBot="1" x14ac:dyDescent="0.35">
      <c r="B11" s="38" t="s">
        <v>460</v>
      </c>
      <c r="C11" s="39">
        <v>0.23131027579770327</v>
      </c>
      <c r="D11" s="40"/>
      <c r="E11" s="41">
        <v>0.23131027579770327</v>
      </c>
      <c r="F11" s="42">
        <v>0.23131027579770327</v>
      </c>
      <c r="G11" s="40"/>
      <c r="H11" s="41">
        <v>0.23131027579770327</v>
      </c>
      <c r="J11" s="43" t="s">
        <v>460</v>
      </c>
      <c r="K11" s="44" t="s">
        <v>478</v>
      </c>
      <c r="L11" s="45">
        <v>3.4467640918580379E-2</v>
      </c>
      <c r="M11" s="46">
        <v>3.4467640918580379E-2</v>
      </c>
      <c r="N11" s="47">
        <v>0.23131027579770327</v>
      </c>
      <c r="O11" s="45">
        <v>3.4467640918580379E-2</v>
      </c>
      <c r="P11" s="46">
        <v>0.21933283367843395</v>
      </c>
      <c r="R11" s="43" t="s">
        <v>460</v>
      </c>
      <c r="S11" s="44">
        <v>0.22817834879330717</v>
      </c>
      <c r="T11" s="45">
        <v>5.4796396316295098E-2</v>
      </c>
      <c r="U11" s="45">
        <v>-2.1988026595304438E-2</v>
      </c>
      <c r="V11" s="46">
        <v>6.4436589703990257E-2</v>
      </c>
      <c r="W11" s="47">
        <v>0.2298076578416943</v>
      </c>
      <c r="X11" s="45">
        <v>5.471025391557071E-2</v>
      </c>
      <c r="Y11" s="53">
        <v>-2.1988026595304438E-2</v>
      </c>
      <c r="Z11" s="46">
        <v>7.399171399591048E-2</v>
      </c>
      <c r="AB11" s="56" t="s">
        <v>460</v>
      </c>
      <c r="AC11" s="57" t="s">
        <v>478</v>
      </c>
      <c r="AD11" s="58">
        <v>5.8506478999106534E-2</v>
      </c>
      <c r="AE11" s="58" t="s">
        <v>478</v>
      </c>
      <c r="AF11" s="59">
        <v>5.8506478999106534E-2</v>
      </c>
      <c r="AG11" s="60">
        <v>0.2298076578416943</v>
      </c>
      <c r="AH11" s="58">
        <v>5.5843854249966886E-2</v>
      </c>
      <c r="AI11" s="61">
        <v>-2.1988026595304438E-2</v>
      </c>
      <c r="AJ11" s="59">
        <v>6.9751098122092708E-2</v>
      </c>
      <c r="AL11" s="56" t="s">
        <v>460</v>
      </c>
      <c r="AM11" s="57" t="s">
        <v>478</v>
      </c>
      <c r="AN11" s="58">
        <v>5.9941665345383477E-2</v>
      </c>
      <c r="AO11" s="58" t="s">
        <v>478</v>
      </c>
      <c r="AP11" s="59">
        <v>5.9941665345383477E-2</v>
      </c>
      <c r="AQ11" s="60">
        <v>0.2298076578416943</v>
      </c>
      <c r="AR11" s="58">
        <v>5.6826820223874898E-2</v>
      </c>
      <c r="AS11" s="61">
        <v>-2.1988026595304438E-2</v>
      </c>
      <c r="AT11" s="59">
        <v>6.754938924451101E-2</v>
      </c>
      <c r="AV11" s="56" t="s">
        <v>460</v>
      </c>
      <c r="AW11" s="57" t="s">
        <v>478</v>
      </c>
      <c r="AX11" s="58">
        <v>5.8728461707561831E-2</v>
      </c>
      <c r="AY11" s="58" t="s">
        <v>478</v>
      </c>
      <c r="AZ11" s="59">
        <v>5.8728461707561831E-2</v>
      </c>
      <c r="BA11" s="60">
        <v>0.2298076578416943</v>
      </c>
      <c r="BB11" s="58">
        <v>5.7431449352701051E-2</v>
      </c>
      <c r="BC11" s="61">
        <v>-2.1988026595304438E-2</v>
      </c>
      <c r="BD11" s="59">
        <v>6.4870361861575646E-2</v>
      </c>
      <c r="BF11" s="56" t="s">
        <v>460</v>
      </c>
      <c r="BG11" s="57">
        <v>0.34374108731376729</v>
      </c>
      <c r="BH11" s="58">
        <v>5.9902935719336303E-2</v>
      </c>
      <c r="BI11" s="58" t="s">
        <v>478</v>
      </c>
      <c r="BJ11" s="59">
        <v>0.18004871914859533</v>
      </c>
      <c r="BK11" s="60">
        <v>0.3160112096451097</v>
      </c>
      <c r="BL11" s="58">
        <v>5.7832363128096753E-2</v>
      </c>
      <c r="BM11" s="61">
        <v>-2.1988026595304438E-2</v>
      </c>
      <c r="BN11" s="59">
        <v>9.2838946317109261E-2</v>
      </c>
      <c r="BP11" s="56" t="s">
        <v>460</v>
      </c>
      <c r="BQ11" s="57" t="s">
        <v>478</v>
      </c>
      <c r="BR11" s="58" t="s">
        <v>478</v>
      </c>
      <c r="BS11" s="58">
        <v>-2.3633038120908698E-2</v>
      </c>
      <c r="BT11" s="59">
        <v>-2.3633038120908698E-2</v>
      </c>
      <c r="BU11" s="60">
        <v>0.3160112096451097</v>
      </c>
      <c r="BV11" s="58">
        <v>5.7832363128096753E-2</v>
      </c>
      <c r="BW11" s="61">
        <v>-2.3367413651502592E-2</v>
      </c>
      <c r="BX11" s="59">
        <v>9.2331091905624468E-2</v>
      </c>
      <c r="BZ11" s="56" t="s">
        <v>460</v>
      </c>
      <c r="CA11" s="57">
        <v>0.34640407947951468</v>
      </c>
      <c r="CB11" s="58">
        <v>5.924169212913636E-2</v>
      </c>
      <c r="CC11" s="58" t="s">
        <v>478</v>
      </c>
      <c r="CD11" s="59">
        <v>0.17252038559507465</v>
      </c>
      <c r="CE11" s="60">
        <v>0.33299246309865355</v>
      </c>
      <c r="CF11" s="58">
        <v>5.81624434563352E-2</v>
      </c>
      <c r="CG11" s="61">
        <v>-2.3367413651502592E-2</v>
      </c>
      <c r="CH11" s="59">
        <v>0.11660598001588431</v>
      </c>
      <c r="CJ11" s="56" t="s">
        <v>460</v>
      </c>
      <c r="CK11" s="57" t="s">
        <v>478</v>
      </c>
      <c r="CL11" s="58">
        <v>6.0001123090745685E-2</v>
      </c>
      <c r="CM11" s="58" t="s">
        <v>478</v>
      </c>
      <c r="CN11" s="59">
        <v>6.0001123090745685E-2</v>
      </c>
      <c r="CO11" s="60">
        <v>0.33299246309865355</v>
      </c>
      <c r="CP11" s="58">
        <v>5.8231638288261556E-2</v>
      </c>
      <c r="CQ11" s="61">
        <v>-2.3367413651502592E-2</v>
      </c>
      <c r="CR11" s="59">
        <v>0.11076908197654266</v>
      </c>
      <c r="CT11" s="56" t="s">
        <v>460</v>
      </c>
      <c r="CU11" s="57" t="s">
        <v>478</v>
      </c>
      <c r="CV11" s="58">
        <v>5.9937949236298256E-2</v>
      </c>
      <c r="CW11" s="58" t="s">
        <v>478</v>
      </c>
      <c r="CX11" s="59">
        <v>5.9937949236298256E-2</v>
      </c>
      <c r="CY11" s="60">
        <v>0.33299246309865355</v>
      </c>
      <c r="CZ11" s="58">
        <v>5.8388186916221191E-2</v>
      </c>
      <c r="DA11" s="61">
        <v>-2.3367413651502592E-2</v>
      </c>
      <c r="DB11" s="59">
        <v>0.10701816619123199</v>
      </c>
      <c r="DD11" s="56" t="s">
        <v>460</v>
      </c>
      <c r="DE11" s="57" t="s">
        <v>478</v>
      </c>
      <c r="DF11" s="58">
        <v>5.991689128481574E-2</v>
      </c>
      <c r="DG11" s="58" t="s">
        <v>478</v>
      </c>
      <c r="DH11" s="59">
        <v>5.991689128481574E-2</v>
      </c>
      <c r="DI11" s="60">
        <v>0.33299246309865355</v>
      </c>
      <c r="DJ11" s="58">
        <v>5.8481167910114235E-2</v>
      </c>
      <c r="DK11" s="61">
        <v>-2.3367413651502592E-2</v>
      </c>
      <c r="DL11" s="59">
        <v>0.10468621026257721</v>
      </c>
      <c r="DN11" s="56" t="s">
        <v>460</v>
      </c>
      <c r="DO11" s="57" t="s">
        <v>478</v>
      </c>
      <c r="DP11" s="58">
        <v>5.8787350152084361E-2</v>
      </c>
      <c r="DQ11" s="58">
        <v>-1.9778941244909729E-2</v>
      </c>
      <c r="DR11" s="59">
        <v>5.0662736369287482E-2</v>
      </c>
      <c r="DS11" s="60">
        <v>0.33299246309865355</v>
      </c>
      <c r="DT11" s="58">
        <v>5.8509459792783353E-2</v>
      </c>
      <c r="DU11" s="61">
        <v>-2.0656829788357138E-2</v>
      </c>
      <c r="DV11" s="59">
        <v>0.10011531883710827</v>
      </c>
      <c r="DX11" s="56" t="s">
        <v>460</v>
      </c>
      <c r="DY11" s="57" t="s">
        <v>478</v>
      </c>
      <c r="DZ11" s="58">
        <v>5.9367715617715616E-2</v>
      </c>
      <c r="EA11" s="58">
        <v>-1.9778941244909962E-2</v>
      </c>
      <c r="EB11" s="59">
        <v>5.27782303100751E-2</v>
      </c>
      <c r="EC11" s="60">
        <v>0.33299246309865355</v>
      </c>
      <c r="ED11" s="58">
        <v>5.8581913647786622E-2</v>
      </c>
      <c r="EE11" s="61">
        <v>-2.0329861030845376E-2</v>
      </c>
      <c r="EF11" s="59">
        <v>9.6504750897993125E-2</v>
      </c>
      <c r="EH11" s="56" t="s">
        <v>460</v>
      </c>
      <c r="EI11" s="57" t="s">
        <v>478</v>
      </c>
      <c r="EJ11" s="58">
        <v>5.8940174412250572E-2</v>
      </c>
      <c r="EK11" s="58">
        <v>-1.9778941244909882E-2</v>
      </c>
      <c r="EL11" s="59">
        <v>4.8392180505157999E-2</v>
      </c>
      <c r="EM11" s="60">
        <v>0.33299246309865355</v>
      </c>
      <c r="EN11" s="58">
        <v>5.8607362185258485E-2</v>
      </c>
      <c r="EO11" s="61">
        <v>-2.0128785648183781E-2</v>
      </c>
      <c r="EP11" s="59">
        <v>9.3225875844028333E-2</v>
      </c>
      <c r="ER11" s="56" t="s">
        <v>460</v>
      </c>
      <c r="ES11" s="57">
        <v>0.34640407947951468</v>
      </c>
      <c r="ET11" s="58">
        <v>5.9937949236298367E-2</v>
      </c>
      <c r="EU11" s="58" t="s">
        <v>478</v>
      </c>
      <c r="EV11" s="59">
        <v>0.21826477723616816</v>
      </c>
      <c r="EW11" s="60">
        <v>0.33229273712245244</v>
      </c>
      <c r="EX11" s="58">
        <v>5.8748012540033652E-2</v>
      </c>
      <c r="EY11" s="61">
        <v>-2.0128785648183781E-2</v>
      </c>
      <c r="EZ11" s="59">
        <v>0.10625107343068818</v>
      </c>
      <c r="FB11" s="56" t="s">
        <v>460</v>
      </c>
      <c r="FC11" s="57" t="s">
        <v>478</v>
      </c>
      <c r="FD11" s="58">
        <v>5.991689128481574E-2</v>
      </c>
      <c r="FE11" s="58">
        <v>-1.9778941244909955E-2</v>
      </c>
      <c r="FF11" s="59">
        <v>4.705924303020708E-2</v>
      </c>
      <c r="FG11" s="60">
        <v>0.33229273712245244</v>
      </c>
      <c r="FH11" s="58">
        <v>5.8797663110857504E-2</v>
      </c>
      <c r="FI11" s="61">
        <v>-2.0048064663746853E-2</v>
      </c>
      <c r="FJ11" s="59">
        <v>0.10388323420787064</v>
      </c>
      <c r="FL11" s="56" t="s">
        <v>460</v>
      </c>
      <c r="FM11" s="57" t="s">
        <v>478</v>
      </c>
      <c r="FN11" s="58">
        <v>3.0897713521431669E-2</v>
      </c>
      <c r="FO11" s="58">
        <v>-1.9778941244909871E-2</v>
      </c>
      <c r="FP11" s="59">
        <v>2.5854109209589526E-2</v>
      </c>
      <c r="FQ11" s="60">
        <v>0.33713538395470954</v>
      </c>
      <c r="FR11" s="58">
        <v>5.7418534957296749E-2</v>
      </c>
      <c r="FS11" s="61">
        <v>-1.9971590354951531E-2</v>
      </c>
      <c r="FT11" s="59">
        <v>9.9845417093509109E-2</v>
      </c>
      <c r="FV11" s="56" t="s">
        <v>460</v>
      </c>
      <c r="FW11" s="57" t="s">
        <v>478</v>
      </c>
      <c r="FX11" s="58">
        <v>3.8895846987251285E-2</v>
      </c>
      <c r="FY11" s="58">
        <v>-1.977894124490983E-2</v>
      </c>
      <c r="FZ11" s="59">
        <v>2.8126749735744933E-2</v>
      </c>
      <c r="GA11" s="60">
        <v>0.33713538395470954</v>
      </c>
      <c r="GB11" s="58">
        <v>5.6240369690336738E-2</v>
      </c>
      <c r="GC11" s="61">
        <v>-1.9933778901311528E-2</v>
      </c>
      <c r="GD11" s="65">
        <v>9.5582020115211733E-2</v>
      </c>
      <c r="GF11" s="56" t="s">
        <v>460</v>
      </c>
      <c r="GG11" s="57" t="s">
        <v>478</v>
      </c>
      <c r="GH11" s="58">
        <v>5.991689128481574E-2</v>
      </c>
      <c r="GI11" s="58">
        <v>-6.0143933584623083E-2</v>
      </c>
      <c r="GJ11" s="58">
        <v>-1.977894124490983E-2</v>
      </c>
      <c r="GK11" s="59">
        <v>3.0861718057007909E-2</v>
      </c>
      <c r="GL11" s="60">
        <v>0.33713538395470954</v>
      </c>
      <c r="GM11" s="58">
        <v>5.6374100249861316E-2</v>
      </c>
      <c r="GN11" s="58">
        <v>-6.0143933584623083E-2</v>
      </c>
      <c r="GO11" s="61">
        <v>-1.9925911790924532E-2</v>
      </c>
      <c r="GP11" s="65">
        <v>9.5519903435594702E-2</v>
      </c>
      <c r="GR11" s="56" t="s">
        <v>460</v>
      </c>
      <c r="GS11" s="57">
        <v>0.34270195439195894</v>
      </c>
      <c r="GT11" s="58">
        <v>5.9899342991913858E-2</v>
      </c>
      <c r="GU11" s="58">
        <v>6.2343231497962712E-2</v>
      </c>
      <c r="GV11" s="58">
        <v>-1.977894124490983E-2</v>
      </c>
      <c r="GW11" s="59">
        <v>0.18543133137506432</v>
      </c>
      <c r="GX11" s="60">
        <v>0.33839358888016474</v>
      </c>
      <c r="GY11" s="58">
        <v>5.6537162453477237E-2</v>
      </c>
      <c r="GZ11" s="58">
        <v>2.1132788695974791E-2</v>
      </c>
      <c r="HA11" s="61">
        <v>-1.9916586977662847E-2</v>
      </c>
      <c r="HB11" s="59">
        <v>0.10367997233577146</v>
      </c>
      <c r="HC11" s="17"/>
      <c r="HD11" s="56" t="s">
        <v>460</v>
      </c>
      <c r="HE11" s="57">
        <v>0.34640407947951468</v>
      </c>
      <c r="HF11" s="58">
        <v>3.7826622019976629E-2</v>
      </c>
      <c r="HG11" s="58">
        <v>4.2935257289016947E-2</v>
      </c>
      <c r="HH11" s="58">
        <v>-1.9778941244909858E-2</v>
      </c>
      <c r="HI11" s="59">
        <v>0.14993413107174389</v>
      </c>
      <c r="HJ11" s="60">
        <v>0.33961157310693157</v>
      </c>
      <c r="HK11" s="58">
        <v>5.5532802545334096E-2</v>
      </c>
      <c r="HL11" s="58">
        <v>2.5305319254049632E-2</v>
      </c>
      <c r="HM11" s="61">
        <v>-1.9898451983619007E-2</v>
      </c>
      <c r="HN11" s="59">
        <v>0.1073533433967838</v>
      </c>
      <c r="HP11" s="56" t="s">
        <v>460</v>
      </c>
      <c r="HQ11" s="57" t="s">
        <v>478</v>
      </c>
      <c r="HR11" s="58">
        <v>6.1145874167545189E-2</v>
      </c>
      <c r="HS11" s="58">
        <v>-0.23421792675437189</v>
      </c>
      <c r="HT11" s="58">
        <v>-1.8926884365875828E-2</v>
      </c>
      <c r="HU11" s="59">
        <v>4.9933957598084819E-2</v>
      </c>
      <c r="HV11" s="60">
        <v>0.33981032985272619</v>
      </c>
      <c r="HW11" s="58">
        <v>5.5938612669156625E-2</v>
      </c>
      <c r="HX11" s="58">
        <v>1.4743949509664477E-2</v>
      </c>
      <c r="HY11" s="61">
        <v>-1.9789488696797766E-2</v>
      </c>
      <c r="HZ11" s="59">
        <v>0.10393275582500815</v>
      </c>
      <c r="IB11" s="56" t="s">
        <v>460</v>
      </c>
      <c r="IC11" s="57" t="s">
        <v>478</v>
      </c>
      <c r="ID11" s="58">
        <v>3.4467640918580358E-2</v>
      </c>
      <c r="IE11" s="58">
        <v>-0.23421792675437172</v>
      </c>
      <c r="IF11" s="58">
        <v>-1.9778941244909889E-2</v>
      </c>
      <c r="IG11" s="59">
        <v>-5.8644070383699821E-2</v>
      </c>
      <c r="IH11" s="60">
        <v>0.33981032985272619</v>
      </c>
      <c r="II11" s="58">
        <v>5.5921874152525253E-2</v>
      </c>
      <c r="IJ11" s="58">
        <v>-1.491799581704468E-3</v>
      </c>
      <c r="IK11" s="61">
        <v>-1.9788499208918092E-2</v>
      </c>
      <c r="IL11" s="59">
        <v>0.10280690982828061</v>
      </c>
      <c r="IN11" s="56" t="s">
        <v>460</v>
      </c>
      <c r="IO11" s="57" t="s">
        <v>478</v>
      </c>
      <c r="IP11" s="58">
        <v>5.7937584803256413E-2</v>
      </c>
      <c r="IQ11" s="58">
        <v>-0.23421792675437178</v>
      </c>
      <c r="IR11" s="58">
        <v>-1.977894124490983E-2</v>
      </c>
      <c r="IS11" s="59">
        <v>4.598479450848255E-2</v>
      </c>
      <c r="IT11" s="60">
        <v>0.33981032985272619</v>
      </c>
      <c r="IU11" s="58">
        <v>5.6018552415097102E-2</v>
      </c>
      <c r="IV11" s="58">
        <v>-8.6427910195206788E-3</v>
      </c>
      <c r="IW11" s="61">
        <v>-1.9787841742617059E-2</v>
      </c>
      <c r="IX11" s="59">
        <v>0.10051824542267733</v>
      </c>
    </row>
    <row r="12" spans="2:258" ht="29.4" customHeight="1" thickBot="1" x14ac:dyDescent="0.35">
      <c r="AB12" s="366" t="s">
        <v>482</v>
      </c>
      <c r="AC12" s="367"/>
      <c r="AD12" s="367"/>
      <c r="AE12" s="367"/>
      <c r="AF12" s="367"/>
      <c r="AG12" s="367"/>
      <c r="AH12" s="367"/>
      <c r="AI12" s="367"/>
      <c r="AJ12" s="368"/>
      <c r="AL12" s="366" t="s">
        <v>482</v>
      </c>
      <c r="AM12" s="367"/>
      <c r="AN12" s="367"/>
      <c r="AO12" s="367"/>
      <c r="AP12" s="367"/>
      <c r="AQ12" s="367"/>
      <c r="AR12" s="367"/>
      <c r="AS12" s="367"/>
      <c r="AT12" s="368"/>
      <c r="AV12" s="366" t="s">
        <v>482</v>
      </c>
      <c r="AW12" s="367"/>
      <c r="AX12" s="367"/>
      <c r="AY12" s="367"/>
      <c r="AZ12" s="367"/>
      <c r="BA12" s="367"/>
      <c r="BB12" s="367"/>
      <c r="BC12" s="367"/>
      <c r="BD12" s="368"/>
      <c r="BF12" s="366" t="s">
        <v>482</v>
      </c>
      <c r="BG12" s="367"/>
      <c r="BH12" s="367"/>
      <c r="BI12" s="367"/>
      <c r="BJ12" s="367"/>
      <c r="BK12" s="367"/>
      <c r="BL12" s="367"/>
      <c r="BM12" s="367"/>
      <c r="BN12" s="368"/>
      <c r="BP12" s="366" t="s">
        <v>482</v>
      </c>
      <c r="BQ12" s="367"/>
      <c r="BR12" s="367"/>
      <c r="BS12" s="367"/>
      <c r="BT12" s="367"/>
      <c r="BU12" s="367"/>
      <c r="BV12" s="367"/>
      <c r="BW12" s="367"/>
      <c r="BX12" s="368"/>
      <c r="BZ12" s="363" t="s">
        <v>490</v>
      </c>
      <c r="CA12" s="369"/>
      <c r="CB12" s="369"/>
      <c r="CC12" s="369"/>
      <c r="CD12" s="369"/>
      <c r="CE12" s="369"/>
      <c r="CF12" s="369"/>
      <c r="CG12" s="369"/>
      <c r="CH12" s="370"/>
      <c r="CJ12" s="363" t="s">
        <v>490</v>
      </c>
      <c r="CK12" s="369"/>
      <c r="CL12" s="369"/>
      <c r="CM12" s="369"/>
      <c r="CN12" s="369"/>
      <c r="CO12" s="369"/>
      <c r="CP12" s="369"/>
      <c r="CQ12" s="369"/>
      <c r="CR12" s="370"/>
      <c r="CT12" s="363" t="s">
        <v>490</v>
      </c>
      <c r="CU12" s="369"/>
      <c r="CV12" s="369"/>
      <c r="CW12" s="369"/>
      <c r="CX12" s="369"/>
      <c r="CY12" s="369"/>
      <c r="CZ12" s="369"/>
      <c r="DA12" s="369"/>
      <c r="DB12" s="370"/>
      <c r="DD12" s="363" t="s">
        <v>490</v>
      </c>
      <c r="DE12" s="369"/>
      <c r="DF12" s="369"/>
      <c r="DG12" s="369"/>
      <c r="DH12" s="369"/>
      <c r="DI12" s="369"/>
      <c r="DJ12" s="369"/>
      <c r="DK12" s="369"/>
      <c r="DL12" s="370"/>
      <c r="DN12" s="363" t="s">
        <v>490</v>
      </c>
      <c r="DO12" s="369"/>
      <c r="DP12" s="369"/>
      <c r="DQ12" s="369"/>
      <c r="DR12" s="369"/>
      <c r="DS12" s="369"/>
      <c r="DT12" s="369"/>
      <c r="DU12" s="369"/>
      <c r="DV12" s="370"/>
      <c r="DX12" s="363" t="s">
        <v>490</v>
      </c>
      <c r="DY12" s="369"/>
      <c r="DZ12" s="369"/>
      <c r="EA12" s="369"/>
      <c r="EB12" s="369"/>
      <c r="EC12" s="369"/>
      <c r="ED12" s="369"/>
      <c r="EE12" s="369"/>
      <c r="EF12" s="370"/>
      <c r="EH12" s="363" t="s">
        <v>490</v>
      </c>
      <c r="EI12" s="369"/>
      <c r="EJ12" s="369"/>
      <c r="EK12" s="369"/>
      <c r="EL12" s="369"/>
      <c r="EM12" s="369"/>
      <c r="EN12" s="369"/>
      <c r="EO12" s="369"/>
      <c r="EP12" s="370"/>
      <c r="ER12" s="363" t="s">
        <v>490</v>
      </c>
      <c r="ES12" s="369"/>
      <c r="ET12" s="369"/>
      <c r="EU12" s="369"/>
      <c r="EV12" s="369"/>
      <c r="EW12" s="369"/>
      <c r="EX12" s="369"/>
      <c r="EY12" s="369"/>
      <c r="EZ12" s="370"/>
      <c r="FB12" s="363" t="s">
        <v>490</v>
      </c>
      <c r="FC12" s="369"/>
      <c r="FD12" s="369"/>
      <c r="FE12" s="369"/>
      <c r="FF12" s="369"/>
      <c r="FG12" s="369"/>
      <c r="FH12" s="369"/>
      <c r="FI12" s="369"/>
      <c r="FJ12" s="370"/>
      <c r="FL12" s="363" t="s">
        <v>490</v>
      </c>
      <c r="FM12" s="369"/>
      <c r="FN12" s="369"/>
      <c r="FO12" s="369"/>
      <c r="FP12" s="369"/>
      <c r="FQ12" s="369"/>
      <c r="FR12" s="369"/>
      <c r="FS12" s="369"/>
      <c r="FT12" s="370"/>
      <c r="FV12" s="363" t="s">
        <v>490</v>
      </c>
      <c r="FW12" s="369"/>
      <c r="FX12" s="369"/>
      <c r="FY12" s="369"/>
      <c r="FZ12" s="369"/>
      <c r="GA12" s="369"/>
      <c r="GB12" s="369"/>
      <c r="GC12" s="369"/>
      <c r="GD12" s="370"/>
      <c r="GF12" s="363" t="s">
        <v>490</v>
      </c>
      <c r="GG12" s="364"/>
      <c r="GH12" s="364"/>
      <c r="GI12" s="364"/>
      <c r="GJ12" s="364"/>
      <c r="GK12" s="364"/>
      <c r="GL12" s="364"/>
      <c r="GM12" s="364"/>
      <c r="GN12" s="364"/>
      <c r="GO12" s="364"/>
      <c r="GP12" s="365"/>
      <c r="GR12" s="363" t="s">
        <v>490</v>
      </c>
      <c r="GS12" s="364"/>
      <c r="GT12" s="364"/>
      <c r="GU12" s="364"/>
      <c r="GV12" s="364"/>
      <c r="GW12" s="364"/>
      <c r="GX12" s="364"/>
      <c r="GY12" s="364"/>
      <c r="GZ12" s="364"/>
      <c r="HA12" s="364"/>
      <c r="HB12" s="365"/>
      <c r="HD12" s="363" t="s">
        <v>490</v>
      </c>
      <c r="HE12" s="364"/>
      <c r="HF12" s="364"/>
      <c r="HG12" s="364"/>
      <c r="HH12" s="364"/>
      <c r="HI12" s="364"/>
      <c r="HJ12" s="364"/>
      <c r="HK12" s="364"/>
      <c r="HL12" s="364"/>
      <c r="HM12" s="364"/>
      <c r="HN12" s="365"/>
      <c r="HP12" s="363" t="s">
        <v>490</v>
      </c>
      <c r="HQ12" s="364"/>
      <c r="HR12" s="364"/>
      <c r="HS12" s="364"/>
      <c r="HT12" s="364"/>
      <c r="HU12" s="364"/>
      <c r="HV12" s="364"/>
      <c r="HW12" s="364"/>
      <c r="HX12" s="364"/>
      <c r="HY12" s="364"/>
      <c r="HZ12" s="365"/>
      <c r="IB12" s="363" t="s">
        <v>490</v>
      </c>
      <c r="IC12" s="364"/>
      <c r="ID12" s="364"/>
      <c r="IE12" s="364"/>
      <c r="IF12" s="364"/>
      <c r="IG12" s="364"/>
      <c r="IH12" s="364"/>
      <c r="II12" s="364"/>
      <c r="IJ12" s="364"/>
      <c r="IK12" s="364"/>
      <c r="IL12" s="365"/>
      <c r="IN12" s="363" t="s">
        <v>490</v>
      </c>
      <c r="IO12" s="364"/>
      <c r="IP12" s="364"/>
      <c r="IQ12" s="364"/>
      <c r="IR12" s="364"/>
      <c r="IS12" s="364"/>
      <c r="IT12" s="364"/>
      <c r="IU12" s="364"/>
      <c r="IV12" s="364"/>
      <c r="IW12" s="364"/>
      <c r="IX12" s="365"/>
    </row>
    <row r="14" spans="2:258" x14ac:dyDescent="0.3">
      <c r="CE14" s="17"/>
      <c r="CF14" s="17"/>
      <c r="HJ14" s="17"/>
      <c r="HK14" s="17"/>
      <c r="HL14" s="17"/>
      <c r="HM14" s="17"/>
      <c r="HN14" s="17"/>
      <c r="HW14" s="17"/>
      <c r="HX14" s="17"/>
      <c r="HY14" s="17"/>
      <c r="HZ14" s="17"/>
      <c r="IN14" t="s">
        <v>517</v>
      </c>
      <c r="IO14" s="75" t="e">
        <f>IO5/IO$4</f>
        <v>#DIV/0!</v>
      </c>
      <c r="IP14" s="75">
        <f t="shared" ref="IP14:IX16" si="0">IP5/IP$4</f>
        <v>353.76</v>
      </c>
      <c r="IQ14" s="75">
        <f t="shared" si="0"/>
        <v>309.37</v>
      </c>
      <c r="IR14" s="75">
        <f t="shared" si="0"/>
        <v>154.71</v>
      </c>
      <c r="IS14" s="75">
        <f t="shared" si="0"/>
        <v>315.38002364066193</v>
      </c>
      <c r="IT14" s="75">
        <f t="shared" si="0"/>
        <v>738.20731781376514</v>
      </c>
      <c r="IU14" s="75">
        <f t="shared" si="0"/>
        <v>358.72141823234807</v>
      </c>
      <c r="IV14" s="75">
        <f t="shared" si="0"/>
        <v>542.64129658145987</v>
      </c>
      <c r="IW14" s="75">
        <f t="shared" si="0"/>
        <v>154.80128295133872</v>
      </c>
      <c r="IX14" s="75">
        <f t="shared" si="0"/>
        <v>368.37671643384647</v>
      </c>
    </row>
    <row r="15" spans="2:258" x14ac:dyDescent="0.3">
      <c r="CF15" s="17"/>
      <c r="HJ15" s="17"/>
      <c r="HK15" s="17"/>
      <c r="HL15" s="17"/>
      <c r="HM15" s="17"/>
      <c r="HN15" s="17"/>
      <c r="HW15" s="17"/>
      <c r="HX15" s="17"/>
      <c r="HY15" s="17"/>
      <c r="HZ15" s="17"/>
      <c r="IN15" t="s">
        <v>523</v>
      </c>
      <c r="IO15" s="75" t="e">
        <f t="shared" ref="IO15:IS15" si="1">IO6/IO$4</f>
        <v>#DIV/0!</v>
      </c>
      <c r="IP15" s="75">
        <f t="shared" si="1"/>
        <v>333.26400000000001</v>
      </c>
      <c r="IQ15" s="75">
        <f t="shared" si="1"/>
        <v>381.83</v>
      </c>
      <c r="IR15" s="75">
        <f t="shared" si="1"/>
        <v>157.77000000000001</v>
      </c>
      <c r="IS15" s="75">
        <f t="shared" si="1"/>
        <v>300.87733806146571</v>
      </c>
      <c r="IT15" s="75">
        <f t="shared" si="0"/>
        <v>487.35684564777335</v>
      </c>
      <c r="IU15" s="75">
        <f t="shared" si="0"/>
        <v>338.62636366268129</v>
      </c>
      <c r="IV15" s="75">
        <f t="shared" si="0"/>
        <v>547.33123190637514</v>
      </c>
      <c r="IW15" s="75">
        <f t="shared" si="0"/>
        <v>157.8644662399339</v>
      </c>
      <c r="IX15" s="75">
        <f t="shared" si="0"/>
        <v>331.34813524334908</v>
      </c>
    </row>
    <row r="16" spans="2:258" x14ac:dyDescent="0.3">
      <c r="HJ16" s="17"/>
      <c r="HK16" s="17"/>
      <c r="HL16" s="17"/>
      <c r="HM16" s="17"/>
      <c r="HN16" s="17"/>
      <c r="HW16" s="17"/>
      <c r="HX16" s="17"/>
      <c r="HY16" s="17"/>
      <c r="HZ16" s="17"/>
      <c r="IN16" t="s">
        <v>524</v>
      </c>
      <c r="IO16" s="75" t="e">
        <f>IO14-IO15</f>
        <v>#DIV/0!</v>
      </c>
      <c r="IP16" s="75">
        <f t="shared" ref="IP16:IW16" si="2">IP14-IP15</f>
        <v>20.495999999999981</v>
      </c>
      <c r="IQ16" s="75">
        <f t="shared" si="2"/>
        <v>-72.45999999999998</v>
      </c>
      <c r="IR16" s="75">
        <f t="shared" si="2"/>
        <v>-3.0600000000000023</v>
      </c>
      <c r="IS16" s="75">
        <f t="shared" si="2"/>
        <v>14.502685579196225</v>
      </c>
      <c r="IT16" s="75">
        <f t="shared" si="2"/>
        <v>250.85047216599179</v>
      </c>
      <c r="IU16" s="75">
        <f t="shared" si="2"/>
        <v>20.095054569666786</v>
      </c>
      <c r="IV16" s="75">
        <f t="shared" si="2"/>
        <v>-4.6899353249152682</v>
      </c>
      <c r="IW16" s="75">
        <f t="shared" si="2"/>
        <v>-3.0631832885951837</v>
      </c>
      <c r="IX16" s="75">
        <f t="shared" si="0"/>
        <v>281.24837245306514</v>
      </c>
    </row>
    <row r="17" spans="218:258" x14ac:dyDescent="0.3">
      <c r="HJ17" s="17"/>
      <c r="HK17" s="17"/>
      <c r="HL17" s="17"/>
      <c r="HM17" s="17"/>
      <c r="HN17" s="17"/>
      <c r="HW17" s="17"/>
      <c r="HX17" s="17"/>
      <c r="HY17" s="17"/>
      <c r="HZ17" s="17"/>
      <c r="IN17" t="s">
        <v>509</v>
      </c>
      <c r="IO17" t="e">
        <f>IO7/IO4</f>
        <v>#DIV/0!</v>
      </c>
      <c r="IP17" s="75">
        <f t="shared" ref="IP17:IX17" si="3">IP7/IP4</f>
        <v>279.82400000000007</v>
      </c>
      <c r="IQ17" s="75">
        <f t="shared" si="3"/>
        <v>328.3900000000001</v>
      </c>
      <c r="IR17" s="75">
        <f t="shared" si="3"/>
        <v>137.26999999999998</v>
      </c>
      <c r="IS17" s="75">
        <f t="shared" si="3"/>
        <v>253.66712529550833</v>
      </c>
      <c r="IT17" s="75">
        <f t="shared" si="3"/>
        <v>430.83684564777332</v>
      </c>
      <c r="IU17" s="75">
        <f t="shared" si="3"/>
        <v>284.39292765538596</v>
      </c>
      <c r="IV17" s="75">
        <f t="shared" si="3"/>
        <v>491.28793655682165</v>
      </c>
      <c r="IW17" s="75">
        <f t="shared" si="3"/>
        <v>137.3644662399339</v>
      </c>
      <c r="IX17" s="75">
        <f t="shared" si="3"/>
        <v>281.24837245306514</v>
      </c>
    </row>
    <row r="18" spans="218:258" x14ac:dyDescent="0.3">
      <c r="HW18" s="17"/>
      <c r="HX18" s="17"/>
      <c r="HY18" s="17"/>
      <c r="HZ18" s="17"/>
    </row>
  </sheetData>
  <mergeCells count="72">
    <mergeCell ref="FM2:FP2"/>
    <mergeCell ref="FQ2:FT2"/>
    <mergeCell ref="HE2:HI2"/>
    <mergeCell ref="DN12:DV12"/>
    <mergeCell ref="DY2:EB2"/>
    <mergeCell ref="EC2:EF2"/>
    <mergeCell ref="GF12:GP12"/>
    <mergeCell ref="GS2:GW2"/>
    <mergeCell ref="GX2:HB2"/>
    <mergeCell ref="GR12:HB12"/>
    <mergeCell ref="HQ2:HU2"/>
    <mergeCell ref="HV2:HZ2"/>
    <mergeCell ref="HP12:HZ12"/>
    <mergeCell ref="EW2:EZ2"/>
    <mergeCell ref="ER12:EZ12"/>
    <mergeCell ref="GA2:GD2"/>
    <mergeCell ref="FV12:GD12"/>
    <mergeCell ref="FG2:FJ2"/>
    <mergeCell ref="FB12:FJ12"/>
    <mergeCell ref="GG2:GK2"/>
    <mergeCell ref="FC2:FF2"/>
    <mergeCell ref="FW2:FZ2"/>
    <mergeCell ref="FL12:FT12"/>
    <mergeCell ref="HJ2:HN2"/>
    <mergeCell ref="HD12:HN12"/>
    <mergeCell ref="GL2:GP2"/>
    <mergeCell ref="DE2:DH2"/>
    <mergeCell ref="CJ12:CR12"/>
    <mergeCell ref="CE2:CH2"/>
    <mergeCell ref="ES2:EV2"/>
    <mergeCell ref="CU2:CX2"/>
    <mergeCell ref="EI2:EL2"/>
    <mergeCell ref="EM2:EP2"/>
    <mergeCell ref="EH12:EP12"/>
    <mergeCell ref="BZ12:CH12"/>
    <mergeCell ref="CK2:CN2"/>
    <mergeCell ref="CA2:CD2"/>
    <mergeCell ref="DI2:DL2"/>
    <mergeCell ref="DD12:DL12"/>
    <mergeCell ref="DX12:EF12"/>
    <mergeCell ref="DO2:DR2"/>
    <mergeCell ref="DS2:DV2"/>
    <mergeCell ref="BQ2:BT2"/>
    <mergeCell ref="BU2:BX2"/>
    <mergeCell ref="BP12:BX12"/>
    <mergeCell ref="CY2:DB2"/>
    <mergeCell ref="CT12:DB12"/>
    <mergeCell ref="CO2:CR2"/>
    <mergeCell ref="AB12:AJ12"/>
    <mergeCell ref="BA2:BD2"/>
    <mergeCell ref="AV12:BD12"/>
    <mergeCell ref="AL12:AT12"/>
    <mergeCell ref="BG2:BJ2"/>
    <mergeCell ref="BF12:BN12"/>
    <mergeCell ref="AQ2:AT2"/>
    <mergeCell ref="AW2:AZ2"/>
    <mergeCell ref="BK2:BN2"/>
    <mergeCell ref="C2:E2"/>
    <mergeCell ref="F2:H2"/>
    <mergeCell ref="K2:M2"/>
    <mergeCell ref="N2:P2"/>
    <mergeCell ref="AM2:AP2"/>
    <mergeCell ref="AC2:AF2"/>
    <mergeCell ref="AG2:AJ2"/>
    <mergeCell ref="S2:V2"/>
    <mergeCell ref="W2:Z2"/>
    <mergeCell ref="IO2:IS2"/>
    <mergeCell ref="IT2:IX2"/>
    <mergeCell ref="IN12:IX12"/>
    <mergeCell ref="IC2:IG2"/>
    <mergeCell ref="IH2:IL2"/>
    <mergeCell ref="IB12:IL12"/>
  </mergeCells>
  <pageMargins left="0.7" right="0.7" top="0.75" bottom="0.75" header="0.3" footer="0.3"/>
  <ignoredErrors>
    <ignoredError sqref="CT2:DB3 CT11:DB12 CT4:DA5 CT7:DA10 CU6:DA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54A1-5A86-420C-9DE6-D2C3EE84FAC2}">
  <dimension ref="B1:KZ23"/>
  <sheetViews>
    <sheetView topLeftCell="KH2" workbookViewId="0">
      <selection activeCell="KQ14" sqref="KQ14"/>
    </sheetView>
  </sheetViews>
  <sheetFormatPr defaultRowHeight="14.4" x14ac:dyDescent="0.3"/>
  <cols>
    <col min="2" max="2" width="19.88671875" bestFit="1" customWidth="1"/>
    <col min="3" max="3" width="9.21875" bestFit="1" customWidth="1"/>
    <col min="4" max="4" width="8.5546875" bestFit="1" customWidth="1"/>
    <col min="5" max="5" width="9.5546875" bestFit="1" customWidth="1"/>
    <col min="6" max="6" width="10.44140625" bestFit="1" customWidth="1"/>
    <col min="7" max="7" width="7.88671875" bestFit="1" customWidth="1"/>
    <col min="8" max="8" width="9.21875" bestFit="1" customWidth="1"/>
    <col min="9" max="9" width="8.5546875" bestFit="1" customWidth="1"/>
    <col min="10" max="10" width="9.5546875" bestFit="1" customWidth="1"/>
    <col min="11" max="11" width="10.44140625" bestFit="1" customWidth="1"/>
    <col min="12" max="12" width="7.88671875" bestFit="1" customWidth="1"/>
    <col min="14" max="14" width="19.88671875" bestFit="1" customWidth="1"/>
    <col min="15" max="15" width="9.21875" bestFit="1" customWidth="1"/>
    <col min="16" max="16" width="8.5546875" bestFit="1" customWidth="1"/>
    <col min="17" max="17" width="9.5546875" bestFit="1" customWidth="1"/>
    <col min="18" max="18" width="10.44140625" bestFit="1" customWidth="1"/>
    <col min="19" max="19" width="7.88671875" bestFit="1" customWidth="1"/>
    <col min="20" max="20" width="9.21875" bestFit="1" customWidth="1"/>
    <col min="21" max="21" width="8.5546875" bestFit="1" customWidth="1"/>
    <col min="22" max="22" width="9.5546875" bestFit="1" customWidth="1"/>
    <col min="23" max="23" width="10.44140625" bestFit="1" customWidth="1"/>
    <col min="24" max="24" width="7.88671875" bestFit="1" customWidth="1"/>
    <col min="26" max="26" width="19.88671875" bestFit="1" customWidth="1"/>
    <col min="27" max="27" width="9.21875" bestFit="1" customWidth="1"/>
    <col min="28" max="28" width="8.5546875" bestFit="1" customWidth="1"/>
    <col min="29" max="29" width="9.5546875" bestFit="1" customWidth="1"/>
    <col min="30" max="30" width="10.44140625" bestFit="1" customWidth="1"/>
    <col min="31" max="31" width="6.88671875" bestFit="1" customWidth="1"/>
    <col min="32" max="32" width="9.21875" bestFit="1" customWidth="1"/>
    <col min="33" max="33" width="8.5546875" bestFit="1" customWidth="1"/>
    <col min="34" max="34" width="9.5546875" bestFit="1" customWidth="1"/>
    <col min="35" max="35" width="10.44140625" bestFit="1" customWidth="1"/>
    <col min="36" max="36" width="7.88671875" bestFit="1" customWidth="1"/>
    <col min="38" max="38" width="19.88671875" bestFit="1" customWidth="1"/>
    <col min="39" max="39" width="9.21875" bestFit="1" customWidth="1"/>
    <col min="40" max="40" width="8.5546875" bestFit="1" customWidth="1"/>
    <col min="41" max="41" width="9.5546875" bestFit="1" customWidth="1"/>
    <col min="42" max="42" width="10.44140625" bestFit="1" customWidth="1"/>
    <col min="43" max="43" width="7.88671875" bestFit="1" customWidth="1"/>
    <col min="44" max="44" width="9.21875" bestFit="1" customWidth="1"/>
    <col min="45" max="45" width="8.5546875" bestFit="1" customWidth="1"/>
    <col min="46" max="46" width="9.5546875" bestFit="1" customWidth="1"/>
    <col min="47" max="47" width="10.44140625" bestFit="1" customWidth="1"/>
    <col min="48" max="48" width="7.88671875" bestFit="1" customWidth="1"/>
    <col min="50" max="50" width="19.88671875" bestFit="1" customWidth="1"/>
    <col min="51" max="51" width="9.21875" bestFit="1" customWidth="1"/>
    <col min="52" max="52" width="8.5546875" bestFit="1" customWidth="1"/>
    <col min="53" max="53" width="9.5546875" bestFit="1" customWidth="1"/>
    <col min="54" max="54" width="10.44140625" bestFit="1" customWidth="1"/>
    <col min="55" max="55" width="7.88671875" bestFit="1" customWidth="1"/>
    <col min="56" max="56" width="9.21875" bestFit="1" customWidth="1"/>
    <col min="57" max="57" width="8.5546875" bestFit="1" customWidth="1"/>
    <col min="58" max="58" width="9.5546875" bestFit="1" customWidth="1"/>
    <col min="59" max="59" width="10.44140625" bestFit="1" customWidth="1"/>
    <col min="60" max="60" width="7.88671875" bestFit="1" customWidth="1"/>
    <col min="62" max="62" width="19.88671875" bestFit="1" customWidth="1"/>
    <col min="63" max="63" width="9.21875" bestFit="1" customWidth="1"/>
    <col min="64" max="64" width="8.5546875" bestFit="1" customWidth="1"/>
    <col min="65" max="65" width="9.5546875" bestFit="1" customWidth="1"/>
    <col min="66" max="66" width="10.44140625" bestFit="1" customWidth="1"/>
    <col min="67" max="67" width="6.88671875" bestFit="1" customWidth="1"/>
    <col min="68" max="68" width="9.21875" bestFit="1" customWidth="1"/>
    <col min="69" max="69" width="8.5546875" bestFit="1" customWidth="1"/>
    <col min="70" max="70" width="9.5546875" bestFit="1" customWidth="1"/>
    <col min="71" max="71" width="10.44140625" bestFit="1" customWidth="1"/>
    <col min="72" max="72" width="7.88671875" bestFit="1" customWidth="1"/>
    <col min="74" max="74" width="19.88671875" bestFit="1" customWidth="1"/>
    <col min="75" max="75" width="9.21875" bestFit="1" customWidth="1"/>
    <col min="76" max="76" width="8.5546875" bestFit="1" customWidth="1"/>
    <col min="77" max="77" width="9.5546875" bestFit="1" customWidth="1"/>
    <col min="78" max="78" width="10.44140625" bestFit="1" customWidth="1"/>
    <col min="79" max="79" width="7.88671875" bestFit="1" customWidth="1"/>
    <col min="80" max="80" width="9.21875" bestFit="1" customWidth="1"/>
    <col min="81" max="81" width="8.5546875" bestFit="1" customWidth="1"/>
    <col min="82" max="82" width="9.5546875" bestFit="1" customWidth="1"/>
    <col min="83" max="83" width="10.44140625" bestFit="1" customWidth="1"/>
    <col min="84" max="84" width="7.88671875" bestFit="1" customWidth="1"/>
    <col min="86" max="86" width="19.88671875" bestFit="1" customWidth="1"/>
    <col min="87" max="87" width="9.21875" bestFit="1" customWidth="1"/>
    <col min="88" max="88" width="8.5546875" bestFit="1" customWidth="1"/>
    <col min="89" max="89" width="9.5546875" bestFit="1" customWidth="1"/>
    <col min="90" max="90" width="10.44140625" bestFit="1" customWidth="1"/>
    <col min="91" max="91" width="7.88671875" bestFit="1" customWidth="1"/>
    <col min="92" max="92" width="9.21875" bestFit="1" customWidth="1"/>
    <col min="93" max="93" width="8.5546875" bestFit="1" customWidth="1"/>
    <col min="94" max="94" width="9.5546875" bestFit="1" customWidth="1"/>
    <col min="95" max="95" width="10.44140625" bestFit="1" customWidth="1"/>
    <col min="96" max="96" width="7.88671875" bestFit="1" customWidth="1"/>
    <col min="98" max="98" width="19.88671875" bestFit="1" customWidth="1"/>
    <col min="99" max="99" width="9.21875" bestFit="1" customWidth="1"/>
    <col min="100" max="100" width="8.5546875" bestFit="1" customWidth="1"/>
    <col min="101" max="101" width="9.5546875" bestFit="1" customWidth="1"/>
    <col min="102" max="102" width="10.44140625" bestFit="1" customWidth="1"/>
    <col min="103" max="103" width="6.88671875" bestFit="1" customWidth="1"/>
    <col min="104" max="104" width="9.21875" bestFit="1" customWidth="1"/>
    <col min="105" max="105" width="8.5546875" bestFit="1" customWidth="1"/>
    <col min="106" max="106" width="9.5546875" bestFit="1" customWidth="1"/>
    <col min="107" max="107" width="10.44140625" bestFit="1" customWidth="1"/>
    <col min="108" max="108" width="9.33203125" bestFit="1" customWidth="1"/>
    <col min="110" max="110" width="19.88671875" bestFit="1" customWidth="1"/>
    <col min="111" max="111" width="9.21875" bestFit="1" customWidth="1"/>
    <col min="112" max="112" width="8.5546875" bestFit="1" customWidth="1"/>
    <col min="113" max="113" width="9.5546875" bestFit="1" customWidth="1"/>
    <col min="114" max="114" width="10.44140625" bestFit="1" customWidth="1"/>
    <col min="115" max="115" width="6.88671875" bestFit="1" customWidth="1"/>
    <col min="116" max="116" width="9.21875" bestFit="1" customWidth="1"/>
    <col min="117" max="117" width="8.5546875" bestFit="1" customWidth="1"/>
    <col min="118" max="118" width="9.5546875" bestFit="1" customWidth="1"/>
    <col min="119" max="119" width="10.44140625" bestFit="1" customWidth="1"/>
    <col min="120" max="120" width="9.33203125" bestFit="1" customWidth="1"/>
    <col min="122" max="122" width="19.88671875" bestFit="1" customWidth="1"/>
    <col min="123" max="123" width="9.21875" bestFit="1" customWidth="1"/>
    <col min="124" max="124" width="8.5546875" bestFit="1" customWidth="1"/>
    <col min="125" max="125" width="9.5546875" bestFit="1" customWidth="1"/>
    <col min="126" max="126" width="10.44140625" bestFit="1" customWidth="1"/>
    <col min="127" max="127" width="7.88671875" bestFit="1" customWidth="1"/>
    <col min="128" max="128" width="9.21875" bestFit="1" customWidth="1"/>
    <col min="129" max="129" width="8.5546875" bestFit="1" customWidth="1"/>
    <col min="130" max="130" width="9.5546875" bestFit="1" customWidth="1"/>
    <col min="131" max="131" width="10.44140625" bestFit="1" customWidth="1"/>
    <col min="132" max="132" width="9.33203125" bestFit="1" customWidth="1"/>
    <col min="134" max="134" width="19.88671875" bestFit="1" customWidth="1"/>
    <col min="135" max="135" width="9.21875" bestFit="1" customWidth="1"/>
    <col min="136" max="136" width="8.5546875" bestFit="1" customWidth="1"/>
    <col min="137" max="137" width="9.5546875" bestFit="1" customWidth="1"/>
    <col min="138" max="138" width="10.44140625" bestFit="1" customWidth="1"/>
    <col min="139" max="139" width="7.88671875" bestFit="1" customWidth="1"/>
    <col min="140" max="140" width="9.21875" bestFit="1" customWidth="1"/>
    <col min="141" max="141" width="9.33203125" bestFit="1" customWidth="1"/>
    <col min="142" max="142" width="9.5546875" bestFit="1" customWidth="1"/>
    <col min="143" max="143" width="10.44140625" bestFit="1" customWidth="1"/>
    <col min="144" max="144" width="9.33203125" bestFit="1" customWidth="1"/>
    <col min="146" max="146" width="19.88671875" bestFit="1" customWidth="1"/>
    <col min="147" max="147" width="9.21875" bestFit="1" customWidth="1"/>
    <col min="148" max="148" width="8.5546875" bestFit="1" customWidth="1"/>
    <col min="149" max="149" width="9.5546875" bestFit="1" customWidth="1"/>
    <col min="150" max="150" width="10.44140625" bestFit="1" customWidth="1"/>
    <col min="151" max="151" width="6.88671875" bestFit="1" customWidth="1"/>
    <col min="152" max="152" width="9.21875" bestFit="1" customWidth="1"/>
    <col min="153" max="153" width="9.33203125" bestFit="1" customWidth="1"/>
    <col min="154" max="154" width="9.5546875" bestFit="1" customWidth="1"/>
    <col min="155" max="155" width="10.44140625" bestFit="1" customWidth="1"/>
    <col min="156" max="156" width="9.33203125" bestFit="1" customWidth="1"/>
    <col min="158" max="158" width="19.88671875" bestFit="1" customWidth="1"/>
    <col min="159" max="159" width="9.21875" bestFit="1" customWidth="1"/>
    <col min="160" max="160" width="8.5546875" bestFit="1" customWidth="1"/>
    <col min="161" max="161" width="9.5546875" bestFit="1" customWidth="1"/>
    <col min="162" max="162" width="10.44140625" bestFit="1" customWidth="1"/>
    <col min="163" max="163" width="7.88671875" bestFit="1" customWidth="1"/>
    <col min="164" max="164" width="9.21875" bestFit="1" customWidth="1"/>
    <col min="165" max="165" width="9.33203125" bestFit="1" customWidth="1"/>
    <col min="166" max="166" width="9.5546875" bestFit="1" customWidth="1"/>
    <col min="167" max="167" width="10.44140625" bestFit="1" customWidth="1"/>
    <col min="168" max="168" width="9.33203125" bestFit="1" customWidth="1"/>
    <col min="170" max="170" width="19.88671875" bestFit="1" customWidth="1"/>
    <col min="171" max="171" width="9.21875" bestFit="1" customWidth="1"/>
    <col min="172" max="172" width="8.5546875" bestFit="1" customWidth="1"/>
    <col min="173" max="173" width="9.5546875" bestFit="1" customWidth="1"/>
    <col min="174" max="174" width="10.44140625" bestFit="1" customWidth="1"/>
    <col min="175" max="175" width="6.88671875" bestFit="1" customWidth="1"/>
    <col min="176" max="176" width="9.21875" bestFit="1" customWidth="1"/>
    <col min="177" max="177" width="9.33203125" bestFit="1" customWidth="1"/>
    <col min="178" max="178" width="9.5546875" bestFit="1" customWidth="1"/>
    <col min="179" max="179" width="10.44140625" bestFit="1" customWidth="1"/>
    <col min="180" max="180" width="9.33203125" bestFit="1" customWidth="1"/>
    <col min="182" max="182" width="14.77734375" customWidth="1"/>
    <col min="183" max="183" width="7.21875" style="83" bestFit="1" customWidth="1"/>
    <col min="184" max="184" width="8.109375" style="83" customWidth="1"/>
    <col min="185" max="186" width="6.88671875" style="83" bestFit="1" customWidth="1"/>
    <col min="187" max="187" width="6.33203125" style="83" customWidth="1"/>
    <col min="188" max="189" width="6.88671875" style="83" bestFit="1" customWidth="1"/>
    <col min="190" max="190" width="9.33203125" style="83" bestFit="1" customWidth="1"/>
    <col min="191" max="192" width="7.88671875" style="83" bestFit="1" customWidth="1"/>
    <col min="193" max="193" width="6" style="83" customWidth="1"/>
    <col min="194" max="194" width="9.33203125" style="83" bestFit="1" customWidth="1"/>
    <col min="196" max="196" width="15.109375" bestFit="1" customWidth="1"/>
    <col min="197" max="198" width="6.88671875" bestFit="1" customWidth="1"/>
    <col min="199" max="199" width="7.6640625" customWidth="1"/>
    <col min="200" max="200" width="6.88671875" bestFit="1" customWidth="1"/>
    <col min="201" max="201" width="7.21875" bestFit="1" customWidth="1"/>
    <col min="202" max="202" width="7.88671875" bestFit="1" customWidth="1"/>
    <col min="203" max="203" width="6.88671875" bestFit="1" customWidth="1"/>
    <col min="204" max="204" width="9.33203125" bestFit="1" customWidth="1"/>
    <col min="205" max="206" width="7.88671875" bestFit="1" customWidth="1"/>
    <col min="207" max="207" width="6" bestFit="1" customWidth="1"/>
    <col min="208" max="208" width="9.33203125" bestFit="1" customWidth="1"/>
    <col min="210" max="210" width="15.109375" bestFit="1" customWidth="1"/>
    <col min="211" max="211" width="5.109375" bestFit="1" customWidth="1"/>
    <col min="212" max="212" width="6.88671875" bestFit="1" customWidth="1"/>
    <col min="213" max="213" width="7.21875" customWidth="1"/>
    <col min="214" max="214" width="6.88671875" bestFit="1" customWidth="1"/>
    <col min="215" max="215" width="6" bestFit="1" customWidth="1"/>
    <col min="216" max="217" width="6.88671875" bestFit="1" customWidth="1"/>
    <col min="218" max="218" width="9.33203125" bestFit="1" customWidth="1"/>
    <col min="219" max="220" width="7.88671875" bestFit="1" customWidth="1"/>
    <col min="221" max="221" width="6" bestFit="1" customWidth="1"/>
    <col min="222" max="222" width="9.33203125" bestFit="1" customWidth="1"/>
    <col min="224" max="224" width="15.109375" bestFit="1" customWidth="1"/>
    <col min="225" max="225" width="5.109375" bestFit="1" customWidth="1"/>
    <col min="226" max="226" width="6.88671875" bestFit="1" customWidth="1"/>
    <col min="227" max="227" width="8" bestFit="1" customWidth="1"/>
    <col min="228" max="228" width="6.88671875" bestFit="1" customWidth="1"/>
    <col min="229" max="229" width="6" bestFit="1" customWidth="1"/>
    <col min="230" max="230" width="7.88671875" bestFit="1" customWidth="1"/>
    <col min="231" max="231" width="6.88671875" bestFit="1" customWidth="1"/>
    <col min="232" max="232" width="9.33203125" bestFit="1" customWidth="1"/>
    <col min="233" max="234" width="7.88671875" bestFit="1" customWidth="1"/>
    <col min="235" max="235" width="6" bestFit="1" customWidth="1"/>
    <col min="236" max="236" width="9.33203125" bestFit="1" customWidth="1"/>
    <col min="238" max="238" width="15.109375" bestFit="1" customWidth="1"/>
    <col min="239" max="239" width="5.109375" bestFit="1" customWidth="1"/>
    <col min="240" max="240" width="6.88671875" bestFit="1" customWidth="1"/>
    <col min="241" max="241" width="6.44140625" customWidth="1"/>
    <col min="242" max="242" width="6.88671875" bestFit="1" customWidth="1"/>
    <col min="243" max="243" width="6" bestFit="1" customWidth="1"/>
    <col min="244" max="244" width="7.88671875" bestFit="1" customWidth="1"/>
    <col min="245" max="245" width="6.88671875" bestFit="1" customWidth="1"/>
    <col min="246" max="246" width="9.33203125" bestFit="1" customWidth="1"/>
    <col min="247" max="248" width="7.88671875" bestFit="1" customWidth="1"/>
    <col min="249" max="249" width="6" bestFit="1" customWidth="1"/>
    <col min="250" max="250" width="9.33203125" bestFit="1" customWidth="1"/>
    <col min="252" max="252" width="15.109375" bestFit="1" customWidth="1"/>
    <col min="253" max="253" width="5.109375" bestFit="1" customWidth="1"/>
    <col min="254" max="254" width="6.88671875" bestFit="1" customWidth="1"/>
    <col min="255" max="255" width="8" bestFit="1" customWidth="1"/>
    <col min="256" max="256" width="6.88671875" bestFit="1" customWidth="1"/>
    <col min="257" max="257" width="6" bestFit="1" customWidth="1"/>
    <col min="258" max="259" width="6.88671875" bestFit="1" customWidth="1"/>
    <col min="260" max="260" width="9.33203125" bestFit="1" customWidth="1"/>
    <col min="261" max="262" width="7.88671875" bestFit="1" customWidth="1"/>
    <col min="263" max="263" width="6" bestFit="1" customWidth="1"/>
    <col min="264" max="264" width="9.33203125" bestFit="1" customWidth="1"/>
    <col min="266" max="266" width="15.109375" bestFit="1" customWidth="1"/>
    <col min="267" max="268" width="6.88671875" bestFit="1" customWidth="1"/>
    <col min="269" max="269" width="5.44140625" bestFit="1" customWidth="1"/>
    <col min="270" max="270" width="6.88671875" bestFit="1" customWidth="1"/>
    <col min="271" max="271" width="6" bestFit="1" customWidth="1"/>
    <col min="272" max="272" width="7.88671875" bestFit="1" customWidth="1"/>
    <col min="273" max="273" width="6.88671875" bestFit="1" customWidth="1"/>
    <col min="274" max="274" width="9.33203125" bestFit="1" customWidth="1"/>
    <col min="275" max="276" width="7.88671875" bestFit="1" customWidth="1"/>
    <col min="277" max="277" width="6" bestFit="1" customWidth="1"/>
    <col min="278" max="278" width="9.33203125" bestFit="1" customWidth="1"/>
    <col min="280" max="280" width="15.109375" bestFit="1" customWidth="1"/>
    <col min="281" max="281" width="5.109375" bestFit="1" customWidth="1"/>
    <col min="282" max="282" width="6.88671875" bestFit="1" customWidth="1"/>
    <col min="283" max="283" width="5.44140625" bestFit="1" customWidth="1"/>
    <col min="284" max="284" width="6.88671875" bestFit="1" customWidth="1"/>
    <col min="285" max="285" width="6" bestFit="1" customWidth="1"/>
    <col min="286" max="287" width="6.88671875" bestFit="1" customWidth="1"/>
    <col min="288" max="288" width="9.33203125" bestFit="1" customWidth="1"/>
    <col min="289" max="290" width="7.88671875" bestFit="1" customWidth="1"/>
    <col min="291" max="291" width="6" bestFit="1" customWidth="1"/>
    <col min="292" max="292" width="9.33203125" bestFit="1" customWidth="1"/>
    <col min="294" max="294" width="15.109375" bestFit="1" customWidth="1"/>
    <col min="295" max="295" width="5.109375" bestFit="1" customWidth="1"/>
    <col min="296" max="296" width="6.88671875" bestFit="1" customWidth="1"/>
    <col min="297" max="297" width="5.109375" bestFit="1" customWidth="1"/>
    <col min="298" max="298" width="6.88671875" bestFit="1" customWidth="1"/>
    <col min="299" max="299" width="6" bestFit="1" customWidth="1"/>
    <col min="300" max="301" width="6.88671875" bestFit="1" customWidth="1"/>
    <col min="302" max="302" width="9.33203125" bestFit="1" customWidth="1"/>
    <col min="303" max="304" width="7.88671875" bestFit="1" customWidth="1"/>
    <col min="305" max="305" width="6" bestFit="1" customWidth="1"/>
    <col min="306" max="306" width="9.33203125" bestFit="1" customWidth="1"/>
  </cols>
  <sheetData>
    <row r="1" spans="2:312" ht="15" thickBot="1" x14ac:dyDescent="0.35"/>
    <row r="2" spans="2:312" ht="15" thickBot="1" x14ac:dyDescent="0.35">
      <c r="B2" s="14" t="s">
        <v>481</v>
      </c>
      <c r="C2" s="357">
        <v>45781</v>
      </c>
      <c r="D2" s="358"/>
      <c r="E2" s="358"/>
      <c r="F2" s="358"/>
      <c r="G2" s="359"/>
      <c r="H2" s="360" t="s">
        <v>522</v>
      </c>
      <c r="I2" s="361"/>
      <c r="J2" s="361"/>
      <c r="K2" s="361"/>
      <c r="L2" s="362"/>
      <c r="N2" s="14" t="s">
        <v>481</v>
      </c>
      <c r="O2" s="357">
        <v>45782</v>
      </c>
      <c r="P2" s="358"/>
      <c r="Q2" s="358"/>
      <c r="R2" s="358"/>
      <c r="S2" s="359"/>
      <c r="T2" s="360" t="s">
        <v>522</v>
      </c>
      <c r="U2" s="361"/>
      <c r="V2" s="361"/>
      <c r="W2" s="361"/>
      <c r="X2" s="362"/>
      <c r="Z2" s="14" t="s">
        <v>481</v>
      </c>
      <c r="AA2" s="357">
        <v>45783</v>
      </c>
      <c r="AB2" s="358"/>
      <c r="AC2" s="358"/>
      <c r="AD2" s="358"/>
      <c r="AE2" s="359"/>
      <c r="AF2" s="360" t="s">
        <v>522</v>
      </c>
      <c r="AG2" s="361"/>
      <c r="AH2" s="361"/>
      <c r="AI2" s="361"/>
      <c r="AJ2" s="362"/>
      <c r="AL2" s="14" t="s">
        <v>481</v>
      </c>
      <c r="AM2" s="357">
        <v>45784</v>
      </c>
      <c r="AN2" s="358"/>
      <c r="AO2" s="358"/>
      <c r="AP2" s="358"/>
      <c r="AQ2" s="359"/>
      <c r="AR2" s="360" t="s">
        <v>522</v>
      </c>
      <c r="AS2" s="361"/>
      <c r="AT2" s="361"/>
      <c r="AU2" s="361"/>
      <c r="AV2" s="362"/>
      <c r="AX2" s="14" t="s">
        <v>481</v>
      </c>
      <c r="AY2" s="357">
        <v>45785</v>
      </c>
      <c r="AZ2" s="358"/>
      <c r="BA2" s="358"/>
      <c r="BB2" s="358"/>
      <c r="BC2" s="359"/>
      <c r="BD2" s="360" t="s">
        <v>522</v>
      </c>
      <c r="BE2" s="361"/>
      <c r="BF2" s="361"/>
      <c r="BG2" s="361"/>
      <c r="BH2" s="362"/>
      <c r="BJ2" s="14" t="s">
        <v>481</v>
      </c>
      <c r="BK2" s="357">
        <v>45786</v>
      </c>
      <c r="BL2" s="358"/>
      <c r="BM2" s="358"/>
      <c r="BN2" s="358"/>
      <c r="BO2" s="359"/>
      <c r="BP2" s="360" t="s">
        <v>522</v>
      </c>
      <c r="BQ2" s="361"/>
      <c r="BR2" s="361"/>
      <c r="BS2" s="361"/>
      <c r="BT2" s="362"/>
      <c r="BV2" s="14" t="s">
        <v>481</v>
      </c>
      <c r="BW2" s="357">
        <v>45788</v>
      </c>
      <c r="BX2" s="358"/>
      <c r="BY2" s="358"/>
      <c r="BZ2" s="358"/>
      <c r="CA2" s="359"/>
      <c r="CB2" s="360" t="s">
        <v>522</v>
      </c>
      <c r="CC2" s="361"/>
      <c r="CD2" s="361"/>
      <c r="CE2" s="361"/>
      <c r="CF2" s="362"/>
      <c r="CH2" s="14" t="s">
        <v>481</v>
      </c>
      <c r="CI2" s="357">
        <v>45789</v>
      </c>
      <c r="CJ2" s="358"/>
      <c r="CK2" s="358"/>
      <c r="CL2" s="358"/>
      <c r="CM2" s="359"/>
      <c r="CN2" s="360" t="s">
        <v>522</v>
      </c>
      <c r="CO2" s="361"/>
      <c r="CP2" s="361"/>
      <c r="CQ2" s="361"/>
      <c r="CR2" s="362"/>
      <c r="CT2" s="14" t="s">
        <v>481</v>
      </c>
      <c r="CU2" s="357">
        <v>45790</v>
      </c>
      <c r="CV2" s="358"/>
      <c r="CW2" s="358"/>
      <c r="CX2" s="358"/>
      <c r="CY2" s="359"/>
      <c r="CZ2" s="360" t="s">
        <v>522</v>
      </c>
      <c r="DA2" s="361"/>
      <c r="DB2" s="361"/>
      <c r="DC2" s="361"/>
      <c r="DD2" s="362"/>
      <c r="DF2" s="14" t="s">
        <v>481</v>
      </c>
      <c r="DG2" s="357">
        <v>45791</v>
      </c>
      <c r="DH2" s="358"/>
      <c r="DI2" s="358"/>
      <c r="DJ2" s="358"/>
      <c r="DK2" s="359"/>
      <c r="DL2" s="360" t="s">
        <v>522</v>
      </c>
      <c r="DM2" s="361"/>
      <c r="DN2" s="361"/>
      <c r="DO2" s="361"/>
      <c r="DP2" s="362"/>
      <c r="DR2" s="14" t="s">
        <v>481</v>
      </c>
      <c r="DS2" s="357">
        <v>45792</v>
      </c>
      <c r="DT2" s="358"/>
      <c r="DU2" s="358"/>
      <c r="DV2" s="358"/>
      <c r="DW2" s="359"/>
      <c r="DX2" s="360" t="s">
        <v>522</v>
      </c>
      <c r="DY2" s="361"/>
      <c r="DZ2" s="361"/>
      <c r="EA2" s="361"/>
      <c r="EB2" s="362"/>
      <c r="ED2" s="14" t="s">
        <v>481</v>
      </c>
      <c r="EE2" s="357">
        <v>45793</v>
      </c>
      <c r="EF2" s="358"/>
      <c r="EG2" s="358"/>
      <c r="EH2" s="358"/>
      <c r="EI2" s="359"/>
      <c r="EJ2" s="360" t="s">
        <v>522</v>
      </c>
      <c r="EK2" s="361"/>
      <c r="EL2" s="361"/>
      <c r="EM2" s="361"/>
      <c r="EN2" s="362"/>
      <c r="EP2" s="14" t="s">
        <v>481</v>
      </c>
      <c r="EQ2" s="357">
        <v>45795</v>
      </c>
      <c r="ER2" s="358"/>
      <c r="ES2" s="358"/>
      <c r="ET2" s="358"/>
      <c r="EU2" s="359"/>
      <c r="EV2" s="360" t="s">
        <v>522</v>
      </c>
      <c r="EW2" s="361"/>
      <c r="EX2" s="361"/>
      <c r="EY2" s="361"/>
      <c r="EZ2" s="362"/>
      <c r="FB2" s="14" t="s">
        <v>481</v>
      </c>
      <c r="FC2" s="357">
        <v>45796</v>
      </c>
      <c r="FD2" s="358"/>
      <c r="FE2" s="358"/>
      <c r="FF2" s="358"/>
      <c r="FG2" s="359"/>
      <c r="FH2" s="360" t="s">
        <v>522</v>
      </c>
      <c r="FI2" s="361"/>
      <c r="FJ2" s="361"/>
      <c r="FK2" s="361"/>
      <c r="FL2" s="362"/>
      <c r="FN2" s="14" t="s">
        <v>481</v>
      </c>
      <c r="FO2" s="357">
        <v>45797</v>
      </c>
      <c r="FP2" s="358"/>
      <c r="FQ2" s="358"/>
      <c r="FR2" s="358"/>
      <c r="FS2" s="359"/>
      <c r="FT2" s="360" t="s">
        <v>522</v>
      </c>
      <c r="FU2" s="361"/>
      <c r="FV2" s="361"/>
      <c r="FW2" s="361"/>
      <c r="FX2" s="362"/>
      <c r="FZ2" s="14" t="s">
        <v>481</v>
      </c>
      <c r="GA2" s="378">
        <v>45798</v>
      </c>
      <c r="GB2" s="379"/>
      <c r="GC2" s="379"/>
      <c r="GD2" s="379"/>
      <c r="GE2" s="379"/>
      <c r="GF2" s="380"/>
      <c r="GG2" s="381" t="s">
        <v>522</v>
      </c>
      <c r="GH2" s="382"/>
      <c r="GI2" s="382"/>
      <c r="GJ2" s="382"/>
      <c r="GK2" s="382"/>
      <c r="GL2" s="383"/>
      <c r="GN2" s="14" t="s">
        <v>481</v>
      </c>
      <c r="GO2" s="357">
        <v>45799</v>
      </c>
      <c r="GP2" s="358"/>
      <c r="GQ2" s="358"/>
      <c r="GR2" s="358"/>
      <c r="GS2" s="358"/>
      <c r="GT2" s="359"/>
      <c r="GU2" s="360" t="s">
        <v>522</v>
      </c>
      <c r="GV2" s="361"/>
      <c r="GW2" s="361"/>
      <c r="GX2" s="361"/>
      <c r="GY2" s="361"/>
      <c r="GZ2" s="362"/>
      <c r="HB2" s="14" t="s">
        <v>481</v>
      </c>
      <c r="HC2" s="357">
        <v>45800</v>
      </c>
      <c r="HD2" s="358"/>
      <c r="HE2" s="358"/>
      <c r="HF2" s="358"/>
      <c r="HG2" s="358"/>
      <c r="HH2" s="359"/>
      <c r="HI2" s="360" t="s">
        <v>522</v>
      </c>
      <c r="HJ2" s="361"/>
      <c r="HK2" s="361"/>
      <c r="HL2" s="361"/>
      <c r="HM2" s="361"/>
      <c r="HN2" s="362"/>
      <c r="HP2" s="14" t="s">
        <v>481</v>
      </c>
      <c r="HQ2" s="357">
        <v>45802</v>
      </c>
      <c r="HR2" s="358"/>
      <c r="HS2" s="358"/>
      <c r="HT2" s="358"/>
      <c r="HU2" s="358"/>
      <c r="HV2" s="359"/>
      <c r="HW2" s="360" t="s">
        <v>522</v>
      </c>
      <c r="HX2" s="361"/>
      <c r="HY2" s="361"/>
      <c r="HZ2" s="361"/>
      <c r="IA2" s="361"/>
      <c r="IB2" s="362"/>
      <c r="ID2" s="14" t="s">
        <v>481</v>
      </c>
      <c r="IE2" s="357">
        <v>45803</v>
      </c>
      <c r="IF2" s="358"/>
      <c r="IG2" s="358"/>
      <c r="IH2" s="358"/>
      <c r="II2" s="358"/>
      <c r="IJ2" s="359"/>
      <c r="IK2" s="360" t="s">
        <v>522</v>
      </c>
      <c r="IL2" s="361"/>
      <c r="IM2" s="361"/>
      <c r="IN2" s="361"/>
      <c r="IO2" s="361"/>
      <c r="IP2" s="362"/>
      <c r="IR2" s="14" t="s">
        <v>481</v>
      </c>
      <c r="IS2" s="357">
        <v>45804</v>
      </c>
      <c r="IT2" s="358"/>
      <c r="IU2" s="358"/>
      <c r="IV2" s="358"/>
      <c r="IW2" s="358"/>
      <c r="IX2" s="359"/>
      <c r="IY2" s="360" t="s">
        <v>522</v>
      </c>
      <c r="IZ2" s="361"/>
      <c r="JA2" s="361"/>
      <c r="JB2" s="361"/>
      <c r="JC2" s="361"/>
      <c r="JD2" s="362"/>
      <c r="JF2" s="14" t="s">
        <v>481</v>
      </c>
      <c r="JG2" s="357">
        <v>45805</v>
      </c>
      <c r="JH2" s="358"/>
      <c r="JI2" s="358"/>
      <c r="JJ2" s="358"/>
      <c r="JK2" s="358"/>
      <c r="JL2" s="359"/>
      <c r="JM2" s="360" t="s">
        <v>522</v>
      </c>
      <c r="JN2" s="361"/>
      <c r="JO2" s="361"/>
      <c r="JP2" s="361"/>
      <c r="JQ2" s="361"/>
      <c r="JR2" s="362"/>
      <c r="JT2" s="14" t="s">
        <v>481</v>
      </c>
      <c r="JU2" s="357">
        <v>45806</v>
      </c>
      <c r="JV2" s="358"/>
      <c r="JW2" s="358"/>
      <c r="JX2" s="358"/>
      <c r="JY2" s="358"/>
      <c r="JZ2" s="359"/>
      <c r="KA2" s="360" t="s">
        <v>522</v>
      </c>
      <c r="KB2" s="361"/>
      <c r="KC2" s="361"/>
      <c r="KD2" s="361"/>
      <c r="KE2" s="361"/>
      <c r="KF2" s="362"/>
      <c r="KH2" s="14" t="s">
        <v>481</v>
      </c>
      <c r="KI2" s="357">
        <v>45807</v>
      </c>
      <c r="KJ2" s="358"/>
      <c r="KK2" s="358"/>
      <c r="KL2" s="358"/>
      <c r="KM2" s="358"/>
      <c r="KN2" s="359"/>
      <c r="KO2" s="360" t="s">
        <v>522</v>
      </c>
      <c r="KP2" s="361"/>
      <c r="KQ2" s="361"/>
      <c r="KR2" s="361"/>
      <c r="KS2" s="361"/>
      <c r="KT2" s="362"/>
    </row>
    <row r="3" spans="2:312" ht="43.2" x14ac:dyDescent="0.3">
      <c r="B3" s="34" t="s">
        <v>455</v>
      </c>
      <c r="C3" s="33" t="s">
        <v>476</v>
      </c>
      <c r="D3" s="35" t="s">
        <v>477</v>
      </c>
      <c r="E3" s="35" t="s">
        <v>489</v>
      </c>
      <c r="F3" s="50" t="s">
        <v>480</v>
      </c>
      <c r="G3" s="36" t="s">
        <v>462</v>
      </c>
      <c r="H3" s="37" t="s">
        <v>476</v>
      </c>
      <c r="I3" s="35" t="s">
        <v>477</v>
      </c>
      <c r="J3" s="35" t="s">
        <v>489</v>
      </c>
      <c r="K3" s="50" t="s">
        <v>480</v>
      </c>
      <c r="L3" s="36" t="s">
        <v>462</v>
      </c>
      <c r="N3" s="34" t="s">
        <v>455</v>
      </c>
      <c r="O3" s="33" t="s">
        <v>476</v>
      </c>
      <c r="P3" s="35" t="s">
        <v>477</v>
      </c>
      <c r="Q3" s="35" t="s">
        <v>489</v>
      </c>
      <c r="R3" s="50" t="s">
        <v>480</v>
      </c>
      <c r="S3" s="36" t="s">
        <v>462</v>
      </c>
      <c r="T3" s="37" t="s">
        <v>476</v>
      </c>
      <c r="U3" s="35" t="s">
        <v>477</v>
      </c>
      <c r="V3" s="35" t="s">
        <v>489</v>
      </c>
      <c r="W3" s="50" t="s">
        <v>480</v>
      </c>
      <c r="X3" s="36" t="s">
        <v>462</v>
      </c>
      <c r="Z3" s="34" t="s">
        <v>455</v>
      </c>
      <c r="AA3" s="33" t="s">
        <v>476</v>
      </c>
      <c r="AB3" s="35" t="s">
        <v>477</v>
      </c>
      <c r="AC3" s="35" t="s">
        <v>489</v>
      </c>
      <c r="AD3" s="50" t="s">
        <v>480</v>
      </c>
      <c r="AE3" s="36" t="s">
        <v>462</v>
      </c>
      <c r="AF3" s="37" t="s">
        <v>476</v>
      </c>
      <c r="AG3" s="35" t="s">
        <v>477</v>
      </c>
      <c r="AH3" s="35" t="s">
        <v>489</v>
      </c>
      <c r="AI3" s="50" t="s">
        <v>480</v>
      </c>
      <c r="AJ3" s="36" t="s">
        <v>462</v>
      </c>
      <c r="AL3" s="34" t="s">
        <v>455</v>
      </c>
      <c r="AM3" s="33" t="s">
        <v>476</v>
      </c>
      <c r="AN3" s="35" t="s">
        <v>477</v>
      </c>
      <c r="AO3" s="35" t="s">
        <v>489</v>
      </c>
      <c r="AP3" s="50" t="s">
        <v>480</v>
      </c>
      <c r="AQ3" s="36" t="s">
        <v>462</v>
      </c>
      <c r="AR3" s="37" t="s">
        <v>476</v>
      </c>
      <c r="AS3" s="35" t="s">
        <v>477</v>
      </c>
      <c r="AT3" s="35" t="s">
        <v>489</v>
      </c>
      <c r="AU3" s="50" t="s">
        <v>480</v>
      </c>
      <c r="AV3" s="36" t="s">
        <v>462</v>
      </c>
      <c r="AX3" s="34" t="s">
        <v>455</v>
      </c>
      <c r="AY3" s="33" t="s">
        <v>476</v>
      </c>
      <c r="AZ3" s="35" t="s">
        <v>477</v>
      </c>
      <c r="BA3" s="35" t="s">
        <v>489</v>
      </c>
      <c r="BB3" s="50" t="s">
        <v>480</v>
      </c>
      <c r="BC3" s="36" t="s">
        <v>462</v>
      </c>
      <c r="BD3" s="37" t="s">
        <v>476</v>
      </c>
      <c r="BE3" s="35" t="s">
        <v>477</v>
      </c>
      <c r="BF3" s="35" t="s">
        <v>489</v>
      </c>
      <c r="BG3" s="50" t="s">
        <v>480</v>
      </c>
      <c r="BH3" s="36" t="s">
        <v>462</v>
      </c>
      <c r="BJ3" s="34" t="s">
        <v>455</v>
      </c>
      <c r="BK3" s="33" t="s">
        <v>476</v>
      </c>
      <c r="BL3" s="35" t="s">
        <v>477</v>
      </c>
      <c r="BM3" s="35" t="s">
        <v>489</v>
      </c>
      <c r="BN3" s="50" t="s">
        <v>480</v>
      </c>
      <c r="BO3" s="36" t="s">
        <v>462</v>
      </c>
      <c r="BP3" s="37" t="s">
        <v>476</v>
      </c>
      <c r="BQ3" s="35" t="s">
        <v>477</v>
      </c>
      <c r="BR3" s="35" t="s">
        <v>489</v>
      </c>
      <c r="BS3" s="50" t="s">
        <v>480</v>
      </c>
      <c r="BT3" s="36" t="s">
        <v>462</v>
      </c>
      <c r="BV3" s="34" t="s">
        <v>455</v>
      </c>
      <c r="BW3" s="33" t="s">
        <v>476</v>
      </c>
      <c r="BX3" s="35" t="s">
        <v>477</v>
      </c>
      <c r="BY3" s="35" t="s">
        <v>489</v>
      </c>
      <c r="BZ3" s="50" t="s">
        <v>480</v>
      </c>
      <c r="CA3" s="36" t="s">
        <v>462</v>
      </c>
      <c r="CB3" s="37" t="s">
        <v>476</v>
      </c>
      <c r="CC3" s="35" t="s">
        <v>477</v>
      </c>
      <c r="CD3" s="35" t="s">
        <v>489</v>
      </c>
      <c r="CE3" s="50" t="s">
        <v>480</v>
      </c>
      <c r="CF3" s="36" t="s">
        <v>462</v>
      </c>
      <c r="CH3" s="34" t="s">
        <v>455</v>
      </c>
      <c r="CI3" s="33" t="s">
        <v>476</v>
      </c>
      <c r="CJ3" s="35" t="s">
        <v>477</v>
      </c>
      <c r="CK3" s="35" t="s">
        <v>489</v>
      </c>
      <c r="CL3" s="50" t="s">
        <v>480</v>
      </c>
      <c r="CM3" s="36" t="s">
        <v>462</v>
      </c>
      <c r="CN3" s="37" t="s">
        <v>476</v>
      </c>
      <c r="CO3" s="35" t="s">
        <v>477</v>
      </c>
      <c r="CP3" s="35" t="s">
        <v>489</v>
      </c>
      <c r="CQ3" s="50" t="s">
        <v>480</v>
      </c>
      <c r="CR3" s="36" t="s">
        <v>462</v>
      </c>
      <c r="CT3" s="34" t="s">
        <v>455</v>
      </c>
      <c r="CU3" s="33" t="s">
        <v>476</v>
      </c>
      <c r="CV3" s="35" t="s">
        <v>477</v>
      </c>
      <c r="CW3" s="35" t="s">
        <v>489</v>
      </c>
      <c r="CX3" s="50" t="s">
        <v>480</v>
      </c>
      <c r="CY3" s="36" t="s">
        <v>462</v>
      </c>
      <c r="CZ3" s="37" t="s">
        <v>476</v>
      </c>
      <c r="DA3" s="35" t="s">
        <v>477</v>
      </c>
      <c r="DB3" s="35" t="s">
        <v>489</v>
      </c>
      <c r="DC3" s="50" t="s">
        <v>480</v>
      </c>
      <c r="DD3" s="36" t="s">
        <v>462</v>
      </c>
      <c r="DF3" s="34" t="s">
        <v>455</v>
      </c>
      <c r="DG3" s="33" t="s">
        <v>476</v>
      </c>
      <c r="DH3" s="35" t="s">
        <v>477</v>
      </c>
      <c r="DI3" s="35" t="s">
        <v>489</v>
      </c>
      <c r="DJ3" s="50" t="s">
        <v>480</v>
      </c>
      <c r="DK3" s="36" t="s">
        <v>462</v>
      </c>
      <c r="DL3" s="37" t="s">
        <v>476</v>
      </c>
      <c r="DM3" s="35" t="s">
        <v>477</v>
      </c>
      <c r="DN3" s="35" t="s">
        <v>489</v>
      </c>
      <c r="DO3" s="50" t="s">
        <v>480</v>
      </c>
      <c r="DP3" s="36" t="s">
        <v>462</v>
      </c>
      <c r="DR3" s="34" t="s">
        <v>455</v>
      </c>
      <c r="DS3" s="33" t="s">
        <v>476</v>
      </c>
      <c r="DT3" s="35" t="s">
        <v>477</v>
      </c>
      <c r="DU3" s="35" t="s">
        <v>489</v>
      </c>
      <c r="DV3" s="50" t="s">
        <v>480</v>
      </c>
      <c r="DW3" s="36" t="s">
        <v>462</v>
      </c>
      <c r="DX3" s="37" t="s">
        <v>476</v>
      </c>
      <c r="DY3" s="35" t="s">
        <v>477</v>
      </c>
      <c r="DZ3" s="35" t="s">
        <v>489</v>
      </c>
      <c r="EA3" s="50" t="s">
        <v>480</v>
      </c>
      <c r="EB3" s="36" t="s">
        <v>462</v>
      </c>
      <c r="ED3" s="34" t="s">
        <v>455</v>
      </c>
      <c r="EE3" s="33" t="s">
        <v>476</v>
      </c>
      <c r="EF3" s="35" t="s">
        <v>477</v>
      </c>
      <c r="EG3" s="35" t="s">
        <v>489</v>
      </c>
      <c r="EH3" s="50" t="s">
        <v>480</v>
      </c>
      <c r="EI3" s="36" t="s">
        <v>462</v>
      </c>
      <c r="EJ3" s="37" t="s">
        <v>476</v>
      </c>
      <c r="EK3" s="35" t="s">
        <v>477</v>
      </c>
      <c r="EL3" s="35" t="s">
        <v>489</v>
      </c>
      <c r="EM3" s="50" t="s">
        <v>480</v>
      </c>
      <c r="EN3" s="36" t="s">
        <v>462</v>
      </c>
      <c r="EP3" s="34" t="s">
        <v>455</v>
      </c>
      <c r="EQ3" s="33" t="s">
        <v>476</v>
      </c>
      <c r="ER3" s="35" t="s">
        <v>477</v>
      </c>
      <c r="ES3" s="35" t="s">
        <v>489</v>
      </c>
      <c r="ET3" s="50" t="s">
        <v>480</v>
      </c>
      <c r="EU3" s="36" t="s">
        <v>462</v>
      </c>
      <c r="EV3" s="37" t="s">
        <v>476</v>
      </c>
      <c r="EW3" s="35" t="s">
        <v>477</v>
      </c>
      <c r="EX3" s="35" t="s">
        <v>489</v>
      </c>
      <c r="EY3" s="50" t="s">
        <v>480</v>
      </c>
      <c r="EZ3" s="36" t="s">
        <v>462</v>
      </c>
      <c r="FB3" s="34" t="s">
        <v>455</v>
      </c>
      <c r="FC3" s="33" t="s">
        <v>476</v>
      </c>
      <c r="FD3" s="35" t="s">
        <v>477</v>
      </c>
      <c r="FE3" s="35" t="s">
        <v>489</v>
      </c>
      <c r="FF3" s="50" t="s">
        <v>480</v>
      </c>
      <c r="FG3" s="36" t="s">
        <v>462</v>
      </c>
      <c r="FH3" s="37" t="s">
        <v>476</v>
      </c>
      <c r="FI3" s="35" t="s">
        <v>477</v>
      </c>
      <c r="FJ3" s="35" t="s">
        <v>489</v>
      </c>
      <c r="FK3" s="50" t="s">
        <v>480</v>
      </c>
      <c r="FL3" s="36" t="s">
        <v>462</v>
      </c>
      <c r="FN3" s="34" t="s">
        <v>455</v>
      </c>
      <c r="FO3" s="33" t="s">
        <v>476</v>
      </c>
      <c r="FP3" s="35" t="s">
        <v>477</v>
      </c>
      <c r="FQ3" s="35" t="s">
        <v>489</v>
      </c>
      <c r="FR3" s="50" t="s">
        <v>480</v>
      </c>
      <c r="FS3" s="36" t="s">
        <v>462</v>
      </c>
      <c r="FT3" s="37" t="s">
        <v>476</v>
      </c>
      <c r="FU3" s="35" t="s">
        <v>477</v>
      </c>
      <c r="FV3" s="35" t="s">
        <v>489</v>
      </c>
      <c r="FW3" s="50" t="s">
        <v>480</v>
      </c>
      <c r="FX3" s="36" t="s">
        <v>462</v>
      </c>
      <c r="FZ3" s="111" t="s">
        <v>551</v>
      </c>
      <c r="GA3" s="107" t="s">
        <v>544</v>
      </c>
      <c r="GB3" s="108" t="s">
        <v>548</v>
      </c>
      <c r="GC3" s="108" t="s">
        <v>545</v>
      </c>
      <c r="GD3" s="109" t="s">
        <v>546</v>
      </c>
      <c r="GE3" s="109" t="s">
        <v>547</v>
      </c>
      <c r="GF3" s="110" t="s">
        <v>462</v>
      </c>
      <c r="GG3" s="107" t="s">
        <v>544</v>
      </c>
      <c r="GH3" s="108" t="s">
        <v>548</v>
      </c>
      <c r="GI3" s="108" t="s">
        <v>549</v>
      </c>
      <c r="GJ3" s="109" t="s">
        <v>546</v>
      </c>
      <c r="GK3" s="109" t="s">
        <v>547</v>
      </c>
      <c r="GL3" s="110" t="s">
        <v>462</v>
      </c>
      <c r="GN3" s="111" t="s">
        <v>551</v>
      </c>
      <c r="GO3" s="107" t="s">
        <v>544</v>
      </c>
      <c r="GP3" s="108" t="s">
        <v>548</v>
      </c>
      <c r="GQ3" s="108" t="s">
        <v>545</v>
      </c>
      <c r="GR3" s="109" t="s">
        <v>546</v>
      </c>
      <c r="GS3" s="109" t="s">
        <v>547</v>
      </c>
      <c r="GT3" s="110" t="s">
        <v>462</v>
      </c>
      <c r="GU3" s="107" t="s">
        <v>544</v>
      </c>
      <c r="GV3" s="108" t="s">
        <v>548</v>
      </c>
      <c r="GW3" s="108" t="s">
        <v>549</v>
      </c>
      <c r="GX3" s="109" t="s">
        <v>546</v>
      </c>
      <c r="GY3" s="109" t="s">
        <v>547</v>
      </c>
      <c r="GZ3" s="110" t="s">
        <v>462</v>
      </c>
      <c r="HB3" s="111" t="s">
        <v>551</v>
      </c>
      <c r="HC3" s="107" t="s">
        <v>544</v>
      </c>
      <c r="HD3" s="108" t="s">
        <v>548</v>
      </c>
      <c r="HE3" s="108" t="s">
        <v>552</v>
      </c>
      <c r="HF3" s="109" t="s">
        <v>546</v>
      </c>
      <c r="HG3" s="109" t="s">
        <v>547</v>
      </c>
      <c r="HH3" s="110" t="s">
        <v>462</v>
      </c>
      <c r="HI3" s="107" t="s">
        <v>544</v>
      </c>
      <c r="HJ3" s="108" t="s">
        <v>548</v>
      </c>
      <c r="HK3" s="108" t="s">
        <v>549</v>
      </c>
      <c r="HL3" s="109" t="s">
        <v>546</v>
      </c>
      <c r="HM3" s="109" t="s">
        <v>547</v>
      </c>
      <c r="HN3" s="110" t="s">
        <v>462</v>
      </c>
      <c r="HP3" s="111" t="s">
        <v>551</v>
      </c>
      <c r="HQ3" s="107" t="s">
        <v>544</v>
      </c>
      <c r="HR3" s="108" t="s">
        <v>548</v>
      </c>
      <c r="HS3" s="108" t="s">
        <v>545</v>
      </c>
      <c r="HT3" s="109" t="s">
        <v>546</v>
      </c>
      <c r="HU3" s="109" t="s">
        <v>547</v>
      </c>
      <c r="HV3" s="110" t="s">
        <v>462</v>
      </c>
      <c r="HW3" s="107" t="s">
        <v>544</v>
      </c>
      <c r="HX3" s="108" t="s">
        <v>548</v>
      </c>
      <c r="HY3" s="108" t="s">
        <v>549</v>
      </c>
      <c r="HZ3" s="109" t="s">
        <v>546</v>
      </c>
      <c r="IA3" s="109" t="s">
        <v>547</v>
      </c>
      <c r="IB3" s="110" t="s">
        <v>462</v>
      </c>
      <c r="ID3" s="111" t="s">
        <v>551</v>
      </c>
      <c r="IE3" s="107" t="s">
        <v>544</v>
      </c>
      <c r="IF3" s="108" t="s">
        <v>548</v>
      </c>
      <c r="IG3" s="108" t="s">
        <v>545</v>
      </c>
      <c r="IH3" s="109" t="s">
        <v>546</v>
      </c>
      <c r="II3" s="109" t="s">
        <v>547</v>
      </c>
      <c r="IJ3" s="110" t="s">
        <v>462</v>
      </c>
      <c r="IK3" s="107" t="s">
        <v>544</v>
      </c>
      <c r="IL3" s="108" t="s">
        <v>548</v>
      </c>
      <c r="IM3" s="108" t="s">
        <v>549</v>
      </c>
      <c r="IN3" s="109" t="s">
        <v>546</v>
      </c>
      <c r="IO3" s="109" t="s">
        <v>547</v>
      </c>
      <c r="IP3" s="110" t="s">
        <v>462</v>
      </c>
      <c r="IR3" s="111" t="s">
        <v>551</v>
      </c>
      <c r="IS3" s="107" t="s">
        <v>544</v>
      </c>
      <c r="IT3" s="108" t="s">
        <v>548</v>
      </c>
      <c r="IU3" s="108" t="s">
        <v>553</v>
      </c>
      <c r="IV3" s="109" t="s">
        <v>546</v>
      </c>
      <c r="IW3" s="109" t="s">
        <v>547</v>
      </c>
      <c r="IX3" s="110" t="s">
        <v>462</v>
      </c>
      <c r="IY3" s="107" t="s">
        <v>544</v>
      </c>
      <c r="IZ3" s="108" t="s">
        <v>548</v>
      </c>
      <c r="JA3" s="108" t="s">
        <v>549</v>
      </c>
      <c r="JB3" s="109" t="s">
        <v>546</v>
      </c>
      <c r="JC3" s="109" t="s">
        <v>547</v>
      </c>
      <c r="JD3" s="110" t="s">
        <v>462</v>
      </c>
      <c r="JF3" s="111" t="s">
        <v>551</v>
      </c>
      <c r="JG3" s="107" t="s">
        <v>544</v>
      </c>
      <c r="JH3" s="108" t="s">
        <v>548</v>
      </c>
      <c r="JI3" s="108" t="s">
        <v>549</v>
      </c>
      <c r="JJ3" s="109" t="s">
        <v>546</v>
      </c>
      <c r="JK3" s="109" t="s">
        <v>547</v>
      </c>
      <c r="JL3" s="110" t="s">
        <v>462</v>
      </c>
      <c r="JM3" s="107" t="s">
        <v>544</v>
      </c>
      <c r="JN3" s="108" t="s">
        <v>548</v>
      </c>
      <c r="JO3" s="108" t="s">
        <v>549</v>
      </c>
      <c r="JP3" s="109" t="s">
        <v>546</v>
      </c>
      <c r="JQ3" s="109" t="s">
        <v>547</v>
      </c>
      <c r="JR3" s="110" t="s">
        <v>462</v>
      </c>
      <c r="JT3" s="111" t="s">
        <v>551</v>
      </c>
      <c r="JU3" s="107" t="s">
        <v>544</v>
      </c>
      <c r="JV3" s="108" t="s">
        <v>548</v>
      </c>
      <c r="JW3" s="108" t="s">
        <v>549</v>
      </c>
      <c r="JX3" s="109" t="s">
        <v>546</v>
      </c>
      <c r="JY3" s="109" t="s">
        <v>547</v>
      </c>
      <c r="JZ3" s="110" t="s">
        <v>462</v>
      </c>
      <c r="KA3" s="107" t="s">
        <v>544</v>
      </c>
      <c r="KB3" s="108" t="s">
        <v>548</v>
      </c>
      <c r="KC3" s="108" t="s">
        <v>549</v>
      </c>
      <c r="KD3" s="109" t="s">
        <v>546</v>
      </c>
      <c r="KE3" s="109" t="s">
        <v>547</v>
      </c>
      <c r="KF3" s="110" t="s">
        <v>462</v>
      </c>
      <c r="KH3" s="111" t="s">
        <v>551</v>
      </c>
      <c r="KI3" s="107" t="s">
        <v>544</v>
      </c>
      <c r="KJ3" s="108" t="s">
        <v>548</v>
      </c>
      <c r="KK3" s="108" t="s">
        <v>549</v>
      </c>
      <c r="KL3" s="109" t="s">
        <v>546</v>
      </c>
      <c r="KM3" s="109" t="s">
        <v>547</v>
      </c>
      <c r="KN3" s="110" t="s">
        <v>462</v>
      </c>
      <c r="KO3" s="107" t="s">
        <v>544</v>
      </c>
      <c r="KP3" s="108" t="s">
        <v>548</v>
      </c>
      <c r="KQ3" s="108" t="s">
        <v>549</v>
      </c>
      <c r="KR3" s="109" t="s">
        <v>546</v>
      </c>
      <c r="KS3" s="109" t="s">
        <v>547</v>
      </c>
      <c r="KT3" s="110" t="s">
        <v>462</v>
      </c>
    </row>
    <row r="4" spans="2:312" x14ac:dyDescent="0.3">
      <c r="B4" s="76" t="s">
        <v>456</v>
      </c>
      <c r="C4" s="77">
        <v>2000</v>
      </c>
      <c r="D4" s="78">
        <v>5880</v>
      </c>
      <c r="E4" s="78">
        <v>630</v>
      </c>
      <c r="F4" s="78">
        <v>2374</v>
      </c>
      <c r="G4" s="79">
        <v>10884</v>
      </c>
      <c r="H4" s="80">
        <v>2000</v>
      </c>
      <c r="I4" s="80">
        <v>5880</v>
      </c>
      <c r="J4" s="80">
        <v>630</v>
      </c>
      <c r="K4" s="81">
        <v>2374</v>
      </c>
      <c r="L4" s="79">
        <v>10884</v>
      </c>
      <c r="N4" s="76" t="s">
        <v>456</v>
      </c>
      <c r="O4" s="77">
        <v>0</v>
      </c>
      <c r="P4" s="78">
        <v>11760</v>
      </c>
      <c r="Q4" s="78">
        <v>1435</v>
      </c>
      <c r="R4" s="78">
        <v>5420</v>
      </c>
      <c r="S4" s="79">
        <v>18615</v>
      </c>
      <c r="T4" s="80">
        <v>2000</v>
      </c>
      <c r="U4" s="80">
        <v>17640</v>
      </c>
      <c r="V4" s="80">
        <v>2065</v>
      </c>
      <c r="W4" s="81">
        <v>7794</v>
      </c>
      <c r="X4" s="79">
        <v>29499</v>
      </c>
      <c r="Y4" s="17"/>
      <c r="Z4" s="76" t="s">
        <v>456</v>
      </c>
      <c r="AA4" s="77">
        <v>0</v>
      </c>
      <c r="AB4" s="78">
        <v>6720</v>
      </c>
      <c r="AC4" s="78">
        <v>455</v>
      </c>
      <c r="AD4" s="78">
        <v>2000</v>
      </c>
      <c r="AE4" s="79">
        <v>9175</v>
      </c>
      <c r="AF4" s="80">
        <v>2000</v>
      </c>
      <c r="AG4" s="80">
        <v>24360</v>
      </c>
      <c r="AH4" s="80">
        <v>2520</v>
      </c>
      <c r="AI4" s="81">
        <v>9794</v>
      </c>
      <c r="AJ4" s="79">
        <v>38674</v>
      </c>
      <c r="AL4" s="76" t="s">
        <v>456</v>
      </c>
      <c r="AM4" s="77">
        <v>0</v>
      </c>
      <c r="AN4" s="78">
        <v>10080</v>
      </c>
      <c r="AO4" s="78">
        <v>980</v>
      </c>
      <c r="AP4" s="78">
        <v>0</v>
      </c>
      <c r="AQ4" s="79">
        <v>11060</v>
      </c>
      <c r="AR4" s="80">
        <v>2000</v>
      </c>
      <c r="AS4" s="80">
        <v>34440</v>
      </c>
      <c r="AT4" s="80">
        <v>3500</v>
      </c>
      <c r="AU4" s="81">
        <v>9794</v>
      </c>
      <c r="AV4" s="79">
        <v>49734</v>
      </c>
      <c r="AW4" s="17"/>
      <c r="AX4" s="76" t="s">
        <v>456</v>
      </c>
      <c r="AY4" s="77">
        <v>0</v>
      </c>
      <c r="AZ4" s="78">
        <v>13125</v>
      </c>
      <c r="BA4" s="78">
        <v>0</v>
      </c>
      <c r="BB4" s="78">
        <v>3360</v>
      </c>
      <c r="BC4" s="79">
        <v>16485</v>
      </c>
      <c r="BD4" s="80">
        <v>2000</v>
      </c>
      <c r="BE4" s="80">
        <v>47565</v>
      </c>
      <c r="BF4" s="80">
        <v>3500</v>
      </c>
      <c r="BG4" s="81">
        <v>13154</v>
      </c>
      <c r="BH4" s="79">
        <v>66219</v>
      </c>
      <c r="BI4" s="17"/>
      <c r="BJ4" s="76" t="s">
        <v>456</v>
      </c>
      <c r="BK4" s="77">
        <v>0</v>
      </c>
      <c r="BL4" s="78">
        <v>5880</v>
      </c>
      <c r="BM4" s="78">
        <v>613</v>
      </c>
      <c r="BN4" s="78">
        <v>1200</v>
      </c>
      <c r="BO4" s="79">
        <v>7693</v>
      </c>
      <c r="BP4" s="80">
        <v>2000</v>
      </c>
      <c r="BQ4" s="80">
        <v>53445</v>
      </c>
      <c r="BR4" s="80">
        <v>4113</v>
      </c>
      <c r="BS4" s="81">
        <v>14354</v>
      </c>
      <c r="BT4" s="79">
        <v>73912</v>
      </c>
      <c r="BU4" s="17"/>
      <c r="BV4" s="76" t="s">
        <v>456</v>
      </c>
      <c r="BW4" s="77">
        <v>0</v>
      </c>
      <c r="BX4" s="78">
        <v>7910</v>
      </c>
      <c r="BY4" s="78">
        <v>648</v>
      </c>
      <c r="BZ4" s="78">
        <v>3600</v>
      </c>
      <c r="CA4" s="79">
        <v>12158</v>
      </c>
      <c r="CB4" s="80">
        <v>2000</v>
      </c>
      <c r="CC4" s="80">
        <v>61355</v>
      </c>
      <c r="CD4" s="80">
        <v>4761</v>
      </c>
      <c r="CE4" s="81">
        <v>17954</v>
      </c>
      <c r="CF4" s="79">
        <v>86070</v>
      </c>
      <c r="CG4" s="17"/>
      <c r="CH4" s="76" t="s">
        <v>456</v>
      </c>
      <c r="CI4" s="77">
        <v>0</v>
      </c>
      <c r="CJ4" s="78">
        <v>9310</v>
      </c>
      <c r="CK4" s="78">
        <v>910</v>
      </c>
      <c r="CL4" s="78">
        <v>2880</v>
      </c>
      <c r="CM4" s="79">
        <v>13100</v>
      </c>
      <c r="CN4" s="80">
        <v>2000</v>
      </c>
      <c r="CO4" s="80">
        <v>70665</v>
      </c>
      <c r="CP4" s="80">
        <v>5671</v>
      </c>
      <c r="CQ4" s="81">
        <v>20834</v>
      </c>
      <c r="CR4" s="79">
        <v>99170</v>
      </c>
      <c r="CS4" s="17"/>
      <c r="CT4" s="76" t="s">
        <v>456</v>
      </c>
      <c r="CU4" s="77">
        <v>0</v>
      </c>
      <c r="CV4" s="78">
        <v>6790</v>
      </c>
      <c r="CW4" s="78">
        <v>617</v>
      </c>
      <c r="CX4" s="78">
        <v>2520</v>
      </c>
      <c r="CY4" s="79">
        <v>9927</v>
      </c>
      <c r="CZ4" s="80">
        <v>2000</v>
      </c>
      <c r="DA4" s="80">
        <v>77455</v>
      </c>
      <c r="DB4" s="80">
        <v>6288</v>
      </c>
      <c r="DC4" s="81">
        <v>23354</v>
      </c>
      <c r="DD4" s="79">
        <v>109097</v>
      </c>
      <c r="DE4" s="17"/>
      <c r="DF4" s="76" t="s">
        <v>456</v>
      </c>
      <c r="DG4" s="77">
        <v>0</v>
      </c>
      <c r="DH4" s="78">
        <v>4268</v>
      </c>
      <c r="DI4" s="78">
        <v>280</v>
      </c>
      <c r="DJ4" s="78">
        <v>2268</v>
      </c>
      <c r="DK4" s="79">
        <v>6816</v>
      </c>
      <c r="DL4" s="80">
        <v>2000</v>
      </c>
      <c r="DM4" s="80">
        <v>81723</v>
      </c>
      <c r="DN4" s="80">
        <v>6568</v>
      </c>
      <c r="DO4" s="81">
        <v>25622</v>
      </c>
      <c r="DP4" s="79">
        <v>115913</v>
      </c>
      <c r="DQ4" s="17"/>
      <c r="DR4" s="76" t="s">
        <v>456</v>
      </c>
      <c r="DS4" s="77">
        <v>0</v>
      </c>
      <c r="DT4" s="78">
        <v>10850</v>
      </c>
      <c r="DU4" s="78">
        <v>175</v>
      </c>
      <c r="DV4" s="78">
        <v>2480</v>
      </c>
      <c r="DW4" s="79">
        <v>13505</v>
      </c>
      <c r="DX4" s="80">
        <v>2000</v>
      </c>
      <c r="DY4" s="80">
        <v>92573</v>
      </c>
      <c r="DZ4" s="80">
        <v>6743</v>
      </c>
      <c r="EA4" s="81">
        <v>28102</v>
      </c>
      <c r="EB4" s="79">
        <v>129418</v>
      </c>
      <c r="EC4" s="17"/>
      <c r="ED4" s="76" t="s">
        <v>456</v>
      </c>
      <c r="EE4" s="77">
        <v>0</v>
      </c>
      <c r="EF4" s="78">
        <v>10535</v>
      </c>
      <c r="EG4" s="78">
        <v>824</v>
      </c>
      <c r="EH4" s="78">
        <v>2448</v>
      </c>
      <c r="EI4" s="79">
        <v>13807</v>
      </c>
      <c r="EJ4" s="80">
        <v>2000</v>
      </c>
      <c r="EK4" s="80">
        <v>103108</v>
      </c>
      <c r="EL4" s="80">
        <v>7567</v>
      </c>
      <c r="EM4" s="81">
        <v>30550</v>
      </c>
      <c r="EN4" s="79">
        <v>143225</v>
      </c>
      <c r="EO4" s="17"/>
      <c r="EP4" s="76" t="s">
        <v>456</v>
      </c>
      <c r="EQ4" s="77">
        <v>0</v>
      </c>
      <c r="ER4" s="78">
        <v>5600</v>
      </c>
      <c r="ES4" s="78">
        <v>420</v>
      </c>
      <c r="ET4" s="78">
        <v>1720</v>
      </c>
      <c r="EU4" s="79">
        <v>7740</v>
      </c>
      <c r="EV4" s="80">
        <v>2000</v>
      </c>
      <c r="EW4" s="80">
        <v>108708</v>
      </c>
      <c r="EX4" s="80">
        <v>7987</v>
      </c>
      <c r="EY4" s="81">
        <v>32270</v>
      </c>
      <c r="EZ4" s="79">
        <v>150965</v>
      </c>
      <c r="FA4" s="17"/>
      <c r="FB4" s="76" t="s">
        <v>456</v>
      </c>
      <c r="FC4" s="77">
        <v>0</v>
      </c>
      <c r="FD4" s="78">
        <v>8225</v>
      </c>
      <c r="FE4" s="78">
        <v>910</v>
      </c>
      <c r="FF4" s="78">
        <v>3236</v>
      </c>
      <c r="FG4" s="79">
        <v>12371</v>
      </c>
      <c r="FH4" s="80">
        <v>2000</v>
      </c>
      <c r="FI4" s="80">
        <v>116933</v>
      </c>
      <c r="FJ4" s="80">
        <v>8897</v>
      </c>
      <c r="FK4" s="81">
        <v>35506</v>
      </c>
      <c r="FL4" s="79">
        <v>163336</v>
      </c>
      <c r="FM4" s="17"/>
      <c r="FN4" s="76" t="s">
        <v>456</v>
      </c>
      <c r="FO4" s="77">
        <v>0</v>
      </c>
      <c r="FP4" s="78">
        <v>6160</v>
      </c>
      <c r="FQ4" s="78">
        <v>770</v>
      </c>
      <c r="FR4" s="78">
        <v>1008</v>
      </c>
      <c r="FS4" s="79">
        <v>7938</v>
      </c>
      <c r="FT4" s="80">
        <v>2000</v>
      </c>
      <c r="FU4" s="80">
        <v>123093</v>
      </c>
      <c r="FV4" s="80">
        <v>9667</v>
      </c>
      <c r="FW4" s="81">
        <v>36514</v>
      </c>
      <c r="FX4" s="79">
        <v>171274</v>
      </c>
      <c r="FY4" s="17"/>
      <c r="FZ4" s="76" t="s">
        <v>550</v>
      </c>
      <c r="GA4" s="84">
        <v>0</v>
      </c>
      <c r="GB4" s="85">
        <v>4515</v>
      </c>
      <c r="GC4" s="85">
        <v>1848</v>
      </c>
      <c r="GD4" s="85">
        <v>2016</v>
      </c>
      <c r="GE4" s="85">
        <v>40</v>
      </c>
      <c r="GF4" s="86">
        <v>8419</v>
      </c>
      <c r="GG4" s="87">
        <v>2000</v>
      </c>
      <c r="GH4" s="87">
        <v>127608</v>
      </c>
      <c r="GI4" s="87">
        <v>11515</v>
      </c>
      <c r="GJ4" s="85">
        <v>38530</v>
      </c>
      <c r="GK4" s="88">
        <v>40</v>
      </c>
      <c r="GL4" s="86">
        <v>179693</v>
      </c>
      <c r="GM4" s="17"/>
      <c r="GN4" s="76" t="s">
        <v>550</v>
      </c>
      <c r="GO4" s="77">
        <v>3600</v>
      </c>
      <c r="GP4" s="78">
        <v>5740</v>
      </c>
      <c r="GQ4" s="78">
        <v>1365</v>
      </c>
      <c r="GR4" s="78">
        <v>3160</v>
      </c>
      <c r="GS4" s="78">
        <v>0</v>
      </c>
      <c r="GT4" s="79">
        <v>13865</v>
      </c>
      <c r="GU4" s="80">
        <v>5600</v>
      </c>
      <c r="GV4" s="80">
        <v>133348</v>
      </c>
      <c r="GW4" s="80">
        <v>12880</v>
      </c>
      <c r="GX4" s="78">
        <v>41690</v>
      </c>
      <c r="GY4" s="81">
        <v>40</v>
      </c>
      <c r="GZ4" s="79">
        <v>193558</v>
      </c>
      <c r="HA4" s="17"/>
      <c r="HB4" s="76" t="s">
        <v>550</v>
      </c>
      <c r="HC4" s="77">
        <v>0</v>
      </c>
      <c r="HD4" s="78">
        <v>6615</v>
      </c>
      <c r="HE4" s="78">
        <v>70</v>
      </c>
      <c r="HF4" s="78">
        <v>3132</v>
      </c>
      <c r="HG4" s="78">
        <v>0</v>
      </c>
      <c r="HH4" s="79">
        <v>9817</v>
      </c>
      <c r="HI4" s="80">
        <v>5600</v>
      </c>
      <c r="HJ4" s="80">
        <v>139963</v>
      </c>
      <c r="HK4" s="80">
        <v>12950</v>
      </c>
      <c r="HL4" s="78">
        <v>44822</v>
      </c>
      <c r="HM4" s="81">
        <v>40</v>
      </c>
      <c r="HN4" s="79">
        <v>203375</v>
      </c>
      <c r="HO4" s="17"/>
      <c r="HP4" s="76" t="s">
        <v>550</v>
      </c>
      <c r="HQ4" s="77">
        <v>0</v>
      </c>
      <c r="HR4" s="78">
        <v>7210</v>
      </c>
      <c r="HS4" s="78">
        <v>910</v>
      </c>
      <c r="HT4" s="78">
        <v>2208</v>
      </c>
      <c r="HU4" s="78">
        <v>0</v>
      </c>
      <c r="HV4" s="79">
        <v>10328</v>
      </c>
      <c r="HW4" s="80">
        <v>5600</v>
      </c>
      <c r="HX4" s="80">
        <v>147173</v>
      </c>
      <c r="HY4" s="80">
        <v>13860</v>
      </c>
      <c r="HZ4" s="78">
        <v>47030</v>
      </c>
      <c r="IA4" s="81">
        <v>40</v>
      </c>
      <c r="IB4" s="79">
        <v>213703</v>
      </c>
      <c r="IC4" s="17"/>
      <c r="ID4" s="76" t="s">
        <v>550</v>
      </c>
      <c r="IE4" s="77">
        <v>0</v>
      </c>
      <c r="IF4" s="78">
        <v>8715</v>
      </c>
      <c r="IG4" s="78">
        <v>1680</v>
      </c>
      <c r="IH4" s="78">
        <v>3640</v>
      </c>
      <c r="II4" s="78">
        <v>0</v>
      </c>
      <c r="IJ4" s="79">
        <v>14035</v>
      </c>
      <c r="IK4" s="80">
        <v>5600</v>
      </c>
      <c r="IL4" s="80">
        <v>155888</v>
      </c>
      <c r="IM4" s="80">
        <v>15540</v>
      </c>
      <c r="IN4" s="78">
        <v>50670</v>
      </c>
      <c r="IO4" s="81">
        <v>40</v>
      </c>
      <c r="IP4" s="79">
        <v>227738</v>
      </c>
      <c r="IQ4" s="17"/>
      <c r="IR4" s="76" t="s">
        <v>550</v>
      </c>
      <c r="IS4" s="77">
        <v>0</v>
      </c>
      <c r="IT4" s="78">
        <v>5600</v>
      </c>
      <c r="IU4" s="78">
        <v>285</v>
      </c>
      <c r="IV4" s="78">
        <v>3056</v>
      </c>
      <c r="IW4" s="78">
        <v>0</v>
      </c>
      <c r="IX4" s="79">
        <v>8941</v>
      </c>
      <c r="IY4" s="80">
        <v>5600</v>
      </c>
      <c r="IZ4" s="80">
        <v>161488</v>
      </c>
      <c r="JA4" s="80">
        <v>15825</v>
      </c>
      <c r="JB4" s="78">
        <v>53726</v>
      </c>
      <c r="JC4" s="81">
        <v>40</v>
      </c>
      <c r="JD4" s="79">
        <v>236679</v>
      </c>
      <c r="JE4" s="17"/>
      <c r="JF4" s="76" t="s">
        <v>550</v>
      </c>
      <c r="JG4" s="77">
        <v>3000</v>
      </c>
      <c r="JH4" s="78">
        <v>5110</v>
      </c>
      <c r="JI4" s="78">
        <v>215</v>
      </c>
      <c r="JJ4" s="78">
        <v>2976</v>
      </c>
      <c r="JK4" s="78">
        <v>0</v>
      </c>
      <c r="JL4" s="79">
        <v>11301</v>
      </c>
      <c r="JM4" s="80">
        <v>8600</v>
      </c>
      <c r="JN4" s="80">
        <v>166598</v>
      </c>
      <c r="JO4" s="80">
        <v>16040</v>
      </c>
      <c r="JP4" s="78">
        <v>56702</v>
      </c>
      <c r="JQ4" s="81">
        <v>40</v>
      </c>
      <c r="JR4" s="79">
        <v>247980</v>
      </c>
      <c r="JS4" s="17"/>
      <c r="JT4" s="76" t="s">
        <v>550</v>
      </c>
      <c r="JU4" s="77">
        <v>0</v>
      </c>
      <c r="JV4" s="78">
        <v>2520</v>
      </c>
      <c r="JW4" s="78">
        <v>875</v>
      </c>
      <c r="JX4" s="78">
        <v>3048</v>
      </c>
      <c r="JY4" s="78">
        <v>0</v>
      </c>
      <c r="JZ4" s="79">
        <v>6443</v>
      </c>
      <c r="KA4" s="80">
        <v>8600</v>
      </c>
      <c r="KB4" s="80">
        <v>169118</v>
      </c>
      <c r="KC4" s="80">
        <v>16915</v>
      </c>
      <c r="KD4" s="78">
        <v>59750</v>
      </c>
      <c r="KE4" s="81">
        <v>40</v>
      </c>
      <c r="KF4" s="79">
        <v>254423</v>
      </c>
      <c r="KG4" s="17"/>
      <c r="KH4" s="76" t="s">
        <v>550</v>
      </c>
      <c r="KI4" s="77">
        <v>0</v>
      </c>
      <c r="KJ4" s="78">
        <v>6370</v>
      </c>
      <c r="KK4" s="78">
        <v>0</v>
      </c>
      <c r="KL4" s="78">
        <v>3024</v>
      </c>
      <c r="KM4" s="78">
        <v>0</v>
      </c>
      <c r="KN4" s="79">
        <v>9394</v>
      </c>
      <c r="KO4" s="80">
        <v>8600</v>
      </c>
      <c r="KP4" s="80">
        <v>175488</v>
      </c>
      <c r="KQ4" s="80">
        <v>16915</v>
      </c>
      <c r="KR4" s="78">
        <v>62774</v>
      </c>
      <c r="KS4" s="81">
        <v>40</v>
      </c>
      <c r="KT4" s="79">
        <v>263817</v>
      </c>
      <c r="KU4" s="17"/>
      <c r="KV4" s="17"/>
      <c r="KW4" s="17"/>
      <c r="KX4" s="17"/>
      <c r="KY4" s="17"/>
      <c r="KZ4" s="17"/>
    </row>
    <row r="5" spans="2:312" x14ac:dyDescent="0.3">
      <c r="B5" s="25" t="s">
        <v>525</v>
      </c>
      <c r="C5" s="31">
        <v>1472.62</v>
      </c>
      <c r="D5" s="18">
        <v>2314.116</v>
      </c>
      <c r="E5" s="18">
        <v>465.80939999999998</v>
      </c>
      <c r="F5" s="18">
        <v>367.28154000000001</v>
      </c>
      <c r="G5" s="19">
        <v>4619.8269399999999</v>
      </c>
      <c r="H5" s="28">
        <v>1472.62</v>
      </c>
      <c r="I5" s="18">
        <v>2314.116</v>
      </c>
      <c r="J5" s="18">
        <v>465.80939999999998</v>
      </c>
      <c r="K5" s="51">
        <v>367.28154000000001</v>
      </c>
      <c r="L5" s="19">
        <v>4619.8269399999999</v>
      </c>
      <c r="N5" s="25" t="s">
        <v>525</v>
      </c>
      <c r="O5" s="31">
        <v>0</v>
      </c>
      <c r="P5" s="18">
        <v>4178.3616000000002</v>
      </c>
      <c r="Q5" s="18">
        <v>850.30539999999996</v>
      </c>
      <c r="R5" s="18">
        <v>838.52819999999997</v>
      </c>
      <c r="S5" s="19">
        <v>5867.1952000000001</v>
      </c>
      <c r="T5" s="28">
        <v>1472.62</v>
      </c>
      <c r="U5" s="18">
        <v>6492.4775999999993</v>
      </c>
      <c r="V5" s="18">
        <v>1316.1147999999998</v>
      </c>
      <c r="W5" s="51">
        <v>1205.8097399999999</v>
      </c>
      <c r="X5" s="19">
        <v>10487.022139999999</v>
      </c>
      <c r="Y5" s="17"/>
      <c r="Z5" s="25" t="s">
        <v>525</v>
      </c>
      <c r="AA5" s="31">
        <v>0</v>
      </c>
      <c r="AB5" s="18">
        <v>2399.8463999999999</v>
      </c>
      <c r="AC5" s="18">
        <v>392.31920000000002</v>
      </c>
      <c r="AD5" s="18">
        <v>309.42</v>
      </c>
      <c r="AE5" s="19">
        <v>3101.5855999999999</v>
      </c>
      <c r="AF5" s="28">
        <v>1472.62</v>
      </c>
      <c r="AG5" s="18">
        <v>8892.3240000000005</v>
      </c>
      <c r="AH5" s="18">
        <v>1708.434</v>
      </c>
      <c r="AI5" s="51">
        <v>1515.22974</v>
      </c>
      <c r="AJ5" s="19">
        <v>13588.607739999999</v>
      </c>
      <c r="AL5" s="25" t="s">
        <v>525</v>
      </c>
      <c r="AM5" s="31">
        <v>0</v>
      </c>
      <c r="AN5" s="18">
        <v>3590.0927999999999</v>
      </c>
      <c r="AO5" s="18">
        <v>632.14025000000004</v>
      </c>
      <c r="AP5" s="18">
        <v>0</v>
      </c>
      <c r="AQ5" s="19">
        <v>4222.2330499999998</v>
      </c>
      <c r="AR5" s="28">
        <v>1472.62</v>
      </c>
      <c r="AS5" s="18">
        <v>12482.416800000001</v>
      </c>
      <c r="AT5" s="18">
        <v>2340.5742500000001</v>
      </c>
      <c r="AU5" s="51">
        <v>1515.2297400000002</v>
      </c>
      <c r="AV5" s="19">
        <v>17810.840790000002</v>
      </c>
      <c r="AW5" s="17"/>
      <c r="AX5" s="25" t="s">
        <v>525</v>
      </c>
      <c r="AY5" s="31">
        <v>0</v>
      </c>
      <c r="AZ5" s="18">
        <v>4784.0432499999997</v>
      </c>
      <c r="BA5" s="18">
        <v>0</v>
      </c>
      <c r="BB5" s="18">
        <v>519.82560000000001</v>
      </c>
      <c r="BC5" s="19">
        <v>5303.8688499999998</v>
      </c>
      <c r="BD5" s="28">
        <v>1472.62</v>
      </c>
      <c r="BE5" s="18">
        <v>17266.460050000002</v>
      </c>
      <c r="BF5" s="18">
        <v>2340.5742500000001</v>
      </c>
      <c r="BG5" s="51">
        <v>2035.0553400000001</v>
      </c>
      <c r="BH5" s="19">
        <v>23114.709640000001</v>
      </c>
      <c r="BI5" s="17"/>
      <c r="BJ5" s="25" t="s">
        <v>525</v>
      </c>
      <c r="BK5" s="31">
        <v>0</v>
      </c>
      <c r="BL5" s="18">
        <v>2204.1684</v>
      </c>
      <c r="BM5" s="18">
        <v>340.57731999999999</v>
      </c>
      <c r="BN5" s="18">
        <v>185.65199999999999</v>
      </c>
      <c r="BO5" s="19">
        <v>2730.3977199999999</v>
      </c>
      <c r="BP5" s="28">
        <v>1472.62</v>
      </c>
      <c r="BQ5" s="18">
        <v>19470.628450000004</v>
      </c>
      <c r="BR5" s="18">
        <v>2681.1515700000004</v>
      </c>
      <c r="BS5" s="51">
        <v>2220.7073399999999</v>
      </c>
      <c r="BT5" s="19">
        <v>25845.107360000005</v>
      </c>
      <c r="BU5" s="17"/>
      <c r="BV5" s="25" t="s">
        <v>525</v>
      </c>
      <c r="BW5" s="31">
        <v>0</v>
      </c>
      <c r="BX5" s="18">
        <v>2927.1732000000002</v>
      </c>
      <c r="BY5" s="18">
        <v>298.63057000000003</v>
      </c>
      <c r="BZ5" s="18">
        <v>556.95600000000002</v>
      </c>
      <c r="CA5" s="19">
        <v>3782.7597700000006</v>
      </c>
      <c r="CB5" s="28">
        <v>1472.62</v>
      </c>
      <c r="CC5" s="18">
        <v>22397.801649999998</v>
      </c>
      <c r="CD5" s="18">
        <v>2979.7821400000007</v>
      </c>
      <c r="CE5" s="51">
        <v>2777.6633400000001</v>
      </c>
      <c r="CF5" s="19">
        <v>29627.867129999995</v>
      </c>
      <c r="CG5" s="17"/>
      <c r="CH5" s="25" t="s">
        <v>525</v>
      </c>
      <c r="CI5" s="31">
        <v>0</v>
      </c>
      <c r="CJ5" s="18">
        <v>3318.9352000000003</v>
      </c>
      <c r="CK5" s="18">
        <v>649.18525</v>
      </c>
      <c r="CL5" s="18">
        <v>445.56479999999999</v>
      </c>
      <c r="CM5" s="19">
        <v>4413.6852500000005</v>
      </c>
      <c r="CN5" s="28">
        <v>1472.62</v>
      </c>
      <c r="CO5" s="18">
        <v>25716.736849999994</v>
      </c>
      <c r="CP5" s="18">
        <v>3628.9673900000007</v>
      </c>
      <c r="CQ5" s="51">
        <v>3223.2281400000002</v>
      </c>
      <c r="CR5" s="19">
        <v>34041.552379999994</v>
      </c>
      <c r="CS5" s="17"/>
      <c r="CT5" s="25" t="s">
        <v>525</v>
      </c>
      <c r="CU5" s="31">
        <v>0</v>
      </c>
      <c r="CV5" s="18">
        <v>2519.1117000000004</v>
      </c>
      <c r="CW5" s="18">
        <v>473.95072999999996</v>
      </c>
      <c r="CX5" s="18">
        <v>389.86920000000003</v>
      </c>
      <c r="CY5" s="19">
        <v>3382.9316300000005</v>
      </c>
      <c r="CZ5" s="28">
        <v>1472.62</v>
      </c>
      <c r="DA5" s="18">
        <v>28235.848549999999</v>
      </c>
      <c r="DB5" s="18">
        <v>4102.9181200000003</v>
      </c>
      <c r="DC5" s="51">
        <v>3613.0973399999998</v>
      </c>
      <c r="DD5" s="19">
        <v>37424.48401</v>
      </c>
      <c r="DE5" s="17"/>
      <c r="DF5" s="25" t="s">
        <v>525</v>
      </c>
      <c r="DG5" s="31">
        <v>0</v>
      </c>
      <c r="DH5" s="18">
        <v>1528.7268799999999</v>
      </c>
      <c r="DI5" s="18">
        <v>164.02540000000002</v>
      </c>
      <c r="DJ5" s="18">
        <v>350.88228000000004</v>
      </c>
      <c r="DK5" s="19">
        <v>2043.63456</v>
      </c>
      <c r="DL5" s="28">
        <v>1472.62</v>
      </c>
      <c r="DM5" s="18">
        <v>29764.575429999994</v>
      </c>
      <c r="DN5" s="18">
        <v>4266.9435200000007</v>
      </c>
      <c r="DO5" s="51">
        <v>3963.9796199999996</v>
      </c>
      <c r="DP5" s="19">
        <v>39468.118569999991</v>
      </c>
      <c r="DQ5" s="17"/>
      <c r="DR5" s="25" t="s">
        <v>525</v>
      </c>
      <c r="DS5" s="31">
        <v>0</v>
      </c>
      <c r="DT5" s="18">
        <v>3934.3857000000003</v>
      </c>
      <c r="DU5" s="18">
        <v>54.96575</v>
      </c>
      <c r="DV5" s="18">
        <v>383.68079999999998</v>
      </c>
      <c r="DW5" s="19">
        <v>4373.0322500000002</v>
      </c>
      <c r="DX5" s="28">
        <v>1472.62</v>
      </c>
      <c r="DY5" s="18">
        <v>33698.961129999996</v>
      </c>
      <c r="DZ5" s="18">
        <v>4321.9092700000001</v>
      </c>
      <c r="EA5" s="51">
        <v>4347.6604199999992</v>
      </c>
      <c r="EB5" s="19">
        <v>43841.150819999995</v>
      </c>
      <c r="EC5" s="17"/>
      <c r="ED5" s="25" t="s">
        <v>525</v>
      </c>
      <c r="EE5" s="31">
        <v>0</v>
      </c>
      <c r="EF5" s="18">
        <v>4015.5846500000002</v>
      </c>
      <c r="EG5" s="18">
        <v>253.52714</v>
      </c>
      <c r="EH5" s="18">
        <v>378.73008000000004</v>
      </c>
      <c r="EI5" s="19">
        <v>4647.8418700000002</v>
      </c>
      <c r="EJ5" s="28">
        <v>1472.62</v>
      </c>
      <c r="EK5" s="18">
        <v>37714.545779999993</v>
      </c>
      <c r="EL5" s="18">
        <v>4575.4364100000003</v>
      </c>
      <c r="EM5" s="51">
        <v>4726.3905000000004</v>
      </c>
      <c r="EN5" s="19">
        <v>48488.992689999999</v>
      </c>
      <c r="EO5" s="17"/>
      <c r="EP5" s="25" t="s">
        <v>525</v>
      </c>
      <c r="EQ5" s="31">
        <v>0</v>
      </c>
      <c r="ER5" s="18">
        <v>2101.6492000000003</v>
      </c>
      <c r="ES5" s="18">
        <v>285.39979999999997</v>
      </c>
      <c r="ET5" s="18">
        <v>276.62099999999992</v>
      </c>
      <c r="EU5" s="19">
        <v>2663.6700000000005</v>
      </c>
      <c r="EV5" s="28">
        <v>1472.62</v>
      </c>
      <c r="EW5" s="18">
        <v>39816.19498</v>
      </c>
      <c r="EX5" s="18">
        <v>4860.8362100000004</v>
      </c>
      <c r="EY5" s="51">
        <v>5003.0114999999987</v>
      </c>
      <c r="EZ5" s="19">
        <v>51152.662690000005</v>
      </c>
      <c r="FA5" s="17"/>
      <c r="FB5" s="25" t="s">
        <v>525</v>
      </c>
      <c r="FC5" s="31">
        <v>0</v>
      </c>
      <c r="FD5" s="18">
        <v>3090.5210000000002</v>
      </c>
      <c r="FE5" s="18">
        <v>281.69190000000003</v>
      </c>
      <c r="FF5" s="18">
        <v>500.64155999999997</v>
      </c>
      <c r="FG5" s="19">
        <v>3872.8544600000005</v>
      </c>
      <c r="FH5" s="28">
        <v>1472.62</v>
      </c>
      <c r="FI5" s="18">
        <v>42906.715979999994</v>
      </c>
      <c r="FJ5" s="18">
        <v>5142.5281100000011</v>
      </c>
      <c r="FK5" s="51">
        <v>5503.6530599999996</v>
      </c>
      <c r="FL5" s="19">
        <v>55025.517149999992</v>
      </c>
      <c r="FM5" s="17"/>
      <c r="FN5" s="25" t="s">
        <v>525</v>
      </c>
      <c r="FO5" s="31">
        <v>0</v>
      </c>
      <c r="FP5" s="18">
        <v>2303.2506000000003</v>
      </c>
      <c r="FQ5" s="18">
        <v>297.58785</v>
      </c>
      <c r="FR5" s="18">
        <v>155.94767999999999</v>
      </c>
      <c r="FS5" s="19">
        <v>2756.7861300000004</v>
      </c>
      <c r="FT5" s="28">
        <v>1472.62</v>
      </c>
      <c r="FU5" s="18">
        <v>45209.966579999993</v>
      </c>
      <c r="FV5" s="18">
        <v>5440.115960000001</v>
      </c>
      <c r="FW5" s="51">
        <v>5659.6007399999999</v>
      </c>
      <c r="FX5" s="19">
        <v>57782.30328</v>
      </c>
      <c r="FY5" s="17"/>
      <c r="FZ5" s="25" t="s">
        <v>499</v>
      </c>
      <c r="GA5" s="89">
        <v>0</v>
      </c>
      <c r="GB5" s="90">
        <v>1608.0623999999998</v>
      </c>
      <c r="GC5" s="90">
        <v>927.54452000000003</v>
      </c>
      <c r="GD5" s="90">
        <v>311.89535999999998</v>
      </c>
      <c r="GE5" s="90">
        <v>5.8696000000000002</v>
      </c>
      <c r="GF5" s="91">
        <v>2853.3718799999997</v>
      </c>
      <c r="GG5" s="92">
        <v>1472.62</v>
      </c>
      <c r="GH5" s="90">
        <v>46818.028979999995</v>
      </c>
      <c r="GI5" s="90">
        <v>6367.6604800000005</v>
      </c>
      <c r="GJ5" s="93">
        <v>5971.4961000000003</v>
      </c>
      <c r="GK5" s="93">
        <v>5.8696000000000002</v>
      </c>
      <c r="GL5" s="91">
        <v>60635.675159999992</v>
      </c>
      <c r="GM5" s="17"/>
      <c r="GN5" s="25" t="s">
        <v>499</v>
      </c>
      <c r="GO5" s="31">
        <v>2650.7159999999999</v>
      </c>
      <c r="GP5" s="18">
        <v>2119.9234000000001</v>
      </c>
      <c r="GQ5" s="18">
        <v>634.56434999999999</v>
      </c>
      <c r="GR5" s="18">
        <v>488.8836</v>
      </c>
      <c r="GS5" s="18">
        <v>0</v>
      </c>
      <c r="GT5" s="19">
        <v>5894.0873499999998</v>
      </c>
      <c r="GU5" s="28">
        <v>4123.3360000000002</v>
      </c>
      <c r="GV5" s="18">
        <v>48937.952379999995</v>
      </c>
      <c r="GW5" s="18">
        <v>7002.2248300000001</v>
      </c>
      <c r="GX5" s="51">
        <v>6460.3797000000004</v>
      </c>
      <c r="GY5" s="51">
        <v>5.8696000000000002</v>
      </c>
      <c r="GZ5" s="19">
        <v>66529.76251</v>
      </c>
      <c r="HA5" s="17"/>
      <c r="HB5" s="25" t="s">
        <v>499</v>
      </c>
      <c r="HC5" s="31">
        <v>0</v>
      </c>
      <c r="HD5" s="18">
        <v>2493.7934</v>
      </c>
      <c r="HE5" s="18">
        <v>41.171550000000003</v>
      </c>
      <c r="HF5" s="18">
        <v>484.55171999999999</v>
      </c>
      <c r="HG5" s="18">
        <v>0</v>
      </c>
      <c r="HH5" s="19">
        <v>3019.51667</v>
      </c>
      <c r="HI5" s="28">
        <v>4123.3360000000002</v>
      </c>
      <c r="HJ5" s="18">
        <v>51431.74577999999</v>
      </c>
      <c r="HK5" s="18">
        <v>7043.396380000001</v>
      </c>
      <c r="HL5" s="51">
        <v>6944.9314199999999</v>
      </c>
      <c r="HM5" s="51">
        <v>5.8696000000000002</v>
      </c>
      <c r="HN5" s="19">
        <v>69549.279179999998</v>
      </c>
      <c r="HO5" s="17"/>
      <c r="HP5" s="25" t="s">
        <v>499</v>
      </c>
      <c r="HQ5" s="31">
        <v>0</v>
      </c>
      <c r="HR5" s="18">
        <v>2688.7335999999996</v>
      </c>
      <c r="HS5" s="18">
        <v>330.72164999999995</v>
      </c>
      <c r="HT5" s="18">
        <v>341.59967999999998</v>
      </c>
      <c r="HU5" s="18">
        <v>0</v>
      </c>
      <c r="HV5" s="19">
        <v>3361.0549299999993</v>
      </c>
      <c r="HW5" s="28">
        <v>4123.3360000000002</v>
      </c>
      <c r="HX5" s="18">
        <v>54120.479379999997</v>
      </c>
      <c r="HY5" s="18">
        <v>7374.1180300000005</v>
      </c>
      <c r="HZ5" s="51">
        <v>7286.5310999999992</v>
      </c>
      <c r="IA5" s="51">
        <v>5.8696000000000002</v>
      </c>
      <c r="IB5" s="19">
        <v>72910.334109999996</v>
      </c>
      <c r="IC5" s="17"/>
      <c r="ID5" s="25" t="s">
        <v>499</v>
      </c>
      <c r="IE5" s="31">
        <v>0</v>
      </c>
      <c r="IF5" s="18">
        <v>3335.0744000000004</v>
      </c>
      <c r="IG5" s="18">
        <v>632.37019999999995</v>
      </c>
      <c r="IH5" s="18">
        <v>563.14440000000002</v>
      </c>
      <c r="II5" s="18">
        <v>0</v>
      </c>
      <c r="IJ5" s="19">
        <v>4530.5889999999999</v>
      </c>
      <c r="IK5" s="28">
        <v>4123.3360000000002</v>
      </c>
      <c r="IL5" s="18">
        <v>57455.553779999987</v>
      </c>
      <c r="IM5" s="18">
        <v>8006.4882300000008</v>
      </c>
      <c r="IN5" s="51">
        <v>7849.6755000000003</v>
      </c>
      <c r="IO5" s="51">
        <v>5.8696000000000002</v>
      </c>
      <c r="IP5" s="19">
        <v>77440.923109999989</v>
      </c>
      <c r="IQ5" s="17"/>
      <c r="IR5" s="25" t="s">
        <v>499</v>
      </c>
      <c r="IS5" s="31">
        <v>0</v>
      </c>
      <c r="IT5" s="18">
        <v>2136.7359999999999</v>
      </c>
      <c r="IU5" s="18">
        <v>99.322249999999997</v>
      </c>
      <c r="IV5" s="18">
        <v>472.79376000000002</v>
      </c>
      <c r="IW5" s="18">
        <v>0</v>
      </c>
      <c r="IX5" s="19">
        <v>2708.8520100000001</v>
      </c>
      <c r="IY5" s="28">
        <v>4123.3360000000002</v>
      </c>
      <c r="IZ5" s="18">
        <v>59592.289779999985</v>
      </c>
      <c r="JA5" s="18">
        <v>8105.8104800000001</v>
      </c>
      <c r="JB5" s="51">
        <v>8322.4692599999998</v>
      </c>
      <c r="JC5" s="51">
        <v>5.8696000000000002</v>
      </c>
      <c r="JD5" s="19">
        <v>80149.775119999991</v>
      </c>
      <c r="JE5" s="17"/>
      <c r="JF5" s="25" t="s">
        <v>499</v>
      </c>
      <c r="JG5" s="31">
        <v>2217.9299999999998</v>
      </c>
      <c r="JH5" s="18">
        <v>1939.9925999999998</v>
      </c>
      <c r="JI5" s="18">
        <v>132.11160000000001</v>
      </c>
      <c r="JJ5" s="18">
        <v>460.41696000000002</v>
      </c>
      <c r="JK5" s="18">
        <v>0</v>
      </c>
      <c r="JL5" s="19">
        <v>4750.4511600000005</v>
      </c>
      <c r="JM5" s="28">
        <v>6341.2659999999996</v>
      </c>
      <c r="JN5" s="18">
        <v>61532.282379999982</v>
      </c>
      <c r="JO5" s="18">
        <v>8237.9220800000003</v>
      </c>
      <c r="JP5" s="51">
        <v>8782.8862199999985</v>
      </c>
      <c r="JQ5" s="51">
        <v>5.8696000000000002</v>
      </c>
      <c r="JR5" s="19">
        <v>84900.226279999988</v>
      </c>
      <c r="JS5" s="17"/>
      <c r="JT5" s="25" t="s">
        <v>499</v>
      </c>
      <c r="JU5" s="31">
        <v>0</v>
      </c>
      <c r="JV5" s="18">
        <v>964.19819999999993</v>
      </c>
      <c r="JW5" s="18">
        <v>381.56999999999994</v>
      </c>
      <c r="JX5" s="18">
        <v>471.55608000000001</v>
      </c>
      <c r="JY5" s="18">
        <v>0</v>
      </c>
      <c r="JZ5" s="19">
        <v>1817.32428</v>
      </c>
      <c r="KA5" s="28">
        <v>6341.2659999999996</v>
      </c>
      <c r="KB5" s="18">
        <v>62496.480579999974</v>
      </c>
      <c r="KC5" s="18">
        <v>8619.4920799999982</v>
      </c>
      <c r="KD5" s="51">
        <v>9254.4422999999988</v>
      </c>
      <c r="KE5" s="51">
        <v>5.8696000000000002</v>
      </c>
      <c r="KF5" s="19">
        <v>86717.550559999974</v>
      </c>
      <c r="KG5" s="17"/>
      <c r="KH5" s="25" t="s">
        <v>499</v>
      </c>
      <c r="KI5" s="31">
        <v>0</v>
      </c>
      <c r="KJ5" s="18">
        <v>2268.7392</v>
      </c>
      <c r="KK5" s="18">
        <v>0</v>
      </c>
      <c r="KL5" s="18">
        <v>467.84303999999997</v>
      </c>
      <c r="KM5" s="18">
        <v>0</v>
      </c>
      <c r="KN5" s="19">
        <v>2736.5822399999997</v>
      </c>
      <c r="KO5" s="28">
        <v>6341.2659999999996</v>
      </c>
      <c r="KP5" s="18">
        <v>64765.219779999978</v>
      </c>
      <c r="KQ5" s="18">
        <v>8619.49208</v>
      </c>
      <c r="KR5" s="51">
        <v>9722.2853399999985</v>
      </c>
      <c r="KS5" s="51">
        <v>5.8696000000000002</v>
      </c>
      <c r="KT5" s="19">
        <v>89454.132799999978</v>
      </c>
      <c r="KU5" s="17"/>
      <c r="KV5" s="17"/>
      <c r="KW5" s="17"/>
      <c r="KX5" s="17"/>
      <c r="KY5" s="17"/>
      <c r="KZ5" s="17"/>
    </row>
    <row r="6" spans="2:312" x14ac:dyDescent="0.3">
      <c r="B6" s="26" t="s">
        <v>526</v>
      </c>
      <c r="C6" s="32">
        <v>951.44</v>
      </c>
      <c r="D6" s="21">
        <v>2114.8176000000003</v>
      </c>
      <c r="E6" s="21">
        <v>404.47189999999995</v>
      </c>
      <c r="F6" s="21">
        <v>329.13135999999997</v>
      </c>
      <c r="G6" s="23">
        <v>3799.8608600000002</v>
      </c>
      <c r="H6" s="29">
        <v>951.44</v>
      </c>
      <c r="I6" s="21">
        <v>2114.8176000000003</v>
      </c>
      <c r="J6" s="21">
        <v>404.47189999999995</v>
      </c>
      <c r="K6" s="52">
        <v>329.13135999999997</v>
      </c>
      <c r="L6" s="23">
        <v>3799.8608600000002</v>
      </c>
      <c r="N6" s="26" t="s">
        <v>526</v>
      </c>
      <c r="O6" s="32">
        <v>0</v>
      </c>
      <c r="P6" s="21">
        <v>3851.1983999999998</v>
      </c>
      <c r="Q6" s="21">
        <v>750.01814999999988</v>
      </c>
      <c r="R6" s="21">
        <v>751.42880000000002</v>
      </c>
      <c r="S6" s="23">
        <v>5352.6453499999989</v>
      </c>
      <c r="T6" s="29">
        <v>951.44</v>
      </c>
      <c r="U6" s="21">
        <v>5966.0159999999996</v>
      </c>
      <c r="V6" s="21">
        <v>1154.4900500000001</v>
      </c>
      <c r="W6" s="52">
        <v>1080.5601600000002</v>
      </c>
      <c r="X6" s="23">
        <v>9152.5062100000014</v>
      </c>
      <c r="Y6" s="17"/>
      <c r="Z6" s="26" t="s">
        <v>526</v>
      </c>
      <c r="AA6" s="32">
        <v>0</v>
      </c>
      <c r="AB6" s="21">
        <v>2212.1904</v>
      </c>
      <c r="AC6" s="21">
        <v>337.55995000000001</v>
      </c>
      <c r="AD6" s="21">
        <v>277.27999999999997</v>
      </c>
      <c r="AE6" s="23">
        <v>2827.03035</v>
      </c>
      <c r="AF6" s="29">
        <v>951.44</v>
      </c>
      <c r="AG6" s="21">
        <v>8178.2064</v>
      </c>
      <c r="AH6" s="21">
        <v>1492.05</v>
      </c>
      <c r="AI6" s="52">
        <v>1357.8401600000002</v>
      </c>
      <c r="AJ6" s="23">
        <v>11979.536559999999</v>
      </c>
      <c r="AL6" s="26" t="s">
        <v>526</v>
      </c>
      <c r="AM6" s="32">
        <v>0</v>
      </c>
      <c r="AN6" s="21">
        <v>3306.6432</v>
      </c>
      <c r="AO6" s="21">
        <v>554.02549999999997</v>
      </c>
      <c r="AP6" s="21">
        <v>0</v>
      </c>
      <c r="AQ6" s="23">
        <v>3860.6687000000002</v>
      </c>
      <c r="AR6" s="29">
        <v>951.44</v>
      </c>
      <c r="AS6" s="21">
        <v>11484.849600000001</v>
      </c>
      <c r="AT6" s="21">
        <v>2046.0754999999999</v>
      </c>
      <c r="AU6" s="52">
        <v>1357.84016</v>
      </c>
      <c r="AV6" s="23">
        <v>15840.205260000002</v>
      </c>
      <c r="AW6" s="17"/>
      <c r="AX6" s="26" t="s">
        <v>526</v>
      </c>
      <c r="AY6" s="32">
        <v>0</v>
      </c>
      <c r="AZ6" s="21">
        <v>4402.6489499999998</v>
      </c>
      <c r="BA6" s="21">
        <v>0</v>
      </c>
      <c r="BB6" s="21">
        <v>465.8304</v>
      </c>
      <c r="BC6" s="23">
        <v>4868.4793499999996</v>
      </c>
      <c r="BD6" s="29">
        <v>951.44</v>
      </c>
      <c r="BE6" s="21">
        <v>15887.49855</v>
      </c>
      <c r="BF6" s="21">
        <v>2046.0754999999999</v>
      </c>
      <c r="BG6" s="52">
        <v>1823.67056</v>
      </c>
      <c r="BH6" s="23">
        <v>20708.684609999997</v>
      </c>
      <c r="BI6" s="17"/>
      <c r="BJ6" s="26" t="s">
        <v>526</v>
      </c>
      <c r="BK6" s="32">
        <v>0</v>
      </c>
      <c r="BL6" s="21">
        <v>2021.8716000000002</v>
      </c>
      <c r="BM6" s="21">
        <v>301.97577000000001</v>
      </c>
      <c r="BN6" s="21">
        <v>166.36799999999999</v>
      </c>
      <c r="BO6" s="23">
        <v>2490.2153700000003</v>
      </c>
      <c r="BP6" s="29">
        <v>951.44</v>
      </c>
      <c r="BQ6" s="21">
        <v>17909.370150000002</v>
      </c>
      <c r="BR6" s="21">
        <v>2348.0512699999999</v>
      </c>
      <c r="BS6" s="52">
        <v>1990.03856</v>
      </c>
      <c r="BT6" s="23">
        <v>23198.899980000002</v>
      </c>
      <c r="BU6" s="17"/>
      <c r="BV6" s="26" t="s">
        <v>526</v>
      </c>
      <c r="BW6" s="32">
        <v>0</v>
      </c>
      <c r="BX6" s="21">
        <v>2687.8131000000003</v>
      </c>
      <c r="BY6" s="21">
        <v>268.51175999999998</v>
      </c>
      <c r="BZ6" s="21">
        <v>499.10399999999998</v>
      </c>
      <c r="CA6" s="23">
        <v>3455.42886</v>
      </c>
      <c r="CB6" s="29">
        <v>951.44</v>
      </c>
      <c r="CC6" s="21">
        <v>20597.183250000009</v>
      </c>
      <c r="CD6" s="21">
        <v>2616.5630300000007</v>
      </c>
      <c r="CE6" s="52">
        <v>2489.1425600000002</v>
      </c>
      <c r="CF6" s="23">
        <v>26654.328840000009</v>
      </c>
      <c r="CG6" s="17"/>
      <c r="CH6" s="26" t="s">
        <v>526</v>
      </c>
      <c r="CI6" s="32">
        <v>0</v>
      </c>
      <c r="CJ6" s="21">
        <v>3058.0098499999999</v>
      </c>
      <c r="CK6" s="21">
        <v>565.01199999999994</v>
      </c>
      <c r="CL6" s="21">
        <v>399.28320000000002</v>
      </c>
      <c r="CM6" s="23">
        <v>4022.3050499999999</v>
      </c>
      <c r="CN6" s="29">
        <v>951.44</v>
      </c>
      <c r="CO6" s="21">
        <v>23655.193100000004</v>
      </c>
      <c r="CP6" s="21">
        <v>3181.5750300000009</v>
      </c>
      <c r="CQ6" s="52">
        <v>2888.4257599999996</v>
      </c>
      <c r="CR6" s="23">
        <v>30676.633890000001</v>
      </c>
      <c r="CS6" s="17"/>
      <c r="CT6" s="26" t="s">
        <v>526</v>
      </c>
      <c r="CU6" s="32">
        <v>0</v>
      </c>
      <c r="CV6" s="21">
        <v>2312.6089000000002</v>
      </c>
      <c r="CW6" s="21">
        <v>410.55703</v>
      </c>
      <c r="CX6" s="21">
        <v>349.37279999999998</v>
      </c>
      <c r="CY6" s="23">
        <v>3072.5387300000002</v>
      </c>
      <c r="CZ6" s="29">
        <v>951.44</v>
      </c>
      <c r="DA6" s="21">
        <v>25967.802000000007</v>
      </c>
      <c r="DB6" s="21">
        <v>3592.1320600000004</v>
      </c>
      <c r="DC6" s="52">
        <v>3237.7985600000002</v>
      </c>
      <c r="DD6" s="23">
        <v>33749.172620000005</v>
      </c>
      <c r="DE6" s="17"/>
      <c r="DF6" s="26" t="s">
        <v>526</v>
      </c>
      <c r="DG6" s="32">
        <v>0</v>
      </c>
      <c r="DH6" s="21">
        <v>1407.6030000000001</v>
      </c>
      <c r="DI6" s="21">
        <v>144.81040000000002</v>
      </c>
      <c r="DJ6" s="21">
        <v>314.43552</v>
      </c>
      <c r="DK6" s="23">
        <v>1866.8489200000001</v>
      </c>
      <c r="DL6" s="29">
        <v>951.44</v>
      </c>
      <c r="DM6" s="21">
        <v>27375.405000000006</v>
      </c>
      <c r="DN6" s="21">
        <v>3736.9424600000002</v>
      </c>
      <c r="DO6" s="52">
        <v>3552.2340800000002</v>
      </c>
      <c r="DP6" s="23">
        <v>35616.021540000009</v>
      </c>
      <c r="DQ6" s="17"/>
      <c r="DR6" s="26" t="s">
        <v>526</v>
      </c>
      <c r="DS6" s="32">
        <v>0</v>
      </c>
      <c r="DT6" s="21">
        <v>3624.3171999999995</v>
      </c>
      <c r="DU6" s="21">
        <v>51.383499999999998</v>
      </c>
      <c r="DV6" s="21">
        <v>343.8272</v>
      </c>
      <c r="DW6" s="23">
        <v>4019.5278999999996</v>
      </c>
      <c r="DX6" s="29">
        <v>951.44</v>
      </c>
      <c r="DY6" s="21">
        <v>30999.722200000004</v>
      </c>
      <c r="DZ6" s="21">
        <v>3788.3259600000006</v>
      </c>
      <c r="EA6" s="52">
        <v>3896.0612800000004</v>
      </c>
      <c r="EB6" s="23">
        <v>39635.549440000003</v>
      </c>
      <c r="EC6" s="17"/>
      <c r="ED6" s="26" t="s">
        <v>526</v>
      </c>
      <c r="EE6" s="32">
        <v>0</v>
      </c>
      <c r="EF6" s="21">
        <v>3683.6338000000001</v>
      </c>
      <c r="EG6" s="21">
        <v>234.75980999999996</v>
      </c>
      <c r="EH6" s="21">
        <v>339.39071999999999</v>
      </c>
      <c r="EI6" s="23">
        <v>4257.7843300000004</v>
      </c>
      <c r="EJ6" s="29">
        <v>951.44</v>
      </c>
      <c r="EK6" s="21">
        <v>34683.356000000007</v>
      </c>
      <c r="EL6" s="21">
        <v>4023.0857700000006</v>
      </c>
      <c r="EM6" s="52">
        <v>4235.4520000000011</v>
      </c>
      <c r="EN6" s="23">
        <v>43893.333770000012</v>
      </c>
      <c r="EO6" s="17"/>
      <c r="EP6" s="26" t="s">
        <v>526</v>
      </c>
      <c r="EQ6" s="32">
        <v>0</v>
      </c>
      <c r="ER6" s="21">
        <v>1929.9882000000002</v>
      </c>
      <c r="ES6" s="21">
        <v>248.83600000000001</v>
      </c>
      <c r="ET6" s="21">
        <v>248.23680000000002</v>
      </c>
      <c r="EU6" s="23">
        <v>2427.0610000000001</v>
      </c>
      <c r="EV6" s="29">
        <v>951.44</v>
      </c>
      <c r="EW6" s="21">
        <v>36613.3442</v>
      </c>
      <c r="EX6" s="21">
        <v>4271.9217700000008</v>
      </c>
      <c r="EY6" s="52">
        <v>4483.6888000000008</v>
      </c>
      <c r="EZ6" s="23">
        <v>46320.394770000006</v>
      </c>
      <c r="FA6" s="17"/>
      <c r="FB6" s="26" t="s">
        <v>526</v>
      </c>
      <c r="FC6" s="32">
        <v>0</v>
      </c>
      <c r="FD6" s="21">
        <v>2839.2388499999997</v>
      </c>
      <c r="FE6" s="21">
        <v>266.18795</v>
      </c>
      <c r="FF6" s="21">
        <v>448.63903999999997</v>
      </c>
      <c r="FG6" s="23">
        <v>3554.0658399999998</v>
      </c>
      <c r="FH6" s="29">
        <v>951.44</v>
      </c>
      <c r="FI6" s="21">
        <v>39452.583049999994</v>
      </c>
      <c r="FJ6" s="21">
        <v>4538.1097200000004</v>
      </c>
      <c r="FK6" s="52">
        <v>4932.3278400000008</v>
      </c>
      <c r="FL6" s="23">
        <v>49874.460609999995</v>
      </c>
      <c r="FM6" s="17"/>
      <c r="FN6" s="26" t="s">
        <v>526</v>
      </c>
      <c r="FO6" s="32">
        <v>0</v>
      </c>
      <c r="FP6" s="21">
        <v>2116.4587499999998</v>
      </c>
      <c r="FQ6" s="21">
        <v>272.71300000000002</v>
      </c>
      <c r="FR6" s="21">
        <v>139.74912</v>
      </c>
      <c r="FS6" s="23">
        <v>2528.9208699999999</v>
      </c>
      <c r="FT6" s="29">
        <v>951.44</v>
      </c>
      <c r="FU6" s="21">
        <v>41569.041799999999</v>
      </c>
      <c r="FV6" s="21">
        <v>4810.822720000001</v>
      </c>
      <c r="FW6" s="52">
        <v>5072.0769600000003</v>
      </c>
      <c r="FX6" s="23">
        <v>52403.381480000004</v>
      </c>
      <c r="FY6" s="17"/>
      <c r="FZ6" s="26" t="s">
        <v>539</v>
      </c>
      <c r="GA6" s="94">
        <v>0</v>
      </c>
      <c r="GB6" s="95">
        <v>1481.10375</v>
      </c>
      <c r="GC6" s="95">
        <v>808.34397000000001</v>
      </c>
      <c r="GD6" s="95">
        <v>279.49824000000001</v>
      </c>
      <c r="GE6" s="95">
        <v>3.629</v>
      </c>
      <c r="GF6" s="96">
        <v>2572.5749599999999</v>
      </c>
      <c r="GG6" s="97">
        <v>951.44</v>
      </c>
      <c r="GH6" s="95">
        <v>43050.145549999994</v>
      </c>
      <c r="GI6" s="95">
        <v>5619.16669</v>
      </c>
      <c r="GJ6" s="98">
        <v>5351.5752000000002</v>
      </c>
      <c r="GK6" s="98">
        <v>3.629</v>
      </c>
      <c r="GL6" s="96">
        <v>54975.956439999994</v>
      </c>
      <c r="GM6" s="17"/>
      <c r="GN6" s="26" t="s">
        <v>539</v>
      </c>
      <c r="GO6" s="32">
        <v>1712.5920000000001</v>
      </c>
      <c r="GP6" s="21">
        <v>1948.82205</v>
      </c>
      <c r="GQ6" s="21">
        <v>561.14274999999998</v>
      </c>
      <c r="GR6" s="21">
        <v>438.10240000000005</v>
      </c>
      <c r="GS6" s="21">
        <v>0</v>
      </c>
      <c r="GT6" s="23">
        <v>4660.6592000000001</v>
      </c>
      <c r="GU6" s="29">
        <v>2664.0320000000002</v>
      </c>
      <c r="GV6" s="21">
        <v>44998.967599999996</v>
      </c>
      <c r="GW6" s="21">
        <v>6180.3094399999991</v>
      </c>
      <c r="GX6" s="52">
        <v>5789.6776000000009</v>
      </c>
      <c r="GY6" s="52">
        <v>3.629</v>
      </c>
      <c r="GZ6" s="23">
        <v>59636.615639999996</v>
      </c>
      <c r="HA6" s="17"/>
      <c r="HB6" s="26" t="s">
        <v>539</v>
      </c>
      <c r="HC6" s="32">
        <v>0</v>
      </c>
      <c r="HD6" s="21">
        <v>2290.1049500000004</v>
      </c>
      <c r="HE6" s="21">
        <v>36.242850000000004</v>
      </c>
      <c r="HF6" s="21">
        <v>434.22048000000001</v>
      </c>
      <c r="HG6" s="21">
        <v>0</v>
      </c>
      <c r="HH6" s="23">
        <v>2760.5682800000004</v>
      </c>
      <c r="HI6" s="29">
        <v>2664.0320000000002</v>
      </c>
      <c r="HJ6" s="21">
        <v>47289.072549999997</v>
      </c>
      <c r="HK6" s="21">
        <v>6216.5522899999987</v>
      </c>
      <c r="HL6" s="52">
        <v>6223.8980799999999</v>
      </c>
      <c r="HM6" s="52">
        <v>3.629</v>
      </c>
      <c r="HN6" s="23">
        <v>62397.183919999996</v>
      </c>
      <c r="HO6" s="17"/>
      <c r="HP6" s="26" t="s">
        <v>539</v>
      </c>
      <c r="HQ6" s="32">
        <v>0</v>
      </c>
      <c r="HR6" s="21">
        <v>2476.5216</v>
      </c>
      <c r="HS6" s="21">
        <v>295.21275000000003</v>
      </c>
      <c r="HT6" s="21">
        <v>306.11712</v>
      </c>
      <c r="HU6" s="21">
        <v>0</v>
      </c>
      <c r="HV6" s="23">
        <v>3077.8514700000001</v>
      </c>
      <c r="HW6" s="29">
        <v>2664.0320000000002</v>
      </c>
      <c r="HX6" s="21">
        <v>49765.59414999999</v>
      </c>
      <c r="HY6" s="21">
        <v>6511.7650400000011</v>
      </c>
      <c r="HZ6" s="52">
        <v>6530.0152000000007</v>
      </c>
      <c r="IA6" s="52">
        <v>3.629</v>
      </c>
      <c r="IB6" s="23">
        <v>65475.03538999999</v>
      </c>
      <c r="IC6" s="17"/>
      <c r="ID6" s="26" t="s">
        <v>539</v>
      </c>
      <c r="IE6" s="32">
        <v>0</v>
      </c>
      <c r="IF6" s="21">
        <v>3060.3789999999999</v>
      </c>
      <c r="IG6" s="21">
        <v>562.95330000000001</v>
      </c>
      <c r="IH6" s="21">
        <v>504.64959999999996</v>
      </c>
      <c r="II6" s="21">
        <v>0</v>
      </c>
      <c r="IJ6" s="23">
        <v>4127.9818999999998</v>
      </c>
      <c r="IK6" s="29">
        <v>2664.0320000000002</v>
      </c>
      <c r="IL6" s="21">
        <v>52825.973149999991</v>
      </c>
      <c r="IM6" s="21">
        <v>7074.7183400000004</v>
      </c>
      <c r="IN6" s="52">
        <v>7034.6648000000005</v>
      </c>
      <c r="IO6" s="52">
        <v>3.629</v>
      </c>
      <c r="IP6" s="23">
        <v>69603.017289999989</v>
      </c>
      <c r="IQ6" s="17"/>
      <c r="IR6" s="26" t="s">
        <v>539</v>
      </c>
      <c r="IS6" s="32">
        <v>0</v>
      </c>
      <c r="IT6" s="21">
        <v>1961.0640000000001</v>
      </c>
      <c r="IU6" s="21">
        <v>92.365349999999992</v>
      </c>
      <c r="IV6" s="21">
        <v>423.68384000000003</v>
      </c>
      <c r="IW6" s="21">
        <v>0</v>
      </c>
      <c r="IX6" s="23">
        <v>2477.11319</v>
      </c>
      <c r="IY6" s="29">
        <v>2664.0320000000002</v>
      </c>
      <c r="IZ6" s="21">
        <v>54787.037149999989</v>
      </c>
      <c r="JA6" s="21">
        <v>7167.0836900000004</v>
      </c>
      <c r="JB6" s="52">
        <v>7458.3486400000002</v>
      </c>
      <c r="JC6" s="52">
        <v>3.629</v>
      </c>
      <c r="JD6" s="23">
        <v>72080.130479999993</v>
      </c>
      <c r="JE6" s="17"/>
      <c r="JF6" s="26" t="s">
        <v>539</v>
      </c>
      <c r="JG6" s="32">
        <v>1427.16</v>
      </c>
      <c r="JH6" s="21">
        <v>1780.9246000000001</v>
      </c>
      <c r="JI6" s="21">
        <v>114.49285</v>
      </c>
      <c r="JJ6" s="21">
        <v>412.59264000000002</v>
      </c>
      <c r="JK6" s="21">
        <v>0</v>
      </c>
      <c r="JL6" s="23">
        <v>3735.1700900000001</v>
      </c>
      <c r="JM6" s="29">
        <v>4091.192</v>
      </c>
      <c r="JN6" s="21">
        <v>56567.961749999995</v>
      </c>
      <c r="JO6" s="21">
        <v>7281.57654</v>
      </c>
      <c r="JP6" s="52">
        <v>7870.9412800000009</v>
      </c>
      <c r="JQ6" s="52">
        <v>3.629</v>
      </c>
      <c r="JR6" s="23">
        <v>75815.300569999992</v>
      </c>
      <c r="JS6" s="17"/>
      <c r="JT6" s="26" t="s">
        <v>539</v>
      </c>
      <c r="JU6" s="32">
        <v>0</v>
      </c>
      <c r="JV6" s="21">
        <v>884.80349999999999</v>
      </c>
      <c r="JW6" s="21">
        <v>334.05925000000002</v>
      </c>
      <c r="JX6" s="21">
        <v>422.57471999999996</v>
      </c>
      <c r="JY6" s="21">
        <v>0</v>
      </c>
      <c r="JZ6" s="23">
        <v>1641.4374699999998</v>
      </c>
      <c r="KA6" s="29">
        <v>4091.192</v>
      </c>
      <c r="KB6" s="21">
        <v>57452.765249999982</v>
      </c>
      <c r="KC6" s="21">
        <v>7615.6357900000003</v>
      </c>
      <c r="KD6" s="52">
        <v>8293.5160000000014</v>
      </c>
      <c r="KE6" s="52">
        <v>3.629</v>
      </c>
      <c r="KF6" s="23">
        <v>77456.738039999982</v>
      </c>
      <c r="KG6" s="17"/>
      <c r="KH6" s="26" t="s">
        <v>539</v>
      </c>
      <c r="KI6" s="32">
        <v>0</v>
      </c>
      <c r="KJ6" s="21">
        <v>2089.6147999999998</v>
      </c>
      <c r="KK6" s="21">
        <v>0</v>
      </c>
      <c r="KL6" s="21">
        <v>419.24735999999996</v>
      </c>
      <c r="KM6" s="21">
        <v>0</v>
      </c>
      <c r="KN6" s="23">
        <v>2508.8621599999997</v>
      </c>
      <c r="KO6" s="29">
        <v>4091.192</v>
      </c>
      <c r="KP6" s="21">
        <v>59542.380049999985</v>
      </c>
      <c r="KQ6" s="21">
        <v>7615.6357900000003</v>
      </c>
      <c r="KR6" s="52">
        <v>8712.7633600000008</v>
      </c>
      <c r="KS6" s="52">
        <v>3.629</v>
      </c>
      <c r="KT6" s="23">
        <v>79965.600199999986</v>
      </c>
      <c r="KU6" s="17"/>
      <c r="KV6" s="17"/>
      <c r="KW6" s="17"/>
      <c r="KX6" s="17"/>
      <c r="KY6" s="17"/>
      <c r="KZ6" s="17"/>
    </row>
    <row r="7" spans="2:312" x14ac:dyDescent="0.3">
      <c r="B7" s="25" t="s">
        <v>527</v>
      </c>
      <c r="C7" s="31">
        <v>847.34000000000015</v>
      </c>
      <c r="D7" s="18">
        <v>1824.1103999999998</v>
      </c>
      <c r="E7" s="18">
        <v>370.75709999999992</v>
      </c>
      <c r="F7" s="18">
        <v>313.46295999999995</v>
      </c>
      <c r="G7" s="19">
        <v>3355.6704599999994</v>
      </c>
      <c r="H7" s="28">
        <v>847.34000000000015</v>
      </c>
      <c r="I7" s="18">
        <v>1824.1103999999998</v>
      </c>
      <c r="J7" s="18">
        <v>370.75709999999992</v>
      </c>
      <c r="K7" s="51">
        <v>313.46295999999995</v>
      </c>
      <c r="L7" s="19">
        <v>3355.6704599999994</v>
      </c>
      <c r="N7" s="25" t="s">
        <v>527</v>
      </c>
      <c r="O7" s="31">
        <v>0</v>
      </c>
      <c r="P7" s="18">
        <v>3269.7839999999997</v>
      </c>
      <c r="Q7" s="18">
        <v>675.22034999999994</v>
      </c>
      <c r="R7" s="18">
        <v>715.65679999999998</v>
      </c>
      <c r="S7" s="19">
        <v>4660.6611499999999</v>
      </c>
      <c r="T7" s="28">
        <v>847.34000000000015</v>
      </c>
      <c r="U7" s="18">
        <v>5093.8943999999992</v>
      </c>
      <c r="V7" s="18">
        <v>1045.9774499999999</v>
      </c>
      <c r="W7" s="51">
        <v>1029.1197599999998</v>
      </c>
      <c r="X7" s="19">
        <v>8016.3316099999993</v>
      </c>
      <c r="Y7" s="17"/>
      <c r="Z7" s="25" t="s">
        <v>527</v>
      </c>
      <c r="AA7" s="31">
        <v>0</v>
      </c>
      <c r="AB7" s="18">
        <v>1879.9535999999996</v>
      </c>
      <c r="AC7" s="18">
        <v>312.68054999999993</v>
      </c>
      <c r="AD7" s="18">
        <v>264.08</v>
      </c>
      <c r="AE7" s="19">
        <v>2456.7141499999993</v>
      </c>
      <c r="AF7" s="28">
        <v>847.34000000000015</v>
      </c>
      <c r="AG7" s="18">
        <v>6973.847999999999</v>
      </c>
      <c r="AH7" s="18">
        <v>1358.6579999999994</v>
      </c>
      <c r="AI7" s="51">
        <v>1293.1997599999997</v>
      </c>
      <c r="AJ7" s="19">
        <v>10473.045759999997</v>
      </c>
      <c r="AL7" s="25" t="s">
        <v>527</v>
      </c>
      <c r="AM7" s="31">
        <v>0</v>
      </c>
      <c r="AN7" s="18">
        <v>2808.2879999999996</v>
      </c>
      <c r="AO7" s="18">
        <v>502.45649999999989</v>
      </c>
      <c r="AP7" s="18">
        <v>0</v>
      </c>
      <c r="AQ7" s="19">
        <v>3310.7444999999993</v>
      </c>
      <c r="AR7" s="28">
        <v>847.34000000000015</v>
      </c>
      <c r="AS7" s="18">
        <v>9782.1360000000004</v>
      </c>
      <c r="AT7" s="18">
        <v>1861.1144999999995</v>
      </c>
      <c r="AU7" s="51">
        <v>1293.1997599999997</v>
      </c>
      <c r="AV7" s="19">
        <v>13783.79026</v>
      </c>
      <c r="AW7" s="17"/>
      <c r="AX7" s="25" t="s">
        <v>527</v>
      </c>
      <c r="AY7" s="31">
        <v>0</v>
      </c>
      <c r="AZ7" s="18">
        <v>3753.7489500000001</v>
      </c>
      <c r="BA7" s="18">
        <v>0</v>
      </c>
      <c r="BB7" s="18">
        <v>443.65439999999995</v>
      </c>
      <c r="BC7" s="19">
        <v>4197.4033500000005</v>
      </c>
      <c r="BD7" s="28">
        <v>847.34000000000015</v>
      </c>
      <c r="BE7" s="18">
        <v>13535.88495</v>
      </c>
      <c r="BF7" s="18">
        <v>1861.1144999999995</v>
      </c>
      <c r="BG7" s="51">
        <v>1736.8541599999999</v>
      </c>
      <c r="BH7" s="19">
        <v>17981.193609999998</v>
      </c>
      <c r="BI7" s="17"/>
      <c r="BJ7" s="25" t="s">
        <v>527</v>
      </c>
      <c r="BK7" s="31">
        <v>0</v>
      </c>
      <c r="BL7" s="18">
        <v>1731.1643999999997</v>
      </c>
      <c r="BM7" s="18">
        <v>270.23852999999997</v>
      </c>
      <c r="BN7" s="18">
        <v>158.44800000000001</v>
      </c>
      <c r="BO7" s="19">
        <v>2159.8509299999996</v>
      </c>
      <c r="BP7" s="28">
        <v>847.34000000000015</v>
      </c>
      <c r="BQ7" s="18">
        <v>15267.049349999998</v>
      </c>
      <c r="BR7" s="18">
        <v>2131.3530299999998</v>
      </c>
      <c r="BS7" s="51">
        <v>1895.3021599999997</v>
      </c>
      <c r="BT7" s="19">
        <v>20141.044539999995</v>
      </c>
      <c r="BU7" s="17"/>
      <c r="BV7" s="25" t="s">
        <v>527</v>
      </c>
      <c r="BW7" s="31">
        <v>0</v>
      </c>
      <c r="BX7" s="18">
        <v>2296.7426999999998</v>
      </c>
      <c r="BY7" s="18">
        <v>235.87351999999998</v>
      </c>
      <c r="BZ7" s="18">
        <v>475.34399999999999</v>
      </c>
      <c r="CA7" s="19">
        <v>3007.9602199999999</v>
      </c>
      <c r="CB7" s="28">
        <v>847.34000000000015</v>
      </c>
      <c r="CC7" s="18">
        <v>17563.79205</v>
      </c>
      <c r="CD7" s="18">
        <v>2367.2265499999994</v>
      </c>
      <c r="CE7" s="51">
        <v>2370.6461600000002</v>
      </c>
      <c r="CF7" s="19">
        <v>23149.00476</v>
      </c>
      <c r="CG7" s="17"/>
      <c r="CH7" s="25" t="s">
        <v>527</v>
      </c>
      <c r="CI7" s="31">
        <v>0</v>
      </c>
      <c r="CJ7" s="18">
        <v>2597.7048999999993</v>
      </c>
      <c r="CK7" s="18">
        <v>516.53699999999992</v>
      </c>
      <c r="CL7" s="18">
        <v>380.27519999999993</v>
      </c>
      <c r="CM7" s="19">
        <v>3494.5170999999991</v>
      </c>
      <c r="CN7" s="28">
        <v>847.34000000000015</v>
      </c>
      <c r="CO7" s="18">
        <v>20161.496950000001</v>
      </c>
      <c r="CP7" s="18">
        <v>2883.7635499999992</v>
      </c>
      <c r="CQ7" s="51">
        <v>2750.9213599999998</v>
      </c>
      <c r="CR7" s="19">
        <v>26643.521860000001</v>
      </c>
      <c r="CS7" s="17"/>
      <c r="CT7" s="25" t="s">
        <v>527</v>
      </c>
      <c r="CU7" s="31">
        <v>0</v>
      </c>
      <c r="CV7" s="18">
        <v>1976.9112999999995</v>
      </c>
      <c r="CW7" s="18">
        <v>377.36966999999993</v>
      </c>
      <c r="CX7" s="18">
        <v>332.74079999999998</v>
      </c>
      <c r="CY7" s="19">
        <v>2687.0217699999994</v>
      </c>
      <c r="CZ7" s="28">
        <v>847.34000000000015</v>
      </c>
      <c r="DA7" s="18">
        <v>22138.40825</v>
      </c>
      <c r="DB7" s="18">
        <v>3261.1332199999993</v>
      </c>
      <c r="DC7" s="51">
        <v>3083.6621600000003</v>
      </c>
      <c r="DD7" s="19">
        <v>29330.54363</v>
      </c>
      <c r="DE7" s="17"/>
      <c r="DF7" s="25" t="s">
        <v>527</v>
      </c>
      <c r="DG7" s="31">
        <v>0</v>
      </c>
      <c r="DH7" s="18">
        <v>1196.5930799999999</v>
      </c>
      <c r="DI7" s="18">
        <v>130.2336</v>
      </c>
      <c r="DJ7" s="18">
        <v>299.46671999999995</v>
      </c>
      <c r="DK7" s="19">
        <v>1626.2933999999998</v>
      </c>
      <c r="DL7" s="28">
        <v>847.34000000000015</v>
      </c>
      <c r="DM7" s="18">
        <v>23335.001330000003</v>
      </c>
      <c r="DN7" s="18">
        <v>3391.3668199999988</v>
      </c>
      <c r="DO7" s="51">
        <v>3383.1288800000002</v>
      </c>
      <c r="DP7" s="19">
        <v>30956.837030000002</v>
      </c>
      <c r="DQ7" s="17"/>
      <c r="DR7" s="25" t="s">
        <v>527</v>
      </c>
      <c r="DS7" s="31">
        <v>0</v>
      </c>
      <c r="DT7" s="18">
        <v>3087.8931999999991</v>
      </c>
      <c r="DU7" s="18">
        <v>42.917000000000009</v>
      </c>
      <c r="DV7" s="18">
        <v>327.45919999999995</v>
      </c>
      <c r="DW7" s="19">
        <v>3458.2693999999988</v>
      </c>
      <c r="DX7" s="28">
        <v>847.34000000000015</v>
      </c>
      <c r="DY7" s="18">
        <v>26422.894530000005</v>
      </c>
      <c r="DZ7" s="18">
        <v>3434.2838199999987</v>
      </c>
      <c r="EA7" s="51">
        <v>3710.5880800000004</v>
      </c>
      <c r="EB7" s="19">
        <v>34415.106430000007</v>
      </c>
      <c r="EC7" s="17"/>
      <c r="ED7" s="25" t="s">
        <v>527</v>
      </c>
      <c r="EE7" s="31">
        <v>0</v>
      </c>
      <c r="EF7" s="18">
        <v>3162.7833999999998</v>
      </c>
      <c r="EG7" s="18">
        <v>195.61107000000007</v>
      </c>
      <c r="EH7" s="18">
        <v>323.23392000000001</v>
      </c>
      <c r="EI7" s="19">
        <v>3681.6283899999999</v>
      </c>
      <c r="EJ7" s="28">
        <v>847.34000000000015</v>
      </c>
      <c r="EK7" s="18">
        <v>29585.677930000009</v>
      </c>
      <c r="EL7" s="18">
        <v>3629.8948899999987</v>
      </c>
      <c r="EM7" s="51">
        <v>4033.8220000000006</v>
      </c>
      <c r="EN7" s="19">
        <v>38096.734820000005</v>
      </c>
      <c r="EO7" s="17"/>
      <c r="EP7" s="25" t="s">
        <v>527</v>
      </c>
      <c r="EQ7" s="31">
        <v>0</v>
      </c>
      <c r="ER7" s="18">
        <v>1653.1242</v>
      </c>
      <c r="ES7" s="18">
        <v>226.75239999999997</v>
      </c>
      <c r="ET7" s="18">
        <v>236.88479999999998</v>
      </c>
      <c r="EU7" s="19">
        <v>2116.7613999999999</v>
      </c>
      <c r="EV7" s="28">
        <v>847.34000000000015</v>
      </c>
      <c r="EW7" s="18">
        <v>31238.802130000007</v>
      </c>
      <c r="EX7" s="18">
        <v>3856.647289999999</v>
      </c>
      <c r="EY7" s="51">
        <v>4270.7067999999999</v>
      </c>
      <c r="EZ7" s="19">
        <v>40213.496220000008</v>
      </c>
      <c r="FA7" s="17"/>
      <c r="FB7" s="25" t="s">
        <v>527</v>
      </c>
      <c r="FC7" s="31">
        <v>0</v>
      </c>
      <c r="FD7" s="18">
        <v>2432.5948499999995</v>
      </c>
      <c r="FE7" s="18">
        <v>221.23465000000007</v>
      </c>
      <c r="FF7" s="18">
        <v>427.28143999999998</v>
      </c>
      <c r="FG7" s="19">
        <v>3081.1109399999996</v>
      </c>
      <c r="FH7" s="28">
        <v>847.34000000000015</v>
      </c>
      <c r="FI7" s="18">
        <v>33671.396980000005</v>
      </c>
      <c r="FJ7" s="18">
        <v>4077.8819399999988</v>
      </c>
      <c r="FK7" s="51">
        <v>4697.9882400000006</v>
      </c>
      <c r="FL7" s="19">
        <v>43294.60716</v>
      </c>
      <c r="FM7" s="17"/>
      <c r="FN7" s="25" t="s">
        <v>527</v>
      </c>
      <c r="FO7" s="31">
        <v>0</v>
      </c>
      <c r="FP7" s="18">
        <v>1811.9083500000002</v>
      </c>
      <c r="FQ7" s="18">
        <v>234.39080000000001</v>
      </c>
      <c r="FR7" s="18">
        <v>133.09631999999999</v>
      </c>
      <c r="FS7" s="19">
        <v>2179.3954700000004</v>
      </c>
      <c r="FT7" s="28">
        <v>847.34000000000015</v>
      </c>
      <c r="FU7" s="18">
        <v>35483.305329999996</v>
      </c>
      <c r="FV7" s="18">
        <v>4312.2727399999994</v>
      </c>
      <c r="FW7" s="51">
        <v>4831.0845599999993</v>
      </c>
      <c r="FX7" s="19">
        <v>45474.002630000003</v>
      </c>
      <c r="FY7" s="17"/>
      <c r="FZ7" s="25" t="s">
        <v>540</v>
      </c>
      <c r="GA7" s="89">
        <v>0</v>
      </c>
      <c r="GB7" s="90">
        <v>1257.8821499999997</v>
      </c>
      <c r="GC7" s="90">
        <v>735.34782999999982</v>
      </c>
      <c r="GD7" s="90">
        <v>266.19263999999998</v>
      </c>
      <c r="GE7" s="90">
        <v>3.3650000000000002</v>
      </c>
      <c r="GF7" s="91">
        <v>2262.7876199999992</v>
      </c>
      <c r="GG7" s="92">
        <v>847.34000000000015</v>
      </c>
      <c r="GH7" s="90">
        <v>36741.187480000008</v>
      </c>
      <c r="GI7" s="90">
        <v>5047.6205699999991</v>
      </c>
      <c r="GJ7" s="93">
        <v>5097.2771999999995</v>
      </c>
      <c r="GK7" s="93">
        <v>3.3650000000000002</v>
      </c>
      <c r="GL7" s="91">
        <v>47736.790249999998</v>
      </c>
      <c r="GM7" s="17"/>
      <c r="GN7" s="25" t="s">
        <v>540</v>
      </c>
      <c r="GO7" s="31">
        <v>1525.2120000000002</v>
      </c>
      <c r="GP7" s="18">
        <v>1665.0364499999998</v>
      </c>
      <c r="GQ7" s="18">
        <v>501.7141499999999</v>
      </c>
      <c r="GR7" s="18">
        <v>417.24639999999994</v>
      </c>
      <c r="GS7" s="18">
        <v>0</v>
      </c>
      <c r="GT7" s="19">
        <v>4109.2089999999998</v>
      </c>
      <c r="GU7" s="28">
        <v>2372.5520000000006</v>
      </c>
      <c r="GV7" s="18">
        <v>38406.223930000007</v>
      </c>
      <c r="GW7" s="18">
        <v>5549.3347199999989</v>
      </c>
      <c r="GX7" s="51">
        <v>5514.5235999999995</v>
      </c>
      <c r="GY7" s="51">
        <v>3.3650000000000002</v>
      </c>
      <c r="GZ7" s="19">
        <v>51845.999250000008</v>
      </c>
      <c r="HA7" s="17"/>
      <c r="HB7" s="25" t="s">
        <v>540</v>
      </c>
      <c r="HC7" s="31">
        <v>0</v>
      </c>
      <c r="HD7" s="18">
        <v>1963.0593499999995</v>
      </c>
      <c r="HE7" s="18">
        <v>32.635749999999994</v>
      </c>
      <c r="HF7" s="18">
        <v>413.54927999999995</v>
      </c>
      <c r="HG7" s="18">
        <v>0</v>
      </c>
      <c r="HH7" s="19">
        <v>2409.2443799999992</v>
      </c>
      <c r="HI7" s="28">
        <v>2372.5520000000006</v>
      </c>
      <c r="HJ7" s="18">
        <v>40369.283280000003</v>
      </c>
      <c r="HK7" s="18">
        <v>5581.9704699999993</v>
      </c>
      <c r="HL7" s="51">
        <v>5928.0728799999997</v>
      </c>
      <c r="HM7" s="51">
        <v>3.3650000000000002</v>
      </c>
      <c r="HN7" s="19">
        <v>54255.243630000004</v>
      </c>
      <c r="HO7" s="17"/>
      <c r="HP7" s="25" t="s">
        <v>540</v>
      </c>
      <c r="HQ7" s="31">
        <v>0</v>
      </c>
      <c r="HR7" s="18">
        <v>2119.5769</v>
      </c>
      <c r="HS7" s="18">
        <v>260.46264999999994</v>
      </c>
      <c r="HT7" s="18">
        <v>291.54432000000003</v>
      </c>
      <c r="HU7" s="18">
        <v>0</v>
      </c>
      <c r="HV7" s="19">
        <v>2671.5838699999999</v>
      </c>
      <c r="HW7" s="28">
        <v>2372.5520000000006</v>
      </c>
      <c r="HX7" s="18">
        <v>42488.860180000003</v>
      </c>
      <c r="HY7" s="18">
        <v>5842.4331199999988</v>
      </c>
      <c r="HZ7" s="51">
        <v>6219.6172000000006</v>
      </c>
      <c r="IA7" s="51">
        <v>3.3650000000000002</v>
      </c>
      <c r="IB7" s="19">
        <v>56926.827500000007</v>
      </c>
      <c r="IC7" s="17"/>
      <c r="ID7" s="25" t="s">
        <v>540</v>
      </c>
      <c r="IE7" s="31">
        <v>0</v>
      </c>
      <c r="IF7" s="18">
        <v>2629.5093999999995</v>
      </c>
      <c r="IG7" s="18">
        <v>498.42309999999998</v>
      </c>
      <c r="IH7" s="18">
        <v>480.62559999999996</v>
      </c>
      <c r="II7" s="18">
        <v>0</v>
      </c>
      <c r="IJ7" s="19">
        <v>3608.5580999999993</v>
      </c>
      <c r="IK7" s="28">
        <v>2372.5520000000006</v>
      </c>
      <c r="IL7" s="18">
        <v>45118.369579999999</v>
      </c>
      <c r="IM7" s="18">
        <v>6340.8562199999988</v>
      </c>
      <c r="IN7" s="51">
        <v>6700.2428</v>
      </c>
      <c r="IO7" s="51">
        <v>3.3650000000000002</v>
      </c>
      <c r="IP7" s="19">
        <v>60535.385600000001</v>
      </c>
      <c r="IQ7" s="17"/>
      <c r="IR7" s="25" t="s">
        <v>540</v>
      </c>
      <c r="IS7" s="31">
        <v>0</v>
      </c>
      <c r="IT7" s="18">
        <v>1684.2</v>
      </c>
      <c r="IU7" s="18">
        <v>78.191350000000014</v>
      </c>
      <c r="IV7" s="18">
        <v>403.51423999999997</v>
      </c>
      <c r="IW7" s="18">
        <v>0</v>
      </c>
      <c r="IX7" s="19">
        <v>2165.9055900000003</v>
      </c>
      <c r="IY7" s="28">
        <v>2372.5520000000006</v>
      </c>
      <c r="IZ7" s="18">
        <v>46802.569580000003</v>
      </c>
      <c r="JA7" s="18">
        <v>6419.0475699999988</v>
      </c>
      <c r="JB7" s="51">
        <v>7103.7570400000004</v>
      </c>
      <c r="JC7" s="51">
        <v>3.3650000000000002</v>
      </c>
      <c r="JD7" s="19">
        <v>62701.291189999996</v>
      </c>
      <c r="JE7" s="17"/>
      <c r="JF7" s="25" t="s">
        <v>540</v>
      </c>
      <c r="JG7" s="31">
        <v>1271.0100000000002</v>
      </c>
      <c r="JH7" s="18">
        <v>1528.2862</v>
      </c>
      <c r="JI7" s="18">
        <v>104.98084999999996</v>
      </c>
      <c r="JJ7" s="18">
        <v>392.95103999999998</v>
      </c>
      <c r="JK7" s="18">
        <v>0</v>
      </c>
      <c r="JL7" s="19">
        <v>3297.2280900000001</v>
      </c>
      <c r="JM7" s="28">
        <v>3643.5620000000004</v>
      </c>
      <c r="JN7" s="18">
        <v>48330.855779999991</v>
      </c>
      <c r="JO7" s="18">
        <v>6524.0284199999978</v>
      </c>
      <c r="JP7" s="51">
        <v>7496.7080800000003</v>
      </c>
      <c r="JQ7" s="51">
        <v>3.3650000000000002</v>
      </c>
      <c r="JR7" s="19">
        <v>65998.519279999993</v>
      </c>
      <c r="JS7" s="17"/>
      <c r="JT7" s="25" t="s">
        <v>540</v>
      </c>
      <c r="JU7" s="31">
        <v>0</v>
      </c>
      <c r="JV7" s="18">
        <v>760.21469999999999</v>
      </c>
      <c r="JW7" s="18">
        <v>301.9236499999999</v>
      </c>
      <c r="JX7" s="18">
        <v>402.45792</v>
      </c>
      <c r="JY7" s="18">
        <v>0</v>
      </c>
      <c r="JZ7" s="19">
        <v>1464.59627</v>
      </c>
      <c r="KA7" s="28">
        <v>3643.5620000000004</v>
      </c>
      <c r="KB7" s="18">
        <v>49091.070479999995</v>
      </c>
      <c r="KC7" s="18">
        <v>6825.9520699999985</v>
      </c>
      <c r="KD7" s="51">
        <v>7899.1660000000002</v>
      </c>
      <c r="KE7" s="51">
        <v>3.3650000000000002</v>
      </c>
      <c r="KF7" s="19">
        <v>67463.115550000002</v>
      </c>
      <c r="KG7" s="17"/>
      <c r="KH7" s="25" t="s">
        <v>540</v>
      </c>
      <c r="KI7" s="31">
        <v>0</v>
      </c>
      <c r="KJ7" s="18">
        <v>1774.6819999999998</v>
      </c>
      <c r="KK7" s="18">
        <v>0</v>
      </c>
      <c r="KL7" s="18">
        <v>399.28895999999997</v>
      </c>
      <c r="KM7" s="18">
        <v>0</v>
      </c>
      <c r="KN7" s="19">
        <v>2173.9709599999996</v>
      </c>
      <c r="KO7" s="28">
        <v>3643.5620000000004</v>
      </c>
      <c r="KP7" s="18">
        <v>50865.752479999996</v>
      </c>
      <c r="KQ7" s="18">
        <v>6825.9520699999985</v>
      </c>
      <c r="KR7" s="51">
        <v>8298.4549599999991</v>
      </c>
      <c r="KS7" s="51">
        <v>3.3650000000000002</v>
      </c>
      <c r="KT7" s="19">
        <v>69637.086509999994</v>
      </c>
      <c r="KU7" s="17"/>
      <c r="KV7" s="17"/>
      <c r="KW7" s="17"/>
      <c r="KX7" s="17"/>
      <c r="KY7" s="17"/>
      <c r="KZ7" s="17"/>
    </row>
    <row r="8" spans="2:312" x14ac:dyDescent="0.3">
      <c r="B8" s="25" t="s">
        <v>528</v>
      </c>
      <c r="C8" s="31">
        <v>65.14</v>
      </c>
      <c r="D8" s="18">
        <v>180.86879999999999</v>
      </c>
      <c r="E8" s="18">
        <v>21.152600000000003</v>
      </c>
      <c r="F8" s="18">
        <v>10.920399999999999</v>
      </c>
      <c r="G8" s="19">
        <v>278.08179999999999</v>
      </c>
      <c r="H8" s="28">
        <v>65.14</v>
      </c>
      <c r="I8" s="18">
        <v>180.86879999999999</v>
      </c>
      <c r="J8" s="18">
        <v>21.152600000000003</v>
      </c>
      <c r="K8" s="51">
        <v>10.920399999999999</v>
      </c>
      <c r="L8" s="19">
        <v>278.08179999999999</v>
      </c>
      <c r="N8" s="25" t="s">
        <v>528</v>
      </c>
      <c r="O8" s="31">
        <v>0</v>
      </c>
      <c r="P8" s="18">
        <v>361.73759999999999</v>
      </c>
      <c r="Q8" s="18">
        <v>46.801300000000005</v>
      </c>
      <c r="R8" s="18">
        <v>24.931999999999999</v>
      </c>
      <c r="S8" s="19">
        <v>433.47090000000003</v>
      </c>
      <c r="T8" s="28">
        <v>65.14</v>
      </c>
      <c r="U8" s="18">
        <v>542.60640000000001</v>
      </c>
      <c r="V8" s="18">
        <v>67.953900000000004</v>
      </c>
      <c r="W8" s="51">
        <v>35.852400000000003</v>
      </c>
      <c r="X8" s="19">
        <v>711.55269999999996</v>
      </c>
      <c r="Y8" s="17"/>
      <c r="Z8" s="25" t="s">
        <v>528</v>
      </c>
      <c r="AA8" s="31">
        <v>0</v>
      </c>
      <c r="AB8" s="18">
        <v>206.7072</v>
      </c>
      <c r="AC8" s="18">
        <v>15.642900000000001</v>
      </c>
      <c r="AD8" s="18">
        <v>9.1999999999999993</v>
      </c>
      <c r="AE8" s="19">
        <v>231.55009999999999</v>
      </c>
      <c r="AF8" s="28">
        <v>65.14</v>
      </c>
      <c r="AG8" s="18">
        <v>749.31360000000006</v>
      </c>
      <c r="AH8" s="18">
        <v>83.596800000000002</v>
      </c>
      <c r="AI8" s="51">
        <v>45.052399999999999</v>
      </c>
      <c r="AJ8" s="19">
        <v>943.10280000000012</v>
      </c>
      <c r="AL8" s="25" t="s">
        <v>528</v>
      </c>
      <c r="AM8" s="31">
        <v>0</v>
      </c>
      <c r="AN8" s="18">
        <v>310.06079999999997</v>
      </c>
      <c r="AO8" s="18">
        <v>32.298700000000004</v>
      </c>
      <c r="AP8" s="18">
        <v>0</v>
      </c>
      <c r="AQ8" s="19">
        <v>342.35949999999997</v>
      </c>
      <c r="AR8" s="28">
        <v>65.14</v>
      </c>
      <c r="AS8" s="18">
        <v>1059.3743999999999</v>
      </c>
      <c r="AT8" s="18">
        <v>115.89550000000001</v>
      </c>
      <c r="AU8" s="51">
        <v>45.052399999999999</v>
      </c>
      <c r="AV8" s="19">
        <v>1285.4623000000001</v>
      </c>
      <c r="AW8" s="17"/>
      <c r="AX8" s="25" t="s">
        <v>528</v>
      </c>
      <c r="AY8" s="31">
        <v>0</v>
      </c>
      <c r="AZ8" s="18">
        <v>403.72500000000008</v>
      </c>
      <c r="BA8" s="18">
        <v>0</v>
      </c>
      <c r="BB8" s="18">
        <v>15.455999999999998</v>
      </c>
      <c r="BC8" s="19">
        <v>419.1810000000001</v>
      </c>
      <c r="BD8" s="28">
        <v>65.14</v>
      </c>
      <c r="BE8" s="18">
        <v>1463.0994000000001</v>
      </c>
      <c r="BF8" s="18">
        <v>115.8955</v>
      </c>
      <c r="BG8" s="51">
        <v>60.508400000000002</v>
      </c>
      <c r="BH8" s="19">
        <v>1704.6433000000002</v>
      </c>
      <c r="BI8" s="17"/>
      <c r="BJ8" s="25" t="s">
        <v>528</v>
      </c>
      <c r="BK8" s="31">
        <v>0</v>
      </c>
      <c r="BL8" s="18">
        <v>180.86879999999999</v>
      </c>
      <c r="BM8" s="18">
        <v>19.844139999999999</v>
      </c>
      <c r="BN8" s="18">
        <v>5.52</v>
      </c>
      <c r="BO8" s="19">
        <v>206.23294000000001</v>
      </c>
      <c r="BP8" s="28">
        <v>65.14</v>
      </c>
      <c r="BQ8" s="18">
        <v>1643.9682000000003</v>
      </c>
      <c r="BR8" s="18">
        <v>135.73964000000001</v>
      </c>
      <c r="BS8" s="51">
        <v>66.028399999999991</v>
      </c>
      <c r="BT8" s="19">
        <v>1910.8762400000003</v>
      </c>
      <c r="BU8" s="17"/>
      <c r="BV8" s="25" t="s">
        <v>528</v>
      </c>
      <c r="BW8" s="31">
        <v>0</v>
      </c>
      <c r="BX8" s="18">
        <v>243.31159999999997</v>
      </c>
      <c r="BY8" s="18">
        <v>20.34844</v>
      </c>
      <c r="BZ8" s="18">
        <v>16.559999999999999</v>
      </c>
      <c r="CA8" s="19">
        <v>280.22003999999998</v>
      </c>
      <c r="CB8" s="28">
        <v>65.14</v>
      </c>
      <c r="CC8" s="18">
        <v>1887.2798</v>
      </c>
      <c r="CD8" s="18">
        <v>156.08807999999999</v>
      </c>
      <c r="CE8" s="51">
        <v>82.588399999999993</v>
      </c>
      <c r="CF8" s="19">
        <v>2191.0962800000002</v>
      </c>
      <c r="CG8" s="17"/>
      <c r="CH8" s="25" t="s">
        <v>528</v>
      </c>
      <c r="CI8" s="31">
        <v>0</v>
      </c>
      <c r="CJ8" s="18">
        <v>286.38819999999998</v>
      </c>
      <c r="CK8" s="18">
        <v>30.398900000000001</v>
      </c>
      <c r="CL8" s="18">
        <v>13.247999999999998</v>
      </c>
      <c r="CM8" s="19">
        <v>330.0351</v>
      </c>
      <c r="CN8" s="28">
        <v>65.14</v>
      </c>
      <c r="CO8" s="18">
        <v>2173.6679999999997</v>
      </c>
      <c r="CP8" s="18">
        <v>186.48697999999999</v>
      </c>
      <c r="CQ8" s="51">
        <v>95.836399999999998</v>
      </c>
      <c r="CR8" s="19">
        <v>2521.1313799999998</v>
      </c>
      <c r="CS8" s="17"/>
      <c r="CT8" s="25" t="s">
        <v>528</v>
      </c>
      <c r="CU8" s="31">
        <v>0</v>
      </c>
      <c r="CV8" s="18">
        <v>208.8604</v>
      </c>
      <c r="CW8" s="18">
        <v>20.832360000000001</v>
      </c>
      <c r="CX8" s="18">
        <v>11.592000000000001</v>
      </c>
      <c r="CY8" s="19">
        <v>241.28476000000001</v>
      </c>
      <c r="CZ8" s="28">
        <v>65.14</v>
      </c>
      <c r="DA8" s="18">
        <v>2382.5283999999997</v>
      </c>
      <c r="DB8" s="18">
        <v>207.31933999999995</v>
      </c>
      <c r="DC8" s="51">
        <v>107.4284</v>
      </c>
      <c r="DD8" s="19">
        <v>2762.4161399999994</v>
      </c>
      <c r="DE8" s="17"/>
      <c r="DF8" s="25" t="s">
        <v>528</v>
      </c>
      <c r="DG8" s="31">
        <v>0</v>
      </c>
      <c r="DH8" s="18">
        <v>131.28368</v>
      </c>
      <c r="DI8" s="18">
        <v>9.1196000000000019</v>
      </c>
      <c r="DJ8" s="18">
        <v>10.432799999999999</v>
      </c>
      <c r="DK8" s="19">
        <v>150.83607999999998</v>
      </c>
      <c r="DL8" s="28">
        <v>65.14</v>
      </c>
      <c r="DM8" s="18">
        <v>2513.8120799999997</v>
      </c>
      <c r="DN8" s="18">
        <v>216.43893999999995</v>
      </c>
      <c r="DO8" s="51">
        <v>117.86119999999998</v>
      </c>
      <c r="DP8" s="19">
        <v>2913.2522199999994</v>
      </c>
      <c r="DQ8" s="17"/>
      <c r="DR8" s="25" t="s">
        <v>528</v>
      </c>
      <c r="DS8" s="31">
        <v>0</v>
      </c>
      <c r="DT8" s="18">
        <v>333.74599999999998</v>
      </c>
      <c r="DU8" s="18">
        <v>5.2552500000000002</v>
      </c>
      <c r="DV8" s="18">
        <v>11.407999999999999</v>
      </c>
      <c r="DW8" s="19">
        <v>350.40924999999999</v>
      </c>
      <c r="DX8" s="28">
        <v>65.14</v>
      </c>
      <c r="DY8" s="18">
        <v>2847.5580799999993</v>
      </c>
      <c r="DZ8" s="18">
        <v>221.69418999999994</v>
      </c>
      <c r="EA8" s="51">
        <v>129.26919999999998</v>
      </c>
      <c r="EB8" s="19">
        <v>3263.6614699999996</v>
      </c>
      <c r="EC8" s="17"/>
      <c r="ED8" s="25" t="s">
        <v>528</v>
      </c>
      <c r="EE8" s="31">
        <v>0</v>
      </c>
      <c r="EF8" s="18">
        <v>324.0566</v>
      </c>
      <c r="EG8" s="18">
        <v>24.252410000000001</v>
      </c>
      <c r="EH8" s="18">
        <v>11.2608</v>
      </c>
      <c r="EI8" s="19">
        <v>359.56981000000002</v>
      </c>
      <c r="EJ8" s="28">
        <v>65.14</v>
      </c>
      <c r="EK8" s="18">
        <v>3171.6146799999988</v>
      </c>
      <c r="EL8" s="18">
        <v>245.94659999999993</v>
      </c>
      <c r="EM8" s="51">
        <v>140.53</v>
      </c>
      <c r="EN8" s="19">
        <v>3623.2312799999986</v>
      </c>
      <c r="EO8" s="17"/>
      <c r="EP8" s="25" t="s">
        <v>528</v>
      </c>
      <c r="EQ8" s="31">
        <v>0</v>
      </c>
      <c r="ER8" s="18">
        <v>172.25600000000003</v>
      </c>
      <c r="ES8" s="18">
        <v>13.830600000000002</v>
      </c>
      <c r="ET8" s="18">
        <v>7.911999999999999</v>
      </c>
      <c r="EU8" s="19">
        <v>193.99860000000004</v>
      </c>
      <c r="EV8" s="28">
        <v>65.14</v>
      </c>
      <c r="EW8" s="18">
        <v>3343.8706799999991</v>
      </c>
      <c r="EX8" s="18">
        <v>259.77719999999994</v>
      </c>
      <c r="EY8" s="51">
        <v>148.44199999999998</v>
      </c>
      <c r="EZ8" s="19">
        <v>3817.229879999999</v>
      </c>
      <c r="FA8" s="17"/>
      <c r="FB8" s="25" t="s">
        <v>528</v>
      </c>
      <c r="FC8" s="31">
        <v>0</v>
      </c>
      <c r="FD8" s="18">
        <v>253.001</v>
      </c>
      <c r="FE8" s="18">
        <v>27.966050000000003</v>
      </c>
      <c r="FF8" s="18">
        <v>14.885599999999998</v>
      </c>
      <c r="FG8" s="19">
        <v>295.85265000000004</v>
      </c>
      <c r="FH8" s="28">
        <v>65.14</v>
      </c>
      <c r="FI8" s="18">
        <v>3596.8716799999988</v>
      </c>
      <c r="FJ8" s="18">
        <v>287.74324999999993</v>
      </c>
      <c r="FK8" s="51">
        <v>163.32760000000002</v>
      </c>
      <c r="FL8" s="19">
        <v>4113.0825299999988</v>
      </c>
      <c r="FM8" s="17"/>
      <c r="FN8" s="25" t="s">
        <v>528</v>
      </c>
      <c r="FO8" s="31">
        <v>0</v>
      </c>
      <c r="FP8" s="18">
        <v>189.48160000000001</v>
      </c>
      <c r="FQ8" s="18">
        <v>23.860900000000001</v>
      </c>
      <c r="FR8" s="18">
        <v>4.6367999999999991</v>
      </c>
      <c r="FS8" s="19">
        <v>217.97930000000002</v>
      </c>
      <c r="FT8" s="28">
        <v>65.14</v>
      </c>
      <c r="FU8" s="18">
        <v>3786.3532799999984</v>
      </c>
      <c r="FV8" s="18">
        <v>311.60414999999995</v>
      </c>
      <c r="FW8" s="51">
        <v>167.96439999999998</v>
      </c>
      <c r="FX8" s="19">
        <v>4331.0618299999978</v>
      </c>
      <c r="FY8" s="17"/>
      <c r="FZ8" s="25" t="s">
        <v>541</v>
      </c>
      <c r="GA8" s="89">
        <v>0</v>
      </c>
      <c r="GB8" s="90">
        <v>138.88139999999999</v>
      </c>
      <c r="GC8" s="90">
        <v>44.222990000000003</v>
      </c>
      <c r="GD8" s="90">
        <v>9.2735999999999983</v>
      </c>
      <c r="GE8" s="90">
        <v>0.184</v>
      </c>
      <c r="GF8" s="91">
        <v>192.56198999999998</v>
      </c>
      <c r="GG8" s="92">
        <v>65.14</v>
      </c>
      <c r="GH8" s="90">
        <v>3925.2346799999982</v>
      </c>
      <c r="GI8" s="90">
        <v>355.82713999999999</v>
      </c>
      <c r="GJ8" s="93">
        <v>177.23799999999997</v>
      </c>
      <c r="GK8" s="93">
        <v>0.184</v>
      </c>
      <c r="GL8" s="91">
        <v>4523.6238199999989</v>
      </c>
      <c r="GM8" s="17"/>
      <c r="GN8" s="25" t="s">
        <v>541</v>
      </c>
      <c r="GO8" s="31">
        <v>117.252</v>
      </c>
      <c r="GP8" s="18">
        <v>176.56240000000003</v>
      </c>
      <c r="GQ8" s="18">
        <v>36.452500000000001</v>
      </c>
      <c r="GR8" s="18">
        <v>14.535999999999998</v>
      </c>
      <c r="GS8" s="18">
        <v>0</v>
      </c>
      <c r="GT8" s="19">
        <v>344.80290000000002</v>
      </c>
      <c r="GU8" s="28">
        <v>182.392</v>
      </c>
      <c r="GV8" s="18">
        <v>4101.7970799999985</v>
      </c>
      <c r="GW8" s="18">
        <v>392.27964000000003</v>
      </c>
      <c r="GX8" s="51">
        <v>191.774</v>
      </c>
      <c r="GY8" s="51">
        <v>0.184</v>
      </c>
      <c r="GZ8" s="19">
        <v>4868.4267199999986</v>
      </c>
      <c r="HA8" s="17"/>
      <c r="HB8" s="25" t="s">
        <v>541</v>
      </c>
      <c r="HC8" s="31">
        <v>0</v>
      </c>
      <c r="HD8" s="18">
        <v>203.47740000000002</v>
      </c>
      <c r="HE8" s="18">
        <v>2.2543500000000005</v>
      </c>
      <c r="HF8" s="18">
        <v>14.4072</v>
      </c>
      <c r="HG8" s="18">
        <v>0</v>
      </c>
      <c r="HH8" s="19">
        <v>220.13894999999999</v>
      </c>
      <c r="HI8" s="28">
        <v>182.392</v>
      </c>
      <c r="HJ8" s="18">
        <v>4305.2744799999973</v>
      </c>
      <c r="HK8" s="18">
        <v>394.53399000000002</v>
      </c>
      <c r="HL8" s="51">
        <v>206.18119999999999</v>
      </c>
      <c r="HM8" s="51">
        <v>0.184</v>
      </c>
      <c r="HN8" s="19">
        <v>5088.5656699999972</v>
      </c>
      <c r="HO8" s="17"/>
      <c r="HP8" s="25" t="s">
        <v>541</v>
      </c>
      <c r="HQ8" s="31">
        <v>0</v>
      </c>
      <c r="HR8" s="18">
        <v>222.10720000000001</v>
      </c>
      <c r="HS8" s="18">
        <v>20.950650000000003</v>
      </c>
      <c r="HT8" s="18">
        <v>10.156799999999999</v>
      </c>
      <c r="HU8" s="18">
        <v>0</v>
      </c>
      <c r="HV8" s="19">
        <v>253.21465000000001</v>
      </c>
      <c r="HW8" s="28">
        <v>182.392</v>
      </c>
      <c r="HX8" s="18">
        <v>4527.3816799999977</v>
      </c>
      <c r="HY8" s="18">
        <v>415.48464000000001</v>
      </c>
      <c r="HZ8" s="51">
        <v>216.33799999999999</v>
      </c>
      <c r="IA8" s="51">
        <v>0.184</v>
      </c>
      <c r="IB8" s="19">
        <v>5341.7803199999971</v>
      </c>
      <c r="IC8" s="17"/>
      <c r="ID8" s="25" t="s">
        <v>541</v>
      </c>
      <c r="IE8" s="31">
        <v>0</v>
      </c>
      <c r="IF8" s="18">
        <v>268.07340000000005</v>
      </c>
      <c r="IG8" s="18">
        <v>38.9375</v>
      </c>
      <c r="IH8" s="18">
        <v>16.744</v>
      </c>
      <c r="II8" s="18">
        <v>0</v>
      </c>
      <c r="IJ8" s="19">
        <v>323.75490000000002</v>
      </c>
      <c r="IK8" s="28">
        <v>182.392</v>
      </c>
      <c r="IL8" s="18">
        <v>4795.4550799999979</v>
      </c>
      <c r="IM8" s="18">
        <v>454.42214000000001</v>
      </c>
      <c r="IN8" s="51">
        <v>233.08199999999999</v>
      </c>
      <c r="IO8" s="51">
        <v>0.184</v>
      </c>
      <c r="IP8" s="19">
        <v>5665.5352199999979</v>
      </c>
      <c r="IQ8" s="17"/>
      <c r="IR8" s="25" t="s">
        <v>541</v>
      </c>
      <c r="IS8" s="31">
        <v>0</v>
      </c>
      <c r="IT8" s="18">
        <v>172.256</v>
      </c>
      <c r="IU8" s="18">
        <v>8.8243999999999989</v>
      </c>
      <c r="IV8" s="18">
        <v>14.057599999999999</v>
      </c>
      <c r="IW8" s="18">
        <v>0</v>
      </c>
      <c r="IX8" s="19">
        <v>195.13800000000001</v>
      </c>
      <c r="IY8" s="28">
        <v>182.392</v>
      </c>
      <c r="IZ8" s="18">
        <v>4967.7110799999982</v>
      </c>
      <c r="JA8" s="18">
        <v>463.24653999999998</v>
      </c>
      <c r="JB8" s="51">
        <v>247.13959999999997</v>
      </c>
      <c r="JC8" s="51">
        <v>0.184</v>
      </c>
      <c r="JD8" s="19">
        <v>5860.6732199999979</v>
      </c>
      <c r="JE8" s="17"/>
      <c r="JF8" s="25" t="s">
        <v>541</v>
      </c>
      <c r="JG8" s="31">
        <v>97.71</v>
      </c>
      <c r="JH8" s="18">
        <v>157.18360000000001</v>
      </c>
      <c r="JI8" s="18">
        <v>5.8468</v>
      </c>
      <c r="JJ8" s="18">
        <v>13.689599999999999</v>
      </c>
      <c r="JK8" s="18">
        <v>0</v>
      </c>
      <c r="JL8" s="19">
        <v>274.42999999999995</v>
      </c>
      <c r="JM8" s="28">
        <v>280.10199999999998</v>
      </c>
      <c r="JN8" s="18">
        <v>5124.8946799999976</v>
      </c>
      <c r="JO8" s="18">
        <v>469.09333999999996</v>
      </c>
      <c r="JP8" s="51">
        <v>260.82919999999996</v>
      </c>
      <c r="JQ8" s="51">
        <v>0.184</v>
      </c>
      <c r="JR8" s="19">
        <v>6135.1032199999981</v>
      </c>
      <c r="JS8" s="17"/>
      <c r="JT8" s="25" t="s">
        <v>541</v>
      </c>
      <c r="JU8" s="31">
        <v>0</v>
      </c>
      <c r="JV8" s="18">
        <v>77.515200000000007</v>
      </c>
      <c r="JW8" s="18">
        <v>19.2682</v>
      </c>
      <c r="JX8" s="18">
        <v>14.020799999999999</v>
      </c>
      <c r="JY8" s="18">
        <v>0</v>
      </c>
      <c r="JZ8" s="19">
        <v>110.80419999999999</v>
      </c>
      <c r="KA8" s="28">
        <v>280.10199999999998</v>
      </c>
      <c r="KB8" s="18">
        <v>5202.4098799999983</v>
      </c>
      <c r="KC8" s="18">
        <v>488.36154000000005</v>
      </c>
      <c r="KD8" s="51">
        <v>274.85000000000002</v>
      </c>
      <c r="KE8" s="51">
        <v>0.184</v>
      </c>
      <c r="KF8" s="19">
        <v>6245.9074199999986</v>
      </c>
      <c r="KG8" s="17"/>
      <c r="KH8" s="25" t="s">
        <v>541</v>
      </c>
      <c r="KI8" s="31">
        <v>0</v>
      </c>
      <c r="KJ8" s="18">
        <v>195.94120000000001</v>
      </c>
      <c r="KK8" s="18">
        <v>0</v>
      </c>
      <c r="KL8" s="18">
        <v>13.910399999999997</v>
      </c>
      <c r="KM8" s="18">
        <v>0</v>
      </c>
      <c r="KN8" s="19">
        <v>209.85160000000002</v>
      </c>
      <c r="KO8" s="28">
        <v>280.10199999999998</v>
      </c>
      <c r="KP8" s="18">
        <v>5398.3510799999985</v>
      </c>
      <c r="KQ8" s="18">
        <v>488.36154000000005</v>
      </c>
      <c r="KR8" s="51">
        <v>288.7604</v>
      </c>
      <c r="KS8" s="51">
        <v>0.184</v>
      </c>
      <c r="KT8" s="19">
        <v>6455.7590199999986</v>
      </c>
      <c r="KU8" s="17"/>
      <c r="KV8" s="17"/>
      <c r="KW8" s="17"/>
      <c r="KX8" s="17"/>
      <c r="KY8" s="17"/>
      <c r="KZ8" s="17"/>
    </row>
    <row r="9" spans="2:312" x14ac:dyDescent="0.3">
      <c r="B9" s="25" t="s">
        <v>529</v>
      </c>
      <c r="C9" s="31">
        <v>39.020000000000003</v>
      </c>
      <c r="D9" s="18">
        <v>109.8972</v>
      </c>
      <c r="E9" s="18">
        <v>12.5783</v>
      </c>
      <c r="F9" s="18">
        <v>4.7480000000000002</v>
      </c>
      <c r="G9" s="19">
        <v>166.24350000000001</v>
      </c>
      <c r="H9" s="28">
        <v>39.020000000000003</v>
      </c>
      <c r="I9" s="18">
        <v>109.8972</v>
      </c>
      <c r="J9" s="18">
        <v>12.5783</v>
      </c>
      <c r="K9" s="51">
        <v>4.7480000000000002</v>
      </c>
      <c r="L9" s="19">
        <v>166.24350000000001</v>
      </c>
      <c r="N9" s="25" t="s">
        <v>529</v>
      </c>
      <c r="O9" s="31">
        <v>0</v>
      </c>
      <c r="P9" s="18">
        <v>219.79440000000002</v>
      </c>
      <c r="Q9" s="18">
        <v>28.025550000000006</v>
      </c>
      <c r="R9" s="18">
        <v>10.84</v>
      </c>
      <c r="S9" s="19">
        <v>258.65995000000004</v>
      </c>
      <c r="T9" s="28">
        <v>39.020000000000003</v>
      </c>
      <c r="U9" s="18">
        <v>329.69160000000005</v>
      </c>
      <c r="V9" s="18">
        <v>40.603850000000008</v>
      </c>
      <c r="W9" s="51">
        <v>15.587999999999999</v>
      </c>
      <c r="X9" s="19">
        <v>424.90345000000008</v>
      </c>
      <c r="Y9" s="17"/>
      <c r="Z9" s="25" t="s">
        <v>529</v>
      </c>
      <c r="AA9" s="31">
        <v>0</v>
      </c>
      <c r="AB9" s="18">
        <v>125.5968</v>
      </c>
      <c r="AC9" s="18">
        <v>9.2501500000000014</v>
      </c>
      <c r="AD9" s="18">
        <v>4</v>
      </c>
      <c r="AE9" s="19">
        <v>138.84694999999999</v>
      </c>
      <c r="AF9" s="28">
        <v>39.020000000000003</v>
      </c>
      <c r="AG9" s="18">
        <v>455.28840000000002</v>
      </c>
      <c r="AH9" s="18">
        <v>49.854000000000006</v>
      </c>
      <c r="AI9" s="51">
        <v>19.588000000000001</v>
      </c>
      <c r="AJ9" s="19">
        <v>563.75040000000001</v>
      </c>
      <c r="AL9" s="25" t="s">
        <v>529</v>
      </c>
      <c r="AM9" s="31">
        <v>0</v>
      </c>
      <c r="AN9" s="18">
        <v>188.39520000000002</v>
      </c>
      <c r="AO9" s="18">
        <v>19.292000000000005</v>
      </c>
      <c r="AP9" s="18">
        <v>0</v>
      </c>
      <c r="AQ9" s="19">
        <v>207.68720000000002</v>
      </c>
      <c r="AR9" s="28">
        <v>39.020000000000003</v>
      </c>
      <c r="AS9" s="18">
        <v>643.68359999999996</v>
      </c>
      <c r="AT9" s="18">
        <v>69.146000000000015</v>
      </c>
      <c r="AU9" s="51">
        <v>19.588000000000001</v>
      </c>
      <c r="AV9" s="19">
        <v>771.43759999999997</v>
      </c>
      <c r="AW9" s="17"/>
      <c r="AX9" s="25" t="s">
        <v>529</v>
      </c>
      <c r="AY9" s="31">
        <v>0</v>
      </c>
      <c r="AZ9" s="18">
        <v>245.30625000000001</v>
      </c>
      <c r="BA9" s="18">
        <v>0</v>
      </c>
      <c r="BB9" s="18">
        <v>6.72</v>
      </c>
      <c r="BC9" s="19">
        <v>252.02625</v>
      </c>
      <c r="BD9" s="28">
        <v>39.020000000000003</v>
      </c>
      <c r="BE9" s="18">
        <v>888.98984999999993</v>
      </c>
      <c r="BF9" s="18">
        <v>69.146000000000015</v>
      </c>
      <c r="BG9" s="51">
        <v>26.308</v>
      </c>
      <c r="BH9" s="19">
        <v>1023.4638499999999</v>
      </c>
      <c r="BI9" s="17"/>
      <c r="BJ9" s="25" t="s">
        <v>529</v>
      </c>
      <c r="BK9" s="31">
        <v>0</v>
      </c>
      <c r="BL9" s="18">
        <v>109.89720000000001</v>
      </c>
      <c r="BM9" s="18">
        <v>11.904690000000002</v>
      </c>
      <c r="BN9" s="18">
        <v>2.4</v>
      </c>
      <c r="BO9" s="19">
        <v>124.20189000000002</v>
      </c>
      <c r="BP9" s="28">
        <v>39.020000000000003</v>
      </c>
      <c r="BQ9" s="18">
        <v>998.88704999999993</v>
      </c>
      <c r="BR9" s="18">
        <v>81.050690000000003</v>
      </c>
      <c r="BS9" s="51">
        <v>28.707999999999998</v>
      </c>
      <c r="BT9" s="19">
        <v>1147.6657400000001</v>
      </c>
      <c r="BU9" s="17"/>
      <c r="BV9" s="25" t="s">
        <v>529</v>
      </c>
      <c r="BW9" s="31">
        <v>0</v>
      </c>
      <c r="BX9" s="18">
        <v>147.83790000000002</v>
      </c>
      <c r="BY9" s="18">
        <v>12.299780000000002</v>
      </c>
      <c r="BZ9" s="18">
        <v>7.2</v>
      </c>
      <c r="CA9" s="19">
        <v>167.33768000000001</v>
      </c>
      <c r="CB9" s="28">
        <v>39.020000000000003</v>
      </c>
      <c r="CC9" s="18">
        <v>1146.7249499999998</v>
      </c>
      <c r="CD9" s="18">
        <v>93.350470000000001</v>
      </c>
      <c r="CE9" s="51">
        <v>35.908000000000001</v>
      </c>
      <c r="CF9" s="19">
        <v>1315.0034199999998</v>
      </c>
      <c r="CG9" s="17"/>
      <c r="CH9" s="25" t="s">
        <v>529</v>
      </c>
      <c r="CI9" s="31">
        <v>0</v>
      </c>
      <c r="CJ9" s="18">
        <v>174.0095</v>
      </c>
      <c r="CK9" s="18">
        <v>18.098500000000001</v>
      </c>
      <c r="CL9" s="18">
        <v>5.76</v>
      </c>
      <c r="CM9" s="19">
        <v>197.86799999999999</v>
      </c>
      <c r="CN9" s="28">
        <v>39.020000000000003</v>
      </c>
      <c r="CO9" s="18">
        <v>1320.7344499999999</v>
      </c>
      <c r="CP9" s="18">
        <v>111.44896999999999</v>
      </c>
      <c r="CQ9" s="51">
        <v>41.667999999999999</v>
      </c>
      <c r="CR9" s="19">
        <v>1512.8714199999997</v>
      </c>
      <c r="CS9" s="17"/>
      <c r="CT9" s="25" t="s">
        <v>529</v>
      </c>
      <c r="CU9" s="31">
        <v>0</v>
      </c>
      <c r="CV9" s="18">
        <v>126.9051</v>
      </c>
      <c r="CW9" s="18">
        <v>12.371410000000001</v>
      </c>
      <c r="CX9" s="18">
        <v>5.04</v>
      </c>
      <c r="CY9" s="19">
        <v>144.31650999999999</v>
      </c>
      <c r="CZ9" s="28">
        <v>39.020000000000003</v>
      </c>
      <c r="DA9" s="18">
        <v>1447.6395500000001</v>
      </c>
      <c r="DB9" s="18">
        <v>123.82037999999999</v>
      </c>
      <c r="DC9" s="51">
        <v>46.707999999999998</v>
      </c>
      <c r="DD9" s="19">
        <v>1657.1879300000001</v>
      </c>
      <c r="DE9" s="17"/>
      <c r="DF9" s="25" t="s">
        <v>529</v>
      </c>
      <c r="DG9" s="31">
        <v>0</v>
      </c>
      <c r="DH9" s="18">
        <v>79.768919999999994</v>
      </c>
      <c r="DI9" s="18">
        <v>5.4628000000000014</v>
      </c>
      <c r="DJ9" s="18">
        <v>4.5359999999999996</v>
      </c>
      <c r="DK9" s="19">
        <v>89.767719999999997</v>
      </c>
      <c r="DL9" s="28">
        <v>39.020000000000003</v>
      </c>
      <c r="DM9" s="18">
        <v>1527.4084700000001</v>
      </c>
      <c r="DN9" s="18">
        <v>129.28318000000002</v>
      </c>
      <c r="DO9" s="51">
        <v>51.244</v>
      </c>
      <c r="DP9" s="19">
        <v>1746.9556500000001</v>
      </c>
      <c r="DQ9" s="17"/>
      <c r="DR9" s="25" t="s">
        <v>529</v>
      </c>
      <c r="DS9" s="31">
        <v>0</v>
      </c>
      <c r="DT9" s="18">
        <v>202.78649999999999</v>
      </c>
      <c r="DU9" s="18">
        <v>3.2130000000000005</v>
      </c>
      <c r="DV9" s="18">
        <v>4.96</v>
      </c>
      <c r="DW9" s="19">
        <v>210.95949999999999</v>
      </c>
      <c r="DX9" s="28">
        <v>39.020000000000003</v>
      </c>
      <c r="DY9" s="18">
        <v>1730.1949700000002</v>
      </c>
      <c r="DZ9" s="18">
        <v>132.49617999999998</v>
      </c>
      <c r="EA9" s="51">
        <v>56.204000000000001</v>
      </c>
      <c r="EB9" s="19">
        <v>1957.91515</v>
      </c>
      <c r="EC9" s="17"/>
      <c r="ED9" s="25" t="s">
        <v>529</v>
      </c>
      <c r="EE9" s="31">
        <v>0</v>
      </c>
      <c r="EF9" s="18">
        <v>196.89915000000002</v>
      </c>
      <c r="EG9" s="18">
        <v>14.905170000000002</v>
      </c>
      <c r="EH9" s="18">
        <v>4.8959999999999999</v>
      </c>
      <c r="EI9" s="19">
        <v>216.70032</v>
      </c>
      <c r="EJ9" s="28">
        <v>39.020000000000003</v>
      </c>
      <c r="EK9" s="18">
        <v>1927.0941200000002</v>
      </c>
      <c r="EL9" s="18">
        <v>147.40135000000001</v>
      </c>
      <c r="EM9" s="51">
        <v>61.1</v>
      </c>
      <c r="EN9" s="19">
        <v>2174.6154700000002</v>
      </c>
      <c r="EO9" s="17"/>
      <c r="EP9" s="25" t="s">
        <v>529</v>
      </c>
      <c r="EQ9" s="31">
        <v>0</v>
      </c>
      <c r="ER9" s="18">
        <v>104.66400000000002</v>
      </c>
      <c r="ES9" s="18">
        <v>8.2628000000000004</v>
      </c>
      <c r="ET9" s="18">
        <v>3.44</v>
      </c>
      <c r="EU9" s="19">
        <v>116.36680000000001</v>
      </c>
      <c r="EV9" s="28">
        <v>39.020000000000003</v>
      </c>
      <c r="EW9" s="18">
        <v>2031.7581200000004</v>
      </c>
      <c r="EX9" s="18">
        <v>155.66415000000003</v>
      </c>
      <c r="EY9" s="51">
        <v>64.540000000000006</v>
      </c>
      <c r="EZ9" s="19">
        <v>2290.9822700000004</v>
      </c>
      <c r="FA9" s="17"/>
      <c r="FB9" s="25" t="s">
        <v>529</v>
      </c>
      <c r="FC9" s="31">
        <v>0</v>
      </c>
      <c r="FD9" s="18">
        <v>153.72524999999999</v>
      </c>
      <c r="FE9" s="18">
        <v>16.996350000000003</v>
      </c>
      <c r="FF9" s="18">
        <v>6.4720000000000004</v>
      </c>
      <c r="FG9" s="19">
        <v>177.1936</v>
      </c>
      <c r="FH9" s="28">
        <v>39.020000000000003</v>
      </c>
      <c r="FI9" s="18">
        <v>2185.4833700000008</v>
      </c>
      <c r="FJ9" s="18">
        <v>172.66049999999998</v>
      </c>
      <c r="FK9" s="51">
        <v>71.012</v>
      </c>
      <c r="FL9" s="19">
        <v>2468.1758700000009</v>
      </c>
      <c r="FM9" s="17"/>
      <c r="FN9" s="25" t="s">
        <v>529</v>
      </c>
      <c r="FO9" s="31">
        <v>0</v>
      </c>
      <c r="FP9" s="18">
        <v>115.13040000000001</v>
      </c>
      <c r="FQ9" s="18">
        <v>14.471100000000002</v>
      </c>
      <c r="FR9" s="18">
        <v>2.016</v>
      </c>
      <c r="FS9" s="19">
        <v>131.61750000000001</v>
      </c>
      <c r="FT9" s="28">
        <v>39.020000000000003</v>
      </c>
      <c r="FU9" s="18">
        <v>2300.6137700000004</v>
      </c>
      <c r="FV9" s="18">
        <v>187.13159999999999</v>
      </c>
      <c r="FW9" s="51">
        <v>73.028000000000006</v>
      </c>
      <c r="FX9" s="19">
        <v>2599.7933700000003</v>
      </c>
      <c r="FY9" s="17"/>
      <c r="FZ9" s="25" t="s">
        <v>542</v>
      </c>
      <c r="GA9" s="89">
        <v>0</v>
      </c>
      <c r="GB9" s="90">
        <v>84.385350000000003</v>
      </c>
      <c r="GC9" s="90">
        <v>28.819839999999999</v>
      </c>
      <c r="GD9" s="90">
        <v>4.032</v>
      </c>
      <c r="GE9" s="90">
        <v>0.08</v>
      </c>
      <c r="GF9" s="91">
        <v>117.31719</v>
      </c>
      <c r="GG9" s="92">
        <v>39.020000000000003</v>
      </c>
      <c r="GH9" s="90">
        <v>2384.9991200000004</v>
      </c>
      <c r="GI9" s="90">
        <v>215.95143999999999</v>
      </c>
      <c r="GJ9" s="93">
        <v>77.06</v>
      </c>
      <c r="GK9" s="93">
        <v>0.08</v>
      </c>
      <c r="GL9" s="91">
        <v>2717.1105600000001</v>
      </c>
      <c r="GM9" s="17"/>
      <c r="GN9" s="25" t="s">
        <v>542</v>
      </c>
      <c r="GO9" s="31">
        <v>70.236000000000004</v>
      </c>
      <c r="GP9" s="18">
        <v>107.28060000000001</v>
      </c>
      <c r="GQ9" s="18">
        <v>23.004100000000001</v>
      </c>
      <c r="GR9" s="18">
        <v>6.32</v>
      </c>
      <c r="GS9" s="18">
        <v>0</v>
      </c>
      <c r="GT9" s="19">
        <v>206.8407</v>
      </c>
      <c r="GU9" s="28">
        <v>109.256</v>
      </c>
      <c r="GV9" s="18">
        <v>2492.2797200000005</v>
      </c>
      <c r="GW9" s="18">
        <v>238.95554000000001</v>
      </c>
      <c r="GX9" s="51">
        <v>83.38</v>
      </c>
      <c r="GY9" s="51">
        <v>0.08</v>
      </c>
      <c r="GZ9" s="19">
        <v>2923.9512600000003</v>
      </c>
      <c r="HA9" s="17"/>
      <c r="HB9" s="25" t="s">
        <v>542</v>
      </c>
      <c r="HC9" s="31">
        <v>0</v>
      </c>
      <c r="HD9" s="18">
        <v>123.63435000000001</v>
      </c>
      <c r="HE9" s="18">
        <v>1.3541500000000002</v>
      </c>
      <c r="HF9" s="18">
        <v>6.2640000000000002</v>
      </c>
      <c r="HG9" s="18">
        <v>0</v>
      </c>
      <c r="HH9" s="19">
        <v>131.25250000000003</v>
      </c>
      <c r="HI9" s="28">
        <v>109.256</v>
      </c>
      <c r="HJ9" s="18">
        <v>2615.9140700000007</v>
      </c>
      <c r="HK9" s="18">
        <v>240.30968999999999</v>
      </c>
      <c r="HL9" s="51">
        <v>89.644000000000005</v>
      </c>
      <c r="HM9" s="51">
        <v>0.08</v>
      </c>
      <c r="HN9" s="19">
        <v>3055.2037600000003</v>
      </c>
      <c r="HO9" s="17"/>
      <c r="HP9" s="25" t="s">
        <v>542</v>
      </c>
      <c r="HQ9" s="31">
        <v>0</v>
      </c>
      <c r="HR9" s="18">
        <v>134.90049999999999</v>
      </c>
      <c r="HS9" s="18">
        <v>13.817650000000002</v>
      </c>
      <c r="HT9" s="18">
        <v>4.4160000000000004</v>
      </c>
      <c r="HU9" s="18">
        <v>0</v>
      </c>
      <c r="HV9" s="19">
        <v>153.13415000000001</v>
      </c>
      <c r="HW9" s="28">
        <v>109.256</v>
      </c>
      <c r="HX9" s="18">
        <v>2750.8145700000014</v>
      </c>
      <c r="HY9" s="18">
        <v>254.12734</v>
      </c>
      <c r="HZ9" s="51">
        <v>94.06</v>
      </c>
      <c r="IA9" s="51">
        <v>0.08</v>
      </c>
      <c r="IB9" s="19">
        <v>3208.3379100000011</v>
      </c>
      <c r="IC9" s="17"/>
      <c r="ID9" s="25" t="s">
        <v>542</v>
      </c>
      <c r="IE9" s="31">
        <v>0</v>
      </c>
      <c r="IF9" s="18">
        <v>162.88335000000001</v>
      </c>
      <c r="IG9" s="18">
        <v>25.626999999999999</v>
      </c>
      <c r="IH9" s="18">
        <v>7.28</v>
      </c>
      <c r="II9" s="18">
        <v>0</v>
      </c>
      <c r="IJ9" s="19">
        <v>195.79035000000002</v>
      </c>
      <c r="IK9" s="28">
        <v>109.256</v>
      </c>
      <c r="IL9" s="18">
        <v>2913.697920000001</v>
      </c>
      <c r="IM9" s="18">
        <v>279.75434000000001</v>
      </c>
      <c r="IN9" s="51">
        <v>101.34</v>
      </c>
      <c r="IO9" s="51">
        <v>0.08</v>
      </c>
      <c r="IP9" s="19">
        <v>3404.1282600000009</v>
      </c>
      <c r="IQ9" s="17"/>
      <c r="IR9" s="25" t="s">
        <v>542</v>
      </c>
      <c r="IS9" s="31">
        <v>0</v>
      </c>
      <c r="IT9" s="18">
        <v>104.66400000000002</v>
      </c>
      <c r="IU9" s="18">
        <v>5.3528500000000001</v>
      </c>
      <c r="IV9" s="18">
        <v>6.1120000000000001</v>
      </c>
      <c r="IW9" s="18">
        <v>0</v>
      </c>
      <c r="IX9" s="19">
        <v>116.12885000000001</v>
      </c>
      <c r="IY9" s="28">
        <v>109.256</v>
      </c>
      <c r="IZ9" s="18">
        <v>3018.3619200000012</v>
      </c>
      <c r="JA9" s="18">
        <v>285.10719000000012</v>
      </c>
      <c r="JB9" s="51">
        <v>107.452</v>
      </c>
      <c r="JC9" s="51">
        <v>0.08</v>
      </c>
      <c r="JD9" s="19">
        <v>3520.2571100000014</v>
      </c>
      <c r="JE9" s="17"/>
      <c r="JF9" s="25" t="s">
        <v>542</v>
      </c>
      <c r="JG9" s="31">
        <v>58.530000000000008</v>
      </c>
      <c r="JH9" s="18">
        <v>95.505900000000011</v>
      </c>
      <c r="JI9" s="18">
        <v>3.6709500000000004</v>
      </c>
      <c r="JJ9" s="18">
        <v>5.952</v>
      </c>
      <c r="JK9" s="18">
        <v>0</v>
      </c>
      <c r="JL9" s="19">
        <v>163.65885000000003</v>
      </c>
      <c r="JM9" s="28">
        <v>167.786</v>
      </c>
      <c r="JN9" s="18">
        <v>3113.8678200000018</v>
      </c>
      <c r="JO9" s="18">
        <v>288.77814000000012</v>
      </c>
      <c r="JP9" s="51">
        <v>113.404</v>
      </c>
      <c r="JQ9" s="51">
        <v>0.08</v>
      </c>
      <c r="JR9" s="19">
        <v>3683.9159600000016</v>
      </c>
      <c r="JS9" s="17"/>
      <c r="JT9" s="25" t="s">
        <v>542</v>
      </c>
      <c r="JU9" s="31">
        <v>0</v>
      </c>
      <c r="JV9" s="18">
        <v>47.098800000000004</v>
      </c>
      <c r="JW9" s="18">
        <v>12.88875</v>
      </c>
      <c r="JX9" s="18">
        <v>6.0960000000000001</v>
      </c>
      <c r="JY9" s="18">
        <v>0</v>
      </c>
      <c r="JZ9" s="19">
        <v>66.083550000000002</v>
      </c>
      <c r="KA9" s="28">
        <v>167.786</v>
      </c>
      <c r="KB9" s="18">
        <v>3160.966620000002</v>
      </c>
      <c r="KC9" s="18">
        <v>301.66689000000014</v>
      </c>
      <c r="KD9" s="51">
        <v>119.5</v>
      </c>
      <c r="KE9" s="51">
        <v>0.08</v>
      </c>
      <c r="KF9" s="19">
        <v>3749.9995100000019</v>
      </c>
      <c r="KG9" s="17"/>
      <c r="KH9" s="25" t="s">
        <v>542</v>
      </c>
      <c r="KI9" s="31">
        <v>0</v>
      </c>
      <c r="KJ9" s="18">
        <v>119.0553</v>
      </c>
      <c r="KK9" s="18">
        <v>0</v>
      </c>
      <c r="KL9" s="18">
        <v>6.048</v>
      </c>
      <c r="KM9" s="18">
        <v>0</v>
      </c>
      <c r="KN9" s="19">
        <v>125.1033</v>
      </c>
      <c r="KO9" s="28">
        <v>167.786</v>
      </c>
      <c r="KP9" s="18">
        <v>3280.0219200000024</v>
      </c>
      <c r="KQ9" s="18">
        <v>301.66689000000008</v>
      </c>
      <c r="KR9" s="51">
        <v>125.548</v>
      </c>
      <c r="KS9" s="51">
        <v>0.08</v>
      </c>
      <c r="KT9" s="19">
        <v>3875.1028100000021</v>
      </c>
      <c r="KU9" s="17"/>
      <c r="KV9" s="17"/>
      <c r="KW9" s="17"/>
      <c r="KX9" s="17"/>
      <c r="KY9" s="17"/>
      <c r="KZ9" s="17"/>
    </row>
    <row r="10" spans="2:312" ht="15" thickBot="1" x14ac:dyDescent="0.35">
      <c r="B10" s="25" t="s">
        <v>530</v>
      </c>
      <c r="C10" s="31">
        <v>521.17999999999984</v>
      </c>
      <c r="D10" s="18">
        <v>199.29839999999967</v>
      </c>
      <c r="E10" s="18">
        <v>61.337500000000034</v>
      </c>
      <c r="F10" s="18">
        <v>38.150180000000034</v>
      </c>
      <c r="G10" s="19">
        <v>819.96607999999969</v>
      </c>
      <c r="H10" s="28">
        <v>521.17999999999984</v>
      </c>
      <c r="I10" s="28">
        <v>199.29839999999967</v>
      </c>
      <c r="J10" s="28">
        <v>61.337500000000034</v>
      </c>
      <c r="K10" s="55">
        <v>38.150180000000034</v>
      </c>
      <c r="L10" s="19">
        <v>819.96607999999969</v>
      </c>
      <c r="N10" s="25" t="s">
        <v>530</v>
      </c>
      <c r="O10" s="31">
        <v>0</v>
      </c>
      <c r="P10" s="18">
        <v>327.16320000000042</v>
      </c>
      <c r="Q10" s="18">
        <v>100.28725000000009</v>
      </c>
      <c r="R10" s="18">
        <v>87.099399999999946</v>
      </c>
      <c r="S10" s="19">
        <v>514.54985000000124</v>
      </c>
      <c r="T10" s="28">
        <v>521.17999999999984</v>
      </c>
      <c r="U10" s="28">
        <v>526.46159999999963</v>
      </c>
      <c r="V10" s="28">
        <v>161.62474999999972</v>
      </c>
      <c r="W10" s="55">
        <v>125.2495799999997</v>
      </c>
      <c r="X10" s="19">
        <v>1334.5159299999978</v>
      </c>
      <c r="Y10" s="17"/>
      <c r="Z10" s="25" t="s">
        <v>530</v>
      </c>
      <c r="AA10" s="31">
        <v>0</v>
      </c>
      <c r="AB10" s="18">
        <v>187.65599999999995</v>
      </c>
      <c r="AC10" s="18">
        <v>54.759250000000009</v>
      </c>
      <c r="AD10" s="18">
        <v>32.140000000000043</v>
      </c>
      <c r="AE10" s="19">
        <v>274.55524999999989</v>
      </c>
      <c r="AF10" s="28">
        <v>521.17999999999984</v>
      </c>
      <c r="AG10" s="28">
        <v>714.11760000000049</v>
      </c>
      <c r="AH10" s="28">
        <v>216.38400000000001</v>
      </c>
      <c r="AI10" s="55">
        <v>157.3895799999998</v>
      </c>
      <c r="AJ10" s="19">
        <v>1609.0711800000008</v>
      </c>
      <c r="AL10" s="25" t="s">
        <v>530</v>
      </c>
      <c r="AM10" s="31">
        <v>0</v>
      </c>
      <c r="AN10" s="18">
        <v>283.44959999999992</v>
      </c>
      <c r="AO10" s="18">
        <v>78.114750000000072</v>
      </c>
      <c r="AP10" s="18">
        <v>0</v>
      </c>
      <c r="AQ10" s="19">
        <v>361.56434999999965</v>
      </c>
      <c r="AR10" s="28">
        <v>521.17999999999984</v>
      </c>
      <c r="AS10" s="28">
        <v>997.5671999999995</v>
      </c>
      <c r="AT10" s="28">
        <v>294.4987500000002</v>
      </c>
      <c r="AU10" s="55">
        <v>157.38958000000025</v>
      </c>
      <c r="AV10" s="19">
        <v>1970.6355299999996</v>
      </c>
      <c r="AW10" s="17"/>
      <c r="AX10" s="25" t="s">
        <v>530</v>
      </c>
      <c r="AY10" s="31">
        <v>0</v>
      </c>
      <c r="AZ10" s="18">
        <v>381.39429999999993</v>
      </c>
      <c r="BA10" s="18">
        <v>0</v>
      </c>
      <c r="BB10" s="18">
        <v>53.995200000000011</v>
      </c>
      <c r="BC10" s="19">
        <v>435.38950000000023</v>
      </c>
      <c r="BD10" s="28">
        <v>521.17999999999984</v>
      </c>
      <c r="BE10" s="28">
        <v>1378.9615000000013</v>
      </c>
      <c r="BF10" s="28">
        <v>294.4987500000002</v>
      </c>
      <c r="BG10" s="55">
        <v>211.38478000000009</v>
      </c>
      <c r="BH10" s="19">
        <v>2406.0250300000043</v>
      </c>
      <c r="BI10" s="17"/>
      <c r="BJ10" s="25" t="s">
        <v>530</v>
      </c>
      <c r="BK10" s="31">
        <v>0</v>
      </c>
      <c r="BL10" s="18">
        <v>182.29679999999985</v>
      </c>
      <c r="BM10" s="18">
        <v>38.601549999999975</v>
      </c>
      <c r="BN10" s="18">
        <v>19.283999999999992</v>
      </c>
      <c r="BO10" s="19">
        <v>240.18234999999959</v>
      </c>
      <c r="BP10" s="28">
        <v>521.17999999999984</v>
      </c>
      <c r="BQ10" s="28">
        <v>1561.2583000000013</v>
      </c>
      <c r="BR10" s="28">
        <v>333.10030000000052</v>
      </c>
      <c r="BS10" s="55">
        <v>230.66877999999997</v>
      </c>
      <c r="BT10" s="19">
        <v>2646.2073800000035</v>
      </c>
      <c r="BU10" s="17"/>
      <c r="BV10" s="25" t="s">
        <v>530</v>
      </c>
      <c r="BW10" s="31">
        <v>0</v>
      </c>
      <c r="BX10" s="18">
        <v>239.36009999999987</v>
      </c>
      <c r="BY10" s="18">
        <v>30.118810000000053</v>
      </c>
      <c r="BZ10" s="18">
        <v>57.852000000000032</v>
      </c>
      <c r="CA10" s="19">
        <v>327.33091000000059</v>
      </c>
      <c r="CB10" s="28">
        <v>521.17999999999984</v>
      </c>
      <c r="CC10" s="28">
        <v>1800.6183999999885</v>
      </c>
      <c r="CD10" s="28">
        <v>363.21911</v>
      </c>
      <c r="CE10" s="55">
        <v>288.52077999999983</v>
      </c>
      <c r="CF10" s="19">
        <v>2973.5382899999859</v>
      </c>
      <c r="CG10" s="17"/>
      <c r="CH10" s="25" t="s">
        <v>530</v>
      </c>
      <c r="CI10" s="31">
        <v>0</v>
      </c>
      <c r="CJ10" s="18">
        <v>260.92535000000044</v>
      </c>
      <c r="CK10" s="18">
        <v>84.173250000000053</v>
      </c>
      <c r="CL10" s="18">
        <v>46.281599999999969</v>
      </c>
      <c r="CM10" s="19">
        <v>391.38020000000051</v>
      </c>
      <c r="CN10" s="28">
        <v>521.17999999999984</v>
      </c>
      <c r="CO10" s="28">
        <v>2061.5437499999898</v>
      </c>
      <c r="CP10" s="28">
        <v>447.39235999999983</v>
      </c>
      <c r="CQ10" s="55">
        <v>334.80238000000054</v>
      </c>
      <c r="CR10" s="19">
        <v>3364.9184899999927</v>
      </c>
      <c r="CS10" s="17"/>
      <c r="CT10" s="25" t="s">
        <v>530</v>
      </c>
      <c r="CU10" s="31">
        <v>0</v>
      </c>
      <c r="CV10" s="18">
        <v>206.50280000000021</v>
      </c>
      <c r="CW10" s="18">
        <v>63.393699999999967</v>
      </c>
      <c r="CX10" s="18">
        <v>40.496400000000051</v>
      </c>
      <c r="CY10" s="19">
        <v>310.39290000000028</v>
      </c>
      <c r="CZ10" s="28">
        <v>521.17999999999984</v>
      </c>
      <c r="DA10" s="28">
        <v>2268.0465499999918</v>
      </c>
      <c r="DB10" s="28">
        <v>510.78605999999991</v>
      </c>
      <c r="DC10" s="55">
        <v>375.29877999999962</v>
      </c>
      <c r="DD10" s="19">
        <v>3675.3113899999953</v>
      </c>
      <c r="DE10" s="17"/>
      <c r="DF10" s="25" t="s">
        <v>530</v>
      </c>
      <c r="DG10" s="31">
        <v>0</v>
      </c>
      <c r="DH10" s="18">
        <v>121.12387999999987</v>
      </c>
      <c r="DI10" s="18">
        <v>19.215000000000003</v>
      </c>
      <c r="DJ10" s="18">
        <v>36.44676000000004</v>
      </c>
      <c r="DK10" s="19">
        <v>176.78563999999983</v>
      </c>
      <c r="DL10" s="28">
        <v>521.17999999999984</v>
      </c>
      <c r="DM10" s="28">
        <v>2389.1704299999874</v>
      </c>
      <c r="DN10" s="28">
        <v>530.00106000000051</v>
      </c>
      <c r="DO10" s="55">
        <v>411.74553999999944</v>
      </c>
      <c r="DP10" s="19">
        <v>3852.0970299999826</v>
      </c>
      <c r="DQ10" s="17"/>
      <c r="DR10" s="25" t="s">
        <v>530</v>
      </c>
      <c r="DS10" s="31">
        <v>0</v>
      </c>
      <c r="DT10" s="18">
        <v>310.06850000000077</v>
      </c>
      <c r="DU10" s="18">
        <v>3.5822500000000019</v>
      </c>
      <c r="DV10" s="18">
        <v>39.853599999999972</v>
      </c>
      <c r="DW10" s="19">
        <v>353.50435000000061</v>
      </c>
      <c r="DX10" s="28">
        <v>521.17999999999984</v>
      </c>
      <c r="DY10" s="28">
        <v>2699.2389299999923</v>
      </c>
      <c r="DZ10" s="28">
        <v>533.58330999999953</v>
      </c>
      <c r="EA10" s="55">
        <v>451.5991399999989</v>
      </c>
      <c r="EB10" s="19">
        <v>4205.6013799999928</v>
      </c>
      <c r="EC10" s="17"/>
      <c r="ED10" s="25" t="s">
        <v>530</v>
      </c>
      <c r="EE10" s="31">
        <v>0</v>
      </c>
      <c r="EF10" s="18">
        <v>331.95085000000017</v>
      </c>
      <c r="EG10" s="18">
        <v>18.767330000000044</v>
      </c>
      <c r="EH10" s="18">
        <v>39.339360000000056</v>
      </c>
      <c r="EI10" s="19">
        <v>390.05753999999979</v>
      </c>
      <c r="EJ10" s="28">
        <v>521.17999999999984</v>
      </c>
      <c r="EK10" s="28">
        <v>3031.1897799999861</v>
      </c>
      <c r="EL10" s="28">
        <v>552.35063999999966</v>
      </c>
      <c r="EM10" s="55">
        <v>490.93849999999929</v>
      </c>
      <c r="EN10" s="19">
        <v>4595.6589199999871</v>
      </c>
      <c r="EO10" s="17"/>
      <c r="EP10" s="25" t="s">
        <v>530</v>
      </c>
      <c r="EQ10" s="31">
        <v>0</v>
      </c>
      <c r="ER10" s="18">
        <v>171.66100000000006</v>
      </c>
      <c r="ES10" s="18">
        <v>36.563799999999958</v>
      </c>
      <c r="ET10" s="18">
        <v>28.384199999999908</v>
      </c>
      <c r="EU10" s="19">
        <v>236.60900000000038</v>
      </c>
      <c r="EV10" s="28">
        <v>521.17999999999984</v>
      </c>
      <c r="EW10" s="28">
        <v>3202.8507800000007</v>
      </c>
      <c r="EX10" s="28">
        <v>588.91443999999956</v>
      </c>
      <c r="EY10" s="55">
        <v>519.32269999999789</v>
      </c>
      <c r="EZ10" s="19">
        <v>4832.2679199999984</v>
      </c>
      <c r="FA10" s="17"/>
      <c r="FB10" s="25" t="s">
        <v>530</v>
      </c>
      <c r="FC10" s="31">
        <v>0</v>
      </c>
      <c r="FD10" s="18">
        <v>251.28215000000046</v>
      </c>
      <c r="FE10" s="18">
        <v>15.503950000000032</v>
      </c>
      <c r="FF10" s="18">
        <v>52.002520000000004</v>
      </c>
      <c r="FG10" s="19">
        <v>318.78862000000072</v>
      </c>
      <c r="FH10" s="28">
        <v>521.17999999999984</v>
      </c>
      <c r="FI10" s="28">
        <v>3454.1329299999998</v>
      </c>
      <c r="FJ10" s="28">
        <v>604.41839000000073</v>
      </c>
      <c r="FK10" s="55">
        <v>571.32521999999881</v>
      </c>
      <c r="FL10" s="19">
        <v>5151.0565399999978</v>
      </c>
      <c r="FM10" s="17"/>
      <c r="FN10" s="25" t="s">
        <v>530</v>
      </c>
      <c r="FO10" s="31">
        <v>0</v>
      </c>
      <c r="FP10" s="18">
        <v>186.79185000000052</v>
      </c>
      <c r="FQ10" s="18">
        <v>24.874849999999981</v>
      </c>
      <c r="FR10" s="18">
        <v>16.198559999999986</v>
      </c>
      <c r="FS10" s="19">
        <v>227.86526000000049</v>
      </c>
      <c r="FT10" s="28">
        <v>521.17999999999984</v>
      </c>
      <c r="FU10" s="28">
        <v>3640.9247799999939</v>
      </c>
      <c r="FV10" s="28">
        <v>629.29323999999997</v>
      </c>
      <c r="FW10" s="55">
        <v>587.52377999999953</v>
      </c>
      <c r="FX10" s="19">
        <v>5378.9217999999964</v>
      </c>
      <c r="FY10" s="17"/>
      <c r="FZ10" s="25" t="s">
        <v>543</v>
      </c>
      <c r="GA10" s="89">
        <v>0</v>
      </c>
      <c r="GB10" s="90">
        <v>126.95864999999981</v>
      </c>
      <c r="GC10" s="90">
        <v>119.20055000000002</v>
      </c>
      <c r="GD10" s="90">
        <v>32.397119999999973</v>
      </c>
      <c r="GE10" s="90">
        <v>2.2406000000000001</v>
      </c>
      <c r="GF10" s="91">
        <v>280.79691999999977</v>
      </c>
      <c r="GG10" s="92">
        <v>521.17999999999984</v>
      </c>
      <c r="GH10" s="92">
        <v>3767.8834300000017</v>
      </c>
      <c r="GI10" s="92">
        <v>748.49379000000044</v>
      </c>
      <c r="GJ10" s="99">
        <v>619.92090000000007</v>
      </c>
      <c r="GK10" s="100">
        <v>2.2406000000000001</v>
      </c>
      <c r="GL10" s="91">
        <v>5659.7187199999971</v>
      </c>
      <c r="GM10" s="17"/>
      <c r="GN10" s="25" t="s">
        <v>543</v>
      </c>
      <c r="GO10" s="31">
        <v>938.1239999999998</v>
      </c>
      <c r="GP10" s="18">
        <v>171.10135000000014</v>
      </c>
      <c r="GQ10" s="18">
        <v>73.421600000000012</v>
      </c>
      <c r="GR10" s="18">
        <v>50.781199999999956</v>
      </c>
      <c r="GS10" s="18">
        <v>0</v>
      </c>
      <c r="GT10" s="19">
        <v>1233.4281499999997</v>
      </c>
      <c r="GU10" s="28">
        <v>1459.3040000000001</v>
      </c>
      <c r="GV10" s="28">
        <v>3938.9847799999989</v>
      </c>
      <c r="GW10" s="28">
        <v>821.91539000000103</v>
      </c>
      <c r="GX10" s="82">
        <v>670.70209999999952</v>
      </c>
      <c r="GY10" s="55">
        <v>2.2406000000000001</v>
      </c>
      <c r="GZ10" s="19">
        <v>6893.1468700000041</v>
      </c>
      <c r="HA10" s="17"/>
      <c r="HB10" s="25" t="s">
        <v>543</v>
      </c>
      <c r="HC10" s="31">
        <v>0</v>
      </c>
      <c r="HD10" s="18">
        <v>203.68844999999965</v>
      </c>
      <c r="HE10" s="18">
        <v>4.9286999999999992</v>
      </c>
      <c r="HF10" s="18">
        <v>50.33123999999998</v>
      </c>
      <c r="HG10" s="18">
        <v>0</v>
      </c>
      <c r="HH10" s="19">
        <v>258.94838999999956</v>
      </c>
      <c r="HI10" s="28">
        <v>1459.3040000000001</v>
      </c>
      <c r="HJ10" s="28">
        <v>4142.6732299999931</v>
      </c>
      <c r="HK10" s="28">
        <v>826.84409000000232</v>
      </c>
      <c r="HL10" s="82">
        <v>721.03333999999995</v>
      </c>
      <c r="HM10" s="55">
        <v>2.2406000000000001</v>
      </c>
      <c r="HN10" s="19">
        <v>7152.0952600000019</v>
      </c>
      <c r="HO10" s="17"/>
      <c r="HP10" s="25" t="s">
        <v>543</v>
      </c>
      <c r="HQ10" s="31">
        <v>0</v>
      </c>
      <c r="HR10" s="18">
        <v>212.21199999999953</v>
      </c>
      <c r="HS10" s="18">
        <v>35.508899999999926</v>
      </c>
      <c r="HT10" s="18">
        <v>35.482559999999978</v>
      </c>
      <c r="HU10" s="18">
        <v>0</v>
      </c>
      <c r="HV10" s="19">
        <v>283.20345999999927</v>
      </c>
      <c r="HW10" s="28">
        <v>1459.3040000000001</v>
      </c>
      <c r="HX10" s="28">
        <v>4354.8852300000071</v>
      </c>
      <c r="HY10" s="28">
        <v>862.35298999999941</v>
      </c>
      <c r="HZ10" s="82">
        <v>756.51589999999851</v>
      </c>
      <c r="IA10" s="55">
        <v>2.2406000000000001</v>
      </c>
      <c r="IB10" s="19">
        <v>7435.2987200000061</v>
      </c>
      <c r="IC10" s="17"/>
      <c r="ID10" s="25" t="s">
        <v>543</v>
      </c>
      <c r="IE10" s="31">
        <v>0</v>
      </c>
      <c r="IF10" s="18">
        <v>274.69540000000052</v>
      </c>
      <c r="IG10" s="18">
        <v>69.416899999999941</v>
      </c>
      <c r="IH10" s="18">
        <v>58.494800000000055</v>
      </c>
      <c r="II10" s="18">
        <v>0</v>
      </c>
      <c r="IJ10" s="19">
        <v>402.60710000000017</v>
      </c>
      <c r="IK10" s="28">
        <v>1459.3040000000001</v>
      </c>
      <c r="IL10" s="28">
        <v>4629.5806299999967</v>
      </c>
      <c r="IM10" s="28">
        <v>931.76989000000049</v>
      </c>
      <c r="IN10" s="82">
        <v>815.01069999999982</v>
      </c>
      <c r="IO10" s="55">
        <v>2.2406000000000001</v>
      </c>
      <c r="IP10" s="19">
        <v>7837.9058199999999</v>
      </c>
      <c r="IQ10" s="17"/>
      <c r="IR10" s="25" t="s">
        <v>543</v>
      </c>
      <c r="IS10" s="31">
        <v>0</v>
      </c>
      <c r="IT10" s="18">
        <v>175.6719999999998</v>
      </c>
      <c r="IU10" s="18">
        <v>6.9569000000000045</v>
      </c>
      <c r="IV10" s="18">
        <v>49.109919999999988</v>
      </c>
      <c r="IW10" s="18">
        <v>0</v>
      </c>
      <c r="IX10" s="19">
        <v>231.73882000000003</v>
      </c>
      <c r="IY10" s="28">
        <v>1459.3040000000001</v>
      </c>
      <c r="IZ10" s="28">
        <v>4805.2526299999954</v>
      </c>
      <c r="JA10" s="28">
        <v>938.72678999999971</v>
      </c>
      <c r="JB10" s="82">
        <v>864.12061999999969</v>
      </c>
      <c r="JC10" s="55">
        <v>2.2406000000000001</v>
      </c>
      <c r="JD10" s="19">
        <v>8069.6446399999986</v>
      </c>
      <c r="JE10" s="17"/>
      <c r="JF10" s="25" t="s">
        <v>543</v>
      </c>
      <c r="JG10" s="31">
        <v>790.76999999999975</v>
      </c>
      <c r="JH10" s="18">
        <v>159.06799999999976</v>
      </c>
      <c r="JI10" s="18">
        <v>17.618750000000006</v>
      </c>
      <c r="JJ10" s="18">
        <v>47.82432</v>
      </c>
      <c r="JK10" s="18">
        <v>0</v>
      </c>
      <c r="JL10" s="19">
        <v>1015.2810700000005</v>
      </c>
      <c r="JM10" s="28">
        <v>2250.0739999999996</v>
      </c>
      <c r="JN10" s="28">
        <v>4964.3206299999874</v>
      </c>
      <c r="JO10" s="28">
        <v>956.34554000000026</v>
      </c>
      <c r="JP10" s="82">
        <v>911.94493999999759</v>
      </c>
      <c r="JQ10" s="55">
        <v>2.2406000000000001</v>
      </c>
      <c r="JR10" s="19">
        <v>9084.9257099999959</v>
      </c>
      <c r="JS10" s="17"/>
      <c r="JT10" s="25" t="s">
        <v>543</v>
      </c>
      <c r="JU10" s="31">
        <v>0</v>
      </c>
      <c r="JV10" s="18">
        <v>79.394699999999943</v>
      </c>
      <c r="JW10" s="18">
        <v>47.510749999999916</v>
      </c>
      <c r="JX10" s="18">
        <v>48.981360000000052</v>
      </c>
      <c r="JY10" s="18">
        <v>0</v>
      </c>
      <c r="JZ10" s="19">
        <v>175.8868100000002</v>
      </c>
      <c r="KA10" s="28">
        <v>2250.0739999999996</v>
      </c>
      <c r="KB10" s="28">
        <v>5043.7153299999918</v>
      </c>
      <c r="KC10" s="28">
        <v>1003.8562899999979</v>
      </c>
      <c r="KD10" s="82">
        <v>960.92629999999735</v>
      </c>
      <c r="KE10" s="55">
        <v>2.2406000000000001</v>
      </c>
      <c r="KF10" s="19">
        <v>9260.8125199999922</v>
      </c>
      <c r="KG10" s="17"/>
      <c r="KH10" s="25" t="s">
        <v>543</v>
      </c>
      <c r="KI10" s="31">
        <v>0</v>
      </c>
      <c r="KJ10" s="18">
        <v>179.12440000000015</v>
      </c>
      <c r="KK10" s="18">
        <v>0</v>
      </c>
      <c r="KL10" s="18">
        <v>48.595680000000016</v>
      </c>
      <c r="KM10" s="18">
        <v>0</v>
      </c>
      <c r="KN10" s="19">
        <v>227.72008000000005</v>
      </c>
      <c r="KO10" s="28">
        <v>2250.0739999999996</v>
      </c>
      <c r="KP10" s="28">
        <v>5222.8397299999924</v>
      </c>
      <c r="KQ10" s="28">
        <v>1003.8562899999997</v>
      </c>
      <c r="KR10" s="82">
        <v>1009.5219799999977</v>
      </c>
      <c r="KS10" s="55">
        <v>2.2406000000000001</v>
      </c>
      <c r="KT10" s="19">
        <v>9488.5325999999914</v>
      </c>
      <c r="KU10" s="17"/>
      <c r="KV10" s="17"/>
      <c r="KW10" s="17"/>
      <c r="KX10" s="17"/>
      <c r="KY10" s="17"/>
      <c r="KZ10" s="17"/>
    </row>
    <row r="11" spans="2:312" ht="15" thickBot="1" x14ac:dyDescent="0.35">
      <c r="B11" s="56" t="s">
        <v>460</v>
      </c>
      <c r="C11" s="57">
        <v>0.35391343320068985</v>
      </c>
      <c r="D11" s="58">
        <v>8.6122908272532439E-2</v>
      </c>
      <c r="E11" s="58">
        <v>0.13167939504870455</v>
      </c>
      <c r="F11" s="58">
        <v>0.10387176006722264</v>
      </c>
      <c r="G11" s="59">
        <v>0.17748848401667611</v>
      </c>
      <c r="H11" s="60">
        <v>0.35391343320068985</v>
      </c>
      <c r="I11" s="58">
        <v>8.6122908272532439E-2</v>
      </c>
      <c r="J11" s="58">
        <v>0.13167939504870455</v>
      </c>
      <c r="K11" s="61">
        <v>0.10387176006722264</v>
      </c>
      <c r="L11" s="59">
        <v>0.17748848401667611</v>
      </c>
      <c r="N11" s="56" t="s">
        <v>460</v>
      </c>
      <c r="O11" s="57" t="s">
        <v>478</v>
      </c>
      <c r="P11" s="58">
        <v>7.8299398501077644E-2</v>
      </c>
      <c r="Q11" s="58">
        <v>0.11794262390900974</v>
      </c>
      <c r="R11" s="58">
        <v>0.10387176006722249</v>
      </c>
      <c r="S11" s="59">
        <v>8.7699459871388163E-2</v>
      </c>
      <c r="T11" s="60">
        <v>0.35391343320068985</v>
      </c>
      <c r="U11" s="58">
        <v>8.1087934750826041E-2</v>
      </c>
      <c r="V11" s="58">
        <v>0.12280444684612599</v>
      </c>
      <c r="W11" s="61">
        <v>0.1038717600672223</v>
      </c>
      <c r="X11" s="59">
        <v>0.12725403953423883</v>
      </c>
      <c r="Z11" s="56" t="s">
        <v>460</v>
      </c>
      <c r="AA11" s="57" t="s">
        <v>478</v>
      </c>
      <c r="AB11" s="58">
        <v>7.8195004480286726E-2</v>
      </c>
      <c r="AC11" s="58">
        <v>0.13957830766375953</v>
      </c>
      <c r="AD11" s="58">
        <v>0.10387176006722268</v>
      </c>
      <c r="AE11" s="59">
        <v>8.8520932648126785E-2</v>
      </c>
      <c r="AF11" s="60">
        <v>0.35391343320068985</v>
      </c>
      <c r="AG11" s="58">
        <v>8.0307195284382404E-2</v>
      </c>
      <c r="AH11" s="58">
        <v>0.12665634142144211</v>
      </c>
      <c r="AI11" s="61">
        <v>0.10387176006722242</v>
      </c>
      <c r="AJ11" s="59">
        <v>0.11841324812574219</v>
      </c>
      <c r="AL11" s="56" t="s">
        <v>460</v>
      </c>
      <c r="AM11" s="57" t="s">
        <v>478</v>
      </c>
      <c r="AN11" s="58">
        <v>7.8953279424977513E-2</v>
      </c>
      <c r="AO11" s="58">
        <v>0.12357186557888074</v>
      </c>
      <c r="AP11" s="58" t="s">
        <v>478</v>
      </c>
      <c r="AQ11" s="59">
        <v>8.5633442237396079E-2</v>
      </c>
      <c r="AR11" s="60">
        <v>0.35391343320068985</v>
      </c>
      <c r="AS11" s="58">
        <v>7.9917792842809046E-2</v>
      </c>
      <c r="AT11" s="58">
        <v>0.12582328887878699</v>
      </c>
      <c r="AU11" s="61">
        <v>0.10387176006722269</v>
      </c>
      <c r="AV11" s="59">
        <v>0.11064247630052503</v>
      </c>
      <c r="AX11" s="56" t="s">
        <v>460</v>
      </c>
      <c r="AY11" s="57" t="s">
        <v>478</v>
      </c>
      <c r="AZ11" s="58">
        <v>7.9722168063593474E-2</v>
      </c>
      <c r="BA11" s="58" t="s">
        <v>478</v>
      </c>
      <c r="BB11" s="58">
        <v>0.10387176006722257</v>
      </c>
      <c r="BC11" s="59">
        <v>8.2089039588526064E-2</v>
      </c>
      <c r="BD11" s="60">
        <v>0.35391343320068985</v>
      </c>
      <c r="BE11" s="58">
        <v>7.9863590800130516E-2</v>
      </c>
      <c r="BF11" s="58">
        <v>0.12582328887878699</v>
      </c>
      <c r="BG11" s="61">
        <v>0.10387176006722258</v>
      </c>
      <c r="BH11" s="59">
        <v>0.10409064476572003</v>
      </c>
      <c r="BJ11" s="56" t="s">
        <v>460</v>
      </c>
      <c r="BK11" s="57" t="s">
        <v>478</v>
      </c>
      <c r="BL11" s="58">
        <v>8.2705477494369239E-2</v>
      </c>
      <c r="BM11" s="58">
        <v>0.11334151669289069</v>
      </c>
      <c r="BN11" s="58">
        <v>0.10387176006722251</v>
      </c>
      <c r="BO11" s="59">
        <v>8.7966067448957436E-2</v>
      </c>
      <c r="BP11" s="60">
        <v>0.35391343320068985</v>
      </c>
      <c r="BQ11" s="58">
        <v>8.018530598584768E-2</v>
      </c>
      <c r="BR11" s="58">
        <v>0.12423777295067301</v>
      </c>
      <c r="BS11" s="61">
        <v>0.10387176006722254</v>
      </c>
      <c r="BT11" s="59">
        <v>0.1023871691899214</v>
      </c>
      <c r="BV11" s="56" t="s">
        <v>460</v>
      </c>
      <c r="BW11" s="57" t="s">
        <v>478</v>
      </c>
      <c r="BX11" s="58">
        <v>8.1771758500658542E-2</v>
      </c>
      <c r="BY11" s="58">
        <v>0.10085641935452237</v>
      </c>
      <c r="BZ11" s="58">
        <v>0.1038717600672226</v>
      </c>
      <c r="CA11" s="59">
        <v>8.6532301785582466E-2</v>
      </c>
      <c r="CB11" s="60">
        <v>0.35391343320068985</v>
      </c>
      <c r="CC11" s="58">
        <v>8.0392639783913283E-2</v>
      </c>
      <c r="CD11" s="58">
        <v>0.12189451877176494</v>
      </c>
      <c r="CE11" s="61">
        <v>0.10387176006722249</v>
      </c>
      <c r="CF11" s="59">
        <v>0.10036288730986982</v>
      </c>
      <c r="CH11" s="56" t="s">
        <v>460</v>
      </c>
      <c r="CI11" s="57" t="s">
        <v>478</v>
      </c>
      <c r="CJ11" s="58">
        <v>7.8617187223179411E-2</v>
      </c>
      <c r="CK11" s="58">
        <v>0.12965983130393066</v>
      </c>
      <c r="CL11" s="58">
        <v>0.10387176006722247</v>
      </c>
      <c r="CM11" s="59">
        <v>8.8674243366130487E-2</v>
      </c>
      <c r="CN11" s="60">
        <v>0.35391343320068985</v>
      </c>
      <c r="CO11" s="58">
        <v>8.0163504492211282E-2</v>
      </c>
      <c r="CP11" s="58">
        <v>0.12328365397628986</v>
      </c>
      <c r="CQ11" s="61">
        <v>0.10387176006722271</v>
      </c>
      <c r="CR11" s="59">
        <v>9.8847386642006999E-2</v>
      </c>
      <c r="CT11" s="56" t="s">
        <v>460</v>
      </c>
      <c r="CU11" s="57" t="s">
        <v>478</v>
      </c>
      <c r="CV11" s="58">
        <v>8.1974451549726907E-2</v>
      </c>
      <c r="CW11" s="58">
        <v>0.1337558863977274</v>
      </c>
      <c r="CX11" s="58">
        <v>0.10387176006722267</v>
      </c>
      <c r="CY11" s="59">
        <v>9.1752637637551149E-2</v>
      </c>
      <c r="CZ11" s="60">
        <v>0.35391343320068985</v>
      </c>
      <c r="DA11" s="58">
        <v>8.0325071371017534E-2</v>
      </c>
      <c r="DB11" s="58">
        <v>0.12449335937515611</v>
      </c>
      <c r="DC11" s="61">
        <v>0.10387176006722244</v>
      </c>
      <c r="DD11" s="59">
        <v>9.8206067156942883E-2</v>
      </c>
      <c r="DF11" s="56" t="s">
        <v>460</v>
      </c>
      <c r="DG11" s="57" t="s">
        <v>478</v>
      </c>
      <c r="DH11" s="58">
        <v>7.9231863836920213E-2</v>
      </c>
      <c r="DI11" s="58">
        <v>0.11714649072643628</v>
      </c>
      <c r="DJ11" s="58">
        <v>0.10387176006722265</v>
      </c>
      <c r="DK11" s="59">
        <v>8.6505505172118358E-2</v>
      </c>
      <c r="DL11" s="60">
        <v>0.35391343320068985</v>
      </c>
      <c r="DM11" s="58">
        <v>8.0268923560452343E-2</v>
      </c>
      <c r="DN11" s="58">
        <v>0.12421093870021518</v>
      </c>
      <c r="DO11" s="61">
        <v>0.10387176006722242</v>
      </c>
      <c r="DP11" s="59">
        <v>9.7600219355983953E-2</v>
      </c>
      <c r="DR11" s="56" t="s">
        <v>460</v>
      </c>
      <c r="DS11" s="57" t="s">
        <v>478</v>
      </c>
      <c r="DT11" s="58">
        <v>7.8809888923701804E-2</v>
      </c>
      <c r="DU11" s="58">
        <v>6.517240281447996E-2</v>
      </c>
      <c r="DV11" s="58">
        <v>0.10387176006722247</v>
      </c>
      <c r="DW11" s="59">
        <v>8.0837352617283031E-2</v>
      </c>
      <c r="DX11" s="60">
        <v>0.35391343320068985</v>
      </c>
      <c r="DY11" s="58">
        <v>8.009857988165206E-2</v>
      </c>
      <c r="DZ11" s="58">
        <v>0.12346009059093448</v>
      </c>
      <c r="EA11" s="61">
        <v>0.1038717600672223</v>
      </c>
      <c r="EB11" s="59">
        <v>9.5928170254176576E-2</v>
      </c>
      <c r="ED11" s="56" t="s">
        <v>460</v>
      </c>
      <c r="EE11" s="57" t="s">
        <v>478</v>
      </c>
      <c r="EF11" s="58">
        <v>8.2665633757714491E-2</v>
      </c>
      <c r="EG11" s="58">
        <v>7.4024934766352996E-2</v>
      </c>
      <c r="EH11" s="58">
        <v>0.10387176006722268</v>
      </c>
      <c r="EI11" s="59">
        <v>8.3922291444050306E-2</v>
      </c>
      <c r="EJ11" s="60">
        <v>0.35391343320068985</v>
      </c>
      <c r="EK11" s="58">
        <v>8.0371902068814643E-2</v>
      </c>
      <c r="EL11" s="58">
        <v>0.12072086474479046</v>
      </c>
      <c r="EM11" s="61">
        <v>0.10387176006722239</v>
      </c>
      <c r="EN11" s="59">
        <v>9.4777364202654618E-2</v>
      </c>
      <c r="EP11" s="56" t="s">
        <v>460</v>
      </c>
      <c r="EQ11" s="57" t="s">
        <v>478</v>
      </c>
      <c r="ER11" s="58">
        <v>8.1679187944401016E-2</v>
      </c>
      <c r="ES11" s="58">
        <v>0.12811431542699037</v>
      </c>
      <c r="ET11" s="58">
        <v>0.10261043087834949</v>
      </c>
      <c r="EU11" s="59">
        <v>8.8828195684901037E-2</v>
      </c>
      <c r="EV11" s="60">
        <v>0.35391343320068985</v>
      </c>
      <c r="EW11" s="58">
        <v>8.0440905556365155E-2</v>
      </c>
      <c r="EX11" s="58">
        <v>0.12115496481622851</v>
      </c>
      <c r="EY11" s="61">
        <v>0.1038020200433275</v>
      </c>
      <c r="EZ11" s="59">
        <v>9.4467573453310652E-2</v>
      </c>
      <c r="FB11" s="56" t="s">
        <v>460</v>
      </c>
      <c r="FC11" s="57" t="s">
        <v>478</v>
      </c>
      <c r="FD11" s="58">
        <v>8.1307375034824367E-2</v>
      </c>
      <c r="FE11" s="58">
        <v>5.5038678783451103E-2</v>
      </c>
      <c r="FF11" s="58">
        <v>0.10387176006722255</v>
      </c>
      <c r="FG11" s="59">
        <v>8.2313607002934136E-2</v>
      </c>
      <c r="FH11" s="60">
        <v>0.35391343320068985</v>
      </c>
      <c r="FI11" s="58">
        <v>8.0503316348192827E-2</v>
      </c>
      <c r="FJ11" s="58">
        <v>0.11753331767397973</v>
      </c>
      <c r="FK11" s="61">
        <v>0.10380836396689562</v>
      </c>
      <c r="FL11" s="59">
        <v>9.3612142271342527E-2</v>
      </c>
      <c r="FN11" s="56" t="s">
        <v>460</v>
      </c>
      <c r="FO11" s="57" t="s">
        <v>478</v>
      </c>
      <c r="FP11" s="58">
        <v>8.1099229931819186E-2</v>
      </c>
      <c r="FQ11" s="58">
        <v>8.3588258055562345E-2</v>
      </c>
      <c r="FR11" s="58">
        <v>0.10387176006722246</v>
      </c>
      <c r="FS11" s="59">
        <v>8.2656125377415637E-2</v>
      </c>
      <c r="FT11" s="60">
        <v>0.35391343320068985</v>
      </c>
      <c r="FU11" s="58">
        <v>8.0533675546017064E-2</v>
      </c>
      <c r="FV11" s="58">
        <v>0.1156764386323853</v>
      </c>
      <c r="FW11" s="61">
        <v>0.10381011081711032</v>
      </c>
      <c r="FX11" s="59">
        <v>9.3089432138676709E-2</v>
      </c>
      <c r="FY11" s="17"/>
      <c r="FZ11" s="56" t="s">
        <v>460</v>
      </c>
      <c r="GA11" s="101" t="s">
        <v>478</v>
      </c>
      <c r="GB11" s="102">
        <v>7.8951320545769754E-2</v>
      </c>
      <c r="GC11" s="102">
        <v>0.12851194463420473</v>
      </c>
      <c r="GD11" s="102">
        <v>0.10387176006722246</v>
      </c>
      <c r="GE11" s="102">
        <v>0.38172958975057925</v>
      </c>
      <c r="GF11" s="103">
        <v>9.8408806075428137E-2</v>
      </c>
      <c r="GG11" s="104">
        <v>0.35391343320068985</v>
      </c>
      <c r="GH11" s="102">
        <v>8.047932627854941E-2</v>
      </c>
      <c r="GI11" s="102">
        <v>0.1175461211147992</v>
      </c>
      <c r="GJ11" s="105">
        <v>0.10381333079996485</v>
      </c>
      <c r="GK11" s="105">
        <v>0.38172958975057925</v>
      </c>
      <c r="GL11" s="103">
        <v>9.3339749331818905E-2</v>
      </c>
      <c r="GN11" s="56" t="s">
        <v>460</v>
      </c>
      <c r="GO11" s="57">
        <v>0.35391343320068985</v>
      </c>
      <c r="GP11" s="58">
        <v>8.0711100221828827E-2</v>
      </c>
      <c r="GQ11" s="58">
        <v>0.11570394712529945</v>
      </c>
      <c r="GR11" s="58">
        <v>0.10387176006722246</v>
      </c>
      <c r="GS11" s="58" t="s">
        <v>478</v>
      </c>
      <c r="GT11" s="59">
        <v>0.20926533265578423</v>
      </c>
      <c r="GU11" s="60">
        <v>0.35391343320068991</v>
      </c>
      <c r="GV11" s="58">
        <v>8.0489366400417414E-2</v>
      </c>
      <c r="GW11" s="58">
        <v>0.1173791773264157</v>
      </c>
      <c r="GX11" s="61">
        <v>0.10381775238381104</v>
      </c>
      <c r="GY11" s="61">
        <v>0.38172958975057925</v>
      </c>
      <c r="GZ11" s="59">
        <v>0.10360997258879294</v>
      </c>
      <c r="HB11" s="56" t="s">
        <v>460</v>
      </c>
      <c r="HC11" s="57" t="s">
        <v>478</v>
      </c>
      <c r="HD11" s="58">
        <v>8.1678157460838438E-2</v>
      </c>
      <c r="HE11" s="58">
        <v>0.11971130550100734</v>
      </c>
      <c r="HF11" s="58">
        <v>0.10387176006722251</v>
      </c>
      <c r="HG11" s="58" t="s">
        <v>478</v>
      </c>
      <c r="HH11" s="59">
        <v>8.5758225007580291E-2</v>
      </c>
      <c r="HI11" s="60">
        <v>0.35391343320068991</v>
      </c>
      <c r="HJ11" s="58">
        <v>8.0547007828984371E-2</v>
      </c>
      <c r="HK11" s="58">
        <v>0.1173928095752013</v>
      </c>
      <c r="HL11" s="61">
        <v>0.10382152052986003</v>
      </c>
      <c r="HM11" s="61">
        <v>0.38172958975057925</v>
      </c>
      <c r="HN11" s="59">
        <v>0.10283493005714286</v>
      </c>
      <c r="HP11" s="56" t="s">
        <v>460</v>
      </c>
      <c r="HQ11" s="57" t="s">
        <v>478</v>
      </c>
      <c r="HR11" s="58">
        <v>7.8926376343122856E-2</v>
      </c>
      <c r="HS11" s="58">
        <v>0.10736793312442633</v>
      </c>
      <c r="HT11" s="58">
        <v>0.10387176006722249</v>
      </c>
      <c r="HU11" s="58" t="s">
        <v>478</v>
      </c>
      <c r="HV11" s="59">
        <v>8.4260289075370545E-2</v>
      </c>
      <c r="HW11" s="60">
        <v>0.35391343320068991</v>
      </c>
      <c r="HX11" s="58">
        <v>8.0466494012788381E-2</v>
      </c>
      <c r="HY11" s="58">
        <v>0.11694320412172726</v>
      </c>
      <c r="HZ11" s="61">
        <v>0.10382387580833884</v>
      </c>
      <c r="IA11" s="61">
        <v>0.38172958975057925</v>
      </c>
      <c r="IB11" s="59">
        <v>0.10197866750661645</v>
      </c>
      <c r="ID11" s="56" t="s">
        <v>460</v>
      </c>
      <c r="IE11" s="57" t="s">
        <v>478</v>
      </c>
      <c r="IF11" s="58">
        <v>8.2365598800434703E-2</v>
      </c>
      <c r="IG11" s="58">
        <v>0.10977256676548001</v>
      </c>
      <c r="IH11" s="58">
        <v>0.10387176006722264</v>
      </c>
      <c r="II11" s="58" t="s">
        <v>478</v>
      </c>
      <c r="IJ11" s="59">
        <v>8.8864185208589921E-2</v>
      </c>
      <c r="IK11" s="60">
        <v>0.35391343320068991</v>
      </c>
      <c r="IL11" s="58">
        <v>8.057672975752489E-2</v>
      </c>
      <c r="IM11" s="58">
        <v>0.11637685127777929</v>
      </c>
      <c r="IN11" s="61">
        <v>0.10382731107801842</v>
      </c>
      <c r="IO11" s="61">
        <v>0.38172958975057925</v>
      </c>
      <c r="IP11" s="59">
        <v>0.10121142033478533</v>
      </c>
      <c r="IR11" s="56" t="s">
        <v>460</v>
      </c>
      <c r="IS11" s="57" t="s">
        <v>478</v>
      </c>
      <c r="IT11" s="58">
        <v>8.2215116888562659E-2</v>
      </c>
      <c r="IU11" s="58">
        <v>7.0043721321254845E-2</v>
      </c>
      <c r="IV11" s="58">
        <v>0.10387176006722251</v>
      </c>
      <c r="IW11" s="58" t="s">
        <v>478</v>
      </c>
      <c r="IX11" s="59">
        <v>8.554871921556173E-2</v>
      </c>
      <c r="IY11" s="60">
        <v>0.35391343320068991</v>
      </c>
      <c r="IZ11" s="58">
        <v>8.0635475625115277E-2</v>
      </c>
      <c r="JA11" s="58">
        <v>0.11580912140941145</v>
      </c>
      <c r="JB11" s="61">
        <v>0.10382983619455263</v>
      </c>
      <c r="JC11" s="61">
        <v>0.38172958975057925</v>
      </c>
      <c r="JD11" s="59">
        <v>0.10068206215074406</v>
      </c>
      <c r="JF11" s="56" t="s">
        <v>460</v>
      </c>
      <c r="JG11" s="57">
        <v>0.35653514763766209</v>
      </c>
      <c r="JH11" s="58">
        <v>8.1994127194093297E-2</v>
      </c>
      <c r="JI11" s="58">
        <v>0.1333626267489002</v>
      </c>
      <c r="JJ11" s="58">
        <v>0.10387176006722254</v>
      </c>
      <c r="JK11" s="58" t="s">
        <v>478</v>
      </c>
      <c r="JL11" s="59">
        <v>0.21372308351445093</v>
      </c>
      <c r="JM11" s="60">
        <v>0.35483040768199908</v>
      </c>
      <c r="JN11" s="58">
        <v>8.0678311253631563E-2</v>
      </c>
      <c r="JO11" s="58">
        <v>0.11609062706745099</v>
      </c>
      <c r="JP11" s="61">
        <v>0.10383203393018539</v>
      </c>
      <c r="JQ11" s="61">
        <v>0.38172958975057925</v>
      </c>
      <c r="JR11" s="59">
        <v>0.10700708476368501</v>
      </c>
      <c r="JT11" s="56" t="s">
        <v>460</v>
      </c>
      <c r="JU11" s="57" t="s">
        <v>478</v>
      </c>
      <c r="JV11" s="58">
        <v>8.2342717503517376E-2</v>
      </c>
      <c r="JW11" s="58">
        <v>0.1245138506696017</v>
      </c>
      <c r="JX11" s="58">
        <v>0.10387176006722265</v>
      </c>
      <c r="JY11" s="58" t="s">
        <v>478</v>
      </c>
      <c r="JZ11" s="59">
        <v>9.6783393000175064E-2</v>
      </c>
      <c r="KA11" s="60">
        <v>0.35483040768199908</v>
      </c>
      <c r="KB11" s="58">
        <v>8.0703989779771279E-2</v>
      </c>
      <c r="KC11" s="58">
        <v>0.11646350860154142</v>
      </c>
      <c r="KD11" s="61">
        <v>0.10383405815820987</v>
      </c>
      <c r="KE11" s="61">
        <v>0.38172958975057925</v>
      </c>
      <c r="KF11" s="59">
        <v>0.10679282867419583</v>
      </c>
      <c r="KH11" s="56" t="s">
        <v>460</v>
      </c>
      <c r="KI11" s="57" t="s">
        <v>478</v>
      </c>
      <c r="KJ11" s="58">
        <v>7.895327942497761E-2</v>
      </c>
      <c r="KK11" s="58" t="s">
        <v>478</v>
      </c>
      <c r="KL11" s="58">
        <v>0.10387176006722258</v>
      </c>
      <c r="KM11" s="58" t="s">
        <v>478</v>
      </c>
      <c r="KN11" s="59">
        <v>8.3213315014424735E-2</v>
      </c>
      <c r="KO11" s="60">
        <v>0.35483040768199908</v>
      </c>
      <c r="KP11" s="58">
        <v>8.0642662029734163E-2</v>
      </c>
      <c r="KQ11" s="58">
        <v>0.1164635086015416</v>
      </c>
      <c r="KR11" s="61">
        <v>0.10383587239993491</v>
      </c>
      <c r="KS11" s="61">
        <v>0.38172958975057925</v>
      </c>
      <c r="KT11" s="59">
        <v>0.10607148382081229</v>
      </c>
    </row>
    <row r="12" spans="2:312" ht="15" thickBot="1" x14ac:dyDescent="0.35">
      <c r="B12" s="377" t="s">
        <v>482</v>
      </c>
      <c r="C12" s="369"/>
      <c r="D12" s="369"/>
      <c r="E12" s="369"/>
      <c r="F12" s="369"/>
      <c r="G12" s="369"/>
      <c r="H12" s="369"/>
      <c r="I12" s="369"/>
      <c r="J12" s="369"/>
      <c r="K12" s="369"/>
      <c r="L12" s="370"/>
      <c r="N12" s="377" t="s">
        <v>482</v>
      </c>
      <c r="O12" s="369"/>
      <c r="P12" s="369"/>
      <c r="Q12" s="369"/>
      <c r="R12" s="369"/>
      <c r="S12" s="369"/>
      <c r="T12" s="369"/>
      <c r="U12" s="369"/>
      <c r="V12" s="369"/>
      <c r="W12" s="369"/>
      <c r="X12" s="370"/>
      <c r="Z12" s="377" t="s">
        <v>482</v>
      </c>
      <c r="AA12" s="369"/>
      <c r="AB12" s="369"/>
      <c r="AC12" s="369"/>
      <c r="AD12" s="369"/>
      <c r="AE12" s="369"/>
      <c r="AF12" s="369"/>
      <c r="AG12" s="369"/>
      <c r="AH12" s="369"/>
      <c r="AI12" s="369"/>
      <c r="AJ12" s="370"/>
      <c r="AL12" s="377" t="s">
        <v>482</v>
      </c>
      <c r="AM12" s="369"/>
      <c r="AN12" s="369"/>
      <c r="AO12" s="369"/>
      <c r="AP12" s="369"/>
      <c r="AQ12" s="369"/>
      <c r="AR12" s="369"/>
      <c r="AS12" s="369"/>
      <c r="AT12" s="369"/>
      <c r="AU12" s="369"/>
      <c r="AV12" s="370"/>
      <c r="AX12" s="377" t="s">
        <v>482</v>
      </c>
      <c r="AY12" s="369"/>
      <c r="AZ12" s="369"/>
      <c r="BA12" s="369"/>
      <c r="BB12" s="369"/>
      <c r="BC12" s="369"/>
      <c r="BD12" s="369"/>
      <c r="BE12" s="369"/>
      <c r="BF12" s="369"/>
      <c r="BG12" s="369"/>
      <c r="BH12" s="370"/>
      <c r="BJ12" s="377" t="s">
        <v>482</v>
      </c>
      <c r="BK12" s="369"/>
      <c r="BL12" s="369"/>
      <c r="BM12" s="369"/>
      <c r="BN12" s="369"/>
      <c r="BO12" s="369"/>
      <c r="BP12" s="369"/>
      <c r="BQ12" s="369"/>
      <c r="BR12" s="369"/>
      <c r="BS12" s="369"/>
      <c r="BT12" s="370"/>
      <c r="BV12" s="377" t="s">
        <v>482</v>
      </c>
      <c r="BW12" s="369"/>
      <c r="BX12" s="369"/>
      <c r="BY12" s="369"/>
      <c r="BZ12" s="369"/>
      <c r="CA12" s="369"/>
      <c r="CB12" s="369"/>
      <c r="CC12" s="369"/>
      <c r="CD12" s="369"/>
      <c r="CE12" s="369"/>
      <c r="CF12" s="370"/>
      <c r="CH12" s="377" t="s">
        <v>482</v>
      </c>
      <c r="CI12" s="369"/>
      <c r="CJ12" s="369"/>
      <c r="CK12" s="369"/>
      <c r="CL12" s="369"/>
      <c r="CM12" s="369"/>
      <c r="CN12" s="369"/>
      <c r="CO12" s="369"/>
      <c r="CP12" s="369"/>
      <c r="CQ12" s="369"/>
      <c r="CR12" s="370"/>
      <c r="CT12" s="377" t="s">
        <v>482</v>
      </c>
      <c r="CU12" s="369"/>
      <c r="CV12" s="369"/>
      <c r="CW12" s="369"/>
      <c r="CX12" s="369"/>
      <c r="CY12" s="369"/>
      <c r="CZ12" s="369"/>
      <c r="DA12" s="369"/>
      <c r="DB12" s="369"/>
      <c r="DC12" s="369"/>
      <c r="DD12" s="370"/>
      <c r="DF12" s="377" t="s">
        <v>482</v>
      </c>
      <c r="DG12" s="369"/>
      <c r="DH12" s="369"/>
      <c r="DI12" s="369"/>
      <c r="DJ12" s="369"/>
      <c r="DK12" s="369"/>
      <c r="DL12" s="369"/>
      <c r="DM12" s="369"/>
      <c r="DN12" s="369"/>
      <c r="DO12" s="369"/>
      <c r="DP12" s="370"/>
      <c r="DR12" s="377" t="s">
        <v>482</v>
      </c>
      <c r="DS12" s="369"/>
      <c r="DT12" s="369"/>
      <c r="DU12" s="369"/>
      <c r="DV12" s="369"/>
      <c r="DW12" s="369"/>
      <c r="DX12" s="369"/>
      <c r="DY12" s="369"/>
      <c r="DZ12" s="369"/>
      <c r="EA12" s="369"/>
      <c r="EB12" s="370"/>
      <c r="ED12" s="377" t="s">
        <v>482</v>
      </c>
      <c r="EE12" s="369"/>
      <c r="EF12" s="369"/>
      <c r="EG12" s="369"/>
      <c r="EH12" s="369"/>
      <c r="EI12" s="369"/>
      <c r="EJ12" s="369"/>
      <c r="EK12" s="369"/>
      <c r="EL12" s="369"/>
      <c r="EM12" s="369"/>
      <c r="EN12" s="370"/>
      <c r="EP12" s="377" t="s">
        <v>482</v>
      </c>
      <c r="EQ12" s="369"/>
      <c r="ER12" s="369"/>
      <c r="ES12" s="369"/>
      <c r="ET12" s="369"/>
      <c r="EU12" s="369"/>
      <c r="EV12" s="369"/>
      <c r="EW12" s="369"/>
      <c r="EX12" s="369"/>
      <c r="EY12" s="369"/>
      <c r="EZ12" s="370"/>
      <c r="FB12" s="377" t="s">
        <v>482</v>
      </c>
      <c r="FC12" s="369"/>
      <c r="FD12" s="369"/>
      <c r="FE12" s="369"/>
      <c r="FF12" s="369"/>
      <c r="FG12" s="369"/>
      <c r="FH12" s="369"/>
      <c r="FI12" s="369"/>
      <c r="FJ12" s="369"/>
      <c r="FK12" s="369"/>
      <c r="FL12" s="370"/>
      <c r="FN12" s="377" t="s">
        <v>482</v>
      </c>
      <c r="FO12" s="369"/>
      <c r="FP12" s="369"/>
      <c r="FQ12" s="369"/>
      <c r="FR12" s="369"/>
      <c r="FS12" s="369"/>
      <c r="FT12" s="369"/>
      <c r="FU12" s="369"/>
      <c r="FV12" s="369"/>
      <c r="FW12" s="369"/>
      <c r="FX12" s="370"/>
      <c r="FZ12" s="377" t="s">
        <v>482</v>
      </c>
      <c r="GA12" s="369"/>
      <c r="GB12" s="369"/>
      <c r="GC12" s="369"/>
      <c r="GD12" s="369"/>
      <c r="GE12" s="369"/>
      <c r="GF12" s="369"/>
      <c r="GG12" s="369"/>
      <c r="GH12" s="369"/>
      <c r="GI12" s="369"/>
      <c r="GJ12" s="369"/>
      <c r="GK12" s="369"/>
      <c r="GL12" s="370"/>
      <c r="GN12" s="377" t="s">
        <v>482</v>
      </c>
      <c r="GO12" s="369"/>
      <c r="GP12" s="369"/>
      <c r="GQ12" s="369"/>
      <c r="GR12" s="369"/>
      <c r="GS12" s="369"/>
      <c r="GT12" s="369"/>
      <c r="GU12" s="369"/>
      <c r="GV12" s="369"/>
      <c r="GW12" s="369"/>
      <c r="GX12" s="369"/>
      <c r="GY12" s="369"/>
      <c r="GZ12" s="370"/>
      <c r="HB12" s="377" t="s">
        <v>482</v>
      </c>
      <c r="HC12" s="369"/>
      <c r="HD12" s="369"/>
      <c r="HE12" s="369"/>
      <c r="HF12" s="369"/>
      <c r="HG12" s="369"/>
      <c r="HH12" s="369"/>
      <c r="HI12" s="369"/>
      <c r="HJ12" s="369"/>
      <c r="HK12" s="369"/>
      <c r="HL12" s="369"/>
      <c r="HM12" s="369"/>
      <c r="HN12" s="370"/>
      <c r="HP12" s="377" t="s">
        <v>482</v>
      </c>
      <c r="HQ12" s="369"/>
      <c r="HR12" s="369"/>
      <c r="HS12" s="369"/>
      <c r="HT12" s="369"/>
      <c r="HU12" s="369"/>
      <c r="HV12" s="369"/>
      <c r="HW12" s="369"/>
      <c r="HX12" s="369"/>
      <c r="HY12" s="369"/>
      <c r="HZ12" s="369"/>
      <c r="IA12" s="369"/>
      <c r="IB12" s="370"/>
      <c r="ID12" s="377" t="s">
        <v>482</v>
      </c>
      <c r="IE12" s="369"/>
      <c r="IF12" s="369"/>
      <c r="IG12" s="369"/>
      <c r="IH12" s="369"/>
      <c r="II12" s="369"/>
      <c r="IJ12" s="369"/>
      <c r="IK12" s="369"/>
      <c r="IL12" s="369"/>
      <c r="IM12" s="369"/>
      <c r="IN12" s="369"/>
      <c r="IO12" s="369"/>
      <c r="IP12" s="370"/>
      <c r="IR12" s="377" t="s">
        <v>482</v>
      </c>
      <c r="IS12" s="369"/>
      <c r="IT12" s="369"/>
      <c r="IU12" s="369"/>
      <c r="IV12" s="369"/>
      <c r="IW12" s="369"/>
      <c r="IX12" s="369"/>
      <c r="IY12" s="369"/>
      <c r="IZ12" s="369"/>
      <c r="JA12" s="369"/>
      <c r="JB12" s="369"/>
      <c r="JC12" s="369"/>
      <c r="JD12" s="370"/>
      <c r="JF12" s="377" t="s">
        <v>482</v>
      </c>
      <c r="JG12" s="369"/>
      <c r="JH12" s="369"/>
      <c r="JI12" s="369"/>
      <c r="JJ12" s="369"/>
      <c r="JK12" s="369"/>
      <c r="JL12" s="369"/>
      <c r="JM12" s="369"/>
      <c r="JN12" s="369"/>
      <c r="JO12" s="369"/>
      <c r="JP12" s="369"/>
      <c r="JQ12" s="369"/>
      <c r="JR12" s="370"/>
      <c r="JT12" s="377" t="s">
        <v>482</v>
      </c>
      <c r="JU12" s="369"/>
      <c r="JV12" s="369"/>
      <c r="JW12" s="369"/>
      <c r="JX12" s="369"/>
      <c r="JY12" s="369"/>
      <c r="JZ12" s="369"/>
      <c r="KA12" s="369"/>
      <c r="KB12" s="369"/>
      <c r="KC12" s="369"/>
      <c r="KD12" s="369"/>
      <c r="KE12" s="369"/>
      <c r="KF12" s="370"/>
      <c r="KH12" s="377" t="s">
        <v>482</v>
      </c>
      <c r="KI12" s="369"/>
      <c r="KJ12" s="369"/>
      <c r="KK12" s="369"/>
      <c r="KL12" s="369"/>
      <c r="KM12" s="369"/>
      <c r="KN12" s="369"/>
      <c r="KO12" s="369"/>
      <c r="KP12" s="369"/>
      <c r="KQ12" s="369"/>
      <c r="KR12" s="369"/>
      <c r="KS12" s="369"/>
      <c r="KT12" s="370"/>
    </row>
    <row r="14" spans="2:312" x14ac:dyDescent="0.3">
      <c r="B14" t="s">
        <v>517</v>
      </c>
      <c r="C14" s="75">
        <f t="shared" ref="C14:L14" si="0">C5/C$4</f>
        <v>0.73630999999999991</v>
      </c>
      <c r="D14" s="75">
        <f t="shared" si="0"/>
        <v>0.39355714285714283</v>
      </c>
      <c r="E14" s="75">
        <f t="shared" si="0"/>
        <v>0.73937999999999993</v>
      </c>
      <c r="F14" s="75">
        <f t="shared" si="0"/>
        <v>0.15471000000000001</v>
      </c>
      <c r="G14" s="75">
        <f t="shared" si="0"/>
        <v>0.42446039507533995</v>
      </c>
      <c r="H14" s="75">
        <f t="shared" si="0"/>
        <v>0.73630999999999991</v>
      </c>
      <c r="I14" s="75">
        <f t="shared" si="0"/>
        <v>0.39355714285714283</v>
      </c>
      <c r="J14" s="75">
        <f t="shared" si="0"/>
        <v>0.73937999999999993</v>
      </c>
      <c r="K14" s="75">
        <f t="shared" si="0"/>
        <v>0.15471000000000001</v>
      </c>
      <c r="L14" s="75">
        <f t="shared" si="0"/>
        <v>0.42446039507533995</v>
      </c>
      <c r="N14" t="s">
        <v>517</v>
      </c>
      <c r="O14" s="75" t="e">
        <f t="shared" ref="O14:X14" si="1">O5/O$4</f>
        <v>#DIV/0!</v>
      </c>
      <c r="P14" s="75">
        <f t="shared" si="1"/>
        <v>0.35530285714285714</v>
      </c>
      <c r="Q14" s="75">
        <f t="shared" si="1"/>
        <v>0.59254731707317065</v>
      </c>
      <c r="R14" s="75">
        <f t="shared" si="1"/>
        <v>0.15470999999999999</v>
      </c>
      <c r="S14" s="75">
        <f t="shared" si="1"/>
        <v>0.31518641955412302</v>
      </c>
      <c r="T14" s="75">
        <f t="shared" si="1"/>
        <v>0.73630999999999991</v>
      </c>
      <c r="U14" s="75">
        <f t="shared" si="1"/>
        <v>0.36805428571428567</v>
      </c>
      <c r="V14" s="75">
        <f t="shared" si="1"/>
        <v>0.63734372881355927</v>
      </c>
      <c r="W14" s="75">
        <f t="shared" si="1"/>
        <v>0.15470999999999999</v>
      </c>
      <c r="X14" s="75">
        <f t="shared" si="1"/>
        <v>0.35550432692633643</v>
      </c>
      <c r="Z14" t="s">
        <v>517</v>
      </c>
      <c r="AA14" s="75" t="e">
        <f t="shared" ref="AA14:AJ14" si="2">AA5/AA$4</f>
        <v>#DIV/0!</v>
      </c>
      <c r="AB14" s="75">
        <f t="shared" si="2"/>
        <v>0.35711999999999999</v>
      </c>
      <c r="AC14" s="75">
        <f t="shared" si="2"/>
        <v>0.86224000000000001</v>
      </c>
      <c r="AD14" s="75">
        <f t="shared" si="2"/>
        <v>0.15471000000000001</v>
      </c>
      <c r="AE14" s="75">
        <f t="shared" si="2"/>
        <v>0.33804747683923703</v>
      </c>
      <c r="AF14" s="75">
        <f t="shared" si="2"/>
        <v>0.73630999999999991</v>
      </c>
      <c r="AG14" s="75">
        <f t="shared" si="2"/>
        <v>0.36503793103448279</v>
      </c>
      <c r="AH14" s="75">
        <f t="shared" si="2"/>
        <v>0.67794999999999994</v>
      </c>
      <c r="AI14" s="75">
        <f>AI5/AI$4</f>
        <v>0.15470999999999999</v>
      </c>
      <c r="AJ14" s="75">
        <f t="shared" si="2"/>
        <v>0.35136287273103378</v>
      </c>
      <c r="AL14" t="s">
        <v>517</v>
      </c>
      <c r="AM14" s="75" t="e">
        <f t="shared" ref="AM14:AT14" si="3">AM5/AM$4</f>
        <v>#DIV/0!</v>
      </c>
      <c r="AN14" s="75">
        <f t="shared" si="3"/>
        <v>0.35615999999999998</v>
      </c>
      <c r="AO14" s="75">
        <f t="shared" si="3"/>
        <v>0.64504107142857148</v>
      </c>
      <c r="AP14" s="75" t="e">
        <f t="shared" si="3"/>
        <v>#DIV/0!</v>
      </c>
      <c r="AQ14" s="75">
        <f t="shared" si="3"/>
        <v>0.38175705696202528</v>
      </c>
      <c r="AR14" s="75">
        <f t="shared" si="3"/>
        <v>0.73630999999999991</v>
      </c>
      <c r="AS14" s="75">
        <f t="shared" si="3"/>
        <v>0.36243951219512199</v>
      </c>
      <c r="AT14" s="75">
        <f t="shared" si="3"/>
        <v>0.66873550000000004</v>
      </c>
      <c r="AU14" s="75">
        <f>AU5/AU$4</f>
        <v>0.15471000000000001</v>
      </c>
      <c r="AV14" s="75">
        <f t="shared" ref="AV14" si="4">AV5/AV$4</f>
        <v>0.35812202497285561</v>
      </c>
      <c r="AX14" t="s">
        <v>517</v>
      </c>
      <c r="AY14" s="75" t="e">
        <f t="shared" ref="AY14:BF14" si="5">AY5/AY$4</f>
        <v>#DIV/0!</v>
      </c>
      <c r="AZ14" s="75">
        <f t="shared" si="5"/>
        <v>0.36449853333333332</v>
      </c>
      <c r="BA14" s="75" t="e">
        <f t="shared" si="5"/>
        <v>#DIV/0!</v>
      </c>
      <c r="BB14" s="75">
        <f t="shared" si="5"/>
        <v>0.15471000000000001</v>
      </c>
      <c r="BC14" s="75">
        <f t="shared" si="5"/>
        <v>0.32173908704883225</v>
      </c>
      <c r="BD14" s="75">
        <f t="shared" si="5"/>
        <v>0.73630999999999991</v>
      </c>
      <c r="BE14" s="75">
        <f t="shared" si="5"/>
        <v>0.3630076747608536</v>
      </c>
      <c r="BF14" s="75">
        <f t="shared" si="5"/>
        <v>0.66873550000000004</v>
      </c>
      <c r="BG14" s="75">
        <f>BG5/BG$4</f>
        <v>0.15471000000000001</v>
      </c>
      <c r="BH14" s="75">
        <f t="shared" ref="BH14" si="6">BH5/BH$4</f>
        <v>0.34906461347951495</v>
      </c>
      <c r="BJ14" t="s">
        <v>517</v>
      </c>
      <c r="BK14" s="75" t="e">
        <f t="shared" ref="BK14:BR14" si="7">BK5/BK$4</f>
        <v>#DIV/0!</v>
      </c>
      <c r="BL14" s="75">
        <f t="shared" si="7"/>
        <v>0.37485857142857143</v>
      </c>
      <c r="BM14" s="75">
        <f t="shared" si="7"/>
        <v>0.55559106035889072</v>
      </c>
      <c r="BN14" s="75">
        <f t="shared" si="7"/>
        <v>0.15470999999999999</v>
      </c>
      <c r="BO14" s="75">
        <f t="shared" si="7"/>
        <v>0.35491976082152604</v>
      </c>
      <c r="BP14" s="75">
        <f t="shared" si="7"/>
        <v>0.73630999999999991</v>
      </c>
      <c r="BQ14" s="75">
        <f t="shared" si="7"/>
        <v>0.36431150622134911</v>
      </c>
      <c r="BR14" s="75">
        <f t="shared" si="7"/>
        <v>0.65187249452954055</v>
      </c>
      <c r="BS14" s="75">
        <f>BS5/BS$4</f>
        <v>0.15470999999999999</v>
      </c>
      <c r="BT14" s="75">
        <f t="shared" ref="BT14" si="8">BT5/BT$4</f>
        <v>0.34967403615109866</v>
      </c>
      <c r="BV14" t="s">
        <v>517</v>
      </c>
      <c r="BW14" s="75" t="e">
        <f t="shared" ref="BW14:CD14" si="9">BW5/BW$4</f>
        <v>#DIV/0!</v>
      </c>
      <c r="BX14" s="75">
        <f t="shared" si="9"/>
        <v>0.3700598230088496</v>
      </c>
      <c r="BY14" s="75">
        <f t="shared" si="9"/>
        <v>0.46084964506172843</v>
      </c>
      <c r="BZ14" s="75">
        <f t="shared" si="9"/>
        <v>0.15471000000000001</v>
      </c>
      <c r="CA14" s="75">
        <f t="shared" si="9"/>
        <v>0.31113339118276034</v>
      </c>
      <c r="CB14" s="75">
        <f t="shared" si="9"/>
        <v>0.73630999999999991</v>
      </c>
      <c r="CC14" s="75">
        <f t="shared" si="9"/>
        <v>0.36505258984597827</v>
      </c>
      <c r="CD14" s="75">
        <f t="shared" si="9"/>
        <v>0.62587316530140746</v>
      </c>
      <c r="CE14" s="75">
        <f>CE5/CE$4</f>
        <v>0.15471000000000001</v>
      </c>
      <c r="CF14" s="75">
        <f t="shared" ref="CF14" si="10">CF5/CF$4</f>
        <v>0.34422989578250257</v>
      </c>
      <c r="CH14" t="s">
        <v>517</v>
      </c>
      <c r="CI14" s="75" t="e">
        <f t="shared" ref="CI14:CP14" si="11">CI5/CI$4</f>
        <v>#DIV/0!</v>
      </c>
      <c r="CJ14" s="75">
        <f t="shared" si="11"/>
        <v>0.35649142857142863</v>
      </c>
      <c r="CK14" s="75">
        <f t="shared" si="11"/>
        <v>0.71339038461538462</v>
      </c>
      <c r="CL14" s="75">
        <f t="shared" si="11"/>
        <v>0.15470999999999999</v>
      </c>
      <c r="CM14" s="75">
        <f t="shared" si="11"/>
        <v>0.33692253816793899</v>
      </c>
      <c r="CN14" s="75">
        <f t="shared" si="11"/>
        <v>0.73630999999999991</v>
      </c>
      <c r="CO14" s="75">
        <f t="shared" si="11"/>
        <v>0.36392467062902417</v>
      </c>
      <c r="CP14" s="75">
        <f t="shared" si="11"/>
        <v>0.63991666196438035</v>
      </c>
      <c r="CQ14" s="75">
        <f>CQ5/CQ$4</f>
        <v>0.15471000000000001</v>
      </c>
      <c r="CR14" s="75">
        <f t="shared" ref="CR14" si="12">CR5/CR$4</f>
        <v>0.34326462014722187</v>
      </c>
      <c r="CT14" t="s">
        <v>517</v>
      </c>
      <c r="CU14" s="75" t="e">
        <f t="shared" ref="CU14:DB14" si="13">CU5/CU$4</f>
        <v>#DIV/0!</v>
      </c>
      <c r="CV14" s="75">
        <f t="shared" si="13"/>
        <v>0.37100319587628872</v>
      </c>
      <c r="CW14" s="75">
        <f t="shared" si="13"/>
        <v>0.76815353322528357</v>
      </c>
      <c r="CX14" s="75">
        <f t="shared" si="13"/>
        <v>0.15471000000000001</v>
      </c>
      <c r="CY14" s="75">
        <f t="shared" si="13"/>
        <v>0.34078086330210544</v>
      </c>
      <c r="CZ14" s="75">
        <f t="shared" si="13"/>
        <v>0.73630999999999991</v>
      </c>
      <c r="DA14" s="75">
        <f t="shared" si="13"/>
        <v>0.36454520108450067</v>
      </c>
      <c r="DB14" s="75">
        <f t="shared" si="13"/>
        <v>0.65249970101781174</v>
      </c>
      <c r="DC14" s="75">
        <f>DC5/DC$4</f>
        <v>0.15470999999999999</v>
      </c>
      <c r="DD14" s="75">
        <f t="shared" ref="DD14" si="14">DD5/DD$4</f>
        <v>0.34303861710221178</v>
      </c>
      <c r="DF14" t="s">
        <v>517</v>
      </c>
      <c r="DG14" s="75" t="e">
        <f t="shared" ref="DG14:DN14" si="15">DG5/DG$4</f>
        <v>#DIV/0!</v>
      </c>
      <c r="DH14" s="75">
        <f t="shared" si="15"/>
        <v>0.35818343017806936</v>
      </c>
      <c r="DI14" s="75">
        <f t="shared" si="15"/>
        <v>0.58580500000000002</v>
      </c>
      <c r="DJ14" s="75">
        <f t="shared" si="15"/>
        <v>0.15471000000000001</v>
      </c>
      <c r="DK14" s="75">
        <f t="shared" si="15"/>
        <v>0.29982901408450702</v>
      </c>
      <c r="DL14" s="75">
        <f t="shared" si="15"/>
        <v>0.73630999999999991</v>
      </c>
      <c r="DM14" s="75">
        <f t="shared" si="15"/>
        <v>0.36421295632808381</v>
      </c>
      <c r="DN14" s="75">
        <f t="shared" si="15"/>
        <v>0.6496564433617541</v>
      </c>
      <c r="DO14" s="75">
        <f>DO5/DO$4</f>
        <v>0.15470999999999999</v>
      </c>
      <c r="DP14" s="75">
        <f t="shared" ref="DP14" si="16">DP5/DP$4</f>
        <v>0.34049777479661464</v>
      </c>
      <c r="DR14" t="s">
        <v>517</v>
      </c>
      <c r="DS14" s="75" t="e">
        <f t="shared" ref="DS14:DZ14" si="17">DS5/DS$4</f>
        <v>#DIV/0!</v>
      </c>
      <c r="DT14" s="75">
        <f t="shared" si="17"/>
        <v>0.36261619354838714</v>
      </c>
      <c r="DU14" s="75">
        <f t="shared" si="17"/>
        <v>0.31408999999999998</v>
      </c>
      <c r="DV14" s="75">
        <f t="shared" si="17"/>
        <v>0.15470999999999999</v>
      </c>
      <c r="DW14" s="75">
        <f t="shared" si="17"/>
        <v>0.32380838578304333</v>
      </c>
      <c r="DX14" s="75">
        <f t="shared" si="17"/>
        <v>0.73630999999999991</v>
      </c>
      <c r="DY14" s="75">
        <f t="shared" si="17"/>
        <v>0.36402580806498652</v>
      </c>
      <c r="DZ14" s="75">
        <f t="shared" si="17"/>
        <v>0.64094754115378916</v>
      </c>
      <c r="EA14" s="75">
        <f>EA5/EA$4</f>
        <v>0.15470999999999999</v>
      </c>
      <c r="EB14" s="75">
        <f t="shared" ref="EB14" si="18">EB5/EB$4</f>
        <v>0.33875620717365434</v>
      </c>
      <c r="ED14" t="s">
        <v>517</v>
      </c>
      <c r="EE14" s="75" t="e">
        <f t="shared" ref="EE14:EL14" si="19">EE5/EE$4</f>
        <v>#DIV/0!</v>
      </c>
      <c r="EF14" s="75">
        <f t="shared" si="19"/>
        <v>0.38116607973421929</v>
      </c>
      <c r="EG14" s="75">
        <f t="shared" si="19"/>
        <v>0.30767856796116505</v>
      </c>
      <c r="EH14" s="75">
        <f t="shared" si="19"/>
        <v>0.15471000000000001</v>
      </c>
      <c r="EI14" s="75">
        <f t="shared" si="19"/>
        <v>0.33662938147316579</v>
      </c>
      <c r="EJ14" s="75">
        <f t="shared" si="19"/>
        <v>0.73630999999999991</v>
      </c>
      <c r="EK14" s="75">
        <f t="shared" si="19"/>
        <v>0.36577710536524805</v>
      </c>
      <c r="EL14" s="75">
        <f t="shared" si="19"/>
        <v>0.60465658913704246</v>
      </c>
      <c r="EM14" s="75">
        <f>EM5/EM$4</f>
        <v>0.15471000000000001</v>
      </c>
      <c r="EN14" s="75">
        <f t="shared" ref="EN14" si="20">EN5/EN$4</f>
        <v>0.3385511795426776</v>
      </c>
      <c r="EP14" t="s">
        <v>517</v>
      </c>
      <c r="EQ14" s="75" t="e">
        <f t="shared" ref="EQ14:EX14" si="21">EQ5/EQ$4</f>
        <v>#DIV/0!</v>
      </c>
      <c r="ER14" s="75">
        <f t="shared" si="21"/>
        <v>0.37529450000000003</v>
      </c>
      <c r="ES14" s="75">
        <f t="shared" si="21"/>
        <v>0.67952333333333326</v>
      </c>
      <c r="ET14" s="75">
        <f t="shared" si="21"/>
        <v>0.16082616279069764</v>
      </c>
      <c r="EU14" s="75">
        <f t="shared" si="21"/>
        <v>0.34414341085271327</v>
      </c>
      <c r="EV14" s="75">
        <f t="shared" si="21"/>
        <v>0.73630999999999991</v>
      </c>
      <c r="EW14" s="75">
        <f t="shared" si="21"/>
        <v>0.36626738584096846</v>
      </c>
      <c r="EX14" s="75">
        <f t="shared" si="21"/>
        <v>0.60859349067234259</v>
      </c>
      <c r="EY14" s="75">
        <f>EY5/EY$4</f>
        <v>0.15503599318252242</v>
      </c>
      <c r="EZ14" s="75">
        <f t="shared" ref="EZ14" si="22">EZ5/EZ$4</f>
        <v>0.33883789414765014</v>
      </c>
      <c r="FB14" t="s">
        <v>517</v>
      </c>
      <c r="FC14" s="75" t="e">
        <f t="shared" ref="FC14:FJ14" si="23">FC5/FC$4</f>
        <v>#DIV/0!</v>
      </c>
      <c r="FD14" s="75">
        <f t="shared" si="23"/>
        <v>0.37574723404255322</v>
      </c>
      <c r="FE14" s="75">
        <f t="shared" si="23"/>
        <v>0.30955153846153849</v>
      </c>
      <c r="FF14" s="75">
        <f t="shared" si="23"/>
        <v>0.15470999999999999</v>
      </c>
      <c r="FG14" s="75">
        <f t="shared" si="23"/>
        <v>0.31305912699054245</v>
      </c>
      <c r="FH14" s="75">
        <f t="shared" si="23"/>
        <v>0.73630999999999991</v>
      </c>
      <c r="FI14" s="75">
        <f t="shared" si="23"/>
        <v>0.36693419291389079</v>
      </c>
      <c r="FJ14" s="75">
        <f t="shared" si="23"/>
        <v>0.57800698100483316</v>
      </c>
      <c r="FK14" s="75">
        <f>FK5/FK$4</f>
        <v>0.15500628231848138</v>
      </c>
      <c r="FL14" s="75">
        <f t="shared" ref="FL14" si="24">FL5/FL$4</f>
        <v>0.33688542115638925</v>
      </c>
      <c r="FN14" t="s">
        <v>517</v>
      </c>
      <c r="FO14" s="75" t="e">
        <f t="shared" ref="FO14:FV14" si="25">FO5/FO$4</f>
        <v>#DIV/0!</v>
      </c>
      <c r="FP14" s="75">
        <f t="shared" si="25"/>
        <v>0.37390431818181824</v>
      </c>
      <c r="FQ14" s="75">
        <f t="shared" si="25"/>
        <v>0.38647772727272728</v>
      </c>
      <c r="FR14" s="75">
        <f t="shared" si="25"/>
        <v>0.15470999999999999</v>
      </c>
      <c r="FS14" s="75">
        <f t="shared" si="25"/>
        <v>0.34728976190476196</v>
      </c>
      <c r="FT14" s="75">
        <f t="shared" si="25"/>
        <v>0.73630999999999991</v>
      </c>
      <c r="FU14" s="75">
        <f t="shared" si="25"/>
        <v>0.36728300212034798</v>
      </c>
      <c r="FV14" s="75">
        <f t="shared" si="25"/>
        <v>0.56275121133754014</v>
      </c>
      <c r="FW14" s="75">
        <f>FW5/FW$4</f>
        <v>0.15499810319329571</v>
      </c>
      <c r="FX14" s="75">
        <f t="shared" ref="FX14" si="26">FX5/FX$4</f>
        <v>0.33736762894543249</v>
      </c>
      <c r="FZ14" t="s">
        <v>517</v>
      </c>
      <c r="GA14" s="106" t="e">
        <f t="shared" ref="GA14:GH14" si="27">GA5/GA$4</f>
        <v>#DIV/0!</v>
      </c>
      <c r="GB14" s="106">
        <f t="shared" si="27"/>
        <v>0.35615999999999998</v>
      </c>
      <c r="GC14" s="106">
        <f t="shared" si="27"/>
        <v>0.50191803030303028</v>
      </c>
      <c r="GD14" s="106">
        <f t="shared" si="27"/>
        <v>0.15470999999999999</v>
      </c>
      <c r="GE14" s="106">
        <f t="shared" si="27"/>
        <v>0.14674000000000001</v>
      </c>
      <c r="GF14" s="106">
        <f t="shared" si="27"/>
        <v>0.33892052262739036</v>
      </c>
      <c r="GG14" s="106">
        <f t="shared" si="27"/>
        <v>0.73630999999999991</v>
      </c>
      <c r="GH14" s="106">
        <f t="shared" si="27"/>
        <v>0.36688945034794052</v>
      </c>
      <c r="GI14" s="106">
        <f>GI5/GI$4</f>
        <v>0.55298831784628744</v>
      </c>
      <c r="GJ14" s="106">
        <f t="shared" ref="GJ14:GL14" si="28">GJ5/GJ$4</f>
        <v>0.15498302880872047</v>
      </c>
      <c r="GK14" s="106">
        <f t="shared" si="28"/>
        <v>0.14674000000000001</v>
      </c>
      <c r="GL14" s="106">
        <f t="shared" si="28"/>
        <v>0.33744038532385784</v>
      </c>
      <c r="GN14" t="s">
        <v>517</v>
      </c>
      <c r="GO14" s="106">
        <f t="shared" ref="GO14:GV14" si="29">GO5/GO$4</f>
        <v>0.73631000000000002</v>
      </c>
      <c r="GP14" s="106">
        <f t="shared" si="29"/>
        <v>0.36932463414634148</v>
      </c>
      <c r="GQ14" s="106">
        <f t="shared" si="29"/>
        <v>0.46488230769230771</v>
      </c>
      <c r="GR14" s="106">
        <f t="shared" si="29"/>
        <v>0.15471000000000001</v>
      </c>
      <c r="GS14" s="106" t="e">
        <f t="shared" si="29"/>
        <v>#DIV/0!</v>
      </c>
      <c r="GT14" s="106">
        <f t="shared" si="29"/>
        <v>0.42510547060944825</v>
      </c>
      <c r="GU14" s="106">
        <f t="shared" si="29"/>
        <v>0.73631000000000002</v>
      </c>
      <c r="GV14" s="106">
        <f t="shared" si="29"/>
        <v>0.3669942734799172</v>
      </c>
      <c r="GW14" s="106">
        <f>GW5/GW$4</f>
        <v>0.54365099611801249</v>
      </c>
      <c r="GX14" s="106">
        <f t="shared" ref="GX14:GZ14" si="30">GX5/GX$4</f>
        <v>0.15496233389301992</v>
      </c>
      <c r="GY14" s="106">
        <f t="shared" si="30"/>
        <v>0.14674000000000001</v>
      </c>
      <c r="GZ14" s="106">
        <f t="shared" si="30"/>
        <v>0.34372003487326797</v>
      </c>
      <c r="HB14" t="s">
        <v>517</v>
      </c>
      <c r="HC14" s="106" t="e">
        <f t="shared" ref="HC14:HJ14" si="31">HC5/HC$4</f>
        <v>#DIV/0!</v>
      </c>
      <c r="HD14" s="106">
        <f t="shared" si="31"/>
        <v>0.37699068783068784</v>
      </c>
      <c r="HE14" s="106">
        <f t="shared" si="31"/>
        <v>0.58816500000000005</v>
      </c>
      <c r="HF14" s="106">
        <f t="shared" si="31"/>
        <v>0.15470999999999999</v>
      </c>
      <c r="HG14" s="106" t="e">
        <f t="shared" si="31"/>
        <v>#DIV/0!</v>
      </c>
      <c r="HH14" s="106">
        <f t="shared" si="31"/>
        <v>0.30758038810227156</v>
      </c>
      <c r="HI14" s="106">
        <f t="shared" si="31"/>
        <v>0.73631000000000002</v>
      </c>
      <c r="HJ14" s="106">
        <f t="shared" si="31"/>
        <v>0.36746672892121485</v>
      </c>
      <c r="HK14" s="106">
        <f>HK5/HK$4</f>
        <v>0.54389161235521244</v>
      </c>
      <c r="HL14" s="106">
        <f t="shared" ref="HL14:HN14" si="32">HL5/HL$4</f>
        <v>0.1549447017089822</v>
      </c>
      <c r="HM14" s="106">
        <f t="shared" si="32"/>
        <v>0.14674000000000001</v>
      </c>
      <c r="HN14" s="106">
        <f t="shared" si="32"/>
        <v>0.34197555835279653</v>
      </c>
      <c r="HP14" t="s">
        <v>517</v>
      </c>
      <c r="HQ14" s="106" t="e">
        <f t="shared" ref="HQ14:HX14" si="33">HQ5/HQ$4</f>
        <v>#DIV/0!</v>
      </c>
      <c r="HR14" s="106">
        <f t="shared" si="33"/>
        <v>0.37291728155339798</v>
      </c>
      <c r="HS14" s="106">
        <f t="shared" si="33"/>
        <v>0.36343038461538457</v>
      </c>
      <c r="HT14" s="106">
        <f t="shared" si="33"/>
        <v>0.15470999999999999</v>
      </c>
      <c r="HU14" s="106" t="e">
        <f t="shared" si="33"/>
        <v>#DIV/0!</v>
      </c>
      <c r="HV14" s="106">
        <f t="shared" si="33"/>
        <v>0.32543134488768388</v>
      </c>
      <c r="HW14" s="106">
        <f t="shared" si="33"/>
        <v>0.73631000000000002</v>
      </c>
      <c r="HX14" s="106">
        <f t="shared" si="33"/>
        <v>0.36773375129949104</v>
      </c>
      <c r="HY14" s="106">
        <f>HY5/HY$4</f>
        <v>0.53204314790764795</v>
      </c>
      <c r="HZ14" s="106">
        <f t="shared" ref="HZ14:IB14" si="34">HZ5/HZ$4</f>
        <v>0.15493368275568783</v>
      </c>
      <c r="IA14" s="106">
        <f t="shared" si="34"/>
        <v>0.14674000000000001</v>
      </c>
      <c r="IB14" s="106">
        <f t="shared" si="34"/>
        <v>0.34117599710813606</v>
      </c>
      <c r="ID14" t="s">
        <v>517</v>
      </c>
      <c r="IE14" s="106" t="e">
        <f t="shared" ref="IE14:IL14" si="35">IE5/IE$4</f>
        <v>#DIV/0!</v>
      </c>
      <c r="IF14" s="106">
        <f t="shared" si="35"/>
        <v>0.38268208835341372</v>
      </c>
      <c r="IG14" s="106">
        <f t="shared" si="35"/>
        <v>0.37641083333333331</v>
      </c>
      <c r="IH14" s="106">
        <f t="shared" si="35"/>
        <v>0.15471000000000001</v>
      </c>
      <c r="II14" s="106" t="e">
        <f t="shared" si="35"/>
        <v>#DIV/0!</v>
      </c>
      <c r="IJ14" s="106">
        <f t="shared" si="35"/>
        <v>0.32280648379052368</v>
      </c>
      <c r="IK14" s="106">
        <f t="shared" si="35"/>
        <v>0.73631000000000002</v>
      </c>
      <c r="IL14" s="106">
        <f t="shared" si="35"/>
        <v>0.36856944588422447</v>
      </c>
      <c r="IM14" s="106">
        <f>IM5/IM$4</f>
        <v>0.51521803281853285</v>
      </c>
      <c r="IN14" s="106">
        <f t="shared" ref="IN14:IP14" si="36">IN5/IN$4</f>
        <v>0.15491761397276496</v>
      </c>
      <c r="IO14" s="106">
        <f t="shared" si="36"/>
        <v>0.14674000000000001</v>
      </c>
      <c r="IP14" s="106">
        <f t="shared" si="36"/>
        <v>0.3400439237632718</v>
      </c>
      <c r="IR14" t="s">
        <v>517</v>
      </c>
      <c r="IS14" s="106" t="e">
        <f t="shared" ref="IS14:IZ14" si="37">IS5/IS$4</f>
        <v>#DIV/0!</v>
      </c>
      <c r="IT14" s="106">
        <f t="shared" si="37"/>
        <v>0.38155999999999995</v>
      </c>
      <c r="IU14" s="106">
        <f t="shared" si="37"/>
        <v>0.34849912280701756</v>
      </c>
      <c r="IV14" s="106">
        <f t="shared" si="37"/>
        <v>0.15471000000000001</v>
      </c>
      <c r="IW14" s="106" t="e">
        <f t="shared" si="37"/>
        <v>#DIV/0!</v>
      </c>
      <c r="IX14" s="106">
        <f t="shared" si="37"/>
        <v>0.30296969130969692</v>
      </c>
      <c r="IY14" s="106">
        <f t="shared" si="37"/>
        <v>0.73631000000000002</v>
      </c>
      <c r="IZ14" s="106">
        <f t="shared" si="37"/>
        <v>0.36901992581492116</v>
      </c>
      <c r="JA14" s="106">
        <f>JA5/JA$4</f>
        <v>0.51221551216429706</v>
      </c>
      <c r="JB14" s="106">
        <f t="shared" ref="JB14:JD14" si="38">JB5/JB$4</f>
        <v>0.15490580463835013</v>
      </c>
      <c r="JC14" s="106">
        <f t="shared" si="38"/>
        <v>0.14674000000000001</v>
      </c>
      <c r="JD14" s="106">
        <f t="shared" si="38"/>
        <v>0.3386433740213538</v>
      </c>
      <c r="JF14" t="s">
        <v>517</v>
      </c>
      <c r="JG14" s="106">
        <f t="shared" ref="JG14:JN14" si="39">JG5/JG$4</f>
        <v>0.73930999999999991</v>
      </c>
      <c r="JH14" s="106">
        <f t="shared" si="39"/>
        <v>0.37964630136986299</v>
      </c>
      <c r="JI14" s="106">
        <f t="shared" si="39"/>
        <v>0.61447255813953494</v>
      </c>
      <c r="JJ14" s="106">
        <f t="shared" si="39"/>
        <v>0.15471000000000001</v>
      </c>
      <c r="JK14" s="106" t="e">
        <f t="shared" si="39"/>
        <v>#DIV/0!</v>
      </c>
      <c r="JL14" s="106">
        <f t="shared" si="39"/>
        <v>0.4203567082559066</v>
      </c>
      <c r="JM14" s="106">
        <f t="shared" si="39"/>
        <v>0.73735651162790694</v>
      </c>
      <c r="JN14" s="106">
        <f t="shared" si="39"/>
        <v>0.36934586477628772</v>
      </c>
      <c r="JO14" s="106">
        <f>JO5/JO$4</f>
        <v>0.51358616458852868</v>
      </c>
      <c r="JP14" s="106">
        <f t="shared" ref="JP14:JR14" si="40">JP5/JP$4</f>
        <v>0.15489552784734223</v>
      </c>
      <c r="JQ14" s="106">
        <f t="shared" si="40"/>
        <v>0.14674000000000001</v>
      </c>
      <c r="JR14" s="106">
        <f t="shared" si="40"/>
        <v>0.34236723235744815</v>
      </c>
      <c r="JT14" t="s">
        <v>517</v>
      </c>
      <c r="JU14" s="106" t="e">
        <f t="shared" ref="JU14:KB14" si="41">JU5/JU$4</f>
        <v>#DIV/0!</v>
      </c>
      <c r="JV14" s="106">
        <f t="shared" si="41"/>
        <v>0.38261833333333328</v>
      </c>
      <c r="JW14" s="106">
        <f t="shared" si="41"/>
        <v>0.43607999999999991</v>
      </c>
      <c r="JX14" s="106">
        <f t="shared" si="41"/>
        <v>0.15471000000000001</v>
      </c>
      <c r="JY14" s="106" t="e">
        <f t="shared" si="41"/>
        <v>#DIV/0!</v>
      </c>
      <c r="JZ14" s="106">
        <f t="shared" si="41"/>
        <v>0.28206181592425889</v>
      </c>
      <c r="KA14" s="106">
        <f t="shared" si="41"/>
        <v>0.73735651162790694</v>
      </c>
      <c r="KB14" s="106">
        <f t="shared" si="41"/>
        <v>0.36954363568632537</v>
      </c>
      <c r="KC14" s="106">
        <f>KC5/KC$4</f>
        <v>0.50957683003251542</v>
      </c>
      <c r="KD14" s="106">
        <f t="shared" ref="KD14:KF14" si="42">KD5/KD$4</f>
        <v>0.15488606359832635</v>
      </c>
      <c r="KE14" s="106">
        <f t="shared" si="42"/>
        <v>0.14674000000000001</v>
      </c>
      <c r="KF14" s="106">
        <f t="shared" si="42"/>
        <v>0.34084005990024474</v>
      </c>
      <c r="KH14" t="s">
        <v>517</v>
      </c>
      <c r="KI14" s="106" t="e">
        <f t="shared" ref="KI14:KP14" si="43">KI5/KI$4</f>
        <v>#DIV/0!</v>
      </c>
      <c r="KJ14" s="106">
        <f t="shared" si="43"/>
        <v>0.35615999999999998</v>
      </c>
      <c r="KK14" s="106" t="e">
        <f t="shared" si="43"/>
        <v>#DIV/0!</v>
      </c>
      <c r="KL14" s="106">
        <f t="shared" si="43"/>
        <v>0.15470999999999999</v>
      </c>
      <c r="KM14" s="106" t="e">
        <f t="shared" si="43"/>
        <v>#DIV/0!</v>
      </c>
      <c r="KN14" s="106">
        <f t="shared" si="43"/>
        <v>0.29131171385991056</v>
      </c>
      <c r="KO14" s="106">
        <f t="shared" si="43"/>
        <v>0.73735651162790694</v>
      </c>
      <c r="KP14" s="106">
        <f t="shared" si="43"/>
        <v>0.36905782606218074</v>
      </c>
      <c r="KQ14" s="106">
        <f>KQ5/KQ$4</f>
        <v>0.50957683003251553</v>
      </c>
      <c r="KR14" s="106">
        <f t="shared" ref="KR14:KT14" si="44">KR5/KR$4</f>
        <v>0.15487758211998595</v>
      </c>
      <c r="KS14" s="106">
        <f t="shared" si="44"/>
        <v>0.14674000000000001</v>
      </c>
      <c r="KT14" s="106">
        <f t="shared" si="44"/>
        <v>0.33907645375392781</v>
      </c>
    </row>
    <row r="15" spans="2:312" x14ac:dyDescent="0.3">
      <c r="B15" t="s">
        <v>523</v>
      </c>
      <c r="C15" s="75">
        <f t="shared" ref="C15:L15" si="45">C6/C$4</f>
        <v>0.47572000000000003</v>
      </c>
      <c r="D15" s="75">
        <f t="shared" si="45"/>
        <v>0.35966285714285717</v>
      </c>
      <c r="E15" s="75">
        <f t="shared" si="45"/>
        <v>0.64201888888888881</v>
      </c>
      <c r="F15" s="75">
        <f t="shared" si="45"/>
        <v>0.13863999999999999</v>
      </c>
      <c r="G15" s="75">
        <f t="shared" si="45"/>
        <v>0.34912356302829844</v>
      </c>
      <c r="H15" s="75">
        <f t="shared" si="45"/>
        <v>0.47572000000000003</v>
      </c>
      <c r="I15" s="75">
        <f t="shared" si="45"/>
        <v>0.35966285714285717</v>
      </c>
      <c r="J15" s="75">
        <f t="shared" si="45"/>
        <v>0.64201888888888881</v>
      </c>
      <c r="K15" s="75">
        <f t="shared" si="45"/>
        <v>0.13863999999999999</v>
      </c>
      <c r="L15" s="75">
        <f t="shared" si="45"/>
        <v>0.34912356302829844</v>
      </c>
      <c r="N15" t="s">
        <v>523</v>
      </c>
      <c r="O15" s="75" t="e">
        <f t="shared" ref="O15:X15" si="46">O6/O$4</f>
        <v>#DIV/0!</v>
      </c>
      <c r="P15" s="75">
        <f t="shared" si="46"/>
        <v>0.32748285714285713</v>
      </c>
      <c r="Q15" s="75">
        <f t="shared" si="46"/>
        <v>0.52266073170731697</v>
      </c>
      <c r="R15" s="75">
        <f t="shared" si="46"/>
        <v>0.13864000000000001</v>
      </c>
      <c r="S15" s="75">
        <f t="shared" si="46"/>
        <v>0.28754474080042969</v>
      </c>
      <c r="T15" s="75">
        <f t="shared" si="46"/>
        <v>0.47572000000000003</v>
      </c>
      <c r="U15" s="75">
        <f t="shared" si="46"/>
        <v>0.33820952380952379</v>
      </c>
      <c r="V15" s="75">
        <f t="shared" si="46"/>
        <v>0.55907508474576273</v>
      </c>
      <c r="W15" s="75">
        <f t="shared" si="46"/>
        <v>0.13864000000000004</v>
      </c>
      <c r="X15" s="75">
        <f t="shared" si="46"/>
        <v>0.31026496525305947</v>
      </c>
      <c r="Z15" t="s">
        <v>523</v>
      </c>
      <c r="AA15" s="75" t="e">
        <f t="shared" ref="AA15:AJ15" si="47">AA6/AA$4</f>
        <v>#DIV/0!</v>
      </c>
      <c r="AB15" s="75">
        <f t="shared" si="47"/>
        <v>0.32919500000000002</v>
      </c>
      <c r="AC15" s="75">
        <f t="shared" si="47"/>
        <v>0.74189000000000005</v>
      </c>
      <c r="AD15" s="75">
        <f t="shared" si="47"/>
        <v>0.13863999999999999</v>
      </c>
      <c r="AE15" s="75">
        <f t="shared" si="47"/>
        <v>0.30812319891008172</v>
      </c>
      <c r="AF15" s="75">
        <f t="shared" si="47"/>
        <v>0.47572000000000003</v>
      </c>
      <c r="AG15" s="75">
        <f t="shared" si="47"/>
        <v>0.33572275862068968</v>
      </c>
      <c r="AH15" s="75">
        <f t="shared" si="47"/>
        <v>0.59208333333333329</v>
      </c>
      <c r="AI15" s="75">
        <f t="shared" si="47"/>
        <v>0.13864000000000001</v>
      </c>
      <c r="AJ15" s="75">
        <f t="shared" si="47"/>
        <v>0.30975685370016026</v>
      </c>
      <c r="AL15" t="s">
        <v>523</v>
      </c>
      <c r="AM15" s="75" t="e">
        <f t="shared" ref="AM15:AV15" si="48">AM6/AM$4</f>
        <v>#DIV/0!</v>
      </c>
      <c r="AN15" s="75">
        <f t="shared" si="48"/>
        <v>0.32804</v>
      </c>
      <c r="AO15" s="75">
        <f t="shared" si="48"/>
        <v>0.56533214285714284</v>
      </c>
      <c r="AP15" s="75" t="e">
        <f t="shared" si="48"/>
        <v>#DIV/0!</v>
      </c>
      <c r="AQ15" s="75">
        <f t="shared" si="48"/>
        <v>0.34906588607594941</v>
      </c>
      <c r="AR15" s="75">
        <f t="shared" si="48"/>
        <v>0.47572000000000003</v>
      </c>
      <c r="AS15" s="75">
        <f t="shared" si="48"/>
        <v>0.33347414634146344</v>
      </c>
      <c r="AT15" s="75">
        <f t="shared" si="48"/>
        <v>0.58459300000000003</v>
      </c>
      <c r="AU15" s="75">
        <f t="shared" si="48"/>
        <v>0.13863999999999999</v>
      </c>
      <c r="AV15" s="75">
        <f t="shared" si="48"/>
        <v>0.31849851731210044</v>
      </c>
      <c r="AX15" t="s">
        <v>523</v>
      </c>
      <c r="AY15" s="75" t="e">
        <f t="shared" ref="AY15:BH15" si="49">AY6/AY$4</f>
        <v>#DIV/0!</v>
      </c>
      <c r="AZ15" s="75">
        <f t="shared" si="49"/>
        <v>0.33543992</v>
      </c>
      <c r="BA15" s="75" t="e">
        <f t="shared" si="49"/>
        <v>#DIV/0!</v>
      </c>
      <c r="BB15" s="75">
        <f t="shared" si="49"/>
        <v>0.13863999999999999</v>
      </c>
      <c r="BC15" s="75">
        <f t="shared" si="49"/>
        <v>0.29532783439490445</v>
      </c>
      <c r="BD15" s="75">
        <f t="shared" si="49"/>
        <v>0.47572000000000003</v>
      </c>
      <c r="BE15" s="75">
        <f t="shared" si="49"/>
        <v>0.33401657836644594</v>
      </c>
      <c r="BF15" s="75">
        <f t="shared" si="49"/>
        <v>0.58459300000000003</v>
      </c>
      <c r="BG15" s="75">
        <f t="shared" si="49"/>
        <v>0.13864000000000001</v>
      </c>
      <c r="BH15" s="75">
        <f t="shared" si="49"/>
        <v>0.31273025279753541</v>
      </c>
      <c r="BJ15" t="s">
        <v>523</v>
      </c>
      <c r="BK15" s="75" t="e">
        <f t="shared" ref="BK15:BT15" si="50">BK6/BK$4</f>
        <v>#DIV/0!</v>
      </c>
      <c r="BL15" s="75">
        <f t="shared" si="50"/>
        <v>0.34385571428571432</v>
      </c>
      <c r="BM15" s="75">
        <f t="shared" si="50"/>
        <v>0.49261952691680261</v>
      </c>
      <c r="BN15" s="75">
        <f t="shared" si="50"/>
        <v>0.13863999999999999</v>
      </c>
      <c r="BO15" s="75">
        <f t="shared" si="50"/>
        <v>0.32369886520213187</v>
      </c>
      <c r="BP15" s="75">
        <f t="shared" si="50"/>
        <v>0.47572000000000003</v>
      </c>
      <c r="BQ15" s="75">
        <f t="shared" si="50"/>
        <v>0.33509907662082522</v>
      </c>
      <c r="BR15" s="75">
        <f t="shared" si="50"/>
        <v>0.57088530756139066</v>
      </c>
      <c r="BS15" s="75">
        <f t="shared" si="50"/>
        <v>0.13863999999999999</v>
      </c>
      <c r="BT15" s="75">
        <f t="shared" si="50"/>
        <v>0.31387190145037347</v>
      </c>
      <c r="BV15" t="s">
        <v>523</v>
      </c>
      <c r="BW15" s="75" t="e">
        <f t="shared" ref="BW15:CF15" si="51">BW6/BW$4</f>
        <v>#DIV/0!</v>
      </c>
      <c r="BX15" s="75">
        <f t="shared" si="51"/>
        <v>0.33979938053097347</v>
      </c>
      <c r="BY15" s="75">
        <f t="shared" si="51"/>
        <v>0.41436999999999996</v>
      </c>
      <c r="BZ15" s="75">
        <f t="shared" si="51"/>
        <v>0.13863999999999999</v>
      </c>
      <c r="CA15" s="75">
        <f t="shared" si="51"/>
        <v>0.28421030268136205</v>
      </c>
      <c r="CB15" s="75">
        <f t="shared" si="51"/>
        <v>0.47572000000000003</v>
      </c>
      <c r="CC15" s="75">
        <f t="shared" si="51"/>
        <v>0.3357050484883059</v>
      </c>
      <c r="CD15" s="75">
        <f t="shared" si="51"/>
        <v>0.54958265700483111</v>
      </c>
      <c r="CE15" s="75">
        <f t="shared" si="51"/>
        <v>0.13864000000000001</v>
      </c>
      <c r="CF15" s="75">
        <f t="shared" si="51"/>
        <v>0.30968198954339504</v>
      </c>
      <c r="CH15" t="s">
        <v>523</v>
      </c>
      <c r="CI15" s="75" t="e">
        <f t="shared" ref="CI15:CR15" si="52">CI6/CI$4</f>
        <v>#DIV/0!</v>
      </c>
      <c r="CJ15" s="75">
        <f t="shared" si="52"/>
        <v>0.32846507518796991</v>
      </c>
      <c r="CK15" s="75">
        <f t="shared" si="52"/>
        <v>0.62089230769230763</v>
      </c>
      <c r="CL15" s="75">
        <f t="shared" si="52"/>
        <v>0.13864000000000001</v>
      </c>
      <c r="CM15" s="75">
        <f t="shared" si="52"/>
        <v>0.30704618702290076</v>
      </c>
      <c r="CN15" s="75">
        <f t="shared" si="52"/>
        <v>0.47572000000000003</v>
      </c>
      <c r="CO15" s="75">
        <f t="shared" si="52"/>
        <v>0.33475119366022787</v>
      </c>
      <c r="CP15" s="75">
        <f t="shared" si="52"/>
        <v>0.56102539763710124</v>
      </c>
      <c r="CQ15" s="75">
        <f t="shared" si="52"/>
        <v>0.13863999999999999</v>
      </c>
      <c r="CR15" s="75">
        <f t="shared" si="52"/>
        <v>0.3093338095190078</v>
      </c>
      <c r="CT15" t="s">
        <v>523</v>
      </c>
      <c r="CU15" s="75" t="e">
        <f t="shared" ref="CU15:DD15" si="53">CU6/CU$4</f>
        <v>#DIV/0!</v>
      </c>
      <c r="CV15" s="75">
        <f t="shared" si="53"/>
        <v>0.34059041237113402</v>
      </c>
      <c r="CW15" s="75">
        <f t="shared" si="53"/>
        <v>0.66540847649918966</v>
      </c>
      <c r="CX15" s="75">
        <f t="shared" si="53"/>
        <v>0.13863999999999999</v>
      </c>
      <c r="CY15" s="75">
        <f t="shared" si="53"/>
        <v>0.30951332023773548</v>
      </c>
      <c r="CZ15" s="75">
        <f t="shared" si="53"/>
        <v>0.47572000000000003</v>
      </c>
      <c r="DA15" s="75">
        <f t="shared" si="53"/>
        <v>0.33526308178942621</v>
      </c>
      <c r="DB15" s="75">
        <f t="shared" si="53"/>
        <v>0.57126782124681941</v>
      </c>
      <c r="DC15" s="75">
        <f t="shared" si="53"/>
        <v>0.13864000000000001</v>
      </c>
      <c r="DD15" s="75">
        <f t="shared" si="53"/>
        <v>0.30935014363364716</v>
      </c>
      <c r="DF15" t="s">
        <v>523</v>
      </c>
      <c r="DG15" s="75" t="e">
        <f t="shared" ref="DG15:DP15" si="54">DG6/DG$4</f>
        <v>#DIV/0!</v>
      </c>
      <c r="DH15" s="75">
        <f t="shared" si="54"/>
        <v>0.32980388940955951</v>
      </c>
      <c r="DI15" s="75">
        <f t="shared" si="54"/>
        <v>0.51718000000000008</v>
      </c>
      <c r="DJ15" s="75">
        <f t="shared" si="54"/>
        <v>0.13863999999999999</v>
      </c>
      <c r="DK15" s="75">
        <f t="shared" si="54"/>
        <v>0.27389215375586856</v>
      </c>
      <c r="DL15" s="75">
        <f t="shared" si="54"/>
        <v>0.47572000000000003</v>
      </c>
      <c r="DM15" s="75">
        <f t="shared" si="54"/>
        <v>0.3349779743768585</v>
      </c>
      <c r="DN15" s="75">
        <f t="shared" si="54"/>
        <v>0.56896200669914743</v>
      </c>
      <c r="DO15" s="75">
        <f t="shared" si="54"/>
        <v>0.13864000000000001</v>
      </c>
      <c r="DP15" s="75">
        <f t="shared" si="54"/>
        <v>0.30726511728624062</v>
      </c>
      <c r="DR15" t="s">
        <v>523</v>
      </c>
      <c r="DS15" s="75" t="e">
        <f t="shared" ref="DS15:EB15" si="55">DS6/DS$4</f>
        <v>#DIV/0!</v>
      </c>
      <c r="DT15" s="75">
        <f t="shared" si="55"/>
        <v>0.33403845161290319</v>
      </c>
      <c r="DU15" s="75">
        <f t="shared" si="55"/>
        <v>0.29361999999999999</v>
      </c>
      <c r="DV15" s="75">
        <f t="shared" si="55"/>
        <v>0.13864000000000001</v>
      </c>
      <c r="DW15" s="75">
        <f t="shared" si="55"/>
        <v>0.29763257312106622</v>
      </c>
      <c r="DX15" s="75">
        <f t="shared" si="55"/>
        <v>0.47572000000000003</v>
      </c>
      <c r="DY15" s="75">
        <f t="shared" si="55"/>
        <v>0.33486785779871026</v>
      </c>
      <c r="DZ15" s="75">
        <f t="shared" si="55"/>
        <v>0.56181609965890567</v>
      </c>
      <c r="EA15" s="75">
        <f t="shared" si="55"/>
        <v>0.13864000000000001</v>
      </c>
      <c r="EB15" s="75">
        <f t="shared" si="55"/>
        <v>0.30625994405724088</v>
      </c>
      <c r="ED15" t="s">
        <v>523</v>
      </c>
      <c r="EE15" s="75" t="e">
        <f t="shared" ref="EE15:EN15" si="56">EE6/EE$4</f>
        <v>#DIV/0!</v>
      </c>
      <c r="EF15" s="75">
        <f t="shared" si="56"/>
        <v>0.34965674418604653</v>
      </c>
      <c r="EG15" s="75">
        <f t="shared" si="56"/>
        <v>0.2849026820388349</v>
      </c>
      <c r="EH15" s="75">
        <f t="shared" si="56"/>
        <v>0.13863999999999999</v>
      </c>
      <c r="EI15" s="75">
        <f t="shared" si="56"/>
        <v>0.30837867241254441</v>
      </c>
      <c r="EJ15" s="75">
        <f t="shared" si="56"/>
        <v>0.47572000000000003</v>
      </c>
      <c r="EK15" s="75">
        <f t="shared" si="56"/>
        <v>0.33637890367381779</v>
      </c>
      <c r="EL15" s="75">
        <f t="shared" si="56"/>
        <v>0.53166192282278324</v>
      </c>
      <c r="EM15" s="75">
        <f t="shared" si="56"/>
        <v>0.13864000000000004</v>
      </c>
      <c r="EN15" s="75">
        <f t="shared" si="56"/>
        <v>0.30646419109792294</v>
      </c>
      <c r="EP15" t="s">
        <v>523</v>
      </c>
      <c r="EQ15" s="75" t="e">
        <f t="shared" ref="EQ15:EZ15" si="57">EQ6/EQ$4</f>
        <v>#DIV/0!</v>
      </c>
      <c r="ER15" s="75">
        <f t="shared" si="57"/>
        <v>0.34464075000000005</v>
      </c>
      <c r="ES15" s="75">
        <f t="shared" si="57"/>
        <v>0.5924666666666667</v>
      </c>
      <c r="ET15" s="75">
        <f t="shared" si="57"/>
        <v>0.14432372093023257</v>
      </c>
      <c r="EU15" s="75">
        <f t="shared" si="57"/>
        <v>0.31357377260981917</v>
      </c>
      <c r="EV15" s="75">
        <f t="shared" si="57"/>
        <v>0.47572000000000003</v>
      </c>
      <c r="EW15" s="75">
        <f t="shared" si="57"/>
        <v>0.33680450564815839</v>
      </c>
      <c r="EX15" s="75">
        <f t="shared" si="57"/>
        <v>0.53485936772254927</v>
      </c>
      <c r="EY15" s="75">
        <f t="shared" si="57"/>
        <v>0.13894294391075304</v>
      </c>
      <c r="EZ15" s="75">
        <f t="shared" si="57"/>
        <v>0.30682870049349192</v>
      </c>
      <c r="FB15" t="s">
        <v>523</v>
      </c>
      <c r="FC15" s="75" t="e">
        <f t="shared" ref="FC15:FL15" si="58">FC6/FC$4</f>
        <v>#DIV/0!</v>
      </c>
      <c r="FD15" s="75">
        <f t="shared" si="58"/>
        <v>0.34519621276595741</v>
      </c>
      <c r="FE15" s="75">
        <f t="shared" si="58"/>
        <v>0.29251423076923078</v>
      </c>
      <c r="FF15" s="75">
        <f t="shared" si="58"/>
        <v>0.13863999999999999</v>
      </c>
      <c r="FG15" s="75">
        <f t="shared" si="58"/>
        <v>0.28729010104276126</v>
      </c>
      <c r="FH15" s="75">
        <f t="shared" si="58"/>
        <v>0.47572000000000003</v>
      </c>
      <c r="FI15" s="75">
        <f t="shared" si="58"/>
        <v>0.33739477350277502</v>
      </c>
      <c r="FJ15" s="75">
        <f t="shared" si="58"/>
        <v>0.51007190288861415</v>
      </c>
      <c r="FK15" s="75">
        <f t="shared" si="58"/>
        <v>0.13891533374640908</v>
      </c>
      <c r="FL15" s="75">
        <f t="shared" si="58"/>
        <v>0.3053488551819562</v>
      </c>
      <c r="FN15" t="s">
        <v>523</v>
      </c>
      <c r="FO15" s="75" t="e">
        <f t="shared" ref="FO15:FX15" si="59">FO6/FO$4</f>
        <v>#DIV/0!</v>
      </c>
      <c r="FP15" s="75">
        <f t="shared" si="59"/>
        <v>0.34358096590909087</v>
      </c>
      <c r="FQ15" s="75">
        <f t="shared" si="59"/>
        <v>0.35417272727272731</v>
      </c>
      <c r="FR15" s="75">
        <f t="shared" si="59"/>
        <v>0.13864000000000001</v>
      </c>
      <c r="FS15" s="75">
        <f t="shared" si="59"/>
        <v>0.31858413580246914</v>
      </c>
      <c r="FT15" s="75">
        <f t="shared" si="59"/>
        <v>0.47572000000000003</v>
      </c>
      <c r="FU15" s="75">
        <f t="shared" si="59"/>
        <v>0.33770435199402077</v>
      </c>
      <c r="FV15" s="75">
        <f t="shared" si="59"/>
        <v>0.49765415537395274</v>
      </c>
      <c r="FW15" s="75">
        <f t="shared" si="59"/>
        <v>0.13890773292435779</v>
      </c>
      <c r="FX15" s="75">
        <f t="shared" si="59"/>
        <v>0.30596226794493037</v>
      </c>
      <c r="FZ15" t="s">
        <v>523</v>
      </c>
      <c r="GA15" s="106" t="e">
        <f t="shared" ref="GA15:GJ15" si="60">GA6/GA$4</f>
        <v>#DIV/0!</v>
      </c>
      <c r="GB15" s="106">
        <f t="shared" si="60"/>
        <v>0.32804069767441862</v>
      </c>
      <c r="GC15" s="106">
        <f t="shared" si="60"/>
        <v>0.4374155681818182</v>
      </c>
      <c r="GD15" s="106">
        <f t="shared" si="60"/>
        <v>0.13864000000000001</v>
      </c>
      <c r="GE15" s="106">
        <f t="shared" si="60"/>
        <v>9.0725E-2</v>
      </c>
      <c r="GF15" s="106">
        <f t="shared" si="60"/>
        <v>0.30556775864116875</v>
      </c>
      <c r="GG15" s="106">
        <f t="shared" si="60"/>
        <v>0.47572000000000003</v>
      </c>
      <c r="GH15" s="106">
        <f t="shared" si="60"/>
        <v>0.33736243456523096</v>
      </c>
      <c r="GI15" s="106">
        <f t="shared" si="60"/>
        <v>0.48798668606165868</v>
      </c>
      <c r="GJ15" s="106">
        <f t="shared" si="60"/>
        <v>0.13889372437062031</v>
      </c>
      <c r="GK15" s="106">
        <f t="shared" ref="GK15:GL15" si="61">GK6/GK$4</f>
        <v>9.0725E-2</v>
      </c>
      <c r="GL15" s="106">
        <f t="shared" si="61"/>
        <v>0.30594378434329661</v>
      </c>
      <c r="GN15" t="s">
        <v>523</v>
      </c>
      <c r="GO15" s="106">
        <f t="shared" ref="GO15:GZ15" si="62">GO6/GO$4</f>
        <v>0.47572000000000003</v>
      </c>
      <c r="GP15" s="106">
        <f t="shared" si="62"/>
        <v>0.33951603658536583</v>
      </c>
      <c r="GQ15" s="106">
        <f t="shared" si="62"/>
        <v>0.41109358974358973</v>
      </c>
      <c r="GR15" s="106">
        <f t="shared" si="62"/>
        <v>0.13864000000000001</v>
      </c>
      <c r="GS15" s="106" t="e">
        <f t="shared" si="62"/>
        <v>#DIV/0!</v>
      </c>
      <c r="GT15" s="106">
        <f t="shared" si="62"/>
        <v>0.33614563288856836</v>
      </c>
      <c r="GU15" s="106">
        <f t="shared" si="62"/>
        <v>0.47572000000000003</v>
      </c>
      <c r="GV15" s="106">
        <f t="shared" si="62"/>
        <v>0.33745513693493712</v>
      </c>
      <c r="GW15" s="106">
        <f t="shared" si="62"/>
        <v>0.4798376894409937</v>
      </c>
      <c r="GX15" s="106">
        <f t="shared" si="62"/>
        <v>0.13887449268409693</v>
      </c>
      <c r="GY15" s="106">
        <f t="shared" si="62"/>
        <v>9.0725E-2</v>
      </c>
      <c r="GZ15" s="106">
        <f t="shared" si="62"/>
        <v>0.30810721148182973</v>
      </c>
      <c r="HB15" t="s">
        <v>523</v>
      </c>
      <c r="HC15" s="106" t="e">
        <f t="shared" ref="HC15:HN15" si="63">HC6/HC$4</f>
        <v>#DIV/0!</v>
      </c>
      <c r="HD15" s="106">
        <f t="shared" si="63"/>
        <v>0.3461987830687831</v>
      </c>
      <c r="HE15" s="106">
        <f t="shared" si="63"/>
        <v>0.51775500000000008</v>
      </c>
      <c r="HF15" s="106">
        <f t="shared" si="63"/>
        <v>0.13864000000000001</v>
      </c>
      <c r="HG15" s="106" t="e">
        <f t="shared" si="63"/>
        <v>#DIV/0!</v>
      </c>
      <c r="HH15" s="106">
        <f t="shared" si="63"/>
        <v>0.2812028399714781</v>
      </c>
      <c r="HI15" s="106">
        <f t="shared" si="63"/>
        <v>0.47572000000000003</v>
      </c>
      <c r="HJ15" s="106">
        <f t="shared" si="63"/>
        <v>0.33786838342990644</v>
      </c>
      <c r="HK15" s="106">
        <f t="shared" si="63"/>
        <v>0.48004264787644779</v>
      </c>
      <c r="HL15" s="106">
        <f t="shared" si="63"/>
        <v>0.13885810717951005</v>
      </c>
      <c r="HM15" s="106">
        <f t="shared" si="63"/>
        <v>9.0725E-2</v>
      </c>
      <c r="HN15" s="106">
        <f t="shared" si="63"/>
        <v>0.30680852572833434</v>
      </c>
      <c r="HP15" t="s">
        <v>523</v>
      </c>
      <c r="HQ15" s="106" t="e">
        <f t="shared" ref="HQ15:IB15" si="64">HQ6/HQ$4</f>
        <v>#DIV/0!</v>
      </c>
      <c r="HR15" s="106">
        <f t="shared" si="64"/>
        <v>0.34348427184466018</v>
      </c>
      <c r="HS15" s="106">
        <f t="shared" si="64"/>
        <v>0.32440961538461544</v>
      </c>
      <c r="HT15" s="106">
        <f t="shared" si="64"/>
        <v>0.13864000000000001</v>
      </c>
      <c r="HU15" s="106" t="e">
        <f t="shared" si="64"/>
        <v>#DIV/0!</v>
      </c>
      <c r="HV15" s="106">
        <f t="shared" si="64"/>
        <v>0.29801040569326104</v>
      </c>
      <c r="HW15" s="106">
        <f t="shared" si="64"/>
        <v>0.47572000000000003</v>
      </c>
      <c r="HX15" s="106">
        <f t="shared" si="64"/>
        <v>0.33814350560225037</v>
      </c>
      <c r="HY15" s="106">
        <f t="shared" si="64"/>
        <v>0.46982431746031755</v>
      </c>
      <c r="HZ15" s="106">
        <f t="shared" si="64"/>
        <v>0.13884786731873275</v>
      </c>
      <c r="IA15" s="106">
        <f t="shared" si="64"/>
        <v>9.0725E-2</v>
      </c>
      <c r="IB15" s="106">
        <f t="shared" si="64"/>
        <v>0.30638332353780712</v>
      </c>
      <c r="ID15" t="s">
        <v>523</v>
      </c>
      <c r="IE15" s="106" t="e">
        <f t="shared" ref="IE15:IP15" si="65">IE6/IE$4</f>
        <v>#DIV/0!</v>
      </c>
      <c r="IF15" s="106">
        <f t="shared" si="65"/>
        <v>0.35116224899598392</v>
      </c>
      <c r="IG15" s="106">
        <f t="shared" si="65"/>
        <v>0.33509125000000001</v>
      </c>
      <c r="IH15" s="106">
        <f t="shared" si="65"/>
        <v>0.13863999999999999</v>
      </c>
      <c r="II15" s="106" t="e">
        <f t="shared" si="65"/>
        <v>#DIV/0!</v>
      </c>
      <c r="IJ15" s="106">
        <f t="shared" si="65"/>
        <v>0.2941205486284289</v>
      </c>
      <c r="IK15" s="106">
        <f t="shared" si="65"/>
        <v>0.47572000000000003</v>
      </c>
      <c r="IL15" s="106">
        <f t="shared" si="65"/>
        <v>0.33887132524633062</v>
      </c>
      <c r="IM15" s="106">
        <f t="shared" si="65"/>
        <v>0.45525858043758044</v>
      </c>
      <c r="IN15" s="106">
        <f t="shared" si="65"/>
        <v>0.13883293467535032</v>
      </c>
      <c r="IO15" s="106">
        <f t="shared" si="65"/>
        <v>9.0725E-2</v>
      </c>
      <c r="IP15" s="106">
        <f t="shared" si="65"/>
        <v>0.30562759526297756</v>
      </c>
      <c r="IR15" t="s">
        <v>523</v>
      </c>
      <c r="IS15" s="106" t="e">
        <f t="shared" ref="IS15:JD15" si="66">IS6/IS$4</f>
        <v>#DIV/0!</v>
      </c>
      <c r="IT15" s="106">
        <f t="shared" si="66"/>
        <v>0.35019</v>
      </c>
      <c r="IU15" s="106">
        <f t="shared" si="66"/>
        <v>0.32408894736842103</v>
      </c>
      <c r="IV15" s="106">
        <f t="shared" si="66"/>
        <v>0.13864000000000001</v>
      </c>
      <c r="IW15" s="106" t="e">
        <f t="shared" si="66"/>
        <v>#DIV/0!</v>
      </c>
      <c r="IX15" s="106">
        <f t="shared" si="66"/>
        <v>0.27705102225701822</v>
      </c>
      <c r="IY15" s="106">
        <f t="shared" si="66"/>
        <v>0.47572000000000003</v>
      </c>
      <c r="IZ15" s="106">
        <f t="shared" si="66"/>
        <v>0.33926382858169024</v>
      </c>
      <c r="JA15" s="106">
        <f t="shared" si="66"/>
        <v>0.45289628372827806</v>
      </c>
      <c r="JB15" s="106">
        <f t="shared" si="66"/>
        <v>0.13882196031716487</v>
      </c>
      <c r="JC15" s="106">
        <f t="shared" si="66"/>
        <v>9.0725E-2</v>
      </c>
      <c r="JD15" s="106">
        <f t="shared" si="66"/>
        <v>0.30454806079119817</v>
      </c>
      <c r="JF15" t="s">
        <v>523</v>
      </c>
      <c r="JG15" s="106">
        <f t="shared" ref="JG15:JR15" si="67">JG6/JG$4</f>
        <v>0.47572000000000003</v>
      </c>
      <c r="JH15" s="106">
        <f t="shared" si="67"/>
        <v>0.34851753424657533</v>
      </c>
      <c r="JI15" s="106">
        <f t="shared" si="67"/>
        <v>0.53252488372093021</v>
      </c>
      <c r="JJ15" s="106">
        <f t="shared" si="67"/>
        <v>0.13864000000000001</v>
      </c>
      <c r="JK15" s="106" t="e">
        <f t="shared" si="67"/>
        <v>#DIV/0!</v>
      </c>
      <c r="JL15" s="106">
        <f t="shared" si="67"/>
        <v>0.33051677639146981</v>
      </c>
      <c r="JM15" s="106">
        <f t="shared" si="67"/>
        <v>0.47571999999999998</v>
      </c>
      <c r="JN15" s="106">
        <f t="shared" si="67"/>
        <v>0.33954766413762466</v>
      </c>
      <c r="JO15" s="106">
        <f t="shared" si="67"/>
        <v>0.45396362468827928</v>
      </c>
      <c r="JP15" s="106">
        <f t="shared" si="67"/>
        <v>0.13881241014426302</v>
      </c>
      <c r="JQ15" s="106">
        <f t="shared" si="67"/>
        <v>9.0725E-2</v>
      </c>
      <c r="JR15" s="106">
        <f t="shared" si="67"/>
        <v>0.30573151290426642</v>
      </c>
      <c r="JT15" t="s">
        <v>523</v>
      </c>
      <c r="JU15" s="106" t="e">
        <f t="shared" ref="JU15:KF15" si="68">JU6/JU$4</f>
        <v>#DIV/0!</v>
      </c>
      <c r="JV15" s="106">
        <f t="shared" si="68"/>
        <v>0.35111249999999999</v>
      </c>
      <c r="JW15" s="106">
        <f t="shared" si="68"/>
        <v>0.38178200000000001</v>
      </c>
      <c r="JX15" s="106">
        <f t="shared" si="68"/>
        <v>0.13863999999999999</v>
      </c>
      <c r="JY15" s="106" t="e">
        <f t="shared" si="68"/>
        <v>#DIV/0!</v>
      </c>
      <c r="JZ15" s="106">
        <f t="shared" si="68"/>
        <v>0.25476291634331832</v>
      </c>
      <c r="KA15" s="106">
        <f t="shared" si="68"/>
        <v>0.47571999999999998</v>
      </c>
      <c r="KB15" s="106">
        <f t="shared" si="68"/>
        <v>0.33971998988871666</v>
      </c>
      <c r="KC15" s="106">
        <f t="shared" si="68"/>
        <v>0.45022972450487736</v>
      </c>
      <c r="KD15" s="106">
        <f t="shared" si="68"/>
        <v>0.13880361506276154</v>
      </c>
      <c r="KE15" s="106">
        <f t="shared" si="68"/>
        <v>9.0725E-2</v>
      </c>
      <c r="KF15" s="106">
        <f t="shared" si="68"/>
        <v>0.30444078577801525</v>
      </c>
      <c r="KH15" t="s">
        <v>523</v>
      </c>
      <c r="KI15" s="106" t="e">
        <f t="shared" ref="KI15:KT15" si="69">KI6/KI$4</f>
        <v>#DIV/0!</v>
      </c>
      <c r="KJ15" s="106">
        <f t="shared" si="69"/>
        <v>0.32804</v>
      </c>
      <c r="KK15" s="106" t="e">
        <f t="shared" si="69"/>
        <v>#DIV/0!</v>
      </c>
      <c r="KL15" s="106">
        <f t="shared" si="69"/>
        <v>0.13863999999999999</v>
      </c>
      <c r="KM15" s="106" t="e">
        <f t="shared" si="69"/>
        <v>#DIV/0!</v>
      </c>
      <c r="KN15" s="106">
        <f t="shared" si="69"/>
        <v>0.26707070044709386</v>
      </c>
      <c r="KO15" s="106">
        <f t="shared" si="69"/>
        <v>0.47571999999999998</v>
      </c>
      <c r="KP15" s="106">
        <f t="shared" si="69"/>
        <v>0.33929602052561991</v>
      </c>
      <c r="KQ15" s="106">
        <f t="shared" si="69"/>
        <v>0.45022972450487736</v>
      </c>
      <c r="KR15" s="106">
        <f t="shared" si="69"/>
        <v>0.13879573326536465</v>
      </c>
      <c r="KS15" s="106">
        <f t="shared" si="69"/>
        <v>9.0725E-2</v>
      </c>
      <c r="KT15" s="106">
        <f t="shared" si="69"/>
        <v>0.30311011117554965</v>
      </c>
    </row>
    <row r="16" spans="2:312" x14ac:dyDescent="0.3">
      <c r="B16" t="s">
        <v>524</v>
      </c>
      <c r="C16" s="75">
        <f>C14-C15</f>
        <v>0.26058999999999988</v>
      </c>
      <c r="D16" s="75">
        <f t="shared" ref="D16:G16" si="70">D14-D15</f>
        <v>3.3894285714285655E-2</v>
      </c>
      <c r="E16" s="75">
        <f t="shared" si="70"/>
        <v>9.736111111111112E-2</v>
      </c>
      <c r="F16" s="75">
        <f t="shared" si="70"/>
        <v>1.6070000000000029E-2</v>
      </c>
      <c r="G16" s="75">
        <f t="shared" si="70"/>
        <v>7.5336832047041502E-2</v>
      </c>
      <c r="H16" s="75">
        <f t="shared" ref="H16" si="71">H14-H15</f>
        <v>0.26058999999999988</v>
      </c>
      <c r="I16" s="75">
        <f t="shared" ref="I16" si="72">I14-I15</f>
        <v>3.3894285714285655E-2</v>
      </c>
      <c r="J16" s="75">
        <f t="shared" ref="J16" si="73">J14-J15</f>
        <v>9.736111111111112E-2</v>
      </c>
      <c r="K16" s="75">
        <f t="shared" ref="K16" si="74">K14-K15</f>
        <v>1.6070000000000029E-2</v>
      </c>
      <c r="L16" s="75">
        <f>L7/L$4</f>
        <v>0.30831224366041893</v>
      </c>
      <c r="N16" t="s">
        <v>524</v>
      </c>
      <c r="O16" s="75" t="e">
        <f>O14-O15</f>
        <v>#DIV/0!</v>
      </c>
      <c r="P16" s="75">
        <f t="shared" ref="P16:W16" si="75">P14-P15</f>
        <v>2.7820000000000011E-2</v>
      </c>
      <c r="Q16" s="75">
        <f t="shared" si="75"/>
        <v>6.9886585365853682E-2</v>
      </c>
      <c r="R16" s="75">
        <f t="shared" si="75"/>
        <v>1.6069999999999973E-2</v>
      </c>
      <c r="S16" s="75">
        <f t="shared" si="75"/>
        <v>2.7641678753693333E-2</v>
      </c>
      <c r="T16" s="75">
        <f t="shared" si="75"/>
        <v>0.26058999999999988</v>
      </c>
      <c r="U16" s="75">
        <f t="shared" si="75"/>
        <v>2.9844761904761874E-2</v>
      </c>
      <c r="V16" s="75">
        <f t="shared" si="75"/>
        <v>7.8268644067796544E-2</v>
      </c>
      <c r="W16" s="75">
        <f t="shared" si="75"/>
        <v>1.6069999999999945E-2</v>
      </c>
      <c r="X16" s="75">
        <f>X7/X$4</f>
        <v>0.27174926641581071</v>
      </c>
      <c r="Z16" t="s">
        <v>524</v>
      </c>
      <c r="AA16" s="75" t="e">
        <f>AA14-AA15</f>
        <v>#DIV/0!</v>
      </c>
      <c r="AB16" s="75">
        <f t="shared" ref="AB16:AI16" si="76">AB14-AB15</f>
        <v>2.7924999999999978E-2</v>
      </c>
      <c r="AC16" s="75">
        <f t="shared" si="76"/>
        <v>0.12034999999999996</v>
      </c>
      <c r="AD16" s="75">
        <f t="shared" si="76"/>
        <v>1.6070000000000029E-2</v>
      </c>
      <c r="AE16" s="75">
        <f t="shared" si="76"/>
        <v>2.9924277929155307E-2</v>
      </c>
      <c r="AF16" s="75">
        <f t="shared" si="76"/>
        <v>0.26058999999999988</v>
      </c>
      <c r="AG16" s="75">
        <f t="shared" si="76"/>
        <v>2.9315172413793111E-2</v>
      </c>
      <c r="AH16" s="75">
        <f t="shared" si="76"/>
        <v>8.5866666666666647E-2</v>
      </c>
      <c r="AI16" s="75">
        <f t="shared" si="76"/>
        <v>1.6069999999999973E-2</v>
      </c>
      <c r="AJ16" s="75">
        <f>AJ7/AJ$4</f>
        <v>0.27080327248280489</v>
      </c>
      <c r="AL16" t="s">
        <v>524</v>
      </c>
      <c r="AM16" s="75" t="e">
        <f>AM14-AM15</f>
        <v>#DIV/0!</v>
      </c>
      <c r="AN16" s="75">
        <f t="shared" ref="AN16:AU16" si="77">AN14-AN15</f>
        <v>2.8119999999999978E-2</v>
      </c>
      <c r="AO16" s="75">
        <f t="shared" si="77"/>
        <v>7.9708928571428639E-2</v>
      </c>
      <c r="AP16" s="75" t="e">
        <f t="shared" si="77"/>
        <v>#DIV/0!</v>
      </c>
      <c r="AQ16" s="75">
        <f t="shared" si="77"/>
        <v>3.2691170886075871E-2</v>
      </c>
      <c r="AR16" s="75">
        <f t="shared" si="77"/>
        <v>0.26058999999999988</v>
      </c>
      <c r="AS16" s="75">
        <f t="shared" si="77"/>
        <v>2.8965365853658553E-2</v>
      </c>
      <c r="AT16" s="75">
        <f t="shared" si="77"/>
        <v>8.4142500000000009E-2</v>
      </c>
      <c r="AU16" s="75">
        <f t="shared" si="77"/>
        <v>1.6070000000000029E-2</v>
      </c>
      <c r="AV16" s="75">
        <f>AV7/AV$4</f>
        <v>0.27715024450074394</v>
      </c>
      <c r="AX16" t="s">
        <v>524</v>
      </c>
      <c r="AY16" s="75" t="e">
        <f>AY14-AY15</f>
        <v>#DIV/0!</v>
      </c>
      <c r="AZ16" s="75">
        <f t="shared" ref="AZ16:BG16" si="78">AZ14-AZ15</f>
        <v>2.9058613333333316E-2</v>
      </c>
      <c r="BA16" s="75" t="e">
        <f t="shared" si="78"/>
        <v>#DIV/0!</v>
      </c>
      <c r="BB16" s="75">
        <f t="shared" si="78"/>
        <v>1.6070000000000029E-2</v>
      </c>
      <c r="BC16" s="75">
        <f t="shared" si="78"/>
        <v>2.6411252653927797E-2</v>
      </c>
      <c r="BD16" s="75">
        <f t="shared" si="78"/>
        <v>0.26058999999999988</v>
      </c>
      <c r="BE16" s="75">
        <f t="shared" si="78"/>
        <v>2.8991096394407667E-2</v>
      </c>
      <c r="BF16" s="75">
        <f t="shared" si="78"/>
        <v>8.4142500000000009E-2</v>
      </c>
      <c r="BG16" s="75">
        <f t="shared" si="78"/>
        <v>1.6070000000000001E-2</v>
      </c>
      <c r="BH16" s="75">
        <f>BH7/BH$4</f>
        <v>0.27154130400640297</v>
      </c>
      <c r="BJ16" t="s">
        <v>524</v>
      </c>
      <c r="BK16" s="75" t="e">
        <f>BK14-BK15</f>
        <v>#DIV/0!</v>
      </c>
      <c r="BL16" s="75">
        <f t="shared" ref="BL16:BS16" si="79">BL14-BL15</f>
        <v>3.100285714285711E-2</v>
      </c>
      <c r="BM16" s="75">
        <f t="shared" si="79"/>
        <v>6.2971533442088112E-2</v>
      </c>
      <c r="BN16" s="75">
        <f t="shared" si="79"/>
        <v>1.6070000000000001E-2</v>
      </c>
      <c r="BO16" s="75">
        <f t="shared" si="79"/>
        <v>3.1220895619394173E-2</v>
      </c>
      <c r="BP16" s="75">
        <f t="shared" si="79"/>
        <v>0.26058999999999988</v>
      </c>
      <c r="BQ16" s="75">
        <f t="shared" si="79"/>
        <v>2.9212429600523893E-2</v>
      </c>
      <c r="BR16" s="75">
        <f t="shared" si="79"/>
        <v>8.0987186968149882E-2</v>
      </c>
      <c r="BS16" s="75">
        <f t="shared" si="79"/>
        <v>1.6070000000000001E-2</v>
      </c>
      <c r="BT16" s="75">
        <f>BT7/BT$4</f>
        <v>0.27250033201645191</v>
      </c>
      <c r="BV16" t="s">
        <v>524</v>
      </c>
      <c r="BW16" s="75" t="e">
        <f>BW14-BW15</f>
        <v>#DIV/0!</v>
      </c>
      <c r="BX16" s="75">
        <f t="shared" ref="BX16:CE16" si="80">BX14-BX15</f>
        <v>3.0260442477876126E-2</v>
      </c>
      <c r="BY16" s="75">
        <f t="shared" si="80"/>
        <v>4.647964506172847E-2</v>
      </c>
      <c r="BZ16" s="75">
        <f t="shared" si="80"/>
        <v>1.6070000000000029E-2</v>
      </c>
      <c r="CA16" s="75">
        <f t="shared" si="80"/>
        <v>2.6923088501398296E-2</v>
      </c>
      <c r="CB16" s="75">
        <f t="shared" si="80"/>
        <v>0.26058999999999988</v>
      </c>
      <c r="CC16" s="75">
        <f t="shared" si="80"/>
        <v>2.9347541357672369E-2</v>
      </c>
      <c r="CD16" s="75">
        <f t="shared" si="80"/>
        <v>7.6290508296576354E-2</v>
      </c>
      <c r="CE16" s="75">
        <f t="shared" si="80"/>
        <v>1.6070000000000001E-2</v>
      </c>
      <c r="CF16" s="75">
        <f>CF7/CF$4</f>
        <v>0.26895555663994425</v>
      </c>
      <c r="CH16" t="s">
        <v>524</v>
      </c>
      <c r="CI16" s="75" t="e">
        <f>CI14-CI15</f>
        <v>#DIV/0!</v>
      </c>
      <c r="CJ16" s="75">
        <f t="shared" ref="CJ16:CQ16" si="81">CJ14-CJ15</f>
        <v>2.8026353383458713E-2</v>
      </c>
      <c r="CK16" s="75">
        <f t="shared" si="81"/>
        <v>9.2498076923076988E-2</v>
      </c>
      <c r="CL16" s="75">
        <f t="shared" si="81"/>
        <v>1.6069999999999973E-2</v>
      </c>
      <c r="CM16" s="75">
        <f t="shared" si="81"/>
        <v>2.9876351145038227E-2</v>
      </c>
      <c r="CN16" s="75">
        <f t="shared" si="81"/>
        <v>0.26058999999999988</v>
      </c>
      <c r="CO16" s="75">
        <f t="shared" si="81"/>
        <v>2.9173476968796297E-2</v>
      </c>
      <c r="CP16" s="75">
        <f t="shared" si="81"/>
        <v>7.8891264327279109E-2</v>
      </c>
      <c r="CQ16" s="75">
        <f t="shared" si="81"/>
        <v>1.6070000000000029E-2</v>
      </c>
      <c r="CR16" s="75">
        <f>CR7/CR$4</f>
        <v>0.26866513925582336</v>
      </c>
      <c r="CT16" t="s">
        <v>524</v>
      </c>
      <c r="CU16" s="75" t="e">
        <f>CU14-CU15</f>
        <v>#DIV/0!</v>
      </c>
      <c r="CV16" s="75">
        <f t="shared" ref="CV16:DC16" si="82">CV14-CV15</f>
        <v>3.0412783505154695E-2</v>
      </c>
      <c r="CW16" s="75">
        <f t="shared" si="82"/>
        <v>0.10274505672609391</v>
      </c>
      <c r="CX16" s="75">
        <f t="shared" si="82"/>
        <v>1.6070000000000029E-2</v>
      </c>
      <c r="CY16" s="75">
        <f t="shared" si="82"/>
        <v>3.1267543064369963E-2</v>
      </c>
      <c r="CZ16" s="75">
        <f t="shared" si="82"/>
        <v>0.26058999999999988</v>
      </c>
      <c r="DA16" s="75">
        <f t="shared" si="82"/>
        <v>2.928211929507446E-2</v>
      </c>
      <c r="DB16" s="75">
        <f t="shared" si="82"/>
        <v>8.1231879770992332E-2</v>
      </c>
      <c r="DC16" s="75">
        <f t="shared" si="82"/>
        <v>1.6069999999999973E-2</v>
      </c>
      <c r="DD16" s="75">
        <f>DD7/DD$4</f>
        <v>0.2688483059112533</v>
      </c>
      <c r="DF16" t="s">
        <v>524</v>
      </c>
      <c r="DG16" s="75" t="e">
        <f>DG14-DG15</f>
        <v>#DIV/0!</v>
      </c>
      <c r="DH16" s="75">
        <f t="shared" ref="DH16:DO16" si="83">DH14-DH15</f>
        <v>2.8379540768509848E-2</v>
      </c>
      <c r="DI16" s="75">
        <f t="shared" si="83"/>
        <v>6.8624999999999936E-2</v>
      </c>
      <c r="DJ16" s="75">
        <f t="shared" si="83"/>
        <v>1.6070000000000029E-2</v>
      </c>
      <c r="DK16" s="75">
        <f t="shared" si="83"/>
        <v>2.5936860328638456E-2</v>
      </c>
      <c r="DL16" s="75">
        <f t="shared" si="83"/>
        <v>0.26058999999999988</v>
      </c>
      <c r="DM16" s="75">
        <f t="shared" si="83"/>
        <v>2.9234981951225314E-2</v>
      </c>
      <c r="DN16" s="75">
        <f t="shared" si="83"/>
        <v>8.0694436662606672E-2</v>
      </c>
      <c r="DO16" s="75">
        <f t="shared" si="83"/>
        <v>1.6069999999999973E-2</v>
      </c>
      <c r="DP16" s="75">
        <f>DP7/DP$4</f>
        <v>0.26706958693157801</v>
      </c>
      <c r="DR16" t="s">
        <v>524</v>
      </c>
      <c r="DS16" s="75" t="e">
        <f>DS14-DS15</f>
        <v>#DIV/0!</v>
      </c>
      <c r="DT16" s="75">
        <f t="shared" ref="DT16:EA16" si="84">DT14-DT15</f>
        <v>2.8577741935483958E-2</v>
      </c>
      <c r="DU16" s="75">
        <f t="shared" si="84"/>
        <v>2.0469999999999988E-2</v>
      </c>
      <c r="DV16" s="75">
        <f t="shared" si="84"/>
        <v>1.6069999999999973E-2</v>
      </c>
      <c r="DW16" s="75">
        <f t="shared" si="84"/>
        <v>2.6175812661977105E-2</v>
      </c>
      <c r="DX16" s="75">
        <f t="shared" si="84"/>
        <v>0.26058999999999988</v>
      </c>
      <c r="DY16" s="75">
        <f t="shared" si="84"/>
        <v>2.9157950266276267E-2</v>
      </c>
      <c r="DZ16" s="75">
        <f t="shared" si="84"/>
        <v>7.9131441494883492E-2</v>
      </c>
      <c r="EA16" s="75">
        <f t="shared" si="84"/>
        <v>1.6069999999999973E-2</v>
      </c>
      <c r="EB16" s="75">
        <f>EB7/EB$4</f>
        <v>0.26592210071242028</v>
      </c>
      <c r="ED16" t="s">
        <v>524</v>
      </c>
      <c r="EE16" s="75" t="e">
        <f>EE14-EE15</f>
        <v>#DIV/0!</v>
      </c>
      <c r="EF16" s="75">
        <f t="shared" ref="EF16:EM16" si="85">EF14-EF15</f>
        <v>3.1509335548172757E-2</v>
      </c>
      <c r="EG16" s="75">
        <f t="shared" si="85"/>
        <v>2.2775885922330152E-2</v>
      </c>
      <c r="EH16" s="75">
        <f t="shared" si="85"/>
        <v>1.6070000000000029E-2</v>
      </c>
      <c r="EI16" s="75">
        <f t="shared" si="85"/>
        <v>2.8250709060621382E-2</v>
      </c>
      <c r="EJ16" s="75">
        <f t="shared" si="85"/>
        <v>0.26058999999999988</v>
      </c>
      <c r="EK16" s="75">
        <f t="shared" si="85"/>
        <v>2.9398201691430259E-2</v>
      </c>
      <c r="EL16" s="75">
        <f t="shared" si="85"/>
        <v>7.2994666314259216E-2</v>
      </c>
      <c r="EM16" s="75">
        <f t="shared" si="85"/>
        <v>1.6069999999999973E-2</v>
      </c>
      <c r="EN16" s="75">
        <f>EN7/EN$4</f>
        <v>0.26599221378949212</v>
      </c>
      <c r="EP16" t="s">
        <v>524</v>
      </c>
      <c r="EQ16" s="75" t="e">
        <f>EQ14-EQ15</f>
        <v>#DIV/0!</v>
      </c>
      <c r="ER16" s="75">
        <f t="shared" ref="ER16:EY16" si="86">ER14-ER15</f>
        <v>3.065374999999998E-2</v>
      </c>
      <c r="ES16" s="75">
        <f t="shared" si="86"/>
        <v>8.705666666666656E-2</v>
      </c>
      <c r="ET16" s="75">
        <f t="shared" si="86"/>
        <v>1.6502441860465067E-2</v>
      </c>
      <c r="EU16" s="75">
        <f t="shared" si="86"/>
        <v>3.0569638242894104E-2</v>
      </c>
      <c r="EV16" s="75">
        <f t="shared" si="86"/>
        <v>0.26058999999999988</v>
      </c>
      <c r="EW16" s="75">
        <f t="shared" si="86"/>
        <v>2.946288019281007E-2</v>
      </c>
      <c r="EX16" s="75">
        <f t="shared" si="86"/>
        <v>7.3734122949793313E-2</v>
      </c>
      <c r="EY16" s="75">
        <f t="shared" si="86"/>
        <v>1.6093049271769383E-2</v>
      </c>
      <c r="EZ16" s="75">
        <f>EZ7/EZ$4</f>
        <v>0.26637628735137286</v>
      </c>
      <c r="FB16" t="s">
        <v>524</v>
      </c>
      <c r="FC16" s="75" t="e">
        <f>FC14-FC15</f>
        <v>#DIV/0!</v>
      </c>
      <c r="FD16" s="75">
        <f t="shared" ref="FD16:FK16" si="87">FD14-FD15</f>
        <v>3.0551021276595813E-2</v>
      </c>
      <c r="FE16" s="75">
        <f t="shared" si="87"/>
        <v>1.7037307692307713E-2</v>
      </c>
      <c r="FF16" s="75">
        <f t="shared" si="87"/>
        <v>1.6070000000000001E-2</v>
      </c>
      <c r="FG16" s="75">
        <f t="shared" si="87"/>
        <v>2.5769025947781188E-2</v>
      </c>
      <c r="FH16" s="75">
        <f t="shared" si="87"/>
        <v>0.26058999999999988</v>
      </c>
      <c r="FI16" s="75">
        <f t="shared" si="87"/>
        <v>2.9539419411115764E-2</v>
      </c>
      <c r="FJ16" s="75">
        <f t="shared" si="87"/>
        <v>6.7935078116219016E-2</v>
      </c>
      <c r="FK16" s="75">
        <f t="shared" si="87"/>
        <v>1.60909485720723E-2</v>
      </c>
      <c r="FL16" s="75">
        <f>FL7/FL$4</f>
        <v>0.26506469584170056</v>
      </c>
      <c r="FN16" t="s">
        <v>524</v>
      </c>
      <c r="FO16" s="75" t="e">
        <f>FO14-FO15</f>
        <v>#DIV/0!</v>
      </c>
      <c r="FP16" s="75">
        <f t="shared" ref="FP16:FW16" si="88">FP14-FP15</f>
        <v>3.0323352272727366E-2</v>
      </c>
      <c r="FQ16" s="75">
        <f t="shared" si="88"/>
        <v>3.2304999999999973E-2</v>
      </c>
      <c r="FR16" s="75">
        <f t="shared" si="88"/>
        <v>1.6069999999999973E-2</v>
      </c>
      <c r="FS16" s="75">
        <f t="shared" si="88"/>
        <v>2.8705626102292825E-2</v>
      </c>
      <c r="FT16" s="75">
        <f t="shared" si="88"/>
        <v>0.26058999999999988</v>
      </c>
      <c r="FU16" s="75">
        <f t="shared" si="88"/>
        <v>2.9578650126327211E-2</v>
      </c>
      <c r="FV16" s="75">
        <f t="shared" si="88"/>
        <v>6.5097055963587391E-2</v>
      </c>
      <c r="FW16" s="75">
        <f t="shared" si="88"/>
        <v>1.609037026893792E-2</v>
      </c>
      <c r="FX16" s="75">
        <f>FX7/FX$4</f>
        <v>0.26550441181965739</v>
      </c>
      <c r="FZ16" t="s">
        <v>524</v>
      </c>
      <c r="GA16" s="106" t="e">
        <f>GA14-GA15</f>
        <v>#DIV/0!</v>
      </c>
      <c r="GB16" s="106">
        <f t="shared" ref="GB16:GJ16" si="89">GB14-GB15</f>
        <v>2.8119302325581352E-2</v>
      </c>
      <c r="GC16" s="106">
        <f t="shared" si="89"/>
        <v>6.4502462121212079E-2</v>
      </c>
      <c r="GD16" s="106">
        <f t="shared" si="89"/>
        <v>1.6069999999999973E-2</v>
      </c>
      <c r="GE16" s="106">
        <f t="shared" si="89"/>
        <v>5.6015000000000009E-2</v>
      </c>
      <c r="GF16" s="106">
        <f t="shared" si="89"/>
        <v>3.3352763986221612E-2</v>
      </c>
      <c r="GG16" s="106">
        <f t="shared" si="89"/>
        <v>0.26058999999999988</v>
      </c>
      <c r="GH16" s="106">
        <f t="shared" si="89"/>
        <v>2.9527015782709554E-2</v>
      </c>
      <c r="GI16" s="106">
        <f t="shared" si="89"/>
        <v>6.5001631784628755E-2</v>
      </c>
      <c r="GJ16" s="106">
        <f t="shared" si="89"/>
        <v>1.6089304438100166E-2</v>
      </c>
      <c r="GK16" s="106">
        <f t="shared" ref="GK16:GL16" si="90">GK7/GK$4</f>
        <v>8.4125000000000005E-2</v>
      </c>
      <c r="GL16" s="106">
        <f t="shared" si="90"/>
        <v>0.26565748387527616</v>
      </c>
      <c r="GN16" t="s">
        <v>524</v>
      </c>
      <c r="GO16" s="106">
        <f>GO14-GO15</f>
        <v>0.26058999999999999</v>
      </c>
      <c r="GP16" s="106">
        <f t="shared" ref="GP16:GX16" si="91">GP14-GP15</f>
        <v>2.9808597560975647E-2</v>
      </c>
      <c r="GQ16" s="106">
        <f t="shared" si="91"/>
        <v>5.3788717948717979E-2</v>
      </c>
      <c r="GR16" s="106">
        <f t="shared" si="91"/>
        <v>1.6070000000000001E-2</v>
      </c>
      <c r="GS16" s="106" t="e">
        <f t="shared" si="91"/>
        <v>#DIV/0!</v>
      </c>
      <c r="GT16" s="106">
        <f t="shared" si="91"/>
        <v>8.8959837720879897E-2</v>
      </c>
      <c r="GU16" s="106">
        <f t="shared" si="91"/>
        <v>0.26058999999999999</v>
      </c>
      <c r="GV16" s="106">
        <f t="shared" si="91"/>
        <v>2.9539136544980082E-2</v>
      </c>
      <c r="GW16" s="106">
        <f t="shared" si="91"/>
        <v>6.3813306677018788E-2</v>
      </c>
      <c r="GX16" s="106">
        <f t="shared" si="91"/>
        <v>1.6087841208922982E-2</v>
      </c>
      <c r="GY16" s="106">
        <f t="shared" ref="GY16:GZ16" si="92">GY7/GY$4</f>
        <v>8.4125000000000005E-2</v>
      </c>
      <c r="GZ16" s="106">
        <f t="shared" si="92"/>
        <v>0.26785769252627123</v>
      </c>
      <c r="HB16" t="s">
        <v>524</v>
      </c>
      <c r="HC16" s="106" t="e">
        <f>HC14-HC15</f>
        <v>#DIV/0!</v>
      </c>
      <c r="HD16" s="106">
        <f t="shared" ref="HD16:HL16" si="93">HD14-HD15</f>
        <v>3.0791904761904743E-2</v>
      </c>
      <c r="HE16" s="106">
        <f t="shared" si="93"/>
        <v>7.0409999999999973E-2</v>
      </c>
      <c r="HF16" s="106">
        <f t="shared" si="93"/>
        <v>1.6069999999999973E-2</v>
      </c>
      <c r="HG16" s="106" t="e">
        <f t="shared" si="93"/>
        <v>#DIV/0!</v>
      </c>
      <c r="HH16" s="106">
        <f t="shared" si="93"/>
        <v>2.637754813079346E-2</v>
      </c>
      <c r="HI16" s="106">
        <f t="shared" si="93"/>
        <v>0.26058999999999999</v>
      </c>
      <c r="HJ16" s="106">
        <f t="shared" si="93"/>
        <v>2.9598345491308409E-2</v>
      </c>
      <c r="HK16" s="106">
        <f t="shared" si="93"/>
        <v>6.3848964478764647E-2</v>
      </c>
      <c r="HL16" s="106">
        <f t="shared" si="93"/>
        <v>1.6086594529472142E-2</v>
      </c>
      <c r="HM16" s="106">
        <f t="shared" ref="HM16:HN16" si="94">HM7/HM$4</f>
        <v>8.4125000000000005E-2</v>
      </c>
      <c r="HN16" s="106">
        <f t="shared" si="94"/>
        <v>0.2667744001475108</v>
      </c>
      <c r="HP16" t="s">
        <v>524</v>
      </c>
      <c r="HQ16" s="106" t="e">
        <f>HQ14-HQ15</f>
        <v>#DIV/0!</v>
      </c>
      <c r="HR16" s="106">
        <f t="shared" ref="HR16:HZ16" si="95">HR14-HR15</f>
        <v>2.9433009708737801E-2</v>
      </c>
      <c r="HS16" s="106">
        <f t="shared" si="95"/>
        <v>3.9020769230769137E-2</v>
      </c>
      <c r="HT16" s="106">
        <f t="shared" si="95"/>
        <v>1.6069999999999973E-2</v>
      </c>
      <c r="HU16" s="106" t="e">
        <f t="shared" si="95"/>
        <v>#DIV/0!</v>
      </c>
      <c r="HV16" s="106">
        <f t="shared" si="95"/>
        <v>2.7420939194422844E-2</v>
      </c>
      <c r="HW16" s="106">
        <f t="shared" si="95"/>
        <v>0.26058999999999999</v>
      </c>
      <c r="HX16" s="106">
        <f t="shared" si="95"/>
        <v>2.9590245697240669E-2</v>
      </c>
      <c r="HY16" s="106">
        <f t="shared" si="95"/>
        <v>6.2218830447330398E-2</v>
      </c>
      <c r="HZ16" s="106">
        <f t="shared" si="95"/>
        <v>1.6085815436955087E-2</v>
      </c>
      <c r="IA16" s="106">
        <f t="shared" ref="IA16:IB16" si="96">IA7/IA$4</f>
        <v>8.4125000000000005E-2</v>
      </c>
      <c r="IB16" s="106">
        <f t="shared" si="96"/>
        <v>0.26638291226608896</v>
      </c>
      <c r="ID16" t="s">
        <v>524</v>
      </c>
      <c r="IE16" s="106" t="e">
        <f>IE14-IE15</f>
        <v>#DIV/0!</v>
      </c>
      <c r="IF16" s="106">
        <f t="shared" ref="IF16:IN16" si="97">IF14-IF15</f>
        <v>3.1519839357429802E-2</v>
      </c>
      <c r="IG16" s="106">
        <f t="shared" si="97"/>
        <v>4.1319583333333298E-2</v>
      </c>
      <c r="IH16" s="106">
        <f t="shared" si="97"/>
        <v>1.6070000000000029E-2</v>
      </c>
      <c r="II16" s="106" t="e">
        <f t="shared" si="97"/>
        <v>#DIV/0!</v>
      </c>
      <c r="IJ16" s="106">
        <f t="shared" si="97"/>
        <v>2.8685935162094778E-2</v>
      </c>
      <c r="IK16" s="106">
        <f t="shared" si="97"/>
        <v>0.26058999999999999</v>
      </c>
      <c r="IL16" s="106">
        <f t="shared" si="97"/>
        <v>2.9698120637893843E-2</v>
      </c>
      <c r="IM16" s="106">
        <f t="shared" si="97"/>
        <v>5.9959452380952405E-2</v>
      </c>
      <c r="IN16" s="106">
        <f t="shared" si="97"/>
        <v>1.6084679297414639E-2</v>
      </c>
      <c r="IO16" s="106">
        <f t="shared" ref="IO16:IP16" si="98">IO7/IO$4</f>
        <v>8.4125000000000005E-2</v>
      </c>
      <c r="IP16" s="106">
        <f t="shared" si="98"/>
        <v>0.2658115272813496</v>
      </c>
      <c r="IR16" t="s">
        <v>524</v>
      </c>
      <c r="IS16" s="106" t="e">
        <f>IS14-IS15</f>
        <v>#DIV/0!</v>
      </c>
      <c r="IT16" s="106">
        <f t="shared" ref="IT16:JB16" si="99">IT14-IT15</f>
        <v>3.1369999999999953E-2</v>
      </c>
      <c r="IU16" s="106">
        <f t="shared" si="99"/>
        <v>2.4410175438596526E-2</v>
      </c>
      <c r="IV16" s="106">
        <f t="shared" si="99"/>
        <v>1.6070000000000001E-2</v>
      </c>
      <c r="IW16" s="106" t="e">
        <f t="shared" si="99"/>
        <v>#DIV/0!</v>
      </c>
      <c r="IX16" s="106">
        <f t="shared" si="99"/>
        <v>2.59186690526787E-2</v>
      </c>
      <c r="IY16" s="106">
        <f t="shared" si="99"/>
        <v>0.26058999999999999</v>
      </c>
      <c r="IZ16" s="106">
        <f t="shared" si="99"/>
        <v>2.9756097233230916E-2</v>
      </c>
      <c r="JA16" s="106">
        <f t="shared" si="99"/>
        <v>5.9319228436019E-2</v>
      </c>
      <c r="JB16" s="106">
        <f t="shared" si="99"/>
        <v>1.6083844321185259E-2</v>
      </c>
      <c r="JC16" s="106">
        <f t="shared" ref="JC16:JD16" si="100">JC7/JC$4</f>
        <v>8.4125000000000005E-2</v>
      </c>
      <c r="JD16" s="106">
        <f t="shared" si="100"/>
        <v>0.26492122744307689</v>
      </c>
      <c r="JF16" t="s">
        <v>524</v>
      </c>
      <c r="JG16" s="106">
        <f>JG14-JG15</f>
        <v>0.26358999999999988</v>
      </c>
      <c r="JH16" s="106">
        <f t="shared" ref="JH16:JP16" si="101">JH14-JH15</f>
        <v>3.1128767123287659E-2</v>
      </c>
      <c r="JI16" s="106">
        <f t="shared" si="101"/>
        <v>8.1947674418604732E-2</v>
      </c>
      <c r="JJ16" s="106">
        <f t="shared" si="101"/>
        <v>1.6070000000000001E-2</v>
      </c>
      <c r="JK16" s="106" t="e">
        <f t="shared" si="101"/>
        <v>#DIV/0!</v>
      </c>
      <c r="JL16" s="106">
        <f t="shared" si="101"/>
        <v>8.9839931864436784E-2</v>
      </c>
      <c r="JM16" s="106">
        <f t="shared" si="101"/>
        <v>0.26163651162790696</v>
      </c>
      <c r="JN16" s="106">
        <f t="shared" si="101"/>
        <v>2.9798200638663064E-2</v>
      </c>
      <c r="JO16" s="106">
        <f t="shared" si="101"/>
        <v>5.9622539900249405E-2</v>
      </c>
      <c r="JP16" s="106">
        <f t="shared" si="101"/>
        <v>1.6083117703079214E-2</v>
      </c>
      <c r="JQ16" s="106">
        <f t="shared" ref="JQ16:JR16" si="102">JQ7/JQ$4</f>
        <v>8.4125000000000005E-2</v>
      </c>
      <c r="JR16" s="106">
        <f t="shared" si="102"/>
        <v>0.26614452488103879</v>
      </c>
      <c r="JT16" t="s">
        <v>524</v>
      </c>
      <c r="JU16" s="106" t="e">
        <f>JU14-JU15</f>
        <v>#DIV/0!</v>
      </c>
      <c r="JV16" s="106">
        <f t="shared" ref="JV16:KD16" si="103">JV14-JV15</f>
        <v>3.1505833333333289E-2</v>
      </c>
      <c r="JW16" s="106">
        <f t="shared" si="103"/>
        <v>5.4297999999999902E-2</v>
      </c>
      <c r="JX16" s="106">
        <f t="shared" si="103"/>
        <v>1.6070000000000029E-2</v>
      </c>
      <c r="JY16" s="106" t="e">
        <f t="shared" si="103"/>
        <v>#DIV/0!</v>
      </c>
      <c r="JZ16" s="106">
        <f t="shared" si="103"/>
        <v>2.7298899580940561E-2</v>
      </c>
      <c r="KA16" s="106">
        <f t="shared" si="103"/>
        <v>0.26163651162790696</v>
      </c>
      <c r="KB16" s="106">
        <f t="shared" si="103"/>
        <v>2.9823645797608711E-2</v>
      </c>
      <c r="KC16" s="106">
        <f t="shared" si="103"/>
        <v>5.9347105527638055E-2</v>
      </c>
      <c r="KD16" s="106">
        <f t="shared" si="103"/>
        <v>1.6082448535564814E-2</v>
      </c>
      <c r="KE16" s="106">
        <f t="shared" ref="KE16:KF16" si="104">KE7/KE$4</f>
        <v>8.4125000000000005E-2</v>
      </c>
      <c r="KF16" s="106">
        <f t="shared" si="104"/>
        <v>0.2651612297237278</v>
      </c>
      <c r="KH16" t="s">
        <v>524</v>
      </c>
      <c r="KI16" s="106" t="e">
        <f>KI14-KI15</f>
        <v>#DIV/0!</v>
      </c>
      <c r="KJ16" s="106">
        <f t="shared" ref="KJ16:KR16" si="105">KJ14-KJ15</f>
        <v>2.8119999999999978E-2</v>
      </c>
      <c r="KK16" s="106" t="e">
        <f t="shared" si="105"/>
        <v>#DIV/0!</v>
      </c>
      <c r="KL16" s="106">
        <f t="shared" si="105"/>
        <v>1.6070000000000001E-2</v>
      </c>
      <c r="KM16" s="106" t="e">
        <f t="shared" si="105"/>
        <v>#DIV/0!</v>
      </c>
      <c r="KN16" s="106">
        <f t="shared" si="105"/>
        <v>2.4241013412816703E-2</v>
      </c>
      <c r="KO16" s="106">
        <f t="shared" si="105"/>
        <v>0.26163651162790696</v>
      </c>
      <c r="KP16" s="106">
        <f t="shared" si="105"/>
        <v>2.9761805536560826E-2</v>
      </c>
      <c r="KQ16" s="106">
        <f t="shared" si="105"/>
        <v>5.9347105527638166E-2</v>
      </c>
      <c r="KR16" s="106">
        <f t="shared" si="105"/>
        <v>1.60818488546213E-2</v>
      </c>
      <c r="KS16" s="106">
        <f t="shared" ref="KS16:KT16" si="106">KS7/KS$4</f>
        <v>8.4125000000000005E-2</v>
      </c>
      <c r="KT16" s="106">
        <f t="shared" si="106"/>
        <v>0.26395981498538756</v>
      </c>
    </row>
    <row r="17" spans="2:306" x14ac:dyDescent="0.3">
      <c r="B17" t="s">
        <v>509</v>
      </c>
      <c r="C17">
        <f t="shared" ref="C17:L17" si="107">C7/C4</f>
        <v>0.42367000000000005</v>
      </c>
      <c r="D17" s="75">
        <f t="shared" si="107"/>
        <v>0.31022285714285713</v>
      </c>
      <c r="E17" s="75">
        <f t="shared" si="107"/>
        <v>0.58850333333333316</v>
      </c>
      <c r="F17" s="75">
        <f t="shared" si="107"/>
        <v>0.13203999999999999</v>
      </c>
      <c r="G17" s="75">
        <f t="shared" si="107"/>
        <v>0.30831224366041893</v>
      </c>
      <c r="H17" s="75">
        <f t="shared" si="107"/>
        <v>0.42367000000000005</v>
      </c>
      <c r="I17" s="75">
        <f t="shared" si="107"/>
        <v>0.31022285714285713</v>
      </c>
      <c r="J17" s="75">
        <f t="shared" si="107"/>
        <v>0.58850333333333316</v>
      </c>
      <c r="K17" s="75">
        <f t="shared" si="107"/>
        <v>0.13203999999999999</v>
      </c>
      <c r="L17" s="75">
        <f t="shared" si="107"/>
        <v>0.30831224366041893</v>
      </c>
      <c r="N17" t="s">
        <v>509</v>
      </c>
      <c r="O17" t="e">
        <f t="shared" ref="O17:X17" si="108">O7/O4</f>
        <v>#DIV/0!</v>
      </c>
      <c r="P17" s="75">
        <f t="shared" si="108"/>
        <v>0.27804285714285709</v>
      </c>
      <c r="Q17" s="75">
        <f t="shared" si="108"/>
        <v>0.47053682926829266</v>
      </c>
      <c r="R17" s="75">
        <f t="shared" si="108"/>
        <v>0.13203999999999999</v>
      </c>
      <c r="S17" s="75">
        <f t="shared" si="108"/>
        <v>0.25037126779478913</v>
      </c>
      <c r="T17" s="75">
        <f t="shared" si="108"/>
        <v>0.42367000000000005</v>
      </c>
      <c r="U17" s="75">
        <f t="shared" si="108"/>
        <v>0.28876952380952375</v>
      </c>
      <c r="V17" s="75">
        <f t="shared" si="108"/>
        <v>0.50652661016949141</v>
      </c>
      <c r="W17" s="75">
        <f t="shared" si="108"/>
        <v>0.13203999999999996</v>
      </c>
      <c r="X17" s="75">
        <f t="shared" si="108"/>
        <v>0.27174926641581071</v>
      </c>
      <c r="Z17" t="s">
        <v>509</v>
      </c>
      <c r="AA17" t="e">
        <f t="shared" ref="AA17:AJ17" si="109">AA7/AA4</f>
        <v>#DIV/0!</v>
      </c>
      <c r="AB17" s="75">
        <f t="shared" si="109"/>
        <v>0.27975499999999992</v>
      </c>
      <c r="AC17" s="75">
        <f t="shared" si="109"/>
        <v>0.68720999999999988</v>
      </c>
      <c r="AD17" s="75">
        <f t="shared" si="109"/>
        <v>0.13203999999999999</v>
      </c>
      <c r="AE17" s="75">
        <f t="shared" si="109"/>
        <v>0.26776176021798359</v>
      </c>
      <c r="AF17" s="75">
        <f t="shared" si="109"/>
        <v>0.42367000000000005</v>
      </c>
      <c r="AG17" s="75">
        <f t="shared" si="109"/>
        <v>0.28628275862068964</v>
      </c>
      <c r="AH17" s="75">
        <f t="shared" si="109"/>
        <v>0.5391499999999998</v>
      </c>
      <c r="AI17" s="75">
        <f t="shared" si="109"/>
        <v>0.13203999999999996</v>
      </c>
      <c r="AJ17" s="75">
        <f t="shared" si="109"/>
        <v>0.27080327248280489</v>
      </c>
      <c r="AL17" t="s">
        <v>509</v>
      </c>
      <c r="AM17" t="e">
        <f t="shared" ref="AM17:AV17" si="110">AM7/AM4</f>
        <v>#DIV/0!</v>
      </c>
      <c r="AN17" s="75">
        <f t="shared" si="110"/>
        <v>0.27859999999999996</v>
      </c>
      <c r="AO17" s="75">
        <f t="shared" si="110"/>
        <v>0.51271071428571413</v>
      </c>
      <c r="AP17" s="75" t="e">
        <f t="shared" si="110"/>
        <v>#DIV/0!</v>
      </c>
      <c r="AQ17" s="75">
        <f t="shared" si="110"/>
        <v>0.29934398734177209</v>
      </c>
      <c r="AR17" s="75">
        <f t="shared" si="110"/>
        <v>0.42367000000000005</v>
      </c>
      <c r="AS17" s="75">
        <f t="shared" si="110"/>
        <v>0.2840341463414634</v>
      </c>
      <c r="AT17" s="75">
        <f t="shared" si="110"/>
        <v>0.53174699999999986</v>
      </c>
      <c r="AU17" s="75">
        <f t="shared" si="110"/>
        <v>0.13203999999999996</v>
      </c>
      <c r="AV17" s="75">
        <f t="shared" si="110"/>
        <v>0.27715024450074394</v>
      </c>
      <c r="AX17" t="s">
        <v>509</v>
      </c>
      <c r="AY17" t="e">
        <f t="shared" ref="AY17:BH17" si="111">AY7/AY4</f>
        <v>#DIV/0!</v>
      </c>
      <c r="AZ17" s="75">
        <f t="shared" si="111"/>
        <v>0.28599992000000002</v>
      </c>
      <c r="BA17" s="75" t="e">
        <f t="shared" si="111"/>
        <v>#DIV/0!</v>
      </c>
      <c r="BB17" s="75">
        <f t="shared" si="111"/>
        <v>0.13203999999999999</v>
      </c>
      <c r="BC17" s="75">
        <f t="shared" si="111"/>
        <v>0.25461955414012744</v>
      </c>
      <c r="BD17" s="75">
        <f t="shared" si="111"/>
        <v>0.42367000000000005</v>
      </c>
      <c r="BE17" s="75">
        <f t="shared" si="111"/>
        <v>0.2845765783664459</v>
      </c>
      <c r="BF17" s="75">
        <f t="shared" si="111"/>
        <v>0.53174699999999986</v>
      </c>
      <c r="BG17" s="75">
        <f t="shared" si="111"/>
        <v>0.13203999999999999</v>
      </c>
      <c r="BH17" s="75">
        <f t="shared" si="111"/>
        <v>0.27154130400640297</v>
      </c>
      <c r="BJ17" t="s">
        <v>509</v>
      </c>
      <c r="BK17" t="e">
        <f t="shared" ref="BK17:BT17" si="112">BK7/BK4</f>
        <v>#DIV/0!</v>
      </c>
      <c r="BL17" s="75">
        <f t="shared" si="112"/>
        <v>0.29441571428571423</v>
      </c>
      <c r="BM17" s="75">
        <f t="shared" si="112"/>
        <v>0.44084588907014677</v>
      </c>
      <c r="BN17" s="75">
        <f t="shared" si="112"/>
        <v>0.13204000000000002</v>
      </c>
      <c r="BO17" s="75">
        <f t="shared" si="112"/>
        <v>0.28075535291823733</v>
      </c>
      <c r="BP17" s="75">
        <f t="shared" si="112"/>
        <v>0.42367000000000005</v>
      </c>
      <c r="BQ17" s="75">
        <f t="shared" si="112"/>
        <v>0.28565907662082513</v>
      </c>
      <c r="BR17" s="75">
        <f t="shared" si="112"/>
        <v>0.518199132020423</v>
      </c>
      <c r="BS17" s="75">
        <f t="shared" si="112"/>
        <v>0.13203999999999999</v>
      </c>
      <c r="BT17" s="75">
        <f t="shared" si="112"/>
        <v>0.27250033201645191</v>
      </c>
      <c r="BV17" t="s">
        <v>509</v>
      </c>
      <c r="BW17" t="e">
        <f t="shared" ref="BW17:CF17" si="113">BW7/BW4</f>
        <v>#DIV/0!</v>
      </c>
      <c r="BX17" s="75">
        <f t="shared" si="113"/>
        <v>0.29035938053097343</v>
      </c>
      <c r="BY17" s="75">
        <f t="shared" si="113"/>
        <v>0.3640023456790123</v>
      </c>
      <c r="BZ17" s="75">
        <f t="shared" si="113"/>
        <v>0.13203999999999999</v>
      </c>
      <c r="CA17" s="75">
        <f t="shared" si="113"/>
        <v>0.24740584142128638</v>
      </c>
      <c r="CB17" s="75">
        <f t="shared" si="113"/>
        <v>0.42367000000000005</v>
      </c>
      <c r="CC17" s="75">
        <f t="shared" si="113"/>
        <v>0.28626504848830575</v>
      </c>
      <c r="CD17" s="75">
        <f t="shared" si="113"/>
        <v>0.49721204578869971</v>
      </c>
      <c r="CE17" s="75">
        <f t="shared" si="113"/>
        <v>0.13204000000000002</v>
      </c>
      <c r="CF17" s="75">
        <f t="shared" si="113"/>
        <v>0.26895555663994425</v>
      </c>
      <c r="CH17" t="s">
        <v>509</v>
      </c>
      <c r="CI17" t="e">
        <f t="shared" ref="CI17:CR17" si="114">CI7/CI4</f>
        <v>#DIV/0!</v>
      </c>
      <c r="CJ17" s="75">
        <f t="shared" si="114"/>
        <v>0.27902308270676685</v>
      </c>
      <c r="CK17" s="75">
        <f t="shared" si="114"/>
        <v>0.56762307692307679</v>
      </c>
      <c r="CL17" s="75">
        <f t="shared" si="114"/>
        <v>0.13203999999999996</v>
      </c>
      <c r="CM17" s="75">
        <f t="shared" si="114"/>
        <v>0.26675703053435107</v>
      </c>
      <c r="CN17" s="75">
        <f t="shared" si="114"/>
        <v>0.42367000000000005</v>
      </c>
      <c r="CO17" s="75">
        <f t="shared" si="114"/>
        <v>0.28531093115403666</v>
      </c>
      <c r="CP17" s="75">
        <f t="shared" si="114"/>
        <v>0.50851058896138235</v>
      </c>
      <c r="CQ17" s="75">
        <f t="shared" si="114"/>
        <v>0.13203999999999999</v>
      </c>
      <c r="CR17" s="75">
        <f t="shared" si="114"/>
        <v>0.26866513925582336</v>
      </c>
      <c r="CT17" t="s">
        <v>509</v>
      </c>
      <c r="CU17" t="e">
        <f t="shared" ref="CU17:DD17" si="115">CU7/CU4</f>
        <v>#DIV/0!</v>
      </c>
      <c r="CV17" s="75">
        <f t="shared" si="115"/>
        <v>0.29115041237113393</v>
      </c>
      <c r="CW17" s="75">
        <f t="shared" si="115"/>
        <v>0.61162021069692052</v>
      </c>
      <c r="CX17" s="75">
        <f t="shared" si="115"/>
        <v>0.13203999999999999</v>
      </c>
      <c r="CY17" s="75">
        <f t="shared" si="115"/>
        <v>0.2706781273295053</v>
      </c>
      <c r="CZ17" s="75">
        <f t="shared" si="115"/>
        <v>0.42367000000000005</v>
      </c>
      <c r="DA17" s="75">
        <f t="shared" si="115"/>
        <v>0.28582284229552646</v>
      </c>
      <c r="DB17" s="75">
        <f t="shared" si="115"/>
        <v>0.51862805661577593</v>
      </c>
      <c r="DC17" s="75">
        <f t="shared" si="115"/>
        <v>0.13204000000000002</v>
      </c>
      <c r="DD17" s="75">
        <f t="shared" si="115"/>
        <v>0.2688483059112533</v>
      </c>
      <c r="DF17" t="s">
        <v>509</v>
      </c>
      <c r="DG17" t="e">
        <f t="shared" ref="DG17:DP17" si="116">DG7/DG4</f>
        <v>#DIV/0!</v>
      </c>
      <c r="DH17" s="75">
        <f t="shared" si="116"/>
        <v>0.28036388940955947</v>
      </c>
      <c r="DI17" s="75">
        <f t="shared" si="116"/>
        <v>0.46511999999999998</v>
      </c>
      <c r="DJ17" s="75">
        <f t="shared" si="116"/>
        <v>0.13203999999999999</v>
      </c>
      <c r="DK17" s="75">
        <f t="shared" si="116"/>
        <v>0.23859938380281687</v>
      </c>
      <c r="DL17" s="75">
        <f t="shared" si="116"/>
        <v>0.42367000000000005</v>
      </c>
      <c r="DM17" s="75">
        <f t="shared" si="116"/>
        <v>0.28553774739057552</v>
      </c>
      <c r="DN17" s="75">
        <f t="shared" si="116"/>
        <v>0.51634695797807539</v>
      </c>
      <c r="DO17" s="75">
        <f t="shared" si="116"/>
        <v>0.13204000000000002</v>
      </c>
      <c r="DP17" s="75">
        <f t="shared" si="116"/>
        <v>0.26706958693157801</v>
      </c>
      <c r="DR17" t="s">
        <v>509</v>
      </c>
      <c r="DS17" t="e">
        <f t="shared" ref="DS17:EB17" si="117">DS7/DS4</f>
        <v>#DIV/0!</v>
      </c>
      <c r="DT17" s="75">
        <f t="shared" si="117"/>
        <v>0.28459845161290315</v>
      </c>
      <c r="DU17" s="75">
        <f t="shared" si="117"/>
        <v>0.24524000000000004</v>
      </c>
      <c r="DV17" s="75">
        <f t="shared" si="117"/>
        <v>0.13203999999999999</v>
      </c>
      <c r="DW17" s="75">
        <f t="shared" si="117"/>
        <v>0.25607326175490552</v>
      </c>
      <c r="DX17" s="75">
        <f t="shared" si="117"/>
        <v>0.42367000000000005</v>
      </c>
      <c r="DY17" s="75">
        <f t="shared" si="117"/>
        <v>0.28542765741630932</v>
      </c>
      <c r="DZ17" s="75">
        <f t="shared" si="117"/>
        <v>0.50931096247960828</v>
      </c>
      <c r="EA17" s="75">
        <f t="shared" si="117"/>
        <v>0.13204000000000002</v>
      </c>
      <c r="EB17" s="75">
        <f t="shared" si="117"/>
        <v>0.26592210071242028</v>
      </c>
      <c r="ED17" t="s">
        <v>509</v>
      </c>
      <c r="EE17" t="e">
        <f t="shared" ref="EE17:EN17" si="118">EE7/EE4</f>
        <v>#DIV/0!</v>
      </c>
      <c r="EF17" s="75">
        <f t="shared" si="118"/>
        <v>0.30021674418604649</v>
      </c>
      <c r="EG17" s="75">
        <f t="shared" si="118"/>
        <v>0.23739207524271852</v>
      </c>
      <c r="EH17" s="75">
        <f t="shared" si="118"/>
        <v>0.13204000000000002</v>
      </c>
      <c r="EI17" s="75">
        <f t="shared" si="118"/>
        <v>0.2666494089954371</v>
      </c>
      <c r="EJ17" s="75">
        <f t="shared" si="118"/>
        <v>0.42367000000000005</v>
      </c>
      <c r="EK17" s="75">
        <f t="shared" si="118"/>
        <v>0.28693872376537233</v>
      </c>
      <c r="EL17" s="75">
        <f t="shared" si="118"/>
        <v>0.47970065944231516</v>
      </c>
      <c r="EM17" s="75">
        <f t="shared" si="118"/>
        <v>0.13204000000000002</v>
      </c>
      <c r="EN17" s="75">
        <f t="shared" si="118"/>
        <v>0.26599221378949212</v>
      </c>
      <c r="EP17" t="s">
        <v>509</v>
      </c>
      <c r="EQ17" t="e">
        <f t="shared" ref="EQ17:EZ17" si="119">EQ7/EQ4</f>
        <v>#DIV/0!</v>
      </c>
      <c r="ER17" s="75">
        <f t="shared" si="119"/>
        <v>0.29520075000000001</v>
      </c>
      <c r="ES17" s="75">
        <f t="shared" si="119"/>
        <v>0.53988666666666663</v>
      </c>
      <c r="ET17" s="75">
        <f t="shared" si="119"/>
        <v>0.13772372093023255</v>
      </c>
      <c r="EU17" s="75">
        <f t="shared" si="119"/>
        <v>0.27348338501291986</v>
      </c>
      <c r="EV17" s="75">
        <f t="shared" si="119"/>
        <v>0.42367000000000005</v>
      </c>
      <c r="EW17" s="75">
        <f t="shared" si="119"/>
        <v>0.28736433500754321</v>
      </c>
      <c r="EX17" s="75">
        <f t="shared" si="119"/>
        <v>0.48286556779767109</v>
      </c>
      <c r="EY17" s="75">
        <f t="shared" si="119"/>
        <v>0.13234294391075302</v>
      </c>
      <c r="EZ17" s="75">
        <f t="shared" si="119"/>
        <v>0.26637628735137286</v>
      </c>
      <c r="FB17" t="s">
        <v>509</v>
      </c>
      <c r="FC17" t="e">
        <f t="shared" ref="FC17:FL17" si="120">FC7/FC4</f>
        <v>#DIV/0!</v>
      </c>
      <c r="FD17" s="75">
        <f t="shared" si="120"/>
        <v>0.29575621276595737</v>
      </c>
      <c r="FE17" s="75">
        <f t="shared" si="120"/>
        <v>0.24311500000000008</v>
      </c>
      <c r="FF17" s="75">
        <f t="shared" si="120"/>
        <v>0.13203999999999999</v>
      </c>
      <c r="FG17" s="75">
        <f t="shared" si="120"/>
        <v>0.24905916579096271</v>
      </c>
      <c r="FH17" s="75">
        <f t="shared" si="120"/>
        <v>0.42367000000000005</v>
      </c>
      <c r="FI17" s="75">
        <f t="shared" si="120"/>
        <v>0.28795461486492269</v>
      </c>
      <c r="FJ17" s="75">
        <f t="shared" si="120"/>
        <v>0.45834347982465989</v>
      </c>
      <c r="FK17" s="75">
        <f t="shared" si="120"/>
        <v>0.13231533374640908</v>
      </c>
      <c r="FL17" s="75">
        <f t="shared" si="120"/>
        <v>0.26506469584170056</v>
      </c>
      <c r="FN17" t="s">
        <v>509</v>
      </c>
      <c r="FO17" t="e">
        <f t="shared" ref="FO17:FX17" si="121">FO7/FO4</f>
        <v>#DIV/0!</v>
      </c>
      <c r="FP17" s="75">
        <f t="shared" si="121"/>
        <v>0.29414096590909095</v>
      </c>
      <c r="FQ17" s="75">
        <f t="shared" si="121"/>
        <v>0.30440363636363638</v>
      </c>
      <c r="FR17" s="75">
        <f t="shared" si="121"/>
        <v>0.13203999999999999</v>
      </c>
      <c r="FS17" s="75">
        <f t="shared" si="121"/>
        <v>0.27455221340388014</v>
      </c>
      <c r="FT17" s="75">
        <f t="shared" si="121"/>
        <v>0.42367000000000005</v>
      </c>
      <c r="FU17" s="75">
        <f t="shared" si="121"/>
        <v>0.28826420129495584</v>
      </c>
      <c r="FV17" s="75">
        <f t="shared" si="121"/>
        <v>0.44608179786903895</v>
      </c>
      <c r="FW17" s="75">
        <f t="shared" si="121"/>
        <v>0.13230773292435777</v>
      </c>
      <c r="FX17" s="75">
        <f t="shared" si="121"/>
        <v>0.26550441181965739</v>
      </c>
      <c r="FZ17" t="s">
        <v>509</v>
      </c>
      <c r="GA17" s="83" t="e">
        <f t="shared" ref="GA17:GJ17" si="122">GA7/GA4</f>
        <v>#DIV/0!</v>
      </c>
      <c r="GB17" s="106">
        <f t="shared" si="122"/>
        <v>0.27860069767441853</v>
      </c>
      <c r="GC17" s="106">
        <f t="shared" si="122"/>
        <v>0.39791549242424235</v>
      </c>
      <c r="GD17" s="106">
        <f t="shared" si="122"/>
        <v>0.13203999999999999</v>
      </c>
      <c r="GE17" s="106">
        <f t="shared" si="122"/>
        <v>8.4125000000000005E-2</v>
      </c>
      <c r="GF17" s="106">
        <f t="shared" si="122"/>
        <v>0.26877154293859118</v>
      </c>
      <c r="GG17" s="106">
        <f t="shared" si="122"/>
        <v>0.42367000000000005</v>
      </c>
      <c r="GH17" s="106">
        <f t="shared" si="122"/>
        <v>0.28792228919816948</v>
      </c>
      <c r="GI17" s="106">
        <f t="shared" si="122"/>
        <v>0.43835176465479803</v>
      </c>
      <c r="GJ17" s="106">
        <f t="shared" si="122"/>
        <v>0.13229372437062029</v>
      </c>
      <c r="GK17" s="106">
        <f t="shared" ref="GK17:GL17" si="123">GK7/GK4</f>
        <v>8.4125000000000005E-2</v>
      </c>
      <c r="GL17" s="106">
        <f t="shared" si="123"/>
        <v>0.26565748387527616</v>
      </c>
      <c r="GN17" t="s">
        <v>509</v>
      </c>
      <c r="GO17" s="83">
        <f t="shared" ref="GO17:GZ17" si="124">GO7/GO4</f>
        <v>0.42367000000000005</v>
      </c>
      <c r="GP17" s="106">
        <f t="shared" si="124"/>
        <v>0.29007603658536585</v>
      </c>
      <c r="GQ17" s="106">
        <f t="shared" si="124"/>
        <v>0.36755615384615375</v>
      </c>
      <c r="GR17" s="106">
        <f t="shared" si="124"/>
        <v>0.13203999999999999</v>
      </c>
      <c r="GS17" s="106" t="e">
        <f t="shared" si="124"/>
        <v>#DIV/0!</v>
      </c>
      <c r="GT17" s="106">
        <f t="shared" si="124"/>
        <v>0.29637280923187881</v>
      </c>
      <c r="GU17" s="106">
        <f t="shared" si="124"/>
        <v>0.4236700000000001</v>
      </c>
      <c r="GV17" s="106">
        <f t="shared" si="124"/>
        <v>0.28801499782523926</v>
      </c>
      <c r="GW17" s="106">
        <f t="shared" si="124"/>
        <v>0.4308489689440993</v>
      </c>
      <c r="GX17" s="106">
        <f t="shared" si="124"/>
        <v>0.13227449268409688</v>
      </c>
      <c r="GY17" s="106">
        <f t="shared" si="124"/>
        <v>8.4125000000000005E-2</v>
      </c>
      <c r="GZ17" s="106">
        <f t="shared" si="124"/>
        <v>0.26785769252627123</v>
      </c>
      <c r="HB17" t="s">
        <v>509</v>
      </c>
      <c r="HC17" s="83" t="e">
        <f t="shared" ref="HC17:HN17" si="125">HC7/HC4</f>
        <v>#DIV/0!</v>
      </c>
      <c r="HD17" s="106">
        <f t="shared" si="125"/>
        <v>0.29675878306878301</v>
      </c>
      <c r="HE17" s="106">
        <f t="shared" si="125"/>
        <v>0.46622499999999995</v>
      </c>
      <c r="HF17" s="106">
        <f t="shared" si="125"/>
        <v>0.13203999999999999</v>
      </c>
      <c r="HG17" s="106" t="e">
        <f t="shared" si="125"/>
        <v>#DIV/0!</v>
      </c>
      <c r="HH17" s="106">
        <f t="shared" si="125"/>
        <v>0.24541554242640309</v>
      </c>
      <c r="HI17" s="106">
        <f t="shared" si="125"/>
        <v>0.4236700000000001</v>
      </c>
      <c r="HJ17" s="106">
        <f t="shared" si="125"/>
        <v>0.28842825089487939</v>
      </c>
      <c r="HK17" s="106">
        <f t="shared" si="125"/>
        <v>0.43104019073359068</v>
      </c>
      <c r="HL17" s="106">
        <f t="shared" si="125"/>
        <v>0.13225810717951006</v>
      </c>
      <c r="HM17" s="106">
        <f t="shared" si="125"/>
        <v>8.4125000000000005E-2</v>
      </c>
      <c r="HN17" s="106">
        <f t="shared" si="125"/>
        <v>0.2667744001475108</v>
      </c>
      <c r="HP17" t="s">
        <v>509</v>
      </c>
      <c r="HQ17" s="83" t="e">
        <f t="shared" ref="HQ17:IB17" si="126">HQ7/HQ4</f>
        <v>#DIV/0!</v>
      </c>
      <c r="HR17" s="106">
        <f t="shared" si="126"/>
        <v>0.29397737864077672</v>
      </c>
      <c r="HS17" s="106">
        <f t="shared" si="126"/>
        <v>0.28622269230769226</v>
      </c>
      <c r="HT17" s="106">
        <f t="shared" si="126"/>
        <v>0.13204000000000002</v>
      </c>
      <c r="HU17" s="106" t="e">
        <f t="shared" si="126"/>
        <v>#DIV/0!</v>
      </c>
      <c r="HV17" s="106">
        <f t="shared" si="126"/>
        <v>0.25867388361735089</v>
      </c>
      <c r="HW17" s="106">
        <f t="shared" si="126"/>
        <v>0.4236700000000001</v>
      </c>
      <c r="HX17" s="106">
        <f t="shared" si="126"/>
        <v>0.28870010246444661</v>
      </c>
      <c r="HY17" s="106">
        <f t="shared" si="126"/>
        <v>0.42153197113997104</v>
      </c>
      <c r="HZ17" s="106">
        <f t="shared" si="126"/>
        <v>0.13224786731873273</v>
      </c>
      <c r="IA17" s="106">
        <f t="shared" si="126"/>
        <v>8.4125000000000005E-2</v>
      </c>
      <c r="IB17" s="106">
        <f t="shared" si="126"/>
        <v>0.26638291226608896</v>
      </c>
      <c r="ID17" t="s">
        <v>509</v>
      </c>
      <c r="IE17" s="83" t="e">
        <f t="shared" ref="IE17:IP17" si="127">IE7/IE4</f>
        <v>#DIV/0!</v>
      </c>
      <c r="IF17" s="106">
        <f t="shared" si="127"/>
        <v>0.30172224899598388</v>
      </c>
      <c r="IG17" s="106">
        <f t="shared" si="127"/>
        <v>0.29668041666666667</v>
      </c>
      <c r="IH17" s="106">
        <f t="shared" si="127"/>
        <v>0.13203999999999999</v>
      </c>
      <c r="II17" s="106" t="e">
        <f t="shared" si="127"/>
        <v>#DIV/0!</v>
      </c>
      <c r="IJ17" s="106">
        <f t="shared" si="127"/>
        <v>0.25711137157107228</v>
      </c>
      <c r="IK17" s="106">
        <f t="shared" si="127"/>
        <v>0.4236700000000001</v>
      </c>
      <c r="IL17" s="106">
        <f t="shared" si="127"/>
        <v>0.28942811236272192</v>
      </c>
      <c r="IM17" s="106">
        <f t="shared" si="127"/>
        <v>0.40803450579150569</v>
      </c>
      <c r="IN17" s="106">
        <f t="shared" si="127"/>
        <v>0.1322329346753503</v>
      </c>
      <c r="IO17" s="106">
        <f t="shared" si="127"/>
        <v>8.4125000000000005E-2</v>
      </c>
      <c r="IP17" s="106">
        <f t="shared" si="127"/>
        <v>0.2658115272813496</v>
      </c>
      <c r="IR17" t="s">
        <v>509</v>
      </c>
      <c r="IS17" s="83" t="e">
        <f t="shared" ref="IS17:JD17" si="128">IS7/IS4</f>
        <v>#DIV/0!</v>
      </c>
      <c r="IT17" s="106">
        <f t="shared" si="128"/>
        <v>0.30075000000000002</v>
      </c>
      <c r="IU17" s="106">
        <f t="shared" si="128"/>
        <v>0.27435561403508779</v>
      </c>
      <c r="IV17" s="106">
        <f t="shared" si="128"/>
        <v>0.13203999999999999</v>
      </c>
      <c r="IW17" s="106" t="e">
        <f t="shared" si="128"/>
        <v>#DIV/0!</v>
      </c>
      <c r="IX17" s="106">
        <f t="shared" si="128"/>
        <v>0.24224422212280508</v>
      </c>
      <c r="IY17" s="106">
        <f t="shared" si="128"/>
        <v>0.4236700000000001</v>
      </c>
      <c r="IZ17" s="106">
        <f t="shared" si="128"/>
        <v>0.28982072711285051</v>
      </c>
      <c r="JA17" s="106">
        <f t="shared" si="128"/>
        <v>0.40562701864139011</v>
      </c>
      <c r="JB17" s="106">
        <f t="shared" si="128"/>
        <v>0.13222196031716488</v>
      </c>
      <c r="JC17" s="106">
        <f t="shared" si="128"/>
        <v>8.4125000000000005E-2</v>
      </c>
      <c r="JD17" s="106">
        <f t="shared" si="128"/>
        <v>0.26492122744307689</v>
      </c>
      <c r="JF17" t="s">
        <v>509</v>
      </c>
      <c r="JG17" s="83">
        <f t="shared" ref="JG17:JR17" si="129">JG7/JG4</f>
        <v>0.42367000000000005</v>
      </c>
      <c r="JH17" s="106">
        <f t="shared" si="129"/>
        <v>0.29907753424657535</v>
      </c>
      <c r="JI17" s="106">
        <f t="shared" si="129"/>
        <v>0.4882830232558138</v>
      </c>
      <c r="JJ17" s="106">
        <f t="shared" si="129"/>
        <v>0.13203999999999999</v>
      </c>
      <c r="JK17" s="106" t="e">
        <f t="shared" si="129"/>
        <v>#DIV/0!</v>
      </c>
      <c r="JL17" s="106">
        <f t="shared" si="129"/>
        <v>0.29176427661268917</v>
      </c>
      <c r="JM17" s="106">
        <f t="shared" si="129"/>
        <v>0.42367000000000005</v>
      </c>
      <c r="JN17" s="106">
        <f t="shared" si="129"/>
        <v>0.29010465779901312</v>
      </c>
      <c r="JO17" s="106">
        <f t="shared" si="129"/>
        <v>0.40673493890274298</v>
      </c>
      <c r="JP17" s="106">
        <f t="shared" si="129"/>
        <v>0.13221241014426299</v>
      </c>
      <c r="JQ17" s="106">
        <f t="shared" si="129"/>
        <v>8.4125000000000005E-2</v>
      </c>
      <c r="JR17" s="106">
        <f t="shared" si="129"/>
        <v>0.26614452488103879</v>
      </c>
      <c r="JT17" t="s">
        <v>509</v>
      </c>
      <c r="JU17" s="83" t="e">
        <f t="shared" ref="JU17:KF17" si="130">JU7/JU4</f>
        <v>#DIV/0!</v>
      </c>
      <c r="JV17" s="106">
        <f t="shared" si="130"/>
        <v>0.30167250000000001</v>
      </c>
      <c r="JW17" s="106">
        <f t="shared" si="130"/>
        <v>0.34505559999999991</v>
      </c>
      <c r="JX17" s="106">
        <f t="shared" si="130"/>
        <v>0.13203999999999999</v>
      </c>
      <c r="JY17" s="106" t="e">
        <f t="shared" si="130"/>
        <v>#DIV/0!</v>
      </c>
      <c r="JZ17" s="106">
        <f t="shared" si="130"/>
        <v>0.22731588856122925</v>
      </c>
      <c r="KA17" s="106">
        <f t="shared" si="130"/>
        <v>0.42367000000000005</v>
      </c>
      <c r="KB17" s="106">
        <f t="shared" si="130"/>
        <v>0.29027702834707125</v>
      </c>
      <c r="KC17" s="106">
        <f t="shared" si="130"/>
        <v>0.40354431392255385</v>
      </c>
      <c r="KD17" s="106">
        <f t="shared" si="130"/>
        <v>0.13220361506276151</v>
      </c>
      <c r="KE17" s="106">
        <f t="shared" si="130"/>
        <v>8.4125000000000005E-2</v>
      </c>
      <c r="KF17" s="106">
        <f t="shared" si="130"/>
        <v>0.2651612297237278</v>
      </c>
      <c r="KH17" t="s">
        <v>509</v>
      </c>
      <c r="KI17" s="83" t="e">
        <f t="shared" ref="KI17:KT17" si="131">KI7/KI4</f>
        <v>#DIV/0!</v>
      </c>
      <c r="KJ17" s="106">
        <f t="shared" si="131"/>
        <v>0.27859999999999996</v>
      </c>
      <c r="KK17" s="106" t="e">
        <f t="shared" si="131"/>
        <v>#DIV/0!</v>
      </c>
      <c r="KL17" s="106">
        <f t="shared" si="131"/>
        <v>0.13203999999999999</v>
      </c>
      <c r="KM17" s="106" t="e">
        <f t="shared" si="131"/>
        <v>#DIV/0!</v>
      </c>
      <c r="KN17" s="106">
        <f t="shared" si="131"/>
        <v>0.23142122205663185</v>
      </c>
      <c r="KO17" s="106">
        <f t="shared" si="131"/>
        <v>0.42367000000000005</v>
      </c>
      <c r="KP17" s="106">
        <f t="shared" si="131"/>
        <v>0.28985316648431797</v>
      </c>
      <c r="KQ17" s="106">
        <f t="shared" si="131"/>
        <v>0.40354431392255385</v>
      </c>
      <c r="KR17" s="106">
        <f t="shared" si="131"/>
        <v>0.13219573326536463</v>
      </c>
      <c r="KS17" s="106">
        <f t="shared" si="131"/>
        <v>8.4125000000000005E-2</v>
      </c>
      <c r="KT17" s="106">
        <f t="shared" si="131"/>
        <v>0.26395981498538756</v>
      </c>
    </row>
    <row r="18" spans="2:306" x14ac:dyDescent="0.3">
      <c r="GO18" s="83"/>
      <c r="GP18" s="83"/>
      <c r="GQ18" s="83"/>
      <c r="GR18" s="83"/>
      <c r="GS18" s="83"/>
      <c r="GT18" s="83"/>
      <c r="GU18" s="83"/>
      <c r="GV18" s="83"/>
      <c r="GW18" s="83"/>
      <c r="GX18" s="83"/>
      <c r="GY18" s="83"/>
      <c r="GZ18" s="83"/>
      <c r="HC18" s="83"/>
      <c r="HD18" s="83"/>
      <c r="HE18" s="83"/>
      <c r="HF18" s="83"/>
      <c r="HG18" s="83"/>
      <c r="HH18" s="83"/>
      <c r="HI18" s="83"/>
      <c r="HJ18" s="83"/>
      <c r="HK18" s="83"/>
      <c r="HL18" s="83"/>
      <c r="HM18" s="83"/>
      <c r="HN18" s="83"/>
      <c r="HQ18" s="83"/>
      <c r="HR18" s="83"/>
      <c r="HS18" s="83"/>
      <c r="HT18" s="83"/>
      <c r="HU18" s="83"/>
      <c r="HV18" s="83"/>
      <c r="HW18" s="83"/>
      <c r="HX18" s="83"/>
      <c r="HY18" s="83"/>
      <c r="HZ18" s="83"/>
      <c r="IA18" s="83"/>
      <c r="IB18" s="83"/>
      <c r="IE18" s="83"/>
      <c r="IF18" s="83"/>
      <c r="IG18" s="83"/>
      <c r="IH18" s="83"/>
      <c r="II18" s="83"/>
      <c r="IJ18" s="83"/>
      <c r="IK18" s="83"/>
      <c r="IL18" s="83"/>
      <c r="IM18" s="83"/>
      <c r="IN18" s="83"/>
      <c r="IO18" s="83"/>
      <c r="IP18" s="83"/>
      <c r="IS18" s="83"/>
      <c r="IT18" s="83"/>
      <c r="IU18" s="83"/>
      <c r="IV18" s="83"/>
      <c r="IW18" s="83"/>
      <c r="IX18" s="83"/>
      <c r="IY18" s="83"/>
      <c r="IZ18" s="83"/>
      <c r="JA18" s="83"/>
      <c r="JB18" s="83"/>
      <c r="JC18" s="83"/>
      <c r="JD18" s="83"/>
      <c r="JG18" s="83"/>
      <c r="JH18" s="83"/>
      <c r="JI18" s="83"/>
      <c r="JJ18" s="83"/>
      <c r="JK18" s="83"/>
      <c r="JL18" s="83"/>
      <c r="JM18" s="83"/>
      <c r="JN18" s="83"/>
      <c r="JO18" s="83"/>
      <c r="JP18" s="83"/>
      <c r="JQ18" s="83"/>
      <c r="JR18" s="83"/>
      <c r="JU18" s="83"/>
      <c r="JV18" s="83"/>
      <c r="JW18" s="83"/>
      <c r="JX18" s="83"/>
      <c r="JY18" s="83"/>
      <c r="JZ18" s="83"/>
      <c r="KA18" s="83"/>
      <c r="KB18" s="83"/>
      <c r="KC18" s="83"/>
      <c r="KD18" s="83"/>
      <c r="KE18" s="83"/>
      <c r="KF18" s="83"/>
      <c r="KI18" s="83"/>
      <c r="KJ18" s="83"/>
      <c r="KK18" s="83"/>
      <c r="KL18" s="83"/>
      <c r="KM18" s="83"/>
      <c r="KN18" s="83"/>
      <c r="KO18" s="83"/>
      <c r="KP18" s="83"/>
      <c r="KQ18" s="83"/>
      <c r="KR18" s="83"/>
      <c r="KS18" s="83"/>
      <c r="KT18" s="83"/>
    </row>
    <row r="19" spans="2:306" x14ac:dyDescent="0.3">
      <c r="H19" s="75">
        <v>738.20731781376514</v>
      </c>
      <c r="I19" s="75">
        <v>358.72141823234807</v>
      </c>
      <c r="J19" s="75">
        <v>542.64129658145987</v>
      </c>
      <c r="K19" s="75">
        <v>154.80128295133872</v>
      </c>
      <c r="L19" s="75">
        <v>368.37671643384647</v>
      </c>
      <c r="T19" s="75">
        <f>T5*1000/T$4</f>
        <v>736.31</v>
      </c>
      <c r="U19" s="75">
        <f t="shared" ref="U19:X19" si="132">U5*1000/U$4</f>
        <v>368.0542857142857</v>
      </c>
      <c r="V19" s="75">
        <f t="shared" si="132"/>
        <v>637.34372881355921</v>
      </c>
      <c r="W19" s="75">
        <f t="shared" si="132"/>
        <v>154.71</v>
      </c>
      <c r="X19" s="75">
        <f t="shared" si="132"/>
        <v>355.50432692633643</v>
      </c>
      <c r="AF19" s="75">
        <f>AF5*1000/AF$4</f>
        <v>736.31</v>
      </c>
      <c r="AG19" s="75">
        <f t="shared" ref="AG19:AJ19" si="133">AG5*1000/AG$4</f>
        <v>365.03793103448277</v>
      </c>
      <c r="AH19" s="75">
        <f t="shared" si="133"/>
        <v>677.95</v>
      </c>
      <c r="AI19" s="75">
        <f t="shared" si="133"/>
        <v>154.71</v>
      </c>
      <c r="AJ19" s="75">
        <f t="shared" si="133"/>
        <v>351.3628727310338</v>
      </c>
      <c r="AR19" s="75">
        <f>AR5*1000/AR$4</f>
        <v>736.31</v>
      </c>
      <c r="AS19" s="75">
        <f t="shared" ref="AS19:AV19" si="134">AS5*1000/AS$4</f>
        <v>362.43951219512195</v>
      </c>
      <c r="AT19" s="75">
        <f t="shared" si="134"/>
        <v>668.7355</v>
      </c>
      <c r="AU19" s="75">
        <f t="shared" si="134"/>
        <v>154.71000000000004</v>
      </c>
      <c r="AV19" s="75">
        <f t="shared" si="134"/>
        <v>358.12202497285563</v>
      </c>
      <c r="BD19" s="75">
        <f>BD5*1000/BD$4</f>
        <v>736.31</v>
      </c>
      <c r="BE19" s="75">
        <f t="shared" ref="BE19:BH19" si="135">BE5*1000/BE$4</f>
        <v>363.0076747608536</v>
      </c>
      <c r="BF19" s="75">
        <f t="shared" si="135"/>
        <v>668.7355</v>
      </c>
      <c r="BG19" s="75">
        <f t="shared" si="135"/>
        <v>154.71</v>
      </c>
      <c r="BH19" s="75">
        <f t="shared" si="135"/>
        <v>349.06461347951495</v>
      </c>
      <c r="BP19" s="75">
        <f>BP5*1000/BP$4</f>
        <v>736.31</v>
      </c>
      <c r="BQ19" s="75">
        <f t="shared" ref="BQ19:BT19" si="136">BQ5*1000/BQ$4</f>
        <v>364.31150622134913</v>
      </c>
      <c r="BR19" s="75">
        <f t="shared" si="136"/>
        <v>651.87249452954052</v>
      </c>
      <c r="BS19" s="75">
        <f t="shared" si="136"/>
        <v>154.70999999999998</v>
      </c>
      <c r="BT19" s="75">
        <f t="shared" si="136"/>
        <v>349.67403615109868</v>
      </c>
      <c r="CB19" s="75">
        <f>CB5*1000/CB$4</f>
        <v>736.31</v>
      </c>
      <c r="CC19" s="75">
        <f t="shared" ref="CC19:CF19" si="137">CC5*1000/CC$4</f>
        <v>365.05258984597828</v>
      </c>
      <c r="CD19" s="75">
        <f t="shared" si="137"/>
        <v>625.87316530140743</v>
      </c>
      <c r="CE19" s="75">
        <f t="shared" si="137"/>
        <v>154.70999999999998</v>
      </c>
      <c r="CF19" s="75">
        <f t="shared" si="137"/>
        <v>344.22989578250258</v>
      </c>
      <c r="CN19" s="75">
        <f>CN5*1000/CN$4</f>
        <v>736.31</v>
      </c>
      <c r="CO19" s="75">
        <f t="shared" ref="CO19:CR19" si="138">CO5*1000/CO$4</f>
        <v>363.92467062902421</v>
      </c>
      <c r="CP19" s="75">
        <f t="shared" si="138"/>
        <v>639.9166619643803</v>
      </c>
      <c r="CQ19" s="75">
        <f t="shared" si="138"/>
        <v>154.71</v>
      </c>
      <c r="CR19" s="75">
        <f t="shared" si="138"/>
        <v>343.26462014722188</v>
      </c>
      <c r="CZ19" s="75">
        <f>CZ5*1000/CZ$4</f>
        <v>736.31</v>
      </c>
      <c r="DA19" s="75">
        <f t="shared" ref="DA19:DD19" si="139">DA5*1000/DA$4</f>
        <v>364.54520108450066</v>
      </c>
      <c r="DB19" s="75">
        <f t="shared" si="139"/>
        <v>652.49970101781173</v>
      </c>
      <c r="DC19" s="75">
        <f t="shared" si="139"/>
        <v>154.70999999999998</v>
      </c>
      <c r="DD19" s="75">
        <f t="shared" si="139"/>
        <v>343.03861710221179</v>
      </c>
      <c r="DL19" s="75">
        <f>DL5*1000/DL$4</f>
        <v>736.31</v>
      </c>
      <c r="DM19" s="75">
        <f t="shared" ref="DM19:DP19" si="140">DM5*1000/DM$4</f>
        <v>364.21295632808381</v>
      </c>
      <c r="DN19" s="75">
        <f t="shared" si="140"/>
        <v>649.65644336175399</v>
      </c>
      <c r="DO19" s="75">
        <f t="shared" si="140"/>
        <v>154.70999999999998</v>
      </c>
      <c r="DP19" s="75">
        <f t="shared" si="140"/>
        <v>340.49777479661464</v>
      </c>
      <c r="DX19" s="75">
        <f>DX5*1000/DX$4</f>
        <v>736.31</v>
      </c>
      <c r="DY19" s="75">
        <f t="shared" ref="DY19:EB19" si="141">DY5*1000/DY$4</f>
        <v>364.02580806498651</v>
      </c>
      <c r="DZ19" s="75">
        <f t="shared" si="141"/>
        <v>640.94754115378919</v>
      </c>
      <c r="EA19" s="75">
        <f t="shared" si="141"/>
        <v>154.70999999999995</v>
      </c>
      <c r="EB19" s="75">
        <f t="shared" si="141"/>
        <v>338.75620717365433</v>
      </c>
      <c r="EJ19" s="75">
        <f>EJ5*1000/EJ$4</f>
        <v>736.31</v>
      </c>
      <c r="EK19" s="75">
        <f t="shared" ref="EK19:EN19" si="142">EK5*1000/EK$4</f>
        <v>365.77710536524802</v>
      </c>
      <c r="EL19" s="75">
        <f t="shared" si="142"/>
        <v>604.65658913704249</v>
      </c>
      <c r="EM19" s="75">
        <f t="shared" si="142"/>
        <v>154.71</v>
      </c>
      <c r="EN19" s="75">
        <f t="shared" si="142"/>
        <v>338.55117954267757</v>
      </c>
      <c r="EV19" s="75">
        <f>EV5*1000/EV$4</f>
        <v>736.31</v>
      </c>
      <c r="EW19" s="75">
        <f t="shared" ref="EW19:EZ19" si="143">EW5*1000/EW$4</f>
        <v>366.26738584096842</v>
      </c>
      <c r="EX19" s="75">
        <f t="shared" si="143"/>
        <v>608.59349067234257</v>
      </c>
      <c r="EY19" s="75">
        <f t="shared" si="143"/>
        <v>155.03599318252245</v>
      </c>
      <c r="EZ19" s="75">
        <f t="shared" si="143"/>
        <v>338.83789414765016</v>
      </c>
      <c r="FH19" s="75">
        <f>FH5*1000/FH$4</f>
        <v>736.31</v>
      </c>
      <c r="FI19" s="75">
        <f t="shared" ref="FI19:FL19" si="144">FI5*1000/FI$4</f>
        <v>366.93419291389085</v>
      </c>
      <c r="FJ19" s="75">
        <f t="shared" si="144"/>
        <v>578.00698100483328</v>
      </c>
      <c r="FK19" s="75">
        <f t="shared" si="144"/>
        <v>155.00628231848137</v>
      </c>
      <c r="FL19" s="75">
        <f t="shared" si="144"/>
        <v>336.88542115638921</v>
      </c>
      <c r="FT19" s="75">
        <f>FT5*1000/FT$4</f>
        <v>736.31</v>
      </c>
      <c r="FU19" s="75">
        <f t="shared" ref="FU19:FX19" si="145">FU5*1000/FU$4</f>
        <v>367.28300212034793</v>
      </c>
      <c r="FV19" s="75">
        <f t="shared" si="145"/>
        <v>562.75121133754021</v>
      </c>
      <c r="FW19" s="75">
        <f t="shared" si="145"/>
        <v>154.99810319329572</v>
      </c>
      <c r="FX19" s="75">
        <f t="shared" si="145"/>
        <v>337.3676289454325</v>
      </c>
      <c r="GF19" s="106"/>
      <c r="GG19" s="106">
        <f t="shared" ref="GG19:GJ19" si="146">GG5*1000/GG$4</f>
        <v>736.31</v>
      </c>
      <c r="GH19" s="106">
        <f t="shared" si="146"/>
        <v>366.88945034794057</v>
      </c>
      <c r="GI19" s="106">
        <f t="shared" si="146"/>
        <v>552.98831784628749</v>
      </c>
      <c r="GJ19" s="106">
        <f t="shared" si="146"/>
        <v>154.98302880872049</v>
      </c>
      <c r="GK19" s="106">
        <f t="shared" ref="GK19:GL19" si="147">GK5*1000/GK$4</f>
        <v>146.74</v>
      </c>
      <c r="GL19" s="106">
        <f t="shared" si="147"/>
        <v>337.44038532385787</v>
      </c>
      <c r="GO19" s="83"/>
      <c r="GP19" s="83"/>
      <c r="GQ19" s="83"/>
      <c r="GR19" s="83"/>
      <c r="GS19" s="83"/>
      <c r="GT19" s="106"/>
      <c r="GU19" s="106">
        <f t="shared" ref="GU19:GZ19" si="148">GU5*1000/GU$4</f>
        <v>736.31000000000006</v>
      </c>
      <c r="GV19" s="106">
        <f t="shared" si="148"/>
        <v>366.99427347991718</v>
      </c>
      <c r="GW19" s="106">
        <f t="shared" si="148"/>
        <v>543.65099611801247</v>
      </c>
      <c r="GX19" s="106">
        <f t="shared" si="148"/>
        <v>154.96233389301992</v>
      </c>
      <c r="GY19" s="106">
        <f t="shared" si="148"/>
        <v>146.74</v>
      </c>
      <c r="GZ19" s="106">
        <f t="shared" si="148"/>
        <v>343.72003487326793</v>
      </c>
      <c r="HC19" s="83"/>
      <c r="HD19" s="83"/>
      <c r="HE19" s="83"/>
      <c r="HF19" s="83"/>
      <c r="HG19" s="83"/>
      <c r="HH19" s="106"/>
      <c r="HI19" s="106">
        <f t="shared" ref="HI19:HN19" si="149">HI5*1000/HI$4</f>
        <v>736.31000000000006</v>
      </c>
      <c r="HJ19" s="106">
        <f t="shared" si="149"/>
        <v>367.46672892121484</v>
      </c>
      <c r="HK19" s="106">
        <f t="shared" si="149"/>
        <v>543.89161235521237</v>
      </c>
      <c r="HL19" s="106">
        <f t="shared" si="149"/>
        <v>154.94470170898219</v>
      </c>
      <c r="HM19" s="106">
        <f t="shared" si="149"/>
        <v>146.74</v>
      </c>
      <c r="HN19" s="106">
        <f t="shared" si="149"/>
        <v>341.9755583527965</v>
      </c>
      <c r="HQ19" s="83"/>
      <c r="HR19" s="83"/>
      <c r="HS19" s="83"/>
      <c r="HT19" s="83"/>
      <c r="HU19" s="83"/>
      <c r="HV19" s="106"/>
      <c r="HW19" s="106">
        <f t="shared" ref="HW19:IB19" si="150">HW5*1000/HW$4</f>
        <v>736.31000000000006</v>
      </c>
      <c r="HX19" s="106">
        <f t="shared" si="150"/>
        <v>367.73375129949102</v>
      </c>
      <c r="HY19" s="106">
        <f t="shared" si="150"/>
        <v>532.04314790764795</v>
      </c>
      <c r="HZ19" s="106">
        <f t="shared" si="150"/>
        <v>154.93368275568784</v>
      </c>
      <c r="IA19" s="106">
        <f t="shared" si="150"/>
        <v>146.74</v>
      </c>
      <c r="IB19" s="106">
        <f t="shared" si="150"/>
        <v>341.17599710813607</v>
      </c>
      <c r="IE19" s="83"/>
      <c r="IF19" s="83"/>
      <c r="IG19" s="83"/>
      <c r="IH19" s="83"/>
      <c r="II19" s="83"/>
      <c r="IJ19" s="106"/>
      <c r="IK19" s="106">
        <f t="shared" ref="IK19:IP19" si="151">IK5*1000/IK$4</f>
        <v>736.31000000000006</v>
      </c>
      <c r="IL19" s="106">
        <f t="shared" si="151"/>
        <v>368.56944588422448</v>
      </c>
      <c r="IM19" s="106">
        <f t="shared" si="151"/>
        <v>515.21803281853283</v>
      </c>
      <c r="IN19" s="106">
        <f t="shared" si="151"/>
        <v>154.91761397276494</v>
      </c>
      <c r="IO19" s="106">
        <f t="shared" si="151"/>
        <v>146.74</v>
      </c>
      <c r="IP19" s="106">
        <f t="shared" si="151"/>
        <v>340.04392376327178</v>
      </c>
      <c r="IS19" s="83"/>
      <c r="IT19" s="83"/>
      <c r="IU19" s="83"/>
      <c r="IV19" s="83"/>
      <c r="IW19" s="83"/>
      <c r="IX19" s="106"/>
      <c r="IY19" s="106">
        <f t="shared" ref="IY19:JD19" si="152">IY5*1000/IY$4</f>
        <v>736.31000000000006</v>
      </c>
      <c r="IZ19" s="106">
        <f t="shared" si="152"/>
        <v>369.01992581492112</v>
      </c>
      <c r="JA19" s="106">
        <f t="shared" si="152"/>
        <v>512.21551216429702</v>
      </c>
      <c r="JB19" s="106">
        <f t="shared" si="152"/>
        <v>154.90580463835013</v>
      </c>
      <c r="JC19" s="106">
        <f t="shared" si="152"/>
        <v>146.74</v>
      </c>
      <c r="JD19" s="106">
        <f t="shared" si="152"/>
        <v>338.64337402135379</v>
      </c>
      <c r="JG19" s="83"/>
      <c r="JH19" s="83"/>
      <c r="JI19" s="83"/>
      <c r="JJ19" s="83"/>
      <c r="JK19" s="83"/>
      <c r="JL19" s="106"/>
      <c r="JM19" s="106">
        <f t="shared" ref="JM19:JR19" si="153">JM5*1000/JM$4</f>
        <v>737.35651162790703</v>
      </c>
      <c r="JN19" s="106">
        <f t="shared" si="153"/>
        <v>369.34586477628773</v>
      </c>
      <c r="JO19" s="106">
        <f t="shared" si="153"/>
        <v>513.58616458852873</v>
      </c>
      <c r="JP19" s="106">
        <f t="shared" si="153"/>
        <v>154.89552784734224</v>
      </c>
      <c r="JQ19" s="106">
        <f t="shared" si="153"/>
        <v>146.74</v>
      </c>
      <c r="JR19" s="106">
        <f t="shared" si="153"/>
        <v>342.36723235744813</v>
      </c>
      <c r="JU19" s="83"/>
      <c r="JV19" s="83"/>
      <c r="JW19" s="83"/>
      <c r="JX19" s="83"/>
      <c r="JY19" s="83"/>
      <c r="JZ19" s="106"/>
      <c r="KA19" s="106">
        <f t="shared" ref="KA19:KF19" si="154">KA5*1000/KA$4</f>
        <v>737.35651162790703</v>
      </c>
      <c r="KB19" s="106">
        <f t="shared" si="154"/>
        <v>369.54363568632539</v>
      </c>
      <c r="KC19" s="106">
        <f t="shared" si="154"/>
        <v>509.57683003251543</v>
      </c>
      <c r="KD19" s="106">
        <f t="shared" si="154"/>
        <v>154.88606359832633</v>
      </c>
      <c r="KE19" s="106">
        <f t="shared" si="154"/>
        <v>146.74</v>
      </c>
      <c r="KF19" s="106">
        <f t="shared" si="154"/>
        <v>340.84005990024474</v>
      </c>
      <c r="KI19" s="83"/>
      <c r="KJ19" s="83"/>
      <c r="KK19" s="83"/>
      <c r="KL19" s="83"/>
      <c r="KM19" s="83"/>
      <c r="KN19" s="106"/>
      <c r="KO19" s="106">
        <f t="shared" ref="KO19:KT19" si="155">KO5*1000/KO$4</f>
        <v>737.35651162790703</v>
      </c>
      <c r="KP19" s="106">
        <f t="shared" si="155"/>
        <v>369.05782606218077</v>
      </c>
      <c r="KQ19" s="106">
        <f t="shared" si="155"/>
        <v>509.57683003251555</v>
      </c>
      <c r="KR19" s="106">
        <f t="shared" si="155"/>
        <v>154.87758211998596</v>
      </c>
      <c r="KS19" s="106">
        <f t="shared" si="155"/>
        <v>146.74</v>
      </c>
      <c r="KT19" s="106">
        <f t="shared" si="155"/>
        <v>339.07645375392786</v>
      </c>
    </row>
    <row r="20" spans="2:306" x14ac:dyDescent="0.3">
      <c r="H20" s="75">
        <v>487.35684564777335</v>
      </c>
      <c r="I20" s="75">
        <v>338.62636366268129</v>
      </c>
      <c r="J20" s="75">
        <v>547.33123190637514</v>
      </c>
      <c r="K20" s="75">
        <v>157.8644662399339</v>
      </c>
      <c r="L20" s="75">
        <v>331.34813524334908</v>
      </c>
      <c r="T20" s="75">
        <f t="shared" ref="T20:X20" si="156">T6*1000/T$4</f>
        <v>475.72</v>
      </c>
      <c r="U20" s="75">
        <f t="shared" si="156"/>
        <v>338.20952380952383</v>
      </c>
      <c r="V20" s="75">
        <f t="shared" si="156"/>
        <v>559.07508474576275</v>
      </c>
      <c r="W20" s="75">
        <f t="shared" si="156"/>
        <v>138.64000000000001</v>
      </c>
      <c r="X20" s="75">
        <f t="shared" si="156"/>
        <v>310.26496525305947</v>
      </c>
      <c r="AF20" s="75">
        <f t="shared" ref="AF20:AJ20" si="157">AF6*1000/AF$4</f>
        <v>475.72</v>
      </c>
      <c r="AG20" s="75">
        <f t="shared" si="157"/>
        <v>335.72275862068966</v>
      </c>
      <c r="AH20" s="75">
        <f t="shared" si="157"/>
        <v>592.08333333333337</v>
      </c>
      <c r="AI20" s="75">
        <f t="shared" si="157"/>
        <v>138.64000000000001</v>
      </c>
      <c r="AJ20" s="75">
        <f t="shared" si="157"/>
        <v>309.75685370016026</v>
      </c>
      <c r="AR20" s="75">
        <f t="shared" ref="AR20:AV20" si="158">AR6*1000/AR$4</f>
        <v>475.72</v>
      </c>
      <c r="AS20" s="75">
        <f t="shared" si="158"/>
        <v>333.47414634146344</v>
      </c>
      <c r="AT20" s="75">
        <f t="shared" si="158"/>
        <v>584.59299999999996</v>
      </c>
      <c r="AU20" s="75">
        <f t="shared" si="158"/>
        <v>138.63999999999999</v>
      </c>
      <c r="AV20" s="75">
        <f t="shared" si="158"/>
        <v>318.49851731210043</v>
      </c>
      <c r="BD20" s="75">
        <f t="shared" ref="BD20:BH20" si="159">BD6*1000/BD$4</f>
        <v>475.72</v>
      </c>
      <c r="BE20" s="75">
        <f t="shared" si="159"/>
        <v>334.01657836644591</v>
      </c>
      <c r="BF20" s="75">
        <f t="shared" si="159"/>
        <v>584.59299999999996</v>
      </c>
      <c r="BG20" s="75">
        <f t="shared" si="159"/>
        <v>138.64000000000001</v>
      </c>
      <c r="BH20" s="75">
        <f t="shared" si="159"/>
        <v>312.7302527975354</v>
      </c>
      <c r="BP20" s="75">
        <f t="shared" ref="BP20:BT20" si="160">BP6*1000/BP$4</f>
        <v>475.72</v>
      </c>
      <c r="BQ20" s="75">
        <f t="shared" si="160"/>
        <v>335.0990766208252</v>
      </c>
      <c r="BR20" s="75">
        <f t="shared" si="160"/>
        <v>570.88530756139073</v>
      </c>
      <c r="BS20" s="75">
        <f t="shared" si="160"/>
        <v>138.64000000000001</v>
      </c>
      <c r="BT20" s="75">
        <f t="shared" si="160"/>
        <v>313.8719014503734</v>
      </c>
      <c r="CB20" s="75">
        <f t="shared" ref="CB20:CF20" si="161">CB6*1000/CB$4</f>
        <v>475.72</v>
      </c>
      <c r="CC20" s="75">
        <f t="shared" si="161"/>
        <v>335.70504848830586</v>
      </c>
      <c r="CD20" s="75">
        <f t="shared" si="161"/>
        <v>549.58265700483105</v>
      </c>
      <c r="CE20" s="75">
        <f t="shared" si="161"/>
        <v>138.64000000000001</v>
      </c>
      <c r="CF20" s="75">
        <f t="shared" si="161"/>
        <v>309.68198954339505</v>
      </c>
      <c r="CN20" s="75">
        <f t="shared" ref="CN20:CR20" si="162">CN6*1000/CN$4</f>
        <v>475.72</v>
      </c>
      <c r="CO20" s="75">
        <f t="shared" si="162"/>
        <v>334.7511936602279</v>
      </c>
      <c r="CP20" s="75">
        <f t="shared" si="162"/>
        <v>561.02539763710115</v>
      </c>
      <c r="CQ20" s="75">
        <f t="shared" si="162"/>
        <v>138.63999999999999</v>
      </c>
      <c r="CR20" s="75">
        <f t="shared" si="162"/>
        <v>309.33380951900779</v>
      </c>
      <c r="CZ20" s="75">
        <f t="shared" ref="CZ20:DD20" si="163">CZ6*1000/CZ$4</f>
        <v>475.72</v>
      </c>
      <c r="DA20" s="75">
        <f t="shared" si="163"/>
        <v>335.26308178942622</v>
      </c>
      <c r="DB20" s="75">
        <f t="shared" si="163"/>
        <v>571.26782124681938</v>
      </c>
      <c r="DC20" s="75">
        <f t="shared" si="163"/>
        <v>138.64000000000001</v>
      </c>
      <c r="DD20" s="75">
        <f t="shared" si="163"/>
        <v>309.35014363364718</v>
      </c>
      <c r="DL20" s="75">
        <f t="shared" ref="DL20:DP20" si="164">DL6*1000/DL$4</f>
        <v>475.72</v>
      </c>
      <c r="DM20" s="75">
        <f t="shared" si="164"/>
        <v>334.97797437685853</v>
      </c>
      <c r="DN20" s="75">
        <f t="shared" si="164"/>
        <v>568.96200669914742</v>
      </c>
      <c r="DO20" s="75">
        <f t="shared" si="164"/>
        <v>138.64000000000001</v>
      </c>
      <c r="DP20" s="75">
        <f t="shared" si="164"/>
        <v>307.26511728624058</v>
      </c>
      <c r="DX20" s="75">
        <f t="shared" ref="DX20:EB20" si="165">DX6*1000/DX$4</f>
        <v>475.72</v>
      </c>
      <c r="DY20" s="75">
        <f t="shared" si="165"/>
        <v>334.86785779871025</v>
      </c>
      <c r="DZ20" s="75">
        <f t="shared" si="165"/>
        <v>561.81609965890561</v>
      </c>
      <c r="EA20" s="75">
        <f t="shared" si="165"/>
        <v>138.64000000000001</v>
      </c>
      <c r="EB20" s="75">
        <f t="shared" si="165"/>
        <v>306.25994405724094</v>
      </c>
      <c r="EJ20" s="75">
        <f t="shared" ref="EJ20:EN20" si="166">EJ6*1000/EJ$4</f>
        <v>475.72</v>
      </c>
      <c r="EK20" s="75">
        <f t="shared" si="166"/>
        <v>336.37890367381783</v>
      </c>
      <c r="EL20" s="75">
        <f t="shared" si="166"/>
        <v>531.66192282278325</v>
      </c>
      <c r="EM20" s="75">
        <f t="shared" si="166"/>
        <v>138.64000000000004</v>
      </c>
      <c r="EN20" s="75">
        <f t="shared" si="166"/>
        <v>306.46419109792294</v>
      </c>
      <c r="EV20" s="75">
        <f t="shared" ref="EV20:EZ20" si="167">EV6*1000/EV$4</f>
        <v>475.72</v>
      </c>
      <c r="EW20" s="75">
        <f t="shared" si="167"/>
        <v>336.8045056481584</v>
      </c>
      <c r="EX20" s="75">
        <f t="shared" si="167"/>
        <v>534.85936772254922</v>
      </c>
      <c r="EY20" s="75">
        <f t="shared" si="167"/>
        <v>138.94294391075306</v>
      </c>
      <c r="EZ20" s="75">
        <f t="shared" si="167"/>
        <v>306.82870049349191</v>
      </c>
      <c r="FH20" s="75">
        <f t="shared" ref="FH20:FL20" si="168">FH6*1000/FH$4</f>
        <v>475.72</v>
      </c>
      <c r="FI20" s="75">
        <f t="shared" si="168"/>
        <v>337.39477350277508</v>
      </c>
      <c r="FJ20" s="75">
        <f t="shared" si="168"/>
        <v>510.0719028886142</v>
      </c>
      <c r="FK20" s="75">
        <f t="shared" si="168"/>
        <v>138.91533374640909</v>
      </c>
      <c r="FL20" s="75">
        <f t="shared" si="168"/>
        <v>305.34885518195614</v>
      </c>
      <c r="FT20" s="75">
        <f t="shared" ref="FT20:FX20" si="169">FT6*1000/FT$4</f>
        <v>475.72</v>
      </c>
      <c r="FU20" s="75">
        <f t="shared" si="169"/>
        <v>337.70435199402078</v>
      </c>
      <c r="FV20" s="75">
        <f t="shared" si="169"/>
        <v>497.65415537395268</v>
      </c>
      <c r="FW20" s="75">
        <f t="shared" si="169"/>
        <v>138.90773292435779</v>
      </c>
      <c r="FX20" s="75">
        <f t="shared" si="169"/>
        <v>305.96226794493037</v>
      </c>
      <c r="GF20" s="106"/>
      <c r="GG20" s="106">
        <f t="shared" ref="GG20:GJ20" si="170">GG6*1000/GG$4</f>
        <v>475.72</v>
      </c>
      <c r="GH20" s="106">
        <f t="shared" si="170"/>
        <v>337.36243456523101</v>
      </c>
      <c r="GI20" s="106">
        <f t="shared" si="170"/>
        <v>487.98668606165876</v>
      </c>
      <c r="GJ20" s="106">
        <f t="shared" si="170"/>
        <v>138.8937243706203</v>
      </c>
      <c r="GK20" s="106">
        <f t="shared" ref="GK20:GL20" si="171">GK6*1000/GK$4</f>
        <v>90.724999999999994</v>
      </c>
      <c r="GL20" s="106">
        <f t="shared" si="171"/>
        <v>305.94378434329661</v>
      </c>
      <c r="GO20" s="83"/>
      <c r="GP20" s="83"/>
      <c r="GQ20" s="83"/>
      <c r="GR20" s="83"/>
      <c r="GS20" s="83"/>
      <c r="GT20" s="106"/>
      <c r="GU20" s="106">
        <f t="shared" ref="GU20:GZ20" si="172">GU6*1000/GU$4</f>
        <v>475.72</v>
      </c>
      <c r="GV20" s="106">
        <f t="shared" si="172"/>
        <v>337.45513693493712</v>
      </c>
      <c r="GW20" s="106">
        <f t="shared" si="172"/>
        <v>479.83768944099376</v>
      </c>
      <c r="GX20" s="106">
        <f t="shared" si="172"/>
        <v>138.87449268409691</v>
      </c>
      <c r="GY20" s="106">
        <f t="shared" si="172"/>
        <v>90.724999999999994</v>
      </c>
      <c r="GZ20" s="106">
        <f t="shared" si="172"/>
        <v>308.10721148182972</v>
      </c>
      <c r="HC20" s="83"/>
      <c r="HD20" s="83"/>
      <c r="HE20" s="83"/>
      <c r="HF20" s="83"/>
      <c r="HG20" s="83"/>
      <c r="HH20" s="106"/>
      <c r="HI20" s="106">
        <f t="shared" ref="HI20:HN20" si="173">HI6*1000/HI$4</f>
        <v>475.72</v>
      </c>
      <c r="HJ20" s="106">
        <f t="shared" si="173"/>
        <v>337.86838342990643</v>
      </c>
      <c r="HK20" s="106">
        <f t="shared" si="173"/>
        <v>480.0426478764478</v>
      </c>
      <c r="HL20" s="106">
        <f t="shared" si="173"/>
        <v>138.85810717951006</v>
      </c>
      <c r="HM20" s="106">
        <f t="shared" si="173"/>
        <v>90.724999999999994</v>
      </c>
      <c r="HN20" s="106">
        <f t="shared" si="173"/>
        <v>306.8085257283343</v>
      </c>
      <c r="HQ20" s="83"/>
      <c r="HR20" s="83"/>
      <c r="HS20" s="83"/>
      <c r="HT20" s="83"/>
      <c r="HU20" s="83"/>
      <c r="HV20" s="106"/>
      <c r="HW20" s="106">
        <f t="shared" ref="HW20:IB20" si="174">HW6*1000/HW$4</f>
        <v>475.72</v>
      </c>
      <c r="HX20" s="106">
        <f t="shared" si="174"/>
        <v>338.14350560225034</v>
      </c>
      <c r="HY20" s="106">
        <f t="shared" si="174"/>
        <v>469.8243174603175</v>
      </c>
      <c r="HZ20" s="106">
        <f t="shared" si="174"/>
        <v>138.84786731873274</v>
      </c>
      <c r="IA20" s="106">
        <f t="shared" si="174"/>
        <v>90.724999999999994</v>
      </c>
      <c r="IB20" s="106">
        <f t="shared" si="174"/>
        <v>306.38332353780709</v>
      </c>
      <c r="IE20" s="83"/>
      <c r="IF20" s="83"/>
      <c r="IG20" s="83"/>
      <c r="IH20" s="83"/>
      <c r="II20" s="83"/>
      <c r="IJ20" s="106"/>
      <c r="IK20" s="106">
        <f t="shared" ref="IK20:IP20" si="175">IK6*1000/IK$4</f>
        <v>475.72</v>
      </c>
      <c r="IL20" s="106">
        <f t="shared" si="175"/>
        <v>338.87132524633063</v>
      </c>
      <c r="IM20" s="106">
        <f t="shared" si="175"/>
        <v>455.25858043758046</v>
      </c>
      <c r="IN20" s="106">
        <f t="shared" si="175"/>
        <v>138.83293467535032</v>
      </c>
      <c r="IO20" s="106">
        <f t="shared" si="175"/>
        <v>90.724999999999994</v>
      </c>
      <c r="IP20" s="106">
        <f t="shared" si="175"/>
        <v>305.62759526297759</v>
      </c>
      <c r="IS20" s="83"/>
      <c r="IT20" s="83"/>
      <c r="IU20" s="83"/>
      <c r="IV20" s="83"/>
      <c r="IW20" s="83"/>
      <c r="IX20" s="106"/>
      <c r="IY20" s="106">
        <f t="shared" ref="IY20:JD20" si="176">IY6*1000/IY$4</f>
        <v>475.72</v>
      </c>
      <c r="IZ20" s="106">
        <f t="shared" si="176"/>
        <v>339.26382858169023</v>
      </c>
      <c r="JA20" s="106">
        <f t="shared" si="176"/>
        <v>452.89628372827809</v>
      </c>
      <c r="JB20" s="106">
        <f t="shared" si="176"/>
        <v>138.82196031716489</v>
      </c>
      <c r="JC20" s="106">
        <f t="shared" si="176"/>
        <v>90.724999999999994</v>
      </c>
      <c r="JD20" s="106">
        <f t="shared" si="176"/>
        <v>304.54806079119817</v>
      </c>
      <c r="JG20" s="83"/>
      <c r="JH20" s="83"/>
      <c r="JI20" s="83"/>
      <c r="JJ20" s="83"/>
      <c r="JK20" s="83"/>
      <c r="JL20" s="106"/>
      <c r="JM20" s="106">
        <f t="shared" ref="JM20:JR20" si="177">JM6*1000/JM$4</f>
        <v>475.72</v>
      </c>
      <c r="JN20" s="106">
        <f t="shared" si="177"/>
        <v>339.54766413762468</v>
      </c>
      <c r="JO20" s="106">
        <f t="shared" si="177"/>
        <v>453.96362468827931</v>
      </c>
      <c r="JP20" s="106">
        <f t="shared" si="177"/>
        <v>138.812410144263</v>
      </c>
      <c r="JQ20" s="106">
        <f t="shared" si="177"/>
        <v>90.724999999999994</v>
      </c>
      <c r="JR20" s="106">
        <f t="shared" si="177"/>
        <v>305.73151290426642</v>
      </c>
      <c r="JU20" s="83"/>
      <c r="JV20" s="83"/>
      <c r="JW20" s="83"/>
      <c r="JX20" s="83"/>
      <c r="JY20" s="83"/>
      <c r="JZ20" s="106"/>
      <c r="KA20" s="106">
        <f t="shared" ref="KA20:KF20" si="178">KA6*1000/KA$4</f>
        <v>475.72</v>
      </c>
      <c r="KB20" s="106">
        <f t="shared" si="178"/>
        <v>339.71998988871667</v>
      </c>
      <c r="KC20" s="106">
        <f t="shared" si="178"/>
        <v>450.22972450487731</v>
      </c>
      <c r="KD20" s="106">
        <f t="shared" si="178"/>
        <v>138.80361506276154</v>
      </c>
      <c r="KE20" s="106">
        <f t="shared" si="178"/>
        <v>90.724999999999994</v>
      </c>
      <c r="KF20" s="106">
        <f t="shared" si="178"/>
        <v>304.44078577801525</v>
      </c>
      <c r="KI20" s="83"/>
      <c r="KJ20" s="83"/>
      <c r="KK20" s="83"/>
      <c r="KL20" s="83"/>
      <c r="KM20" s="83"/>
      <c r="KN20" s="106"/>
      <c r="KO20" s="106">
        <f t="shared" ref="KO20:KT20" si="179">KO6*1000/KO$4</f>
        <v>475.72</v>
      </c>
      <c r="KP20" s="106">
        <f t="shared" si="179"/>
        <v>339.29602052561989</v>
      </c>
      <c r="KQ20" s="106">
        <f t="shared" si="179"/>
        <v>450.22972450487731</v>
      </c>
      <c r="KR20" s="106">
        <f t="shared" si="179"/>
        <v>138.79573326536467</v>
      </c>
      <c r="KS20" s="106">
        <f t="shared" si="179"/>
        <v>90.724999999999994</v>
      </c>
      <c r="KT20" s="106">
        <f t="shared" si="179"/>
        <v>303.11011117554966</v>
      </c>
    </row>
    <row r="21" spans="2:306" x14ac:dyDescent="0.3">
      <c r="H21" s="75">
        <v>250.85047216599179</v>
      </c>
      <c r="I21" s="75">
        <v>20.095054569666786</v>
      </c>
      <c r="J21" s="75">
        <v>-4.6899353249152682</v>
      </c>
      <c r="K21" s="75">
        <v>-3.0631832885951837</v>
      </c>
      <c r="L21" s="75">
        <v>281.24837245306514</v>
      </c>
      <c r="T21" s="75">
        <f t="shared" ref="T21:X21" si="180">T7*1000/T$4</f>
        <v>423.67000000000007</v>
      </c>
      <c r="U21" s="75">
        <f t="shared" si="180"/>
        <v>288.76952380952378</v>
      </c>
      <c r="V21" s="75">
        <f t="shared" si="180"/>
        <v>506.52661016949145</v>
      </c>
      <c r="W21" s="75">
        <f t="shared" si="180"/>
        <v>132.03999999999996</v>
      </c>
      <c r="X21" s="75">
        <f t="shared" si="180"/>
        <v>271.74926641581067</v>
      </c>
      <c r="AF21" s="75">
        <f t="shared" ref="AF21:AJ21" si="181">AF7*1000/AF$4</f>
        <v>423.67000000000007</v>
      </c>
      <c r="AG21" s="75">
        <f t="shared" si="181"/>
        <v>286.28275862068961</v>
      </c>
      <c r="AH21" s="75">
        <f t="shared" si="181"/>
        <v>539.14999999999986</v>
      </c>
      <c r="AI21" s="75">
        <f t="shared" si="181"/>
        <v>132.03999999999996</v>
      </c>
      <c r="AJ21" s="75">
        <f t="shared" si="181"/>
        <v>270.80327248280491</v>
      </c>
      <c r="AR21" s="75">
        <f t="shared" ref="AR21:AV21" si="182">AR7*1000/AR$4</f>
        <v>423.67000000000007</v>
      </c>
      <c r="AS21" s="75">
        <f t="shared" si="182"/>
        <v>284.03414634146344</v>
      </c>
      <c r="AT21" s="75">
        <f t="shared" si="182"/>
        <v>531.74699999999984</v>
      </c>
      <c r="AU21" s="75">
        <f t="shared" si="182"/>
        <v>132.03999999999996</v>
      </c>
      <c r="AV21" s="75">
        <f t="shared" si="182"/>
        <v>277.15024450074395</v>
      </c>
      <c r="BD21" s="75">
        <f t="shared" ref="BD21:BH21" si="183">BD7*1000/BD$4</f>
        <v>423.67000000000007</v>
      </c>
      <c r="BE21" s="75">
        <f t="shared" si="183"/>
        <v>284.57657836644591</v>
      </c>
      <c r="BF21" s="75">
        <f t="shared" si="183"/>
        <v>531.74699999999984</v>
      </c>
      <c r="BG21" s="75">
        <f t="shared" si="183"/>
        <v>132.04</v>
      </c>
      <c r="BH21" s="75">
        <f t="shared" si="183"/>
        <v>271.54130400640298</v>
      </c>
      <c r="BP21" s="75">
        <f t="shared" ref="BP21:BT21" si="184">BP7*1000/BP$4</f>
        <v>423.67000000000007</v>
      </c>
      <c r="BQ21" s="75">
        <f t="shared" si="184"/>
        <v>285.65907662082509</v>
      </c>
      <c r="BR21" s="75">
        <f t="shared" si="184"/>
        <v>518.19913202042301</v>
      </c>
      <c r="BS21" s="75">
        <f t="shared" si="184"/>
        <v>132.04</v>
      </c>
      <c r="BT21" s="75">
        <f t="shared" si="184"/>
        <v>272.50033201645192</v>
      </c>
      <c r="CB21" s="75">
        <f t="shared" ref="CB21:CF21" si="185">CB7*1000/CB$4</f>
        <v>423.67000000000007</v>
      </c>
      <c r="CC21" s="75">
        <f t="shared" si="185"/>
        <v>286.26504848830575</v>
      </c>
      <c r="CD21" s="75">
        <f t="shared" si="185"/>
        <v>497.2120457886997</v>
      </c>
      <c r="CE21" s="75">
        <f t="shared" si="185"/>
        <v>132.04000000000002</v>
      </c>
      <c r="CF21" s="75">
        <f t="shared" si="185"/>
        <v>268.95555663994423</v>
      </c>
      <c r="CN21" s="75">
        <f t="shared" ref="CN21:CR21" si="186">CN7*1000/CN$4</f>
        <v>423.67000000000007</v>
      </c>
      <c r="CO21" s="75">
        <f t="shared" si="186"/>
        <v>285.31093115403667</v>
      </c>
      <c r="CP21" s="75">
        <f t="shared" si="186"/>
        <v>508.51058896138238</v>
      </c>
      <c r="CQ21" s="75">
        <f t="shared" si="186"/>
        <v>132.04</v>
      </c>
      <c r="CR21" s="75">
        <f t="shared" si="186"/>
        <v>268.66513925582331</v>
      </c>
      <c r="CZ21" s="75">
        <f t="shared" ref="CZ21:DD21" si="187">CZ7*1000/CZ$4</f>
        <v>423.67000000000007</v>
      </c>
      <c r="DA21" s="75">
        <f t="shared" si="187"/>
        <v>285.82284229552641</v>
      </c>
      <c r="DB21" s="75">
        <f t="shared" si="187"/>
        <v>518.62805661577602</v>
      </c>
      <c r="DC21" s="75">
        <f t="shared" si="187"/>
        <v>132.04000000000002</v>
      </c>
      <c r="DD21" s="75">
        <f t="shared" si="187"/>
        <v>268.84830591125331</v>
      </c>
      <c r="DL21" s="75">
        <f t="shared" ref="DL21:DP21" si="188">DL7*1000/DL$4</f>
        <v>423.67000000000007</v>
      </c>
      <c r="DM21" s="75">
        <f t="shared" si="188"/>
        <v>285.53774739057553</v>
      </c>
      <c r="DN21" s="75">
        <f t="shared" si="188"/>
        <v>516.34695797807535</v>
      </c>
      <c r="DO21" s="75">
        <f t="shared" si="188"/>
        <v>132.04000000000002</v>
      </c>
      <c r="DP21" s="75">
        <f t="shared" si="188"/>
        <v>267.06958693157799</v>
      </c>
      <c r="DX21" s="75">
        <f t="shared" ref="DX21:EB21" si="189">DX7*1000/DX$4</f>
        <v>423.67000000000007</v>
      </c>
      <c r="DY21" s="75">
        <f t="shared" si="189"/>
        <v>285.42765741630933</v>
      </c>
      <c r="DZ21" s="75">
        <f t="shared" si="189"/>
        <v>509.31096247960829</v>
      </c>
      <c r="EA21" s="75">
        <f t="shared" si="189"/>
        <v>132.04000000000002</v>
      </c>
      <c r="EB21" s="75">
        <f t="shared" si="189"/>
        <v>265.92210071242027</v>
      </c>
      <c r="EJ21" s="75">
        <f t="shared" ref="EJ21:EN21" si="190">EJ7*1000/EJ$4</f>
        <v>423.67000000000007</v>
      </c>
      <c r="EK21" s="75">
        <f t="shared" si="190"/>
        <v>286.93872376537229</v>
      </c>
      <c r="EL21" s="75">
        <f t="shared" si="190"/>
        <v>479.70065944231516</v>
      </c>
      <c r="EM21" s="75">
        <f t="shared" si="190"/>
        <v>132.04000000000002</v>
      </c>
      <c r="EN21" s="75">
        <f t="shared" si="190"/>
        <v>265.9922137894921</v>
      </c>
      <c r="EV21" s="75">
        <f t="shared" ref="EV21:EZ21" si="191">EV7*1000/EV$4</f>
        <v>423.67000000000007</v>
      </c>
      <c r="EW21" s="75">
        <f t="shared" si="191"/>
        <v>287.36433500754322</v>
      </c>
      <c r="EX21" s="75">
        <f t="shared" si="191"/>
        <v>482.86556779767108</v>
      </c>
      <c r="EY21" s="75">
        <f t="shared" si="191"/>
        <v>132.34294391075301</v>
      </c>
      <c r="EZ21" s="75">
        <f t="shared" si="191"/>
        <v>266.37628735137287</v>
      </c>
      <c r="FH21" s="75">
        <f t="shared" ref="FH21:FL21" si="192">FH7*1000/FH$4</f>
        <v>423.67000000000007</v>
      </c>
      <c r="FI21" s="75">
        <f t="shared" si="192"/>
        <v>287.95461486492269</v>
      </c>
      <c r="FJ21" s="75">
        <f t="shared" si="192"/>
        <v>458.34347982465988</v>
      </c>
      <c r="FK21" s="75">
        <f t="shared" si="192"/>
        <v>132.31533374640907</v>
      </c>
      <c r="FL21" s="75">
        <f t="shared" si="192"/>
        <v>265.06469584170054</v>
      </c>
      <c r="FT21" s="75">
        <f t="shared" ref="FT21:FX21" si="193">FT7*1000/FT$4</f>
        <v>423.67000000000007</v>
      </c>
      <c r="FU21" s="75">
        <f t="shared" si="193"/>
        <v>288.26420129495585</v>
      </c>
      <c r="FV21" s="75">
        <f t="shared" si="193"/>
        <v>446.08179786903895</v>
      </c>
      <c r="FW21" s="75">
        <f t="shared" si="193"/>
        <v>132.30773292435777</v>
      </c>
      <c r="FX21" s="75">
        <f t="shared" si="193"/>
        <v>265.50441181965743</v>
      </c>
      <c r="GF21" s="106"/>
      <c r="GG21" s="106">
        <f t="shared" ref="GG21:GJ21" si="194">GG7*1000/GG$4</f>
        <v>423.67000000000007</v>
      </c>
      <c r="GH21" s="106">
        <f t="shared" si="194"/>
        <v>287.92228919816944</v>
      </c>
      <c r="GI21" s="106">
        <f t="shared" si="194"/>
        <v>438.35176465479805</v>
      </c>
      <c r="GJ21" s="106">
        <f t="shared" si="194"/>
        <v>132.29372437062028</v>
      </c>
      <c r="GK21" s="106">
        <f t="shared" ref="GK21:GL21" si="195">GK7*1000/GK$4</f>
        <v>84.125</v>
      </c>
      <c r="GL21" s="106">
        <f t="shared" si="195"/>
        <v>265.65748387527617</v>
      </c>
      <c r="GO21" s="83"/>
      <c r="GP21" s="83"/>
      <c r="GQ21" s="83"/>
      <c r="GR21" s="83"/>
      <c r="GS21" s="83"/>
      <c r="GT21" s="106"/>
      <c r="GU21" s="106">
        <f t="shared" ref="GU21:GZ21" si="196">GU7*1000/GU$4</f>
        <v>423.67000000000007</v>
      </c>
      <c r="GV21" s="106">
        <f t="shared" si="196"/>
        <v>288.01499782523928</v>
      </c>
      <c r="GW21" s="106">
        <f t="shared" si="196"/>
        <v>430.84896894409928</v>
      </c>
      <c r="GX21" s="106">
        <f t="shared" si="196"/>
        <v>132.27449268409688</v>
      </c>
      <c r="GY21" s="106">
        <f t="shared" si="196"/>
        <v>84.125</v>
      </c>
      <c r="GZ21" s="106">
        <f t="shared" si="196"/>
        <v>267.85769252627125</v>
      </c>
      <c r="HC21" s="83"/>
      <c r="HD21" s="83"/>
      <c r="HE21" s="83"/>
      <c r="HF21" s="83"/>
      <c r="HG21" s="83"/>
      <c r="HH21" s="106"/>
      <c r="HI21" s="106">
        <f t="shared" ref="HI21:HN21" si="197">HI7*1000/HI$4</f>
        <v>423.67000000000007</v>
      </c>
      <c r="HJ21" s="106">
        <f t="shared" si="197"/>
        <v>288.4282508948794</v>
      </c>
      <c r="HK21" s="106">
        <f t="shared" si="197"/>
        <v>431.04019073359069</v>
      </c>
      <c r="HL21" s="106">
        <f t="shared" si="197"/>
        <v>132.25810717951006</v>
      </c>
      <c r="HM21" s="106">
        <f t="shared" si="197"/>
        <v>84.125</v>
      </c>
      <c r="HN21" s="106">
        <f t="shared" si="197"/>
        <v>266.77440014751079</v>
      </c>
      <c r="HQ21" s="83"/>
      <c r="HR21" s="83"/>
      <c r="HS21" s="83"/>
      <c r="HT21" s="83"/>
      <c r="HU21" s="83"/>
      <c r="HV21" s="106"/>
      <c r="HW21" s="106">
        <f t="shared" ref="HW21:IB21" si="198">HW7*1000/HW$4</f>
        <v>423.67000000000007</v>
      </c>
      <c r="HX21" s="106">
        <f t="shared" si="198"/>
        <v>288.70010246444662</v>
      </c>
      <c r="HY21" s="106">
        <f t="shared" si="198"/>
        <v>421.53197113997106</v>
      </c>
      <c r="HZ21" s="106">
        <f t="shared" si="198"/>
        <v>132.24786731873272</v>
      </c>
      <c r="IA21" s="106">
        <f t="shared" si="198"/>
        <v>84.125</v>
      </c>
      <c r="IB21" s="106">
        <f t="shared" si="198"/>
        <v>266.38291226608897</v>
      </c>
      <c r="IE21" s="83"/>
      <c r="IF21" s="83"/>
      <c r="IG21" s="83"/>
      <c r="IH21" s="83"/>
      <c r="II21" s="83"/>
      <c r="IJ21" s="106"/>
      <c r="IK21" s="106">
        <f t="shared" ref="IK21:IP21" si="199">IK7*1000/IK$4</f>
        <v>423.67000000000007</v>
      </c>
      <c r="IL21" s="106">
        <f t="shared" si="199"/>
        <v>289.42811236272195</v>
      </c>
      <c r="IM21" s="106">
        <f t="shared" si="199"/>
        <v>408.03450579150569</v>
      </c>
      <c r="IN21" s="106">
        <f t="shared" si="199"/>
        <v>132.23293467535029</v>
      </c>
      <c r="IO21" s="106">
        <f t="shared" si="199"/>
        <v>84.125</v>
      </c>
      <c r="IP21" s="106">
        <f t="shared" si="199"/>
        <v>265.81152728134964</v>
      </c>
      <c r="IS21" s="83"/>
      <c r="IT21" s="83"/>
      <c r="IU21" s="83"/>
      <c r="IV21" s="83"/>
      <c r="IW21" s="83"/>
      <c r="IX21" s="106"/>
      <c r="IY21" s="106">
        <f t="shared" ref="IY21:JD21" si="200">IY7*1000/IY$4</f>
        <v>423.67000000000007</v>
      </c>
      <c r="IZ21" s="106">
        <f t="shared" si="200"/>
        <v>289.82072711285053</v>
      </c>
      <c r="JA21" s="106">
        <f t="shared" si="200"/>
        <v>405.62701864139012</v>
      </c>
      <c r="JB21" s="106">
        <f t="shared" si="200"/>
        <v>132.22196031716487</v>
      </c>
      <c r="JC21" s="106">
        <f t="shared" si="200"/>
        <v>84.125</v>
      </c>
      <c r="JD21" s="106">
        <f t="shared" si="200"/>
        <v>264.92122744307687</v>
      </c>
      <c r="JG21" s="83"/>
      <c r="JH21" s="83"/>
      <c r="JI21" s="83"/>
      <c r="JJ21" s="83"/>
      <c r="JK21" s="83"/>
      <c r="JL21" s="106"/>
      <c r="JM21" s="106">
        <f t="shared" ref="JM21:JR21" si="201">JM7*1000/JM$4</f>
        <v>423.67000000000007</v>
      </c>
      <c r="JN21" s="106">
        <f t="shared" si="201"/>
        <v>290.10465779901318</v>
      </c>
      <c r="JO21" s="106">
        <f t="shared" si="201"/>
        <v>406.73493890274301</v>
      </c>
      <c r="JP21" s="106">
        <f t="shared" si="201"/>
        <v>132.212410144263</v>
      </c>
      <c r="JQ21" s="106">
        <f t="shared" si="201"/>
        <v>84.125</v>
      </c>
      <c r="JR21" s="106">
        <f t="shared" si="201"/>
        <v>266.14452488103876</v>
      </c>
      <c r="JU21" s="83"/>
      <c r="JV21" s="83"/>
      <c r="JW21" s="83"/>
      <c r="JX21" s="83"/>
      <c r="JY21" s="83"/>
      <c r="JZ21" s="106"/>
      <c r="KA21" s="106">
        <f t="shared" ref="KA21:KF21" si="202">KA7*1000/KA$4</f>
        <v>423.67000000000007</v>
      </c>
      <c r="KB21" s="106">
        <f t="shared" si="202"/>
        <v>290.27702834707128</v>
      </c>
      <c r="KC21" s="106">
        <f t="shared" si="202"/>
        <v>403.54431392255384</v>
      </c>
      <c r="KD21" s="106">
        <f t="shared" si="202"/>
        <v>132.20361506276151</v>
      </c>
      <c r="KE21" s="106">
        <f t="shared" si="202"/>
        <v>84.125</v>
      </c>
      <c r="KF21" s="106">
        <f t="shared" si="202"/>
        <v>265.16122972372779</v>
      </c>
      <c r="KI21" s="83"/>
      <c r="KJ21" s="83"/>
      <c r="KK21" s="83"/>
      <c r="KL21" s="83"/>
      <c r="KM21" s="83"/>
      <c r="KN21" s="106"/>
      <c r="KO21" s="106">
        <f t="shared" ref="KO21:KT21" si="203">KO7*1000/KO$4</f>
        <v>423.67000000000007</v>
      </c>
      <c r="KP21" s="106">
        <f t="shared" si="203"/>
        <v>289.85316648431802</v>
      </c>
      <c r="KQ21" s="106">
        <f t="shared" si="203"/>
        <v>403.54431392255384</v>
      </c>
      <c r="KR21" s="106">
        <f t="shared" si="203"/>
        <v>132.19573326536462</v>
      </c>
      <c r="KS21" s="106">
        <f t="shared" si="203"/>
        <v>84.125</v>
      </c>
      <c r="KT21" s="106">
        <f t="shared" si="203"/>
        <v>263.95981498538754</v>
      </c>
    </row>
    <row r="22" spans="2:306" x14ac:dyDescent="0.3">
      <c r="H22" s="75">
        <v>430.83684564777332</v>
      </c>
      <c r="I22" s="75">
        <v>284.39292765538596</v>
      </c>
      <c r="J22" s="75">
        <v>491.28793655682165</v>
      </c>
      <c r="K22" s="75">
        <v>137.3644662399339</v>
      </c>
      <c r="L22" s="75">
        <v>281.24837245306514</v>
      </c>
      <c r="T22" s="75">
        <f t="shared" ref="T22:X22" si="204">T8*1000/T$4</f>
        <v>32.57</v>
      </c>
      <c r="U22" s="75">
        <f t="shared" si="204"/>
        <v>30.76</v>
      </c>
      <c r="V22" s="75">
        <f t="shared" si="204"/>
        <v>32.907457627118646</v>
      </c>
      <c r="W22" s="75">
        <f t="shared" si="204"/>
        <v>4.6000000000000005</v>
      </c>
      <c r="X22" s="75">
        <f t="shared" si="204"/>
        <v>24.121248177904334</v>
      </c>
      <c r="AF22" s="75">
        <f t="shared" ref="AF22:AJ22" si="205">AF8*1000/AF$4</f>
        <v>32.57</v>
      </c>
      <c r="AG22" s="75">
        <f t="shared" si="205"/>
        <v>30.760000000000005</v>
      </c>
      <c r="AH22" s="75">
        <f t="shared" si="205"/>
        <v>33.173333333333332</v>
      </c>
      <c r="AI22" s="75">
        <f t="shared" si="205"/>
        <v>4.6000000000000005</v>
      </c>
      <c r="AJ22" s="75">
        <f t="shared" si="205"/>
        <v>24.385964730826917</v>
      </c>
      <c r="AR22" s="75">
        <f t="shared" ref="AR22:AV22" si="206">AR8*1000/AR$4</f>
        <v>32.57</v>
      </c>
      <c r="AS22" s="75">
        <f t="shared" si="206"/>
        <v>30.759999999999998</v>
      </c>
      <c r="AT22" s="75">
        <f t="shared" si="206"/>
        <v>33.113000000000007</v>
      </c>
      <c r="AU22" s="75">
        <f t="shared" si="206"/>
        <v>4.6000000000000005</v>
      </c>
      <c r="AV22" s="75">
        <f t="shared" si="206"/>
        <v>25.846750713797402</v>
      </c>
      <c r="BD22" s="75">
        <f t="shared" ref="BD22:BH22" si="207">BD8*1000/BD$4</f>
        <v>32.57</v>
      </c>
      <c r="BE22" s="75">
        <f t="shared" si="207"/>
        <v>30.76</v>
      </c>
      <c r="BF22" s="75">
        <f t="shared" si="207"/>
        <v>33.113</v>
      </c>
      <c r="BG22" s="75">
        <f t="shared" si="207"/>
        <v>4.6000000000000005</v>
      </c>
      <c r="BH22" s="75">
        <f t="shared" si="207"/>
        <v>25.742510457723618</v>
      </c>
      <c r="BP22" s="75">
        <f t="shared" ref="BP22:BT22" si="208">BP8*1000/BP$4</f>
        <v>32.57</v>
      </c>
      <c r="BQ22" s="75">
        <f t="shared" si="208"/>
        <v>30.760000000000005</v>
      </c>
      <c r="BR22" s="75">
        <f t="shared" si="208"/>
        <v>33.002586919523466</v>
      </c>
      <c r="BS22" s="75">
        <f t="shared" si="208"/>
        <v>4.5999999999999996</v>
      </c>
      <c r="BT22" s="75">
        <f t="shared" si="208"/>
        <v>25.853396471479602</v>
      </c>
      <c r="CB22" s="75">
        <f t="shared" ref="CB22:CF22" si="209">CB8*1000/CB$4</f>
        <v>32.57</v>
      </c>
      <c r="CC22" s="75">
        <f t="shared" si="209"/>
        <v>30.76</v>
      </c>
      <c r="CD22" s="75">
        <f t="shared" si="209"/>
        <v>32.784725897920602</v>
      </c>
      <c r="CE22" s="75">
        <f t="shared" si="209"/>
        <v>4.5999999999999996</v>
      </c>
      <c r="CF22" s="75">
        <f t="shared" si="209"/>
        <v>25.457142790751718</v>
      </c>
      <c r="CN22" s="75">
        <f t="shared" ref="CN22:CR22" si="210">CN8*1000/CN$4</f>
        <v>32.57</v>
      </c>
      <c r="CO22" s="75">
        <f t="shared" si="210"/>
        <v>30.760178306092119</v>
      </c>
      <c r="CP22" s="75">
        <f t="shared" si="210"/>
        <v>32.88432022570975</v>
      </c>
      <c r="CQ22" s="75">
        <f t="shared" si="210"/>
        <v>4.5999999999999996</v>
      </c>
      <c r="CR22" s="75">
        <f t="shared" si="210"/>
        <v>25.422319048099222</v>
      </c>
      <c r="CZ22" s="75">
        <f t="shared" ref="CZ22:DD22" si="211">CZ8*1000/CZ$4</f>
        <v>32.57</v>
      </c>
      <c r="DA22" s="75">
        <f t="shared" si="211"/>
        <v>30.760162675101672</v>
      </c>
      <c r="DB22" s="75">
        <f t="shared" si="211"/>
        <v>32.97063295165394</v>
      </c>
      <c r="DC22" s="75">
        <f t="shared" si="211"/>
        <v>4.5999999999999996</v>
      </c>
      <c r="DD22" s="75">
        <f t="shared" si="211"/>
        <v>25.320734209006655</v>
      </c>
      <c r="DL22" s="75">
        <f t="shared" ref="DL22:DP22" si="212">DL8*1000/DL$4</f>
        <v>32.57</v>
      </c>
      <c r="DM22" s="75">
        <f t="shared" si="212"/>
        <v>30.760154179361987</v>
      </c>
      <c r="DN22" s="75">
        <f t="shared" si="212"/>
        <v>32.953553593179045</v>
      </c>
      <c r="DO22" s="75">
        <f t="shared" si="212"/>
        <v>4.5999999999999996</v>
      </c>
      <c r="DP22" s="75">
        <f t="shared" si="212"/>
        <v>25.133093095683826</v>
      </c>
      <c r="DX22" s="75">
        <f t="shared" ref="DX22:EB22" si="213">DX8*1000/DX$4</f>
        <v>32.57</v>
      </c>
      <c r="DY22" s="75">
        <f t="shared" si="213"/>
        <v>30.760136108800612</v>
      </c>
      <c r="DZ22" s="75">
        <f t="shared" si="213"/>
        <v>32.877679074595868</v>
      </c>
      <c r="EA22" s="75">
        <f t="shared" si="213"/>
        <v>4.5999999999999996</v>
      </c>
      <c r="EB22" s="75">
        <f t="shared" si="213"/>
        <v>25.217987219706686</v>
      </c>
      <c r="EJ22" s="75">
        <f t="shared" ref="EJ22:EN22" si="214">EJ8*1000/EJ$4</f>
        <v>32.57</v>
      </c>
      <c r="EK22" s="75">
        <f t="shared" si="214"/>
        <v>30.760122201962979</v>
      </c>
      <c r="EL22" s="75">
        <f t="shared" si="214"/>
        <v>32.502524117880256</v>
      </c>
      <c r="EM22" s="75">
        <f t="shared" si="214"/>
        <v>4.5999999999999996</v>
      </c>
      <c r="EN22" s="75">
        <f t="shared" si="214"/>
        <v>25.297477954267748</v>
      </c>
      <c r="EV22" s="75">
        <f t="shared" ref="EV22:EZ22" si="215">EV8*1000/EV$4</f>
        <v>32.57</v>
      </c>
      <c r="EW22" s="75">
        <f t="shared" si="215"/>
        <v>30.760115906832976</v>
      </c>
      <c r="EX22" s="75">
        <f t="shared" si="215"/>
        <v>32.525003130086382</v>
      </c>
      <c r="EY22" s="75">
        <f t="shared" si="215"/>
        <v>4.5999999999999988</v>
      </c>
      <c r="EZ22" s="75">
        <f t="shared" si="215"/>
        <v>25.285528963667069</v>
      </c>
      <c r="FH22" s="75">
        <f t="shared" ref="FH22:FL22" si="216">FH8*1000/FH$4</f>
        <v>32.57</v>
      </c>
      <c r="FI22" s="75">
        <f t="shared" si="216"/>
        <v>30.760107754012971</v>
      </c>
      <c r="FJ22" s="75">
        <f t="shared" si="216"/>
        <v>32.341603911430816</v>
      </c>
      <c r="FK22" s="75">
        <f t="shared" si="216"/>
        <v>4.6000000000000005</v>
      </c>
      <c r="FL22" s="75">
        <f t="shared" si="216"/>
        <v>25.181726808541896</v>
      </c>
      <c r="FT22" s="75">
        <f t="shared" ref="FT22:FX22" si="217">FT8*1000/FT$4</f>
        <v>32.57</v>
      </c>
      <c r="FU22" s="75">
        <f t="shared" si="217"/>
        <v>30.760102361628999</v>
      </c>
      <c r="FV22" s="75">
        <f t="shared" si="217"/>
        <v>32.233800558601423</v>
      </c>
      <c r="FW22" s="75">
        <f t="shared" si="217"/>
        <v>4.5999999999999996</v>
      </c>
      <c r="FX22" s="75">
        <f t="shared" si="217"/>
        <v>25.287328082487701</v>
      </c>
      <c r="GF22" s="106"/>
      <c r="GG22" s="106">
        <f t="shared" ref="GG22:GJ22" si="218">GG8*1000/GG$4</f>
        <v>32.57</v>
      </c>
      <c r="GH22" s="106">
        <f t="shared" si="218"/>
        <v>30.760098739890903</v>
      </c>
      <c r="GI22" s="106">
        <f t="shared" si="218"/>
        <v>30.90118454190187</v>
      </c>
      <c r="GJ22" s="106">
        <f t="shared" si="218"/>
        <v>4.5999999999999996</v>
      </c>
      <c r="GK22" s="106">
        <f t="shared" ref="GK22:GL22" si="219">GK8*1000/GK$4</f>
        <v>4.5999999999999996</v>
      </c>
      <c r="GL22" s="106">
        <f t="shared" si="219"/>
        <v>25.17417940598687</v>
      </c>
      <c r="GO22" s="83"/>
      <c r="GP22" s="83"/>
      <c r="GQ22" s="83"/>
      <c r="GR22" s="83"/>
      <c r="GS22" s="83"/>
      <c r="GT22" s="106"/>
      <c r="GU22" s="106">
        <f t="shared" ref="GU22:GZ22" si="220">GU8*1000/GU$4</f>
        <v>32.57</v>
      </c>
      <c r="GV22" s="106">
        <f t="shared" si="220"/>
        <v>30.760094489606132</v>
      </c>
      <c r="GW22" s="106">
        <f t="shared" si="220"/>
        <v>30.456493788819877</v>
      </c>
      <c r="GX22" s="106">
        <f t="shared" si="220"/>
        <v>4.5999999999999996</v>
      </c>
      <c r="GY22" s="106">
        <f t="shared" si="220"/>
        <v>4.5999999999999996</v>
      </c>
      <c r="GZ22" s="106">
        <f t="shared" si="220"/>
        <v>25.152288822988453</v>
      </c>
      <c r="HC22" s="83"/>
      <c r="HD22" s="83"/>
      <c r="HE22" s="83"/>
      <c r="HF22" s="83"/>
      <c r="HG22" s="83"/>
      <c r="HH22" s="106"/>
      <c r="HI22" s="106">
        <f t="shared" ref="HI22:HN22" si="221">HI8*1000/HI$4</f>
        <v>32.57</v>
      </c>
      <c r="HJ22" s="106">
        <f t="shared" si="221"/>
        <v>30.760090023791985</v>
      </c>
      <c r="HK22" s="106">
        <f t="shared" si="221"/>
        <v>30.465945173745173</v>
      </c>
      <c r="HL22" s="106">
        <f t="shared" si="221"/>
        <v>4.5999999999999996</v>
      </c>
      <c r="HM22" s="106">
        <f t="shared" si="221"/>
        <v>4.5999999999999996</v>
      </c>
      <c r="HN22" s="106">
        <f t="shared" si="221"/>
        <v>25.020605629993838</v>
      </c>
      <c r="HQ22" s="83"/>
      <c r="HR22" s="83"/>
      <c r="HS22" s="83"/>
      <c r="HT22" s="83"/>
      <c r="HU22" s="83"/>
      <c r="HV22" s="106"/>
      <c r="HW22" s="106">
        <f t="shared" ref="HW22:IB22" si="222">HW8*1000/HW$4</f>
        <v>32.57</v>
      </c>
      <c r="HX22" s="106">
        <f t="shared" si="222"/>
        <v>30.762311565300685</v>
      </c>
      <c r="HY22" s="106">
        <f t="shared" si="222"/>
        <v>29.977246753246753</v>
      </c>
      <c r="HZ22" s="106">
        <f t="shared" si="222"/>
        <v>4.5999999999999996</v>
      </c>
      <c r="IA22" s="106">
        <f t="shared" si="222"/>
        <v>4.5999999999999996</v>
      </c>
      <c r="IB22" s="106">
        <f t="shared" si="222"/>
        <v>24.99628138116918</v>
      </c>
      <c r="IE22" s="83"/>
      <c r="IF22" s="83"/>
      <c r="IG22" s="83"/>
      <c r="IH22" s="83"/>
      <c r="II22" s="83"/>
      <c r="IJ22" s="106"/>
      <c r="IK22" s="106">
        <f t="shared" ref="IK22:IP22" si="223">IK8*1000/IK$4</f>
        <v>32.57</v>
      </c>
      <c r="IL22" s="106">
        <f t="shared" si="223"/>
        <v>30.762182336036116</v>
      </c>
      <c r="IM22" s="106">
        <f t="shared" si="223"/>
        <v>29.242093951093953</v>
      </c>
      <c r="IN22" s="106">
        <f t="shared" si="223"/>
        <v>4.5999999999999996</v>
      </c>
      <c r="IO22" s="106">
        <f t="shared" si="223"/>
        <v>4.5999999999999996</v>
      </c>
      <c r="IP22" s="106">
        <f t="shared" si="223"/>
        <v>24.877425901694043</v>
      </c>
      <c r="IS22" s="83"/>
      <c r="IT22" s="83"/>
      <c r="IU22" s="83"/>
      <c r="IV22" s="83"/>
      <c r="IW22" s="83"/>
      <c r="IX22" s="106"/>
      <c r="IY22" s="106">
        <f t="shared" ref="IY22:JD22" si="224">IY8*1000/IY$4</f>
        <v>32.57</v>
      </c>
      <c r="IZ22" s="106">
        <f t="shared" si="224"/>
        <v>30.762106658079848</v>
      </c>
      <c r="JA22" s="106">
        <f t="shared" si="224"/>
        <v>29.273083096366506</v>
      </c>
      <c r="JB22" s="106">
        <f t="shared" si="224"/>
        <v>4.5999999999999996</v>
      </c>
      <c r="JC22" s="106">
        <f t="shared" si="224"/>
        <v>4.5999999999999996</v>
      </c>
      <c r="JD22" s="106">
        <f t="shared" si="224"/>
        <v>24.762117551620541</v>
      </c>
      <c r="JG22" s="83"/>
      <c r="JH22" s="83"/>
      <c r="JI22" s="83"/>
      <c r="JJ22" s="83"/>
      <c r="JK22" s="83"/>
      <c r="JL22" s="106"/>
      <c r="JM22" s="106">
        <f t="shared" ref="JM22:JR22" si="225">JM8*1000/JM$4</f>
        <v>32.57</v>
      </c>
      <c r="JN22" s="106">
        <f t="shared" si="225"/>
        <v>30.76204204132101</v>
      </c>
      <c r="JO22" s="106">
        <f t="shared" si="225"/>
        <v>29.245220698254361</v>
      </c>
      <c r="JP22" s="106">
        <f t="shared" si="225"/>
        <v>4.5999999999999988</v>
      </c>
      <c r="JQ22" s="106">
        <f t="shared" si="225"/>
        <v>4.5999999999999996</v>
      </c>
      <c r="JR22" s="106">
        <f t="shared" si="225"/>
        <v>24.74031462214694</v>
      </c>
      <c r="JU22" s="83"/>
      <c r="JV22" s="83"/>
      <c r="JW22" s="83"/>
      <c r="JX22" s="83"/>
      <c r="JY22" s="83"/>
      <c r="JZ22" s="106"/>
      <c r="KA22" s="106">
        <f t="shared" ref="KA22:KF22" si="226">KA8*1000/KA$4</f>
        <v>32.57</v>
      </c>
      <c r="KB22" s="106">
        <f t="shared" si="226"/>
        <v>30.762011613193142</v>
      </c>
      <c r="KC22" s="106">
        <f t="shared" si="226"/>
        <v>28.871506946497195</v>
      </c>
      <c r="KD22" s="106">
        <f t="shared" si="226"/>
        <v>4.5999999999999996</v>
      </c>
      <c r="KE22" s="106">
        <f t="shared" si="226"/>
        <v>4.5999999999999996</v>
      </c>
      <c r="KF22" s="106">
        <f t="shared" si="226"/>
        <v>24.549303404173362</v>
      </c>
      <c r="KI22" s="83"/>
      <c r="KJ22" s="83"/>
      <c r="KK22" s="83"/>
      <c r="KL22" s="83"/>
      <c r="KM22" s="83"/>
      <c r="KN22" s="106"/>
      <c r="KO22" s="106">
        <f t="shared" ref="KO22:KT22" si="227">KO8*1000/KO$4</f>
        <v>32.57</v>
      </c>
      <c r="KP22" s="106">
        <f t="shared" si="227"/>
        <v>30.761938594091895</v>
      </c>
      <c r="KQ22" s="106">
        <f t="shared" si="227"/>
        <v>28.871506946497195</v>
      </c>
      <c r="KR22" s="106">
        <f t="shared" si="227"/>
        <v>4.6000000000000005</v>
      </c>
      <c r="KS22" s="106">
        <f t="shared" si="227"/>
        <v>4.5999999999999996</v>
      </c>
      <c r="KT22" s="106">
        <f t="shared" si="227"/>
        <v>24.470595223203958</v>
      </c>
    </row>
    <row r="23" spans="2:306" x14ac:dyDescent="0.3">
      <c r="T23" s="75">
        <f t="shared" ref="T23:X23" si="228">T9*1000/T$4</f>
        <v>19.510000000000002</v>
      </c>
      <c r="U23" s="75">
        <f t="shared" si="228"/>
        <v>18.690000000000001</v>
      </c>
      <c r="V23" s="75">
        <f t="shared" si="228"/>
        <v>19.662881355932207</v>
      </c>
      <c r="W23" s="75">
        <f t="shared" si="228"/>
        <v>2</v>
      </c>
      <c r="X23" s="75">
        <f t="shared" si="228"/>
        <v>14.403995050679686</v>
      </c>
      <c r="AF23" s="75">
        <f t="shared" ref="AF23:AJ23" si="229">AF9*1000/AF$4</f>
        <v>19.510000000000002</v>
      </c>
      <c r="AG23" s="75">
        <f t="shared" si="229"/>
        <v>18.690000000000001</v>
      </c>
      <c r="AH23" s="75">
        <f t="shared" si="229"/>
        <v>19.783333333333335</v>
      </c>
      <c r="AI23" s="75">
        <f t="shared" si="229"/>
        <v>2</v>
      </c>
      <c r="AJ23" s="75">
        <f t="shared" si="229"/>
        <v>14.57698712313182</v>
      </c>
      <c r="AR23" s="75">
        <f t="shared" ref="AR23:AV23" si="230">AR9*1000/AR$4</f>
        <v>19.510000000000002</v>
      </c>
      <c r="AS23" s="75">
        <f t="shared" si="230"/>
        <v>18.689999999999998</v>
      </c>
      <c r="AT23" s="75">
        <f t="shared" si="230"/>
        <v>19.756000000000004</v>
      </c>
      <c r="AU23" s="75">
        <f t="shared" si="230"/>
        <v>2</v>
      </c>
      <c r="AV23" s="75">
        <f t="shared" si="230"/>
        <v>15.511271966863715</v>
      </c>
      <c r="BD23" s="75">
        <f t="shared" ref="BD23:BH23" si="231">BD9*1000/BD$4</f>
        <v>19.510000000000002</v>
      </c>
      <c r="BE23" s="75">
        <f t="shared" si="231"/>
        <v>18.690000000000001</v>
      </c>
      <c r="BF23" s="75">
        <f t="shared" si="231"/>
        <v>19.756000000000004</v>
      </c>
      <c r="BG23" s="75">
        <f t="shared" si="231"/>
        <v>2</v>
      </c>
      <c r="BH23" s="75">
        <f t="shared" si="231"/>
        <v>15.45574306467932</v>
      </c>
      <c r="BP23" s="75">
        <f t="shared" ref="BP23:BT23" si="232">BP9*1000/BP$4</f>
        <v>19.510000000000002</v>
      </c>
      <c r="BQ23" s="75">
        <f t="shared" si="232"/>
        <v>18.689999999999998</v>
      </c>
      <c r="BR23" s="75">
        <f t="shared" si="232"/>
        <v>19.705978604424995</v>
      </c>
      <c r="BS23" s="75">
        <f t="shared" si="232"/>
        <v>2</v>
      </c>
      <c r="BT23" s="75">
        <f t="shared" si="232"/>
        <v>15.527461575928134</v>
      </c>
      <c r="CB23" s="75">
        <f t="shared" ref="CB23:CF23" si="233">CB9*1000/CB$4</f>
        <v>19.510000000000002</v>
      </c>
      <c r="CC23" s="75">
        <f t="shared" si="233"/>
        <v>18.689999999999994</v>
      </c>
      <c r="CD23" s="75">
        <f t="shared" si="233"/>
        <v>19.6073240915774</v>
      </c>
      <c r="CE23" s="75">
        <f t="shared" si="233"/>
        <v>2</v>
      </c>
      <c r="CF23" s="75">
        <f t="shared" si="233"/>
        <v>15.27830161496456</v>
      </c>
      <c r="CN23" s="75">
        <f t="shared" ref="CN23:CR23" si="234">CN9*1000/CN$4</f>
        <v>19.510000000000002</v>
      </c>
      <c r="CO23" s="75">
        <f t="shared" si="234"/>
        <v>18.690079247152056</v>
      </c>
      <c r="CP23" s="75">
        <f t="shared" si="234"/>
        <v>19.652436959971784</v>
      </c>
      <c r="CQ23" s="75">
        <f t="shared" si="234"/>
        <v>2</v>
      </c>
      <c r="CR23" s="75">
        <f t="shared" si="234"/>
        <v>15.255333467782592</v>
      </c>
      <c r="CZ23" s="75">
        <f t="shared" ref="CZ23:DD23" si="235">CZ9*1000/CZ$4</f>
        <v>19.510000000000002</v>
      </c>
      <c r="DA23" s="75">
        <f t="shared" si="235"/>
        <v>18.690072300045188</v>
      </c>
      <c r="DB23" s="75">
        <f t="shared" si="235"/>
        <v>19.691536259541984</v>
      </c>
      <c r="DC23" s="75">
        <f t="shared" si="235"/>
        <v>2</v>
      </c>
      <c r="DD23" s="75">
        <f t="shared" si="235"/>
        <v>15.190041247697005</v>
      </c>
      <c r="DL23" s="75">
        <f t="shared" ref="DL23:DP23" si="236">DL9*1000/DL$4</f>
        <v>19.510000000000002</v>
      </c>
      <c r="DM23" s="75">
        <f t="shared" si="236"/>
        <v>18.690068524160885</v>
      </c>
      <c r="DN23" s="75">
        <f t="shared" si="236"/>
        <v>19.683797198538372</v>
      </c>
      <c r="DO23" s="75">
        <f t="shared" si="236"/>
        <v>2</v>
      </c>
      <c r="DP23" s="75">
        <f t="shared" si="236"/>
        <v>15.071265949462099</v>
      </c>
      <c r="DX23" s="75">
        <f t="shared" ref="DX23:EB23" si="237">DX9*1000/DX$4</f>
        <v>19.510000000000002</v>
      </c>
      <c r="DY23" s="75">
        <f t="shared" si="237"/>
        <v>18.690060492800278</v>
      </c>
      <c r="DZ23" s="75">
        <f t="shared" si="237"/>
        <v>19.64944090167581</v>
      </c>
      <c r="EA23" s="75">
        <f t="shared" si="237"/>
        <v>2</v>
      </c>
      <c r="EB23" s="75">
        <f t="shared" si="237"/>
        <v>15.128615416711741</v>
      </c>
      <c r="EJ23" s="75">
        <f t="shared" ref="EJ23:EN23" si="238">EJ9*1000/EJ$4</f>
        <v>19.510000000000002</v>
      </c>
      <c r="EK23" s="75">
        <f t="shared" si="238"/>
        <v>18.690054311983552</v>
      </c>
      <c r="EL23" s="75">
        <f t="shared" si="238"/>
        <v>19.479496497951633</v>
      </c>
      <c r="EM23" s="75">
        <f t="shared" si="238"/>
        <v>2</v>
      </c>
      <c r="EN23" s="75">
        <f t="shared" si="238"/>
        <v>15.183211520335139</v>
      </c>
      <c r="EV23" s="75">
        <f t="shared" ref="EV23:EZ23" si="239">EV9*1000/EV$4</f>
        <v>19.510000000000002</v>
      </c>
      <c r="EW23" s="75">
        <f t="shared" si="239"/>
        <v>18.690051514147996</v>
      </c>
      <c r="EX23" s="75">
        <f t="shared" si="239"/>
        <v>19.489689495430078</v>
      </c>
      <c r="EY23" s="75">
        <f t="shared" si="239"/>
        <v>2.0000000000000004</v>
      </c>
      <c r="EZ23" s="75">
        <f t="shared" si="239"/>
        <v>15.175585533070583</v>
      </c>
      <c r="FH23" s="75">
        <f t="shared" ref="FH23:FL23" si="240">FH9*1000/FH$4</f>
        <v>19.510000000000002</v>
      </c>
      <c r="FI23" s="75">
        <f t="shared" si="240"/>
        <v>18.690047890672446</v>
      </c>
      <c r="FJ23" s="75">
        <f t="shared" si="240"/>
        <v>19.406597729571761</v>
      </c>
      <c r="FK23" s="75">
        <f t="shared" si="240"/>
        <v>2</v>
      </c>
      <c r="FL23" s="75">
        <f t="shared" si="240"/>
        <v>15.111034125973459</v>
      </c>
      <c r="FT23" s="75">
        <f t="shared" ref="FT23:FX23" si="241">FT9*1000/FT$4</f>
        <v>19.510000000000002</v>
      </c>
      <c r="FU23" s="75">
        <f t="shared" si="241"/>
        <v>18.690045494057344</v>
      </c>
      <c r="FV23" s="75">
        <f t="shared" si="241"/>
        <v>19.357773869866556</v>
      </c>
      <c r="FW23" s="75">
        <f t="shared" si="241"/>
        <v>2</v>
      </c>
      <c r="FX23" s="75">
        <f t="shared" si="241"/>
        <v>15.179147856650747</v>
      </c>
      <c r="GF23" s="106"/>
      <c r="GG23" s="106">
        <f t="shared" ref="GG23:GJ23" si="242">GG9*1000/GG$4</f>
        <v>19.510000000000002</v>
      </c>
      <c r="GH23" s="106">
        <f t="shared" si="242"/>
        <v>18.690043884395966</v>
      </c>
      <c r="GI23" s="106">
        <f t="shared" si="242"/>
        <v>18.753924446374295</v>
      </c>
      <c r="GJ23" s="106">
        <f t="shared" si="242"/>
        <v>2</v>
      </c>
      <c r="GK23" s="106">
        <f t="shared" ref="GK23:GL23" si="243">GK9*1000/GK$4</f>
        <v>2</v>
      </c>
      <c r="GL23" s="106">
        <f t="shared" si="243"/>
        <v>15.120848113170798</v>
      </c>
      <c r="GO23" s="83"/>
      <c r="GP23" s="83"/>
      <c r="GQ23" s="83"/>
      <c r="GR23" s="83"/>
      <c r="GS23" s="83"/>
      <c r="GT23" s="106"/>
      <c r="GU23" s="106">
        <f t="shared" ref="GU23:GZ23" si="244">GU9*1000/GU$4</f>
        <v>19.510000000000002</v>
      </c>
      <c r="GV23" s="106">
        <f t="shared" si="244"/>
        <v>18.690041995380515</v>
      </c>
      <c r="GW23" s="106">
        <f t="shared" si="244"/>
        <v>18.552448757763976</v>
      </c>
      <c r="GX23" s="106">
        <f t="shared" si="244"/>
        <v>2</v>
      </c>
      <c r="GY23" s="106">
        <f t="shared" si="244"/>
        <v>2</v>
      </c>
      <c r="GZ23" s="106">
        <f t="shared" si="244"/>
        <v>15.106331228882301</v>
      </c>
      <c r="HC23" s="83"/>
      <c r="HD23" s="83"/>
      <c r="HE23" s="83"/>
      <c r="HF23" s="83"/>
      <c r="HG23" s="83"/>
      <c r="HH23" s="106"/>
      <c r="HI23" s="106">
        <f t="shared" ref="HI23:HN23" si="245">HI9*1000/HI$4</f>
        <v>19.510000000000002</v>
      </c>
      <c r="HJ23" s="106">
        <f t="shared" si="245"/>
        <v>18.690040010574229</v>
      </c>
      <c r="HK23" s="106">
        <f t="shared" si="245"/>
        <v>18.556732818532819</v>
      </c>
      <c r="HL23" s="106">
        <f t="shared" si="245"/>
        <v>2</v>
      </c>
      <c r="HM23" s="106">
        <f t="shared" si="245"/>
        <v>2</v>
      </c>
      <c r="HN23" s="106">
        <f t="shared" si="245"/>
        <v>15.022513878303627</v>
      </c>
      <c r="HQ23" s="83"/>
      <c r="HR23" s="83"/>
      <c r="HS23" s="83"/>
      <c r="HT23" s="83"/>
      <c r="HU23" s="83"/>
      <c r="HV23" s="106"/>
      <c r="HW23" s="106">
        <f t="shared" ref="HW23:IB23" si="246">HW9*1000/HW$4</f>
        <v>19.510000000000002</v>
      </c>
      <c r="HX23" s="106">
        <f t="shared" si="246"/>
        <v>18.691027362355875</v>
      </c>
      <c r="HY23" s="106">
        <f t="shared" si="246"/>
        <v>18.335305916305916</v>
      </c>
      <c r="HZ23" s="106">
        <f t="shared" si="246"/>
        <v>2</v>
      </c>
      <c r="IA23" s="106">
        <f t="shared" si="246"/>
        <v>2</v>
      </c>
      <c r="IB23" s="106">
        <f t="shared" si="246"/>
        <v>15.013069119291732</v>
      </c>
      <c r="IE23" s="83"/>
      <c r="IF23" s="83"/>
      <c r="IG23" s="83"/>
      <c r="IH23" s="83"/>
      <c r="II23" s="83"/>
      <c r="IJ23" s="106"/>
      <c r="IK23" s="106">
        <f t="shared" ref="IK23:IP23" si="247">IK9*1000/IK$4</f>
        <v>19.510000000000002</v>
      </c>
      <c r="IL23" s="106">
        <f t="shared" si="247"/>
        <v>18.690969927127174</v>
      </c>
      <c r="IM23" s="106">
        <f t="shared" si="247"/>
        <v>18.002209781209782</v>
      </c>
      <c r="IN23" s="106">
        <f t="shared" si="247"/>
        <v>2</v>
      </c>
      <c r="IO23" s="106">
        <f t="shared" si="247"/>
        <v>2</v>
      </c>
      <c r="IP23" s="106">
        <f t="shared" si="247"/>
        <v>14.947563691610538</v>
      </c>
      <c r="IS23" s="83"/>
      <c r="IT23" s="83"/>
      <c r="IU23" s="83"/>
      <c r="IV23" s="83"/>
      <c r="IW23" s="83"/>
      <c r="IX23" s="106"/>
      <c r="IY23" s="106">
        <f t="shared" ref="IY23:JD23" si="248">IY9*1000/IY$4</f>
        <v>19.510000000000002</v>
      </c>
      <c r="IZ23" s="106">
        <f t="shared" si="248"/>
        <v>18.690936292479943</v>
      </c>
      <c r="JA23" s="106">
        <f t="shared" si="248"/>
        <v>18.016252132701428</v>
      </c>
      <c r="JB23" s="106">
        <f t="shared" si="248"/>
        <v>2</v>
      </c>
      <c r="JC23" s="106">
        <f t="shared" si="248"/>
        <v>2</v>
      </c>
      <c r="JD23" s="106">
        <f t="shared" si="248"/>
        <v>14.873550716371124</v>
      </c>
      <c r="JG23" s="83"/>
      <c r="JH23" s="83"/>
      <c r="JI23" s="83"/>
      <c r="JJ23" s="83"/>
      <c r="JK23" s="83"/>
      <c r="JL23" s="106"/>
      <c r="JM23" s="106">
        <f t="shared" ref="JM23:JR23" si="249">JM9*1000/JM$4</f>
        <v>19.510000000000002</v>
      </c>
      <c r="JN23" s="106">
        <f t="shared" si="249"/>
        <v>18.690907573920466</v>
      </c>
      <c r="JO23" s="106">
        <f t="shared" si="249"/>
        <v>18.003624688279309</v>
      </c>
      <c r="JP23" s="106">
        <f t="shared" si="249"/>
        <v>2</v>
      </c>
      <c r="JQ23" s="106">
        <f t="shared" si="249"/>
        <v>2</v>
      </c>
      <c r="JR23" s="106">
        <f t="shared" si="249"/>
        <v>14.855697878861205</v>
      </c>
      <c r="JU23" s="83"/>
      <c r="JV23" s="83"/>
      <c r="JW23" s="83"/>
      <c r="JX23" s="83"/>
      <c r="JY23" s="83"/>
      <c r="JZ23" s="106"/>
      <c r="KA23" s="106">
        <f t="shared" ref="KA23:KF23" si="250">KA9*1000/KA$4</f>
        <v>19.510000000000002</v>
      </c>
      <c r="KB23" s="106">
        <f t="shared" si="250"/>
        <v>18.690894050308081</v>
      </c>
      <c r="KC23" s="106">
        <f t="shared" si="250"/>
        <v>17.834282589417683</v>
      </c>
      <c r="KD23" s="106">
        <f t="shared" si="250"/>
        <v>2</v>
      </c>
      <c r="KE23" s="106">
        <f t="shared" si="250"/>
        <v>2</v>
      </c>
      <c r="KF23" s="106">
        <f t="shared" si="250"/>
        <v>14.739231555323229</v>
      </c>
      <c r="KI23" s="83"/>
      <c r="KJ23" s="83"/>
      <c r="KK23" s="83"/>
      <c r="KL23" s="83"/>
      <c r="KM23" s="83"/>
      <c r="KN23" s="106"/>
      <c r="KO23" s="106">
        <f t="shared" ref="KO23:KT23" si="251">KO9*1000/KO$4</f>
        <v>19.510000000000002</v>
      </c>
      <c r="KP23" s="106">
        <f t="shared" si="251"/>
        <v>18.690861597374191</v>
      </c>
      <c r="KQ23" s="106">
        <f t="shared" si="251"/>
        <v>17.834282589417683</v>
      </c>
      <c r="KR23" s="106">
        <f t="shared" si="251"/>
        <v>2</v>
      </c>
      <c r="KS23" s="106">
        <f t="shared" si="251"/>
        <v>2</v>
      </c>
      <c r="KT23" s="106">
        <f t="shared" si="251"/>
        <v>14.688601606416576</v>
      </c>
    </row>
  </sheetData>
  <mergeCells count="72">
    <mergeCell ref="JU2:JZ2"/>
    <mergeCell ref="KA2:KF2"/>
    <mergeCell ref="JT12:KF12"/>
    <mergeCell ref="JG2:JL2"/>
    <mergeCell ref="JM2:JR2"/>
    <mergeCell ref="JF12:JR12"/>
    <mergeCell ref="IS2:IX2"/>
    <mergeCell ref="IY2:JD2"/>
    <mergeCell ref="IR12:JD12"/>
    <mergeCell ref="HQ2:HV2"/>
    <mergeCell ref="HW2:IB2"/>
    <mergeCell ref="HP12:IB12"/>
    <mergeCell ref="HI2:HN2"/>
    <mergeCell ref="HB12:HN12"/>
    <mergeCell ref="FB12:FL12"/>
    <mergeCell ref="FC2:FG2"/>
    <mergeCell ref="FH2:FL2"/>
    <mergeCell ref="GA2:GF2"/>
    <mergeCell ref="GG2:GL2"/>
    <mergeCell ref="FZ12:GL12"/>
    <mergeCell ref="BD2:BH2"/>
    <mergeCell ref="AX12:BH12"/>
    <mergeCell ref="AA2:AE2"/>
    <mergeCell ref="AF2:AJ2"/>
    <mergeCell ref="Z12:AJ12"/>
    <mergeCell ref="AY2:BC2"/>
    <mergeCell ref="AM2:AQ2"/>
    <mergeCell ref="AR2:AV2"/>
    <mergeCell ref="AL12:AV12"/>
    <mergeCell ref="C2:G2"/>
    <mergeCell ref="H2:L2"/>
    <mergeCell ref="B12:L12"/>
    <mergeCell ref="O2:S2"/>
    <mergeCell ref="T2:X2"/>
    <mergeCell ref="N12:X12"/>
    <mergeCell ref="BK2:BO2"/>
    <mergeCell ref="BP2:BT2"/>
    <mergeCell ref="BJ12:BT12"/>
    <mergeCell ref="BW2:CA2"/>
    <mergeCell ref="CB2:CF2"/>
    <mergeCell ref="BV12:CF12"/>
    <mergeCell ref="CI2:CM2"/>
    <mergeCell ref="CN2:CR2"/>
    <mergeCell ref="CH12:CR12"/>
    <mergeCell ref="CZ2:DD2"/>
    <mergeCell ref="CT12:DD12"/>
    <mergeCell ref="CU2:CY2"/>
    <mergeCell ref="DG2:DK2"/>
    <mergeCell ref="DL2:DP2"/>
    <mergeCell ref="DF12:DP12"/>
    <mergeCell ref="EJ2:EN2"/>
    <mergeCell ref="ED12:EN12"/>
    <mergeCell ref="DX2:EB2"/>
    <mergeCell ref="DR12:EB12"/>
    <mergeCell ref="EE2:EI2"/>
    <mergeCell ref="DS2:DW2"/>
    <mergeCell ref="EQ2:EU2"/>
    <mergeCell ref="EV2:EZ2"/>
    <mergeCell ref="EP12:EZ12"/>
    <mergeCell ref="KI2:KN2"/>
    <mergeCell ref="KO2:KT2"/>
    <mergeCell ref="KH12:KT12"/>
    <mergeCell ref="IE2:IJ2"/>
    <mergeCell ref="IK2:IP2"/>
    <mergeCell ref="ID12:IP12"/>
    <mergeCell ref="GO2:GT2"/>
    <mergeCell ref="GU2:GZ2"/>
    <mergeCell ref="GN12:GZ12"/>
    <mergeCell ref="FO2:FS2"/>
    <mergeCell ref="FT2:FX2"/>
    <mergeCell ref="FN12:FX12"/>
    <mergeCell ref="HC2:HH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9530-0DA5-4B9E-862B-858BB9BBF579}">
  <dimension ref="B1:LP31"/>
  <sheetViews>
    <sheetView topLeftCell="KR1" workbookViewId="0">
      <selection activeCell="KY21" sqref="KY21"/>
    </sheetView>
  </sheetViews>
  <sheetFormatPr defaultRowHeight="14.4" x14ac:dyDescent="0.3"/>
  <cols>
    <col min="2" max="2" width="15.109375" bestFit="1" customWidth="1"/>
    <col min="3" max="3" width="5.109375" hidden="1" customWidth="1"/>
    <col min="4" max="4" width="6.88671875" hidden="1" customWidth="1"/>
    <col min="5" max="5" width="5.44140625" hidden="1" customWidth="1"/>
    <col min="6" max="6" width="6.88671875" hidden="1" customWidth="1"/>
    <col min="7" max="7" width="6" hidden="1" customWidth="1"/>
    <col min="8" max="8" width="7.88671875" hidden="1" customWidth="1"/>
    <col min="9" max="9" width="5.109375" bestFit="1" customWidth="1"/>
    <col min="10" max="10" width="7.88671875" bestFit="1" customWidth="1"/>
    <col min="11" max="12" width="6.88671875" bestFit="1" customWidth="1"/>
    <col min="13" max="13" width="6" bestFit="1" customWidth="1"/>
    <col min="14" max="14" width="7.88671875" bestFit="1" customWidth="1"/>
    <col min="16" max="16" width="15.109375" bestFit="1" customWidth="1"/>
    <col min="17" max="17" width="5.109375" hidden="1" customWidth="1"/>
    <col min="18" max="18" width="6.88671875" hidden="1" customWidth="1"/>
    <col min="19" max="19" width="5.44140625" hidden="1" customWidth="1"/>
    <col min="20" max="20" width="6.88671875" hidden="1" customWidth="1"/>
    <col min="21" max="21" width="6" hidden="1" customWidth="1"/>
    <col min="22" max="22" width="7.88671875" hidden="1" customWidth="1"/>
    <col min="23" max="23" width="5.109375" bestFit="1" customWidth="1"/>
    <col min="24" max="24" width="7.88671875" bestFit="1" customWidth="1"/>
    <col min="25" max="26" width="6.88671875" bestFit="1" customWidth="1"/>
    <col min="27" max="27" width="6" bestFit="1" customWidth="1"/>
    <col min="28" max="28" width="7.88671875" bestFit="1" customWidth="1"/>
    <col min="30" max="30" width="15.109375" bestFit="1" customWidth="1"/>
    <col min="31" max="31" width="5.109375" bestFit="1" customWidth="1"/>
    <col min="32" max="32" width="6.88671875" bestFit="1" customWidth="1"/>
    <col min="33" max="33" width="5.44140625" bestFit="1" customWidth="1"/>
    <col min="34" max="34" width="6.88671875" bestFit="1" customWidth="1"/>
    <col min="35" max="35" width="6" bestFit="1" customWidth="1"/>
    <col min="36" max="36" width="7.88671875" bestFit="1" customWidth="1"/>
    <col min="37" max="37" width="5.109375" bestFit="1" customWidth="1"/>
    <col min="38" max="38" width="7.88671875" bestFit="1" customWidth="1"/>
    <col min="39" max="40" width="6.88671875" bestFit="1" customWidth="1"/>
    <col min="41" max="41" width="6" bestFit="1" customWidth="1"/>
    <col min="42" max="42" width="7.88671875" bestFit="1" customWidth="1"/>
    <col min="44" max="44" width="15.109375" bestFit="1" customWidth="1"/>
    <col min="45" max="45" width="5.109375" hidden="1" customWidth="1"/>
    <col min="46" max="46" width="6.88671875" hidden="1" customWidth="1"/>
    <col min="47" max="47" width="5.44140625" hidden="1" customWidth="1"/>
    <col min="48" max="48" width="6.88671875" hidden="1" customWidth="1"/>
    <col min="49" max="49" width="6" hidden="1" customWidth="1"/>
    <col min="50" max="50" width="6.88671875" hidden="1" customWidth="1"/>
    <col min="51" max="51" width="5.109375" bestFit="1" customWidth="1"/>
    <col min="52" max="52" width="7.88671875" bestFit="1" customWidth="1"/>
    <col min="53" max="54" width="6.88671875" bestFit="1" customWidth="1"/>
    <col min="55" max="55" width="6" bestFit="1" customWidth="1"/>
    <col min="56" max="56" width="7.88671875" bestFit="1" customWidth="1"/>
    <col min="58" max="58" width="15.109375" bestFit="1" customWidth="1"/>
    <col min="59" max="62" width="6.88671875" hidden="1" customWidth="1"/>
    <col min="63" max="63" width="6" hidden="1" customWidth="1"/>
    <col min="64" max="64" width="7.88671875" hidden="1" customWidth="1"/>
    <col min="65" max="65" width="6.88671875" bestFit="1" customWidth="1"/>
    <col min="66" max="66" width="7.88671875" bestFit="1" customWidth="1"/>
    <col min="67" max="67" width="6.88671875" bestFit="1" customWidth="1"/>
    <col min="68" max="68" width="7.88671875" bestFit="1" customWidth="1"/>
    <col min="69" max="69" width="6" bestFit="1" customWidth="1"/>
    <col min="70" max="70" width="7.88671875" bestFit="1" customWidth="1"/>
    <col min="72" max="72" width="15.109375" bestFit="1" customWidth="1"/>
    <col min="73" max="73" width="5.109375" bestFit="1" customWidth="1"/>
    <col min="74" max="74" width="6.88671875" bestFit="1" customWidth="1"/>
    <col min="75" max="75" width="5.44140625" bestFit="1" customWidth="1"/>
    <col min="76" max="76" width="6.88671875" bestFit="1" customWidth="1"/>
    <col min="77" max="77" width="6" bestFit="1" customWidth="1"/>
    <col min="78" max="79" width="6.88671875" bestFit="1" customWidth="1"/>
    <col min="80" max="80" width="7.88671875" bestFit="1" customWidth="1"/>
    <col min="81" max="81" width="6.88671875" bestFit="1" customWidth="1"/>
    <col min="82" max="82" width="7.88671875" bestFit="1" customWidth="1"/>
    <col min="83" max="83" width="6" bestFit="1" customWidth="1"/>
    <col min="84" max="84" width="7.88671875" bestFit="1" customWidth="1"/>
    <col min="86" max="86" width="15.109375" bestFit="1" customWidth="1"/>
    <col min="87" max="87" width="5.109375" bestFit="1" customWidth="1"/>
    <col min="88" max="88" width="6.88671875" bestFit="1" customWidth="1"/>
    <col min="89" max="89" width="5.44140625" bestFit="1" customWidth="1"/>
    <col min="90" max="90" width="6.88671875" bestFit="1" customWidth="1"/>
    <col min="91" max="91" width="5.6640625" bestFit="1" customWidth="1"/>
    <col min="92" max="92" width="7.88671875" bestFit="1" customWidth="1"/>
    <col min="93" max="93" width="6.88671875" bestFit="1" customWidth="1"/>
    <col min="94" max="94" width="7.88671875" bestFit="1" customWidth="1"/>
    <col min="95" max="95" width="6.88671875" bestFit="1" customWidth="1"/>
    <col min="96" max="96" width="7.88671875" bestFit="1" customWidth="1"/>
    <col min="97" max="97" width="5.6640625" bestFit="1" customWidth="1"/>
    <col min="98" max="98" width="9.33203125" bestFit="1" customWidth="1"/>
    <col min="100" max="100" width="15.109375" bestFit="1" customWidth="1"/>
    <col min="101" max="101" width="5.109375" bestFit="1" customWidth="1"/>
    <col min="102" max="102" width="6.88671875" bestFit="1" customWidth="1"/>
    <col min="103" max="103" width="5.44140625" bestFit="1" customWidth="1"/>
    <col min="104" max="104" width="6.88671875" bestFit="1" customWidth="1"/>
    <col min="105" max="105" width="5.21875" bestFit="1" customWidth="1"/>
    <col min="106" max="106" width="7.88671875" bestFit="1" customWidth="1"/>
    <col min="107" max="107" width="6.88671875" bestFit="1" customWidth="1"/>
    <col min="108" max="108" width="7.88671875" bestFit="1" customWidth="1"/>
    <col min="109" max="109" width="6.88671875" bestFit="1" customWidth="1"/>
    <col min="110" max="110" width="7.88671875" bestFit="1" customWidth="1"/>
    <col min="111" max="111" width="5.6640625" bestFit="1" customWidth="1"/>
    <col min="112" max="112" width="9.33203125" bestFit="1" customWidth="1"/>
    <col min="114" max="114" width="15.109375" bestFit="1" customWidth="1"/>
    <col min="115" max="115" width="5.109375" bestFit="1" customWidth="1"/>
    <col min="116" max="116" width="6.88671875" bestFit="1" customWidth="1"/>
    <col min="117" max="117" width="5.6640625" bestFit="1" customWidth="1"/>
    <col min="118" max="118" width="6.88671875" bestFit="1" customWidth="1"/>
    <col min="119" max="119" width="5.21875" bestFit="1" customWidth="1"/>
    <col min="120" max="121" width="6.88671875" bestFit="1" customWidth="1"/>
    <col min="122" max="122" width="7.88671875" bestFit="1" customWidth="1"/>
    <col min="123" max="123" width="6.88671875" bestFit="1" customWidth="1"/>
    <col min="124" max="124" width="7.88671875" bestFit="1" customWidth="1"/>
    <col min="125" max="125" width="5.6640625" bestFit="1" customWidth="1"/>
    <col min="126" max="126" width="9.33203125" bestFit="1" customWidth="1"/>
    <col min="128" max="128" width="15.109375" bestFit="1" customWidth="1"/>
    <col min="129" max="129" width="5.109375" bestFit="1" customWidth="1"/>
    <col min="130" max="130" width="6.88671875" bestFit="1" customWidth="1"/>
    <col min="131" max="131" width="5.44140625" bestFit="1" customWidth="1"/>
    <col min="132" max="132" width="6.88671875" bestFit="1" customWidth="1"/>
    <col min="133" max="133" width="5.21875" bestFit="1" customWidth="1"/>
    <col min="134" max="135" width="6.88671875" bestFit="1" customWidth="1"/>
    <col min="136" max="136" width="7.88671875" bestFit="1" customWidth="1"/>
    <col min="137" max="137" width="6.88671875" bestFit="1" customWidth="1"/>
    <col min="138" max="138" width="7.88671875" bestFit="1" customWidth="1"/>
    <col min="139" max="139" width="5.6640625" bestFit="1" customWidth="1"/>
    <col min="140" max="140" width="9.33203125" bestFit="1" customWidth="1"/>
    <col min="142" max="142" width="15.109375" bestFit="1" customWidth="1"/>
    <col min="143" max="143" width="5.109375" bestFit="1" customWidth="1"/>
    <col min="144" max="144" width="7.88671875" bestFit="1" customWidth="1"/>
    <col min="145" max="145" width="5.44140625" bestFit="1" customWidth="1"/>
    <col min="146" max="146" width="6.88671875" bestFit="1" customWidth="1"/>
    <col min="147" max="147" width="5.21875" bestFit="1" customWidth="1"/>
    <col min="148" max="148" width="7.88671875" bestFit="1" customWidth="1"/>
    <col min="149" max="149" width="6.88671875" bestFit="1" customWidth="1"/>
    <col min="150" max="150" width="9.33203125" bestFit="1" customWidth="1"/>
    <col min="151" max="151" width="6.88671875" bestFit="1" customWidth="1"/>
    <col min="152" max="152" width="7.88671875" bestFit="1" customWidth="1"/>
    <col min="153" max="153" width="5.6640625" bestFit="1" customWidth="1"/>
    <col min="154" max="154" width="9.33203125" bestFit="1" customWidth="1"/>
    <col min="156" max="156" width="15.109375" bestFit="1" customWidth="1"/>
    <col min="157" max="157" width="5.109375" bestFit="1" customWidth="1"/>
    <col min="158" max="158" width="6.88671875" bestFit="1" customWidth="1"/>
    <col min="159" max="159" width="5.44140625" bestFit="1" customWidth="1"/>
    <col min="160" max="160" width="6.88671875" bestFit="1" customWidth="1"/>
    <col min="161" max="161" width="5.21875" bestFit="1" customWidth="1"/>
    <col min="162" max="162" width="7.88671875" bestFit="1" customWidth="1"/>
    <col min="163" max="163" width="6.88671875" bestFit="1" customWidth="1"/>
    <col min="164" max="164" width="9.33203125" bestFit="1" customWidth="1"/>
    <col min="165" max="165" width="6.88671875" bestFit="1" customWidth="1"/>
    <col min="166" max="166" width="7.88671875" bestFit="1" customWidth="1"/>
    <col min="167" max="167" width="5.6640625" bestFit="1" customWidth="1"/>
    <col min="168" max="168" width="9.33203125" bestFit="1" customWidth="1"/>
    <col min="170" max="170" width="15.109375" bestFit="1" customWidth="1"/>
    <col min="171" max="171" width="5.109375" bestFit="1" customWidth="1"/>
    <col min="172" max="172" width="6.88671875" bestFit="1" customWidth="1"/>
    <col min="173" max="173" width="5.44140625" bestFit="1" customWidth="1"/>
    <col min="174" max="174" width="6.88671875" bestFit="1" customWidth="1"/>
    <col min="175" max="175" width="5.21875" bestFit="1" customWidth="1"/>
    <col min="176" max="177" width="6.88671875" bestFit="1" customWidth="1"/>
    <col min="178" max="178" width="9.33203125" bestFit="1" customWidth="1"/>
    <col min="179" max="179" width="6.88671875" bestFit="1" customWidth="1"/>
    <col min="180" max="180" width="7.88671875" bestFit="1" customWidth="1"/>
    <col min="181" max="181" width="5.6640625" bestFit="1" customWidth="1"/>
    <col min="182" max="182" width="9.33203125" bestFit="1" customWidth="1"/>
    <col min="184" max="184" width="15.21875" bestFit="1" customWidth="1"/>
    <col min="185" max="185" width="5.21875" bestFit="1" customWidth="1"/>
    <col min="186" max="186" width="7" bestFit="1" customWidth="1"/>
    <col min="187" max="187" width="5.77734375" bestFit="1" customWidth="1"/>
    <col min="188" max="188" width="7" bestFit="1" customWidth="1"/>
    <col min="189" max="189" width="5.33203125" bestFit="1" customWidth="1"/>
    <col min="190" max="191" width="7" bestFit="1" customWidth="1"/>
    <col min="192" max="192" width="9.44140625" bestFit="1" customWidth="1"/>
    <col min="193" max="193" width="7" bestFit="1" customWidth="1"/>
    <col min="194" max="194" width="8" bestFit="1" customWidth="1"/>
    <col min="195" max="195" width="5.77734375" bestFit="1" customWidth="1"/>
    <col min="196" max="196" width="9.44140625" bestFit="1" customWidth="1"/>
    <col min="198" max="198" width="15.109375" bestFit="1" customWidth="1"/>
    <col min="199" max="199" width="5.109375" bestFit="1" customWidth="1"/>
    <col min="200" max="202" width="6.88671875" bestFit="1" customWidth="1"/>
    <col min="203" max="203" width="5.21875" bestFit="1" customWidth="1"/>
    <col min="204" max="204" width="7.88671875" bestFit="1" customWidth="1"/>
    <col min="205" max="205" width="6.88671875" bestFit="1" customWidth="1"/>
    <col min="206" max="206" width="9.33203125" bestFit="1" customWidth="1"/>
    <col min="207" max="207" width="6.88671875" bestFit="1" customWidth="1"/>
    <col min="208" max="208" width="7.88671875" bestFit="1" customWidth="1"/>
    <col min="209" max="209" width="5.6640625" bestFit="1" customWidth="1"/>
    <col min="210" max="210" width="9.33203125" bestFit="1" customWidth="1"/>
    <col min="211" max="211" width="4.33203125" bestFit="1" customWidth="1"/>
    <col min="212" max="212" width="15.109375" bestFit="1" customWidth="1"/>
    <col min="213" max="213" width="5.109375" bestFit="1" customWidth="1"/>
    <col min="214" max="216" width="6.88671875" bestFit="1" customWidth="1"/>
    <col min="217" max="217" width="5.21875" bestFit="1" customWidth="1"/>
    <col min="218" max="218" width="7.88671875" bestFit="1" customWidth="1"/>
    <col min="219" max="219" width="6.88671875" bestFit="1" customWidth="1"/>
    <col min="220" max="220" width="9.33203125" bestFit="1" customWidth="1"/>
    <col min="221" max="222" width="7.88671875" bestFit="1" customWidth="1"/>
    <col min="223" max="223" width="5.6640625" bestFit="1" customWidth="1"/>
    <col min="224" max="224" width="9.33203125" bestFit="1" customWidth="1"/>
    <col min="226" max="226" width="15.109375" bestFit="1" customWidth="1"/>
    <col min="227" max="227" width="5.109375" bestFit="1" customWidth="1"/>
    <col min="228" max="230" width="6.88671875" bestFit="1" customWidth="1"/>
    <col min="231" max="231" width="5.21875" bestFit="1" customWidth="1"/>
    <col min="232" max="233" width="6.88671875" bestFit="1" customWidth="1"/>
    <col min="234" max="234" width="9.33203125" bestFit="1" customWidth="1"/>
    <col min="235" max="236" width="7.88671875" bestFit="1" customWidth="1"/>
    <col min="237" max="237" width="5.6640625" bestFit="1" customWidth="1"/>
    <col min="238" max="238" width="9.33203125" bestFit="1" customWidth="1"/>
    <col min="240" max="240" width="15.109375" bestFit="1" customWidth="1"/>
    <col min="241" max="241" width="5.109375" bestFit="1" customWidth="1"/>
    <col min="242" max="242" width="6.88671875" bestFit="1" customWidth="1"/>
    <col min="243" max="243" width="5.44140625" bestFit="1" customWidth="1"/>
    <col min="244" max="244" width="6.88671875" bestFit="1" customWidth="1"/>
    <col min="245" max="245" width="5.21875" bestFit="1" customWidth="1"/>
    <col min="246" max="247" width="6.88671875" bestFit="1" customWidth="1"/>
    <col min="248" max="248" width="9.33203125" bestFit="1" customWidth="1"/>
    <col min="249" max="250" width="7.88671875" bestFit="1" customWidth="1"/>
    <col min="251" max="251" width="5.6640625" bestFit="1" customWidth="1"/>
    <col min="252" max="252" width="9.33203125" bestFit="1" customWidth="1"/>
    <col min="254" max="254" width="15.109375" bestFit="1" customWidth="1"/>
    <col min="255" max="255" width="5.109375" bestFit="1" customWidth="1"/>
    <col min="256" max="256" width="6.88671875" bestFit="1" customWidth="1"/>
    <col min="257" max="257" width="5.44140625" bestFit="1" customWidth="1"/>
    <col min="258" max="258" width="6.88671875" bestFit="1" customWidth="1"/>
    <col min="259" max="259" width="5.21875" bestFit="1" customWidth="1"/>
    <col min="260" max="261" width="6.88671875" bestFit="1" customWidth="1"/>
    <col min="262" max="262" width="9.33203125" bestFit="1" customWidth="1"/>
    <col min="263" max="264" width="7.88671875" bestFit="1" customWidth="1"/>
    <col min="265" max="265" width="5.6640625" bestFit="1" customWidth="1"/>
    <col min="266" max="266" width="9.33203125" bestFit="1" customWidth="1"/>
    <col min="268" max="268" width="15.109375" bestFit="1" customWidth="1"/>
    <col min="269" max="270" width="6.88671875" bestFit="1" customWidth="1"/>
    <col min="271" max="271" width="5.6640625" bestFit="1" customWidth="1"/>
    <col min="272" max="272" width="6.88671875" bestFit="1" customWidth="1"/>
    <col min="273" max="273" width="5.21875" bestFit="1" customWidth="1"/>
    <col min="274" max="274" width="7.88671875" bestFit="1" customWidth="1"/>
    <col min="275" max="275" width="6.88671875" bestFit="1" customWidth="1"/>
    <col min="276" max="276" width="9.33203125" bestFit="1" customWidth="1"/>
    <col min="277" max="278" width="7.88671875" bestFit="1" customWidth="1"/>
    <col min="279" max="279" width="5.6640625" bestFit="1" customWidth="1"/>
    <col min="280" max="280" width="9.33203125" bestFit="1" customWidth="1"/>
    <col min="282" max="282" width="15.109375" bestFit="1" customWidth="1"/>
    <col min="283" max="283" width="5" bestFit="1" customWidth="1"/>
    <col min="284" max="284" width="6.88671875" bestFit="1" customWidth="1"/>
    <col min="285" max="285" width="5.44140625" bestFit="1" customWidth="1"/>
    <col min="286" max="286" width="6.88671875" bestFit="1" customWidth="1"/>
    <col min="287" max="287" width="5.21875" bestFit="1" customWidth="1"/>
    <col min="288" max="288" width="7.88671875" bestFit="1" customWidth="1"/>
    <col min="289" max="289" width="6.88671875" bestFit="1" customWidth="1"/>
    <col min="290" max="290" width="9.33203125" bestFit="1" customWidth="1"/>
    <col min="291" max="292" width="7.88671875" bestFit="1" customWidth="1"/>
    <col min="293" max="293" width="5.6640625" bestFit="1" customWidth="1"/>
    <col min="294" max="294" width="9.33203125" bestFit="1" customWidth="1"/>
    <col min="296" max="296" width="15.109375" bestFit="1" customWidth="1"/>
    <col min="297" max="297" width="6.88671875" bestFit="1" customWidth="1"/>
    <col min="298" max="298" width="7.88671875" bestFit="1" customWidth="1"/>
    <col min="299" max="299" width="5.44140625" bestFit="1" customWidth="1"/>
    <col min="300" max="300" width="6.88671875" bestFit="1" customWidth="1"/>
    <col min="301" max="301" width="5.21875" bestFit="1" customWidth="1"/>
    <col min="302" max="302" width="7.88671875" bestFit="1" customWidth="1"/>
    <col min="303" max="303" width="6.88671875" bestFit="1" customWidth="1"/>
    <col min="304" max="304" width="9.33203125" bestFit="1" customWidth="1"/>
    <col min="305" max="306" width="7.88671875" bestFit="1" customWidth="1"/>
    <col min="307" max="307" width="5.6640625" bestFit="1" customWidth="1"/>
    <col min="308" max="308" width="9.33203125" bestFit="1" customWidth="1"/>
    <col min="310" max="310" width="15.109375" bestFit="1" customWidth="1"/>
    <col min="311" max="311" width="5.109375" bestFit="1" customWidth="1"/>
    <col min="312" max="312" width="6.88671875" bestFit="1" customWidth="1"/>
    <col min="313" max="313" width="5.44140625" bestFit="1" customWidth="1"/>
    <col min="314" max="314" width="6.44140625" bestFit="1" customWidth="1"/>
    <col min="315" max="315" width="5.21875" bestFit="1" customWidth="1"/>
    <col min="316" max="317" width="6.88671875" bestFit="1" customWidth="1"/>
    <col min="318" max="318" width="9.33203125" bestFit="1" customWidth="1"/>
    <col min="319" max="320" width="7.88671875" bestFit="1" customWidth="1"/>
    <col min="321" max="321" width="5.6640625" bestFit="1" customWidth="1"/>
    <col min="322" max="322" width="9.33203125" bestFit="1" customWidth="1"/>
  </cols>
  <sheetData>
    <row r="1" spans="2:328" ht="15" thickBot="1" x14ac:dyDescent="0.35"/>
    <row r="2" spans="2:328" ht="15" thickBot="1" x14ac:dyDescent="0.35">
      <c r="B2" s="14" t="s">
        <v>481</v>
      </c>
      <c r="C2" s="357">
        <v>45811</v>
      </c>
      <c r="D2" s="358"/>
      <c r="E2" s="358"/>
      <c r="F2" s="358"/>
      <c r="G2" s="358"/>
      <c r="H2" s="359"/>
      <c r="I2" s="360" t="s">
        <v>562</v>
      </c>
      <c r="J2" s="361"/>
      <c r="K2" s="361"/>
      <c r="L2" s="361"/>
      <c r="M2" s="361"/>
      <c r="N2" s="362"/>
      <c r="P2" s="14" t="s">
        <v>481</v>
      </c>
      <c r="Q2" s="357">
        <v>45811</v>
      </c>
      <c r="R2" s="358"/>
      <c r="S2" s="358"/>
      <c r="T2" s="358"/>
      <c r="U2" s="358"/>
      <c r="V2" s="359"/>
      <c r="W2" s="360" t="s">
        <v>562</v>
      </c>
      <c r="X2" s="361"/>
      <c r="Y2" s="361"/>
      <c r="Z2" s="361"/>
      <c r="AA2" s="361"/>
      <c r="AB2" s="362"/>
      <c r="AD2" s="14" t="s">
        <v>481</v>
      </c>
      <c r="AE2" s="357">
        <v>45812</v>
      </c>
      <c r="AF2" s="358"/>
      <c r="AG2" s="358"/>
      <c r="AH2" s="358"/>
      <c r="AI2" s="358"/>
      <c r="AJ2" s="359"/>
      <c r="AK2" s="360" t="s">
        <v>567</v>
      </c>
      <c r="AL2" s="361"/>
      <c r="AM2" s="361"/>
      <c r="AN2" s="361"/>
      <c r="AO2" s="361"/>
      <c r="AP2" s="362"/>
      <c r="AR2" s="14" t="s">
        <v>481</v>
      </c>
      <c r="AS2" s="357">
        <v>45813</v>
      </c>
      <c r="AT2" s="358"/>
      <c r="AU2" s="358"/>
      <c r="AV2" s="358"/>
      <c r="AW2" s="358"/>
      <c r="AX2" s="359"/>
      <c r="AY2" s="360" t="s">
        <v>562</v>
      </c>
      <c r="AZ2" s="361"/>
      <c r="BA2" s="361"/>
      <c r="BB2" s="361"/>
      <c r="BC2" s="361"/>
      <c r="BD2" s="362"/>
      <c r="BF2" s="14" t="s">
        <v>481</v>
      </c>
      <c r="BG2" s="357">
        <v>45817</v>
      </c>
      <c r="BH2" s="358"/>
      <c r="BI2" s="358"/>
      <c r="BJ2" s="358"/>
      <c r="BK2" s="358"/>
      <c r="BL2" s="359"/>
      <c r="BM2" s="360" t="s">
        <v>562</v>
      </c>
      <c r="BN2" s="361"/>
      <c r="BO2" s="361"/>
      <c r="BP2" s="361"/>
      <c r="BQ2" s="361"/>
      <c r="BR2" s="362"/>
      <c r="BT2" s="14" t="s">
        <v>481</v>
      </c>
      <c r="BU2" s="357">
        <v>45818</v>
      </c>
      <c r="BV2" s="358"/>
      <c r="BW2" s="358"/>
      <c r="BX2" s="358"/>
      <c r="BY2" s="358"/>
      <c r="BZ2" s="359"/>
      <c r="CA2" s="360" t="s">
        <v>562</v>
      </c>
      <c r="CB2" s="361"/>
      <c r="CC2" s="361"/>
      <c r="CD2" s="361"/>
      <c r="CE2" s="361"/>
      <c r="CF2" s="362"/>
      <c r="CH2" s="14" t="s">
        <v>481</v>
      </c>
      <c r="CI2" s="357">
        <v>45819</v>
      </c>
      <c r="CJ2" s="358"/>
      <c r="CK2" s="358"/>
      <c r="CL2" s="358"/>
      <c r="CM2" s="358"/>
      <c r="CN2" s="359"/>
      <c r="CO2" s="360" t="s">
        <v>562</v>
      </c>
      <c r="CP2" s="361"/>
      <c r="CQ2" s="361"/>
      <c r="CR2" s="361"/>
      <c r="CS2" s="361"/>
      <c r="CT2" s="362"/>
      <c r="CV2" s="14" t="s">
        <v>481</v>
      </c>
      <c r="CW2" s="357">
        <v>45820</v>
      </c>
      <c r="CX2" s="358"/>
      <c r="CY2" s="358"/>
      <c r="CZ2" s="358"/>
      <c r="DA2" s="358"/>
      <c r="DB2" s="359"/>
      <c r="DC2" s="360" t="s">
        <v>562</v>
      </c>
      <c r="DD2" s="361"/>
      <c r="DE2" s="361"/>
      <c r="DF2" s="361"/>
      <c r="DG2" s="361"/>
      <c r="DH2" s="362"/>
      <c r="DJ2" s="14" t="s">
        <v>481</v>
      </c>
      <c r="DK2" s="357">
        <v>45821</v>
      </c>
      <c r="DL2" s="358"/>
      <c r="DM2" s="358"/>
      <c r="DN2" s="358"/>
      <c r="DO2" s="358"/>
      <c r="DP2" s="359"/>
      <c r="DQ2" s="360" t="s">
        <v>562</v>
      </c>
      <c r="DR2" s="361"/>
      <c r="DS2" s="361"/>
      <c r="DT2" s="361"/>
      <c r="DU2" s="361"/>
      <c r="DV2" s="362"/>
      <c r="DX2" s="14" t="s">
        <v>481</v>
      </c>
      <c r="DY2" s="357">
        <v>45823</v>
      </c>
      <c r="DZ2" s="358"/>
      <c r="EA2" s="358"/>
      <c r="EB2" s="358"/>
      <c r="EC2" s="358"/>
      <c r="ED2" s="359"/>
      <c r="EE2" s="360" t="s">
        <v>562</v>
      </c>
      <c r="EF2" s="361"/>
      <c r="EG2" s="361"/>
      <c r="EH2" s="361"/>
      <c r="EI2" s="361"/>
      <c r="EJ2" s="362"/>
      <c r="EL2" s="14" t="s">
        <v>481</v>
      </c>
      <c r="EM2" s="357">
        <v>45824</v>
      </c>
      <c r="EN2" s="358"/>
      <c r="EO2" s="358"/>
      <c r="EP2" s="358"/>
      <c r="EQ2" s="358"/>
      <c r="ER2" s="359"/>
      <c r="ES2" s="360" t="s">
        <v>562</v>
      </c>
      <c r="ET2" s="361"/>
      <c r="EU2" s="361"/>
      <c r="EV2" s="361"/>
      <c r="EW2" s="361"/>
      <c r="EX2" s="362"/>
      <c r="EZ2" s="14" t="s">
        <v>481</v>
      </c>
      <c r="FA2" s="357">
        <v>45825</v>
      </c>
      <c r="FB2" s="358"/>
      <c r="FC2" s="358"/>
      <c r="FD2" s="358"/>
      <c r="FE2" s="358"/>
      <c r="FF2" s="359"/>
      <c r="FG2" s="360" t="s">
        <v>562</v>
      </c>
      <c r="FH2" s="361"/>
      <c r="FI2" s="361"/>
      <c r="FJ2" s="361"/>
      <c r="FK2" s="361"/>
      <c r="FL2" s="362"/>
      <c r="FN2" s="14" t="s">
        <v>481</v>
      </c>
      <c r="FO2" s="357">
        <v>45826</v>
      </c>
      <c r="FP2" s="358"/>
      <c r="FQ2" s="358"/>
      <c r="FR2" s="358"/>
      <c r="FS2" s="358"/>
      <c r="FT2" s="359"/>
      <c r="FU2" s="360" t="s">
        <v>562</v>
      </c>
      <c r="FV2" s="361"/>
      <c r="FW2" s="361"/>
      <c r="FX2" s="361"/>
      <c r="FY2" s="361"/>
      <c r="FZ2" s="362"/>
      <c r="GB2" s="14" t="s">
        <v>481</v>
      </c>
      <c r="GC2" s="357">
        <v>45827</v>
      </c>
      <c r="GD2" s="358"/>
      <c r="GE2" s="358"/>
      <c r="GF2" s="358"/>
      <c r="GG2" s="358"/>
      <c r="GH2" s="359"/>
      <c r="GI2" s="360" t="s">
        <v>562</v>
      </c>
      <c r="GJ2" s="361"/>
      <c r="GK2" s="361"/>
      <c r="GL2" s="361"/>
      <c r="GM2" s="361"/>
      <c r="GN2" s="362"/>
      <c r="GP2" s="14" t="s">
        <v>481</v>
      </c>
      <c r="GQ2" s="357">
        <v>45828</v>
      </c>
      <c r="GR2" s="358"/>
      <c r="GS2" s="358"/>
      <c r="GT2" s="358"/>
      <c r="GU2" s="358"/>
      <c r="GV2" s="359"/>
      <c r="GW2" s="360" t="s">
        <v>562</v>
      </c>
      <c r="GX2" s="361"/>
      <c r="GY2" s="361"/>
      <c r="GZ2" s="361"/>
      <c r="HA2" s="361"/>
      <c r="HB2" s="362"/>
      <c r="HD2" s="14" t="s">
        <v>481</v>
      </c>
      <c r="HE2" s="357">
        <v>45830</v>
      </c>
      <c r="HF2" s="358"/>
      <c r="HG2" s="358"/>
      <c r="HH2" s="358"/>
      <c r="HI2" s="358"/>
      <c r="HJ2" s="359"/>
      <c r="HK2" s="360" t="s">
        <v>562</v>
      </c>
      <c r="HL2" s="361"/>
      <c r="HM2" s="361"/>
      <c r="HN2" s="361"/>
      <c r="HO2" s="361"/>
      <c r="HP2" s="362"/>
      <c r="HR2" s="14" t="s">
        <v>481</v>
      </c>
      <c r="HS2" s="357">
        <v>45831</v>
      </c>
      <c r="HT2" s="358"/>
      <c r="HU2" s="358"/>
      <c r="HV2" s="358"/>
      <c r="HW2" s="358"/>
      <c r="HX2" s="359"/>
      <c r="HY2" s="360" t="s">
        <v>562</v>
      </c>
      <c r="HZ2" s="361"/>
      <c r="IA2" s="361"/>
      <c r="IB2" s="361"/>
      <c r="IC2" s="361"/>
      <c r="ID2" s="362"/>
      <c r="IF2" s="14" t="s">
        <v>481</v>
      </c>
      <c r="IG2" s="357">
        <v>45832</v>
      </c>
      <c r="IH2" s="358"/>
      <c r="II2" s="358"/>
      <c r="IJ2" s="358"/>
      <c r="IK2" s="358"/>
      <c r="IL2" s="359"/>
      <c r="IM2" s="360" t="s">
        <v>562</v>
      </c>
      <c r="IN2" s="361"/>
      <c r="IO2" s="361"/>
      <c r="IP2" s="361"/>
      <c r="IQ2" s="361"/>
      <c r="IR2" s="362"/>
      <c r="IT2" s="14" t="s">
        <v>481</v>
      </c>
      <c r="IU2" s="357">
        <v>45833</v>
      </c>
      <c r="IV2" s="358"/>
      <c r="IW2" s="358"/>
      <c r="IX2" s="358"/>
      <c r="IY2" s="358"/>
      <c r="IZ2" s="359"/>
      <c r="JA2" s="360" t="s">
        <v>562</v>
      </c>
      <c r="JB2" s="361"/>
      <c r="JC2" s="361"/>
      <c r="JD2" s="361"/>
      <c r="JE2" s="361"/>
      <c r="JF2" s="362"/>
      <c r="JH2" s="14" t="s">
        <v>481</v>
      </c>
      <c r="JI2" s="357">
        <v>45834</v>
      </c>
      <c r="JJ2" s="358"/>
      <c r="JK2" s="358"/>
      <c r="JL2" s="358"/>
      <c r="JM2" s="358"/>
      <c r="JN2" s="359"/>
      <c r="JO2" s="360" t="s">
        <v>562</v>
      </c>
      <c r="JP2" s="361"/>
      <c r="JQ2" s="361"/>
      <c r="JR2" s="361"/>
      <c r="JS2" s="361"/>
      <c r="JT2" s="362"/>
      <c r="JV2" s="14" t="s">
        <v>481</v>
      </c>
      <c r="JW2" s="357">
        <v>45835</v>
      </c>
      <c r="JX2" s="358"/>
      <c r="JY2" s="358"/>
      <c r="JZ2" s="358"/>
      <c r="KA2" s="358"/>
      <c r="KB2" s="359"/>
      <c r="KC2" s="360" t="s">
        <v>562</v>
      </c>
      <c r="KD2" s="361"/>
      <c r="KE2" s="361"/>
      <c r="KF2" s="361"/>
      <c r="KG2" s="361"/>
      <c r="KH2" s="362"/>
      <c r="KJ2" s="14" t="s">
        <v>481</v>
      </c>
      <c r="KK2" s="357">
        <v>45837</v>
      </c>
      <c r="KL2" s="358"/>
      <c r="KM2" s="358"/>
      <c r="KN2" s="358"/>
      <c r="KO2" s="358"/>
      <c r="KP2" s="359"/>
      <c r="KQ2" s="360" t="s">
        <v>562</v>
      </c>
      <c r="KR2" s="361"/>
      <c r="KS2" s="361"/>
      <c r="KT2" s="361"/>
      <c r="KU2" s="361"/>
      <c r="KV2" s="362"/>
      <c r="KX2" s="14" t="s">
        <v>481</v>
      </c>
      <c r="KY2" s="357">
        <v>45838</v>
      </c>
      <c r="KZ2" s="358"/>
      <c r="LA2" s="358"/>
      <c r="LB2" s="358"/>
      <c r="LC2" s="358"/>
      <c r="LD2" s="359"/>
      <c r="LE2" s="360" t="s">
        <v>562</v>
      </c>
      <c r="LF2" s="361"/>
      <c r="LG2" s="361"/>
      <c r="LH2" s="361"/>
      <c r="LI2" s="361"/>
      <c r="LJ2" s="362"/>
    </row>
    <row r="3" spans="2:328" ht="43.2" x14ac:dyDescent="0.3">
      <c r="B3" s="112" t="s">
        <v>551</v>
      </c>
      <c r="C3" s="107" t="s">
        <v>544</v>
      </c>
      <c r="D3" s="108" t="s">
        <v>548</v>
      </c>
      <c r="E3" s="108" t="s">
        <v>549</v>
      </c>
      <c r="F3" s="109" t="s">
        <v>546</v>
      </c>
      <c r="G3" s="109" t="s">
        <v>547</v>
      </c>
      <c r="H3" s="110" t="s">
        <v>462</v>
      </c>
      <c r="I3" s="107" t="s">
        <v>544</v>
      </c>
      <c r="J3" s="108" t="s">
        <v>548</v>
      </c>
      <c r="K3" s="108" t="s">
        <v>549</v>
      </c>
      <c r="L3" s="109" t="s">
        <v>546</v>
      </c>
      <c r="M3" s="109" t="s">
        <v>547</v>
      </c>
      <c r="N3" s="110" t="s">
        <v>462</v>
      </c>
      <c r="P3" s="112" t="s">
        <v>551</v>
      </c>
      <c r="Q3" s="107" t="s">
        <v>544</v>
      </c>
      <c r="R3" s="108" t="s">
        <v>548</v>
      </c>
      <c r="S3" s="108" t="s">
        <v>549</v>
      </c>
      <c r="T3" s="109" t="s">
        <v>546</v>
      </c>
      <c r="U3" s="109" t="s">
        <v>547</v>
      </c>
      <c r="V3" s="110" t="s">
        <v>462</v>
      </c>
      <c r="W3" s="107" t="s">
        <v>544</v>
      </c>
      <c r="X3" s="108" t="s">
        <v>548</v>
      </c>
      <c r="Y3" s="108" t="s">
        <v>549</v>
      </c>
      <c r="Z3" s="109" t="s">
        <v>546</v>
      </c>
      <c r="AA3" s="109" t="s">
        <v>547</v>
      </c>
      <c r="AB3" s="110" t="s">
        <v>462</v>
      </c>
      <c r="AD3" s="112" t="s">
        <v>551</v>
      </c>
      <c r="AE3" s="107" t="s">
        <v>544</v>
      </c>
      <c r="AF3" s="108" t="s">
        <v>548</v>
      </c>
      <c r="AG3" s="108" t="s">
        <v>549</v>
      </c>
      <c r="AH3" s="109" t="s">
        <v>546</v>
      </c>
      <c r="AI3" s="109" t="s">
        <v>547</v>
      </c>
      <c r="AJ3" s="110" t="s">
        <v>462</v>
      </c>
      <c r="AK3" s="107" t="s">
        <v>544</v>
      </c>
      <c r="AL3" s="108" t="s">
        <v>548</v>
      </c>
      <c r="AM3" s="108" t="s">
        <v>549</v>
      </c>
      <c r="AN3" s="109" t="s">
        <v>546</v>
      </c>
      <c r="AO3" s="109" t="s">
        <v>547</v>
      </c>
      <c r="AP3" s="110" t="s">
        <v>462</v>
      </c>
      <c r="AR3" s="112" t="s">
        <v>551</v>
      </c>
      <c r="AS3" s="107" t="s">
        <v>544</v>
      </c>
      <c r="AT3" s="108" t="s">
        <v>548</v>
      </c>
      <c r="AU3" s="108" t="s">
        <v>549</v>
      </c>
      <c r="AV3" s="109" t="s">
        <v>546</v>
      </c>
      <c r="AW3" s="109" t="s">
        <v>547</v>
      </c>
      <c r="AX3" s="110" t="s">
        <v>462</v>
      </c>
      <c r="AY3" s="107" t="s">
        <v>544</v>
      </c>
      <c r="AZ3" s="108" t="s">
        <v>548</v>
      </c>
      <c r="BA3" s="108" t="s">
        <v>549</v>
      </c>
      <c r="BB3" s="109" t="s">
        <v>546</v>
      </c>
      <c r="BC3" s="109" t="s">
        <v>547</v>
      </c>
      <c r="BD3" s="110" t="s">
        <v>462</v>
      </c>
      <c r="BF3" s="112" t="s">
        <v>551</v>
      </c>
      <c r="BG3" s="107" t="s">
        <v>544</v>
      </c>
      <c r="BH3" s="108" t="s">
        <v>548</v>
      </c>
      <c r="BI3" s="108" t="s">
        <v>549</v>
      </c>
      <c r="BJ3" s="109" t="s">
        <v>546</v>
      </c>
      <c r="BK3" s="109" t="s">
        <v>547</v>
      </c>
      <c r="BL3" s="110" t="s">
        <v>462</v>
      </c>
      <c r="BM3" s="107" t="s">
        <v>544</v>
      </c>
      <c r="BN3" s="108" t="s">
        <v>548</v>
      </c>
      <c r="BO3" s="108" t="s">
        <v>549</v>
      </c>
      <c r="BP3" s="109" t="s">
        <v>546</v>
      </c>
      <c r="BQ3" s="109" t="s">
        <v>547</v>
      </c>
      <c r="BR3" s="110" t="s">
        <v>462</v>
      </c>
      <c r="BT3" s="112" t="s">
        <v>551</v>
      </c>
      <c r="BU3" s="107" t="s">
        <v>544</v>
      </c>
      <c r="BV3" s="108" t="s">
        <v>548</v>
      </c>
      <c r="BW3" s="108" t="s">
        <v>549</v>
      </c>
      <c r="BX3" s="109" t="s">
        <v>546</v>
      </c>
      <c r="BY3" s="109" t="s">
        <v>547</v>
      </c>
      <c r="BZ3" s="110" t="s">
        <v>462</v>
      </c>
      <c r="CA3" s="107" t="s">
        <v>544</v>
      </c>
      <c r="CB3" s="108" t="s">
        <v>548</v>
      </c>
      <c r="CC3" s="108" t="s">
        <v>549</v>
      </c>
      <c r="CD3" s="109" t="s">
        <v>546</v>
      </c>
      <c r="CE3" s="109" t="s">
        <v>547</v>
      </c>
      <c r="CF3" s="110" t="s">
        <v>462</v>
      </c>
      <c r="CH3" s="112" t="s">
        <v>551</v>
      </c>
      <c r="CI3" s="107" t="s">
        <v>544</v>
      </c>
      <c r="CJ3" s="108" t="s">
        <v>548</v>
      </c>
      <c r="CK3" s="108" t="s">
        <v>549</v>
      </c>
      <c r="CL3" s="109" t="s">
        <v>546</v>
      </c>
      <c r="CM3" s="109" t="s">
        <v>593</v>
      </c>
      <c r="CN3" s="110" t="s">
        <v>462</v>
      </c>
      <c r="CO3" s="107" t="s">
        <v>544</v>
      </c>
      <c r="CP3" s="108" t="s">
        <v>548</v>
      </c>
      <c r="CQ3" s="108" t="s">
        <v>549</v>
      </c>
      <c r="CR3" s="109" t="s">
        <v>546</v>
      </c>
      <c r="CS3" s="109" t="s">
        <v>593</v>
      </c>
      <c r="CT3" s="110" t="s">
        <v>462</v>
      </c>
      <c r="CV3" s="112" t="s">
        <v>551</v>
      </c>
      <c r="CW3" s="107" t="s">
        <v>544</v>
      </c>
      <c r="CX3" s="108" t="s">
        <v>548</v>
      </c>
      <c r="CY3" s="108" t="s">
        <v>549</v>
      </c>
      <c r="CZ3" s="109" t="s">
        <v>546</v>
      </c>
      <c r="DA3" s="109" t="s">
        <v>593</v>
      </c>
      <c r="DB3" s="110" t="s">
        <v>462</v>
      </c>
      <c r="DC3" s="107" t="s">
        <v>544</v>
      </c>
      <c r="DD3" s="108" t="s">
        <v>548</v>
      </c>
      <c r="DE3" s="108" t="s">
        <v>549</v>
      </c>
      <c r="DF3" s="109" t="s">
        <v>546</v>
      </c>
      <c r="DG3" s="109" t="s">
        <v>593</v>
      </c>
      <c r="DH3" s="110" t="s">
        <v>462</v>
      </c>
      <c r="DJ3" s="112" t="s">
        <v>551</v>
      </c>
      <c r="DK3" s="107" t="s">
        <v>544</v>
      </c>
      <c r="DL3" s="108" t="s">
        <v>548</v>
      </c>
      <c r="DM3" s="108" t="s">
        <v>549</v>
      </c>
      <c r="DN3" s="109" t="s">
        <v>546</v>
      </c>
      <c r="DO3" s="109" t="s">
        <v>593</v>
      </c>
      <c r="DP3" s="110" t="s">
        <v>462</v>
      </c>
      <c r="DQ3" s="107" t="s">
        <v>544</v>
      </c>
      <c r="DR3" s="108" t="s">
        <v>548</v>
      </c>
      <c r="DS3" s="108" t="s">
        <v>549</v>
      </c>
      <c r="DT3" s="109" t="s">
        <v>546</v>
      </c>
      <c r="DU3" s="109" t="s">
        <v>593</v>
      </c>
      <c r="DV3" s="110" t="s">
        <v>462</v>
      </c>
      <c r="DX3" s="112" t="s">
        <v>551</v>
      </c>
      <c r="DY3" s="107" t="s">
        <v>544</v>
      </c>
      <c r="DZ3" s="108" t="s">
        <v>548</v>
      </c>
      <c r="EA3" s="108" t="s">
        <v>549</v>
      </c>
      <c r="EB3" s="109" t="s">
        <v>546</v>
      </c>
      <c r="EC3" s="109" t="s">
        <v>593</v>
      </c>
      <c r="ED3" s="110" t="s">
        <v>462</v>
      </c>
      <c r="EE3" s="107" t="s">
        <v>544</v>
      </c>
      <c r="EF3" s="108" t="s">
        <v>548</v>
      </c>
      <c r="EG3" s="108" t="s">
        <v>549</v>
      </c>
      <c r="EH3" s="109" t="s">
        <v>546</v>
      </c>
      <c r="EI3" s="109" t="s">
        <v>593</v>
      </c>
      <c r="EJ3" s="110" t="s">
        <v>462</v>
      </c>
      <c r="EL3" s="112" t="s">
        <v>551</v>
      </c>
      <c r="EM3" s="107" t="s">
        <v>544</v>
      </c>
      <c r="EN3" s="108" t="s">
        <v>548</v>
      </c>
      <c r="EO3" s="108" t="s">
        <v>549</v>
      </c>
      <c r="EP3" s="109" t="s">
        <v>546</v>
      </c>
      <c r="EQ3" s="109" t="s">
        <v>593</v>
      </c>
      <c r="ER3" s="110" t="s">
        <v>462</v>
      </c>
      <c r="ES3" s="107" t="s">
        <v>544</v>
      </c>
      <c r="ET3" s="108" t="s">
        <v>548</v>
      </c>
      <c r="EU3" s="108" t="s">
        <v>549</v>
      </c>
      <c r="EV3" s="109" t="s">
        <v>546</v>
      </c>
      <c r="EW3" s="109" t="s">
        <v>593</v>
      </c>
      <c r="EX3" s="110" t="s">
        <v>462</v>
      </c>
      <c r="EZ3" s="112" t="s">
        <v>551</v>
      </c>
      <c r="FA3" s="107" t="s">
        <v>544</v>
      </c>
      <c r="FB3" s="108" t="s">
        <v>548</v>
      </c>
      <c r="FC3" s="108" t="s">
        <v>549</v>
      </c>
      <c r="FD3" s="109" t="s">
        <v>546</v>
      </c>
      <c r="FE3" s="109" t="s">
        <v>593</v>
      </c>
      <c r="FF3" s="110" t="s">
        <v>462</v>
      </c>
      <c r="FG3" s="107" t="s">
        <v>544</v>
      </c>
      <c r="FH3" s="108" t="s">
        <v>548</v>
      </c>
      <c r="FI3" s="108" t="s">
        <v>549</v>
      </c>
      <c r="FJ3" s="109" t="s">
        <v>546</v>
      </c>
      <c r="FK3" s="109" t="s">
        <v>593</v>
      </c>
      <c r="FL3" s="110" t="s">
        <v>462</v>
      </c>
      <c r="FN3" s="112" t="s">
        <v>551</v>
      </c>
      <c r="FO3" s="107" t="s">
        <v>544</v>
      </c>
      <c r="FP3" s="108" t="s">
        <v>548</v>
      </c>
      <c r="FQ3" s="108" t="s">
        <v>549</v>
      </c>
      <c r="FR3" s="109" t="s">
        <v>546</v>
      </c>
      <c r="FS3" s="109" t="s">
        <v>593</v>
      </c>
      <c r="FT3" s="110" t="s">
        <v>462</v>
      </c>
      <c r="FU3" s="107" t="s">
        <v>544</v>
      </c>
      <c r="FV3" s="108" t="s">
        <v>548</v>
      </c>
      <c r="FW3" s="108" t="s">
        <v>549</v>
      </c>
      <c r="FX3" s="109" t="s">
        <v>546</v>
      </c>
      <c r="FY3" s="109" t="s">
        <v>593</v>
      </c>
      <c r="FZ3" s="110" t="s">
        <v>462</v>
      </c>
      <c r="GB3" s="112" t="s">
        <v>551</v>
      </c>
      <c r="GC3" s="107" t="s">
        <v>544</v>
      </c>
      <c r="GD3" s="108" t="s">
        <v>548</v>
      </c>
      <c r="GE3" s="108" t="s">
        <v>549</v>
      </c>
      <c r="GF3" s="109" t="s">
        <v>546</v>
      </c>
      <c r="GG3" s="109" t="s">
        <v>593</v>
      </c>
      <c r="GH3" s="110" t="s">
        <v>462</v>
      </c>
      <c r="GI3" s="107" t="s">
        <v>544</v>
      </c>
      <c r="GJ3" s="108" t="s">
        <v>548</v>
      </c>
      <c r="GK3" s="108" t="s">
        <v>549</v>
      </c>
      <c r="GL3" s="109" t="s">
        <v>546</v>
      </c>
      <c r="GM3" s="109" t="s">
        <v>593</v>
      </c>
      <c r="GN3" s="110" t="s">
        <v>462</v>
      </c>
      <c r="GP3" s="112" t="s">
        <v>551</v>
      </c>
      <c r="GQ3" s="107" t="s">
        <v>544</v>
      </c>
      <c r="GR3" s="108" t="s">
        <v>548</v>
      </c>
      <c r="GS3" s="108" t="s">
        <v>549</v>
      </c>
      <c r="GT3" s="109" t="s">
        <v>546</v>
      </c>
      <c r="GU3" s="109" t="s">
        <v>593</v>
      </c>
      <c r="GV3" s="110" t="s">
        <v>462</v>
      </c>
      <c r="GW3" s="107" t="s">
        <v>544</v>
      </c>
      <c r="GX3" s="108" t="s">
        <v>548</v>
      </c>
      <c r="GY3" s="108" t="s">
        <v>549</v>
      </c>
      <c r="GZ3" s="109" t="s">
        <v>546</v>
      </c>
      <c r="HA3" s="109" t="s">
        <v>593</v>
      </c>
      <c r="HB3" s="110" t="s">
        <v>462</v>
      </c>
      <c r="HD3" s="112" t="s">
        <v>551</v>
      </c>
      <c r="HE3" s="107" t="s">
        <v>544</v>
      </c>
      <c r="HF3" s="108" t="s">
        <v>548</v>
      </c>
      <c r="HG3" s="108" t="s">
        <v>549</v>
      </c>
      <c r="HH3" s="109" t="s">
        <v>546</v>
      </c>
      <c r="HI3" s="109" t="s">
        <v>593</v>
      </c>
      <c r="HJ3" s="110" t="s">
        <v>462</v>
      </c>
      <c r="HK3" s="107" t="s">
        <v>544</v>
      </c>
      <c r="HL3" s="108" t="s">
        <v>548</v>
      </c>
      <c r="HM3" s="108" t="s">
        <v>549</v>
      </c>
      <c r="HN3" s="109" t="s">
        <v>546</v>
      </c>
      <c r="HO3" s="109" t="s">
        <v>593</v>
      </c>
      <c r="HP3" s="110" t="s">
        <v>462</v>
      </c>
      <c r="HR3" s="112" t="s">
        <v>551</v>
      </c>
      <c r="HS3" s="107" t="s">
        <v>544</v>
      </c>
      <c r="HT3" s="108" t="s">
        <v>548</v>
      </c>
      <c r="HU3" s="108" t="s">
        <v>549</v>
      </c>
      <c r="HV3" s="109" t="s">
        <v>546</v>
      </c>
      <c r="HW3" s="109" t="s">
        <v>593</v>
      </c>
      <c r="HX3" s="110" t="s">
        <v>462</v>
      </c>
      <c r="HY3" s="107" t="s">
        <v>544</v>
      </c>
      <c r="HZ3" s="108" t="s">
        <v>548</v>
      </c>
      <c r="IA3" s="108" t="s">
        <v>549</v>
      </c>
      <c r="IB3" s="109" t="s">
        <v>546</v>
      </c>
      <c r="IC3" s="109" t="s">
        <v>593</v>
      </c>
      <c r="ID3" s="110" t="s">
        <v>462</v>
      </c>
      <c r="IF3" s="112" t="s">
        <v>551</v>
      </c>
      <c r="IG3" s="107" t="s">
        <v>544</v>
      </c>
      <c r="IH3" s="108" t="s">
        <v>548</v>
      </c>
      <c r="II3" s="108" t="s">
        <v>549</v>
      </c>
      <c r="IJ3" s="109" t="s">
        <v>546</v>
      </c>
      <c r="IK3" s="109" t="s">
        <v>593</v>
      </c>
      <c r="IL3" s="110" t="s">
        <v>462</v>
      </c>
      <c r="IM3" s="107" t="s">
        <v>544</v>
      </c>
      <c r="IN3" s="108" t="s">
        <v>548</v>
      </c>
      <c r="IO3" s="108" t="s">
        <v>549</v>
      </c>
      <c r="IP3" s="109" t="s">
        <v>546</v>
      </c>
      <c r="IQ3" s="109" t="s">
        <v>593</v>
      </c>
      <c r="IR3" s="110" t="s">
        <v>462</v>
      </c>
      <c r="IT3" s="112" t="s">
        <v>551</v>
      </c>
      <c r="IU3" s="107" t="s">
        <v>544</v>
      </c>
      <c r="IV3" s="108" t="s">
        <v>548</v>
      </c>
      <c r="IW3" s="108" t="s">
        <v>549</v>
      </c>
      <c r="IX3" s="109" t="s">
        <v>546</v>
      </c>
      <c r="IY3" s="109" t="s">
        <v>593</v>
      </c>
      <c r="IZ3" s="110" t="s">
        <v>462</v>
      </c>
      <c r="JA3" s="107" t="s">
        <v>544</v>
      </c>
      <c r="JB3" s="108" t="s">
        <v>548</v>
      </c>
      <c r="JC3" s="108" t="s">
        <v>549</v>
      </c>
      <c r="JD3" s="109" t="s">
        <v>546</v>
      </c>
      <c r="JE3" s="109" t="s">
        <v>593</v>
      </c>
      <c r="JF3" s="110" t="s">
        <v>462</v>
      </c>
      <c r="JH3" s="112" t="s">
        <v>551</v>
      </c>
      <c r="JI3" s="107" t="s">
        <v>544</v>
      </c>
      <c r="JJ3" s="108" t="s">
        <v>548</v>
      </c>
      <c r="JK3" s="108" t="s">
        <v>549</v>
      </c>
      <c r="JL3" s="109" t="s">
        <v>546</v>
      </c>
      <c r="JM3" s="109" t="s">
        <v>593</v>
      </c>
      <c r="JN3" s="110" t="s">
        <v>462</v>
      </c>
      <c r="JO3" s="107" t="s">
        <v>544</v>
      </c>
      <c r="JP3" s="108" t="s">
        <v>548</v>
      </c>
      <c r="JQ3" s="108" t="s">
        <v>549</v>
      </c>
      <c r="JR3" s="109" t="s">
        <v>546</v>
      </c>
      <c r="JS3" s="109" t="s">
        <v>593</v>
      </c>
      <c r="JT3" s="110" t="s">
        <v>462</v>
      </c>
      <c r="JV3" s="112" t="s">
        <v>551</v>
      </c>
      <c r="JW3" s="107" t="s">
        <v>544</v>
      </c>
      <c r="JX3" s="108" t="s">
        <v>548</v>
      </c>
      <c r="JY3" s="108" t="s">
        <v>549</v>
      </c>
      <c r="JZ3" s="109" t="s">
        <v>546</v>
      </c>
      <c r="KA3" s="109" t="s">
        <v>593</v>
      </c>
      <c r="KB3" s="110" t="s">
        <v>462</v>
      </c>
      <c r="KC3" s="107" t="s">
        <v>544</v>
      </c>
      <c r="KD3" s="108" t="s">
        <v>548</v>
      </c>
      <c r="KE3" s="108" t="s">
        <v>549</v>
      </c>
      <c r="KF3" s="109" t="s">
        <v>546</v>
      </c>
      <c r="KG3" s="109" t="s">
        <v>593</v>
      </c>
      <c r="KH3" s="110" t="s">
        <v>462</v>
      </c>
      <c r="KJ3" s="112" t="s">
        <v>551</v>
      </c>
      <c r="KK3" s="107" t="s">
        <v>544</v>
      </c>
      <c r="KL3" s="108" t="s">
        <v>548</v>
      </c>
      <c r="KM3" s="108" t="s">
        <v>549</v>
      </c>
      <c r="KN3" s="109" t="s">
        <v>546</v>
      </c>
      <c r="KO3" s="109" t="s">
        <v>593</v>
      </c>
      <c r="KP3" s="110" t="s">
        <v>462</v>
      </c>
      <c r="KQ3" s="107" t="s">
        <v>544</v>
      </c>
      <c r="KR3" s="108" t="s">
        <v>548</v>
      </c>
      <c r="KS3" s="108" t="s">
        <v>549</v>
      </c>
      <c r="KT3" s="109" t="s">
        <v>546</v>
      </c>
      <c r="KU3" s="109" t="s">
        <v>593</v>
      </c>
      <c r="KV3" s="110" t="s">
        <v>462</v>
      </c>
      <c r="KX3" s="112" t="s">
        <v>551</v>
      </c>
      <c r="KY3" s="107" t="s">
        <v>544</v>
      </c>
      <c r="KZ3" s="108" t="s">
        <v>548</v>
      </c>
      <c r="LA3" s="108" t="s">
        <v>549</v>
      </c>
      <c r="LB3" s="109" t="s">
        <v>546</v>
      </c>
      <c r="LC3" s="109" t="s">
        <v>593</v>
      </c>
      <c r="LD3" s="110" t="s">
        <v>462</v>
      </c>
      <c r="LE3" s="107" t="s">
        <v>544</v>
      </c>
      <c r="LF3" s="108" t="s">
        <v>548</v>
      </c>
      <c r="LG3" s="108" t="s">
        <v>549</v>
      </c>
      <c r="LH3" s="109" t="s">
        <v>546</v>
      </c>
      <c r="LI3" s="109" t="s">
        <v>593</v>
      </c>
      <c r="LJ3" s="110" t="s">
        <v>462</v>
      </c>
    </row>
    <row r="4" spans="2:328" x14ac:dyDescent="0.3">
      <c r="B4" s="113" t="s">
        <v>550</v>
      </c>
      <c r="C4" s="77">
        <v>0</v>
      </c>
      <c r="D4" s="78">
        <v>7560</v>
      </c>
      <c r="E4" s="78">
        <v>670</v>
      </c>
      <c r="F4" s="78">
        <v>2674</v>
      </c>
      <c r="G4" s="78">
        <v>0</v>
      </c>
      <c r="H4" s="79">
        <v>10904</v>
      </c>
      <c r="I4" s="80">
        <v>0</v>
      </c>
      <c r="J4" s="80">
        <v>17045</v>
      </c>
      <c r="K4" s="80">
        <v>2209</v>
      </c>
      <c r="L4" s="78">
        <v>4522</v>
      </c>
      <c r="M4" s="81">
        <v>0</v>
      </c>
      <c r="N4" s="79">
        <v>23776</v>
      </c>
      <c r="P4" s="113" t="s">
        <v>550</v>
      </c>
      <c r="Q4" s="77">
        <v>0</v>
      </c>
      <c r="R4" s="78">
        <v>7560</v>
      </c>
      <c r="S4" s="78">
        <v>455</v>
      </c>
      <c r="T4" s="78">
        <v>2674</v>
      </c>
      <c r="U4" s="78">
        <v>0</v>
      </c>
      <c r="V4" s="79">
        <v>10689</v>
      </c>
      <c r="W4" s="80">
        <v>0</v>
      </c>
      <c r="X4" s="80">
        <v>17045</v>
      </c>
      <c r="Y4" s="80">
        <v>1504</v>
      </c>
      <c r="Z4" s="78">
        <v>4522</v>
      </c>
      <c r="AA4" s="81">
        <v>0</v>
      </c>
      <c r="AB4" s="79">
        <v>23071</v>
      </c>
      <c r="AD4" s="113" t="s">
        <v>550</v>
      </c>
      <c r="AE4" s="77">
        <v>0</v>
      </c>
      <c r="AF4" s="78">
        <v>6427</v>
      </c>
      <c r="AG4" s="78">
        <v>315</v>
      </c>
      <c r="AH4" s="78">
        <v>3322</v>
      </c>
      <c r="AI4" s="78">
        <v>0</v>
      </c>
      <c r="AJ4" s="79">
        <v>10064</v>
      </c>
      <c r="AK4" s="80">
        <v>0</v>
      </c>
      <c r="AL4" s="80">
        <v>23472</v>
      </c>
      <c r="AM4" s="80">
        <v>1819</v>
      </c>
      <c r="AN4" s="78">
        <v>7844</v>
      </c>
      <c r="AO4" s="81">
        <v>0</v>
      </c>
      <c r="AP4" s="79">
        <v>33135</v>
      </c>
      <c r="AQ4" s="17"/>
      <c r="AR4" s="113" t="s">
        <v>550</v>
      </c>
      <c r="AS4" s="77">
        <v>0</v>
      </c>
      <c r="AT4" s="78">
        <v>6720</v>
      </c>
      <c r="AU4" s="78">
        <v>525</v>
      </c>
      <c r="AV4" s="78">
        <v>2016</v>
      </c>
      <c r="AW4" s="78">
        <v>0</v>
      </c>
      <c r="AX4" s="79">
        <v>9261</v>
      </c>
      <c r="AY4" s="80">
        <v>0</v>
      </c>
      <c r="AZ4" s="80">
        <v>30192</v>
      </c>
      <c r="BA4" s="80">
        <v>2344</v>
      </c>
      <c r="BB4" s="78">
        <v>9860</v>
      </c>
      <c r="BC4" s="81">
        <v>0</v>
      </c>
      <c r="BD4" s="79">
        <v>42396</v>
      </c>
      <c r="BF4" s="113" t="s">
        <v>550</v>
      </c>
      <c r="BG4" s="77">
        <v>3000</v>
      </c>
      <c r="BH4" s="78">
        <v>9065</v>
      </c>
      <c r="BI4" s="78">
        <v>1050</v>
      </c>
      <c r="BJ4" s="78">
        <v>1904</v>
      </c>
      <c r="BK4" s="78">
        <v>0</v>
      </c>
      <c r="BL4" s="79">
        <v>15019</v>
      </c>
      <c r="BM4" s="80">
        <v>3000</v>
      </c>
      <c r="BN4" s="80">
        <v>54825</v>
      </c>
      <c r="BO4" s="80">
        <v>4549</v>
      </c>
      <c r="BP4" s="78">
        <v>19082</v>
      </c>
      <c r="BQ4" s="81">
        <v>0</v>
      </c>
      <c r="BR4" s="79">
        <v>81456</v>
      </c>
      <c r="BS4" s="17"/>
      <c r="BT4" s="113" t="s">
        <v>550</v>
      </c>
      <c r="BU4" s="77">
        <v>0</v>
      </c>
      <c r="BV4" s="78">
        <v>5250</v>
      </c>
      <c r="BW4" s="78">
        <v>242</v>
      </c>
      <c r="BX4" s="78">
        <v>1876</v>
      </c>
      <c r="BY4" s="78">
        <v>0</v>
      </c>
      <c r="BZ4" s="79">
        <v>7368</v>
      </c>
      <c r="CA4" s="80">
        <v>3000</v>
      </c>
      <c r="CB4" s="80">
        <v>60075</v>
      </c>
      <c r="CC4" s="80">
        <v>4721</v>
      </c>
      <c r="CD4" s="78">
        <v>20958</v>
      </c>
      <c r="CE4" s="81">
        <v>0</v>
      </c>
      <c r="CF4" s="79">
        <v>88754</v>
      </c>
      <c r="CG4" s="17"/>
      <c r="CH4" s="113" t="s">
        <v>550</v>
      </c>
      <c r="CI4" s="77">
        <v>0</v>
      </c>
      <c r="CJ4" s="78">
        <v>7355</v>
      </c>
      <c r="CK4" s="78">
        <v>735</v>
      </c>
      <c r="CL4" s="78">
        <v>3026</v>
      </c>
      <c r="CM4" s="78">
        <v>200</v>
      </c>
      <c r="CN4" s="79">
        <f>SUM(CI4:CM4)</f>
        <v>11316</v>
      </c>
      <c r="CO4" s="80">
        <v>3000</v>
      </c>
      <c r="CP4" s="80">
        <v>67430</v>
      </c>
      <c r="CQ4" s="80">
        <v>5456</v>
      </c>
      <c r="CR4" s="78">
        <v>23984</v>
      </c>
      <c r="CS4" s="81">
        <v>200</v>
      </c>
      <c r="CT4" s="79">
        <v>100070</v>
      </c>
      <c r="CU4" s="17"/>
      <c r="CV4" s="113" t="s">
        <v>550</v>
      </c>
      <c r="CW4" s="77">
        <v>0</v>
      </c>
      <c r="CX4" s="78">
        <v>8400</v>
      </c>
      <c r="CY4" s="78">
        <v>700</v>
      </c>
      <c r="CZ4" s="78">
        <v>4032</v>
      </c>
      <c r="DA4" s="78">
        <v>0</v>
      </c>
      <c r="DB4" s="79">
        <v>13132</v>
      </c>
      <c r="DC4" s="80">
        <v>3000</v>
      </c>
      <c r="DD4" s="80">
        <v>75830</v>
      </c>
      <c r="DE4" s="80">
        <v>6156</v>
      </c>
      <c r="DF4" s="78">
        <v>28016</v>
      </c>
      <c r="DG4" s="81">
        <v>200</v>
      </c>
      <c r="DH4" s="79">
        <v>113202</v>
      </c>
      <c r="DI4" s="17"/>
      <c r="DJ4" s="113" t="s">
        <v>550</v>
      </c>
      <c r="DK4" s="77">
        <v>0</v>
      </c>
      <c r="DL4" s="78">
        <v>6265</v>
      </c>
      <c r="DM4" s="78">
        <v>140</v>
      </c>
      <c r="DN4" s="78">
        <v>2240</v>
      </c>
      <c r="DO4" s="78">
        <v>0</v>
      </c>
      <c r="DP4" s="79">
        <v>8645</v>
      </c>
      <c r="DQ4" s="80">
        <v>3000</v>
      </c>
      <c r="DR4" s="80">
        <v>82095</v>
      </c>
      <c r="DS4" s="80">
        <v>6296</v>
      </c>
      <c r="DT4" s="78">
        <v>30256</v>
      </c>
      <c r="DU4" s="81">
        <v>200</v>
      </c>
      <c r="DV4" s="79">
        <v>121847</v>
      </c>
      <c r="DW4" s="17"/>
      <c r="DX4" s="113" t="s">
        <v>550</v>
      </c>
      <c r="DY4" s="77">
        <v>0</v>
      </c>
      <c r="DZ4" s="78">
        <v>6755</v>
      </c>
      <c r="EA4" s="78">
        <v>245</v>
      </c>
      <c r="EB4" s="78">
        <v>2520</v>
      </c>
      <c r="EC4" s="78">
        <v>0</v>
      </c>
      <c r="ED4" s="79">
        <v>9520</v>
      </c>
      <c r="EE4" s="80">
        <v>3000</v>
      </c>
      <c r="EF4" s="80">
        <v>88850</v>
      </c>
      <c r="EG4" s="80">
        <v>6541</v>
      </c>
      <c r="EH4" s="78">
        <v>32776</v>
      </c>
      <c r="EI4" s="81">
        <v>200</v>
      </c>
      <c r="EJ4" s="79">
        <v>131367</v>
      </c>
      <c r="EK4" s="17"/>
      <c r="EL4" s="113" t="s">
        <v>550</v>
      </c>
      <c r="EM4" s="77">
        <v>0</v>
      </c>
      <c r="EN4" s="78">
        <v>11830</v>
      </c>
      <c r="EO4" s="78">
        <v>385</v>
      </c>
      <c r="EP4" s="78">
        <v>1008</v>
      </c>
      <c r="EQ4" s="78">
        <v>0</v>
      </c>
      <c r="ER4" s="79">
        <v>13223</v>
      </c>
      <c r="ES4" s="80">
        <v>3000</v>
      </c>
      <c r="ET4" s="80">
        <v>100680</v>
      </c>
      <c r="EU4" s="80">
        <v>6926</v>
      </c>
      <c r="EV4" s="78">
        <v>33784</v>
      </c>
      <c r="EW4" s="81">
        <v>200</v>
      </c>
      <c r="EX4" s="79">
        <v>144590</v>
      </c>
      <c r="EY4" s="17"/>
      <c r="EZ4" s="113" t="s">
        <v>550</v>
      </c>
      <c r="FA4" s="77">
        <v>0</v>
      </c>
      <c r="FB4" s="78">
        <v>9940</v>
      </c>
      <c r="FC4" s="78">
        <v>770</v>
      </c>
      <c r="FD4" s="78">
        <v>2016</v>
      </c>
      <c r="FE4" s="78">
        <v>0</v>
      </c>
      <c r="FF4" s="79">
        <v>12726</v>
      </c>
      <c r="FG4" s="80">
        <v>3000</v>
      </c>
      <c r="FH4" s="80">
        <v>110620</v>
      </c>
      <c r="FI4" s="80">
        <v>7696</v>
      </c>
      <c r="FJ4" s="78">
        <v>35800</v>
      </c>
      <c r="FK4" s="81">
        <v>200</v>
      </c>
      <c r="FL4" s="79">
        <v>157316</v>
      </c>
      <c r="FM4" s="17"/>
      <c r="FN4" s="113" t="s">
        <v>550</v>
      </c>
      <c r="FO4" s="77">
        <v>0</v>
      </c>
      <c r="FP4" s="78">
        <v>7560</v>
      </c>
      <c r="FQ4" s="78">
        <v>280</v>
      </c>
      <c r="FR4" s="78">
        <v>1008</v>
      </c>
      <c r="FS4" s="78">
        <v>0</v>
      </c>
      <c r="FT4" s="79">
        <v>8848</v>
      </c>
      <c r="FU4" s="80">
        <v>3000</v>
      </c>
      <c r="FV4" s="80">
        <v>118180</v>
      </c>
      <c r="FW4" s="80">
        <v>7976</v>
      </c>
      <c r="FX4" s="78">
        <v>36808</v>
      </c>
      <c r="FY4" s="81">
        <v>200</v>
      </c>
      <c r="FZ4" s="79">
        <v>166164</v>
      </c>
      <c r="GA4" s="17"/>
      <c r="GB4" s="113" t="s">
        <v>550</v>
      </c>
      <c r="GC4" s="77">
        <v>0</v>
      </c>
      <c r="GD4" s="78">
        <v>7625</v>
      </c>
      <c r="GE4" s="78">
        <v>245</v>
      </c>
      <c r="GF4" s="78">
        <v>2016</v>
      </c>
      <c r="GG4" s="78">
        <v>0</v>
      </c>
      <c r="GH4" s="79">
        <v>9886</v>
      </c>
      <c r="GI4" s="80">
        <v>3000</v>
      </c>
      <c r="GJ4" s="80">
        <v>125805</v>
      </c>
      <c r="GK4" s="80">
        <v>8221</v>
      </c>
      <c r="GL4" s="78">
        <v>38824</v>
      </c>
      <c r="GM4" s="81">
        <v>200</v>
      </c>
      <c r="GN4" s="79">
        <v>176050</v>
      </c>
      <c r="GO4" s="17"/>
      <c r="GP4" s="113" t="s">
        <v>550</v>
      </c>
      <c r="GQ4" s="77">
        <v>0</v>
      </c>
      <c r="GR4" s="78">
        <v>5460</v>
      </c>
      <c r="GS4" s="78">
        <v>1190</v>
      </c>
      <c r="GT4" s="78">
        <v>5531</v>
      </c>
      <c r="GU4" s="78">
        <v>0</v>
      </c>
      <c r="GV4" s="79">
        <v>12181</v>
      </c>
      <c r="GW4" s="80">
        <v>3000</v>
      </c>
      <c r="GX4" s="80">
        <v>131265</v>
      </c>
      <c r="GY4" s="80">
        <v>9411</v>
      </c>
      <c r="GZ4" s="78">
        <v>44355</v>
      </c>
      <c r="HA4" s="81">
        <v>200</v>
      </c>
      <c r="HB4" s="79">
        <v>188231</v>
      </c>
      <c r="HC4" s="72"/>
      <c r="HD4" s="113" t="s">
        <v>550</v>
      </c>
      <c r="HE4" s="77">
        <v>0</v>
      </c>
      <c r="HF4" s="78">
        <v>8365</v>
      </c>
      <c r="HG4" s="78">
        <v>1254</v>
      </c>
      <c r="HH4" s="78">
        <v>2560</v>
      </c>
      <c r="HI4" s="78">
        <v>0</v>
      </c>
      <c r="HJ4" s="79">
        <v>12179</v>
      </c>
      <c r="HK4" s="80">
        <v>3000</v>
      </c>
      <c r="HL4" s="80">
        <v>139630</v>
      </c>
      <c r="HM4" s="80">
        <v>10665</v>
      </c>
      <c r="HN4" s="78">
        <v>46915</v>
      </c>
      <c r="HO4" s="81">
        <v>200</v>
      </c>
      <c r="HP4" s="79">
        <v>200410</v>
      </c>
      <c r="HQ4" s="17"/>
      <c r="HR4" s="113" t="s">
        <v>550</v>
      </c>
      <c r="HS4" s="77">
        <v>0</v>
      </c>
      <c r="HT4" s="78">
        <v>5880</v>
      </c>
      <c r="HU4" s="78">
        <v>1085</v>
      </c>
      <c r="HV4" s="78">
        <v>2424</v>
      </c>
      <c r="HW4" s="78">
        <v>0</v>
      </c>
      <c r="HX4" s="79">
        <v>9389</v>
      </c>
      <c r="HY4" s="80">
        <v>3000</v>
      </c>
      <c r="HZ4" s="80">
        <v>145510</v>
      </c>
      <c r="IA4" s="80">
        <v>11750</v>
      </c>
      <c r="IB4" s="78">
        <v>49339</v>
      </c>
      <c r="IC4" s="81">
        <v>200</v>
      </c>
      <c r="ID4" s="79">
        <v>209799</v>
      </c>
      <c r="IF4" s="113" t="s">
        <v>550</v>
      </c>
      <c r="IG4" s="77">
        <v>0</v>
      </c>
      <c r="IH4" s="78">
        <v>5005</v>
      </c>
      <c r="II4" s="78">
        <v>875</v>
      </c>
      <c r="IJ4" s="78">
        <v>2588</v>
      </c>
      <c r="IK4" s="78">
        <v>0</v>
      </c>
      <c r="IL4" s="79">
        <v>8468</v>
      </c>
      <c r="IM4" s="80">
        <v>3000</v>
      </c>
      <c r="IN4" s="80">
        <v>150515</v>
      </c>
      <c r="IO4" s="80">
        <v>12625</v>
      </c>
      <c r="IP4" s="78">
        <v>51927</v>
      </c>
      <c r="IQ4" s="81">
        <v>200</v>
      </c>
      <c r="IR4" s="79">
        <v>218267</v>
      </c>
      <c r="IS4" s="17"/>
      <c r="IT4" s="113" t="s">
        <v>550</v>
      </c>
      <c r="IU4" s="77">
        <v>0</v>
      </c>
      <c r="IV4" s="78">
        <v>6195</v>
      </c>
      <c r="IW4" s="78">
        <v>239</v>
      </c>
      <c r="IX4" s="78">
        <v>3024</v>
      </c>
      <c r="IY4" s="78">
        <v>0</v>
      </c>
      <c r="IZ4" s="79">
        <v>9458</v>
      </c>
      <c r="JA4" s="80">
        <v>3000</v>
      </c>
      <c r="JB4" s="80">
        <v>156710</v>
      </c>
      <c r="JC4" s="80">
        <v>12864</v>
      </c>
      <c r="JD4" s="78">
        <v>54951</v>
      </c>
      <c r="JE4" s="81">
        <v>200</v>
      </c>
      <c r="JF4" s="79">
        <v>227725</v>
      </c>
      <c r="JG4" s="17"/>
      <c r="JH4" s="113" t="s">
        <v>550</v>
      </c>
      <c r="JI4" s="77">
        <v>2807</v>
      </c>
      <c r="JJ4" s="78">
        <v>5880</v>
      </c>
      <c r="JK4" s="78">
        <v>175</v>
      </c>
      <c r="JL4" s="78">
        <v>2457</v>
      </c>
      <c r="JM4" s="78">
        <v>0</v>
      </c>
      <c r="JN4" s="79">
        <v>11319</v>
      </c>
      <c r="JO4" s="80">
        <v>5807</v>
      </c>
      <c r="JP4" s="80">
        <v>162590</v>
      </c>
      <c r="JQ4" s="80">
        <v>13039</v>
      </c>
      <c r="JR4" s="78">
        <v>57408</v>
      </c>
      <c r="JS4" s="81">
        <v>200</v>
      </c>
      <c r="JT4" s="79">
        <v>239044</v>
      </c>
      <c r="JU4" s="17"/>
      <c r="JV4" s="113" t="s">
        <v>550</v>
      </c>
      <c r="JW4" s="77">
        <v>50</v>
      </c>
      <c r="JX4" s="78">
        <v>6615</v>
      </c>
      <c r="JY4" s="78">
        <v>595</v>
      </c>
      <c r="JZ4" s="78">
        <v>3192</v>
      </c>
      <c r="KA4" s="78">
        <v>0</v>
      </c>
      <c r="KB4" s="79">
        <v>10452</v>
      </c>
      <c r="KC4" s="80">
        <v>5857</v>
      </c>
      <c r="KD4" s="80">
        <v>169205</v>
      </c>
      <c r="KE4" s="80">
        <v>13634</v>
      </c>
      <c r="KF4" s="78">
        <v>60600</v>
      </c>
      <c r="KG4" s="81">
        <v>200</v>
      </c>
      <c r="KH4" s="79">
        <v>249496</v>
      </c>
      <c r="KI4" s="17"/>
      <c r="KJ4" s="113" t="s">
        <v>550</v>
      </c>
      <c r="KK4" s="77">
        <v>2200</v>
      </c>
      <c r="KL4" s="78">
        <v>10850</v>
      </c>
      <c r="KM4" s="78">
        <v>245</v>
      </c>
      <c r="KN4" s="78">
        <v>1817</v>
      </c>
      <c r="KO4" s="78">
        <v>0</v>
      </c>
      <c r="KP4" s="79">
        <v>15112</v>
      </c>
      <c r="KQ4" s="80">
        <v>8057</v>
      </c>
      <c r="KR4" s="80">
        <v>180055</v>
      </c>
      <c r="KS4" s="80">
        <v>13879</v>
      </c>
      <c r="KT4" s="78">
        <v>62417</v>
      </c>
      <c r="KU4" s="81">
        <v>200</v>
      </c>
      <c r="KV4" s="79">
        <v>264608</v>
      </c>
      <c r="KW4" s="17"/>
      <c r="KX4" s="113" t="s">
        <v>550</v>
      </c>
      <c r="KY4" s="77">
        <v>0</v>
      </c>
      <c r="KZ4" s="78">
        <v>7766</v>
      </c>
      <c r="LA4" s="78">
        <v>595</v>
      </c>
      <c r="LB4" s="78">
        <v>0</v>
      </c>
      <c r="LC4" s="78">
        <v>0</v>
      </c>
      <c r="LD4" s="79">
        <v>8361</v>
      </c>
      <c r="LE4" s="80">
        <v>8057</v>
      </c>
      <c r="LF4" s="80">
        <v>187821</v>
      </c>
      <c r="LG4" s="80">
        <v>14474</v>
      </c>
      <c r="LH4" s="78">
        <v>62417</v>
      </c>
      <c r="LI4" s="81">
        <v>200</v>
      </c>
      <c r="LJ4" s="79">
        <v>272969</v>
      </c>
      <c r="LK4" s="17">
        <f>LE4-KY4-KQ4</f>
        <v>0</v>
      </c>
      <c r="LL4" s="17">
        <f t="shared" ref="LL4:LP10" si="0">LF4-KZ4-KR4</f>
        <v>0</v>
      </c>
      <c r="LM4" s="17">
        <f t="shared" si="0"/>
        <v>0</v>
      </c>
      <c r="LN4" s="17">
        <f t="shared" si="0"/>
        <v>0</v>
      </c>
      <c r="LO4" s="17">
        <f t="shared" si="0"/>
        <v>0</v>
      </c>
      <c r="LP4" s="17">
        <f t="shared" si="0"/>
        <v>0</v>
      </c>
    </row>
    <row r="5" spans="2:328" x14ac:dyDescent="0.3">
      <c r="B5" s="114" t="s">
        <v>499</v>
      </c>
      <c r="C5" s="31">
        <v>0</v>
      </c>
      <c r="D5" s="18">
        <v>2679.1296000000002</v>
      </c>
      <c r="E5" s="18">
        <v>412.61599999999999</v>
      </c>
      <c r="F5" s="18">
        <v>413.69453999999996</v>
      </c>
      <c r="G5" s="18">
        <v>0</v>
      </c>
      <c r="H5" s="19">
        <v>3505.4401400000002</v>
      </c>
      <c r="I5" s="28">
        <v>0</v>
      </c>
      <c r="J5" s="18">
        <v>6348.3672000000006</v>
      </c>
      <c r="K5" s="18">
        <v>1343.5640099999998</v>
      </c>
      <c r="L5" s="51">
        <v>699.59861999999998</v>
      </c>
      <c r="M5" s="51">
        <v>0</v>
      </c>
      <c r="N5" s="19">
        <v>8391.5298300000013</v>
      </c>
      <c r="P5" s="114" t="s">
        <v>499</v>
      </c>
      <c r="Q5" s="31">
        <v>0</v>
      </c>
      <c r="R5" s="18">
        <v>2679.1296000000002</v>
      </c>
      <c r="S5" s="18">
        <v>412.61599999999999</v>
      </c>
      <c r="T5" s="18">
        <v>413.69453999999996</v>
      </c>
      <c r="U5" s="18">
        <v>0</v>
      </c>
      <c r="V5" s="19">
        <v>3505.4401400000002</v>
      </c>
      <c r="W5" s="28">
        <v>0</v>
      </c>
      <c r="X5" s="18">
        <v>6348.3672000000006</v>
      </c>
      <c r="Y5" s="18">
        <v>1343.5640099999998</v>
      </c>
      <c r="Z5" s="51">
        <v>699.59861999999998</v>
      </c>
      <c r="AA5" s="51">
        <v>0</v>
      </c>
      <c r="AB5" s="19">
        <v>8391.5298300000013</v>
      </c>
      <c r="AD5" s="114" t="s">
        <v>499</v>
      </c>
      <c r="AE5" s="31">
        <v>0</v>
      </c>
      <c r="AF5" s="18">
        <v>2293.6611499999999</v>
      </c>
      <c r="AG5" s="18">
        <v>320.69064999999995</v>
      </c>
      <c r="AH5" s="18">
        <v>580.25911999999994</v>
      </c>
      <c r="AI5" s="18">
        <v>0</v>
      </c>
      <c r="AJ5" s="19">
        <v>3194.6109200000001</v>
      </c>
      <c r="AK5" s="28">
        <v>0</v>
      </c>
      <c r="AL5" s="18">
        <v>8642.0283500000023</v>
      </c>
      <c r="AM5" s="18">
        <v>1664.2546600000001</v>
      </c>
      <c r="AN5" s="51">
        <v>1279.8577399999999</v>
      </c>
      <c r="AO5" s="51">
        <v>0</v>
      </c>
      <c r="AP5" s="19">
        <v>11586.140750000002</v>
      </c>
      <c r="AQ5" s="17"/>
      <c r="AR5" s="114" t="s">
        <v>499</v>
      </c>
      <c r="AS5" s="31">
        <v>0</v>
      </c>
      <c r="AT5" s="18">
        <v>2616.4319999999998</v>
      </c>
      <c r="AU5" s="18">
        <v>488.40750000000003</v>
      </c>
      <c r="AV5" s="18">
        <v>311.89535999999998</v>
      </c>
      <c r="AW5" s="18">
        <v>0</v>
      </c>
      <c r="AX5" s="19">
        <v>3416.73486</v>
      </c>
      <c r="AY5" s="28">
        <v>0</v>
      </c>
      <c r="AZ5" s="18">
        <v>11258.460350000001</v>
      </c>
      <c r="BA5" s="18">
        <v>2152.6621600000003</v>
      </c>
      <c r="BB5" s="51">
        <v>1591.7531000000001</v>
      </c>
      <c r="BC5" s="51">
        <v>0</v>
      </c>
      <c r="BD5" s="19">
        <v>15002.875610000001</v>
      </c>
      <c r="BF5" s="114" t="s">
        <v>499</v>
      </c>
      <c r="BG5" s="31">
        <v>2217.9299999999998</v>
      </c>
      <c r="BH5" s="18">
        <v>3335.2591999999995</v>
      </c>
      <c r="BI5" s="18">
        <v>761.99585000000002</v>
      </c>
      <c r="BJ5" s="18">
        <v>315.36344000000003</v>
      </c>
      <c r="BK5" s="18">
        <v>0</v>
      </c>
      <c r="BL5" s="19">
        <v>6630.5484899999992</v>
      </c>
      <c r="BM5" s="28">
        <v>2217.9299999999998</v>
      </c>
      <c r="BN5" s="18">
        <v>20256.260630000001</v>
      </c>
      <c r="BO5" s="18">
        <v>4076.6889200000001</v>
      </c>
      <c r="BP5" s="51">
        <v>3129.9998200000005</v>
      </c>
      <c r="BQ5" s="51">
        <v>0</v>
      </c>
      <c r="BR5" s="19">
        <v>29680.879370000002</v>
      </c>
      <c r="BS5" s="17"/>
      <c r="BT5" s="114" t="s">
        <v>499</v>
      </c>
      <c r="BU5" s="31">
        <v>0</v>
      </c>
      <c r="BV5" s="18">
        <v>2082.36</v>
      </c>
      <c r="BW5" s="18">
        <v>265.43489999999997</v>
      </c>
      <c r="BX5" s="18">
        <v>321.42935999999997</v>
      </c>
      <c r="BY5" s="18">
        <v>0</v>
      </c>
      <c r="BZ5" s="19">
        <v>2669.22426</v>
      </c>
      <c r="CA5" s="28">
        <v>2217.9299999999998</v>
      </c>
      <c r="CB5" s="18">
        <v>22338.620629999998</v>
      </c>
      <c r="CC5" s="18">
        <v>4342.1238200000007</v>
      </c>
      <c r="CD5" s="51">
        <v>3451.4291800000001</v>
      </c>
      <c r="CE5" s="51">
        <v>0</v>
      </c>
      <c r="CF5" s="19">
        <v>32350.103629999998</v>
      </c>
      <c r="CG5" s="17"/>
      <c r="CH5" s="114" t="s">
        <v>499</v>
      </c>
      <c r="CI5" s="31">
        <v>0</v>
      </c>
      <c r="CJ5" s="18">
        <v>2634.36</v>
      </c>
      <c r="CK5" s="18">
        <v>671.17645000000005</v>
      </c>
      <c r="CL5" s="18">
        <v>521.73295999999993</v>
      </c>
      <c r="CM5" s="18">
        <v>143.6</v>
      </c>
      <c r="CN5" s="19">
        <f t="shared" ref="CN5:CN10" si="1">SUM(CI5:CM5)</f>
        <v>3970.8694099999998</v>
      </c>
      <c r="CO5" s="28">
        <v>2217.9299999999998</v>
      </c>
      <c r="CP5" s="18">
        <v>24972.980629999998</v>
      </c>
      <c r="CQ5" s="18">
        <v>5013.3002700000006</v>
      </c>
      <c r="CR5" s="51">
        <v>3973.1621399999999</v>
      </c>
      <c r="CS5" s="51">
        <v>143.6</v>
      </c>
      <c r="CT5" s="19">
        <v>36320.973039999997</v>
      </c>
      <c r="CU5" s="17"/>
      <c r="CV5" s="114" t="s">
        <v>499</v>
      </c>
      <c r="CW5" s="31">
        <v>0</v>
      </c>
      <c r="CX5" s="18">
        <v>3011.0976000000001</v>
      </c>
      <c r="CY5" s="18">
        <v>797.77625</v>
      </c>
      <c r="CZ5" s="18">
        <v>677.26511999999991</v>
      </c>
      <c r="DA5" s="18">
        <v>0</v>
      </c>
      <c r="DB5" s="19">
        <v>4486.13897</v>
      </c>
      <c r="DC5" s="28">
        <v>2217.9299999999998</v>
      </c>
      <c r="DD5" s="18">
        <v>27984.078229999999</v>
      </c>
      <c r="DE5" s="18">
        <v>5811.0765200000005</v>
      </c>
      <c r="DF5" s="51">
        <v>4650.4272599999995</v>
      </c>
      <c r="DG5" s="51">
        <v>143.6</v>
      </c>
      <c r="DH5" s="19">
        <v>40807.112009999997</v>
      </c>
      <c r="DI5" s="17"/>
      <c r="DJ5" s="114" t="s">
        <v>499</v>
      </c>
      <c r="DK5" s="31">
        <v>0</v>
      </c>
      <c r="DL5" s="18">
        <v>2236.0463999999997</v>
      </c>
      <c r="DM5" s="18">
        <v>265.81205000000006</v>
      </c>
      <c r="DN5" s="18">
        <v>411.90800000000002</v>
      </c>
      <c r="DO5" s="18">
        <v>0</v>
      </c>
      <c r="DP5" s="19">
        <v>2913.7664499999996</v>
      </c>
      <c r="DQ5" s="28">
        <v>2217.9299999999998</v>
      </c>
      <c r="DR5" s="18">
        <v>30220.124629999995</v>
      </c>
      <c r="DS5" s="18">
        <v>6076.888570000001</v>
      </c>
      <c r="DT5" s="51">
        <v>5062.3352600000007</v>
      </c>
      <c r="DU5" s="51">
        <v>143.6</v>
      </c>
      <c r="DV5" s="19">
        <v>43720.878459999993</v>
      </c>
      <c r="DW5" s="17"/>
      <c r="DX5" s="114" t="s">
        <v>499</v>
      </c>
      <c r="DY5" s="31">
        <v>0</v>
      </c>
      <c r="DZ5" s="18">
        <v>2589.181</v>
      </c>
      <c r="EA5" s="18">
        <v>269.93925000000002</v>
      </c>
      <c r="EB5" s="18">
        <v>470.08080000000001</v>
      </c>
      <c r="EC5" s="18">
        <v>0</v>
      </c>
      <c r="ED5" s="19">
        <v>3329.2010500000001</v>
      </c>
      <c r="EE5" s="28">
        <v>2217.9299999999998</v>
      </c>
      <c r="EF5" s="18">
        <v>32809.305629999995</v>
      </c>
      <c r="EG5" s="18">
        <v>6346.8278200000004</v>
      </c>
      <c r="EH5" s="51">
        <v>5532.4160600000005</v>
      </c>
      <c r="EI5" s="51">
        <v>143.6</v>
      </c>
      <c r="EJ5" s="19">
        <v>47050.079509999996</v>
      </c>
      <c r="EK5" s="17"/>
      <c r="EL5" s="114" t="s">
        <v>499</v>
      </c>
      <c r="EM5" s="31">
        <v>0</v>
      </c>
      <c r="EN5" s="18">
        <v>4254.9513999999999</v>
      </c>
      <c r="EO5" s="18">
        <v>256.06805000000003</v>
      </c>
      <c r="EP5" s="18">
        <v>209.42207999999999</v>
      </c>
      <c r="EQ5" s="18">
        <v>0</v>
      </c>
      <c r="ER5" s="19">
        <v>4720.4415300000001</v>
      </c>
      <c r="ES5" s="28">
        <v>2217.9299999999998</v>
      </c>
      <c r="ET5" s="18">
        <v>37064.257029999993</v>
      </c>
      <c r="EU5" s="18">
        <v>6602.8958700000003</v>
      </c>
      <c r="EV5" s="51">
        <v>5741.8381400000007</v>
      </c>
      <c r="EW5" s="51">
        <v>143.6</v>
      </c>
      <c r="EX5" s="19">
        <v>51770.521039999992</v>
      </c>
      <c r="EY5" s="17"/>
      <c r="EZ5" s="114" t="s">
        <v>499</v>
      </c>
      <c r="FA5" s="31">
        <v>0</v>
      </c>
      <c r="FB5" s="18">
        <v>3542.5152000000003</v>
      </c>
      <c r="FC5" s="18">
        <v>548.13115000000005</v>
      </c>
      <c r="FD5" s="18">
        <v>365.36975999999999</v>
      </c>
      <c r="FE5" s="18">
        <v>0</v>
      </c>
      <c r="FF5" s="19">
        <v>4456.0161100000005</v>
      </c>
      <c r="FG5" s="28">
        <v>2217.9299999999998</v>
      </c>
      <c r="FH5" s="18">
        <v>40606.77222999998</v>
      </c>
      <c r="FI5" s="18">
        <v>7151.0270200000004</v>
      </c>
      <c r="FJ5" s="51">
        <v>6107.2079000000003</v>
      </c>
      <c r="FK5" s="51">
        <v>143.6</v>
      </c>
      <c r="FL5" s="19">
        <v>56226.537149999982</v>
      </c>
      <c r="FM5" s="17"/>
      <c r="FN5" s="114" t="s">
        <v>499</v>
      </c>
      <c r="FO5" s="31">
        <v>0</v>
      </c>
      <c r="FP5" s="18">
        <v>2702.2464</v>
      </c>
      <c r="FQ5" s="18">
        <v>299.09740000000005</v>
      </c>
      <c r="FR5" s="18">
        <v>209.42207999999999</v>
      </c>
      <c r="FS5" s="18">
        <v>0</v>
      </c>
      <c r="FT5" s="19">
        <v>3210.7658799999999</v>
      </c>
      <c r="FU5" s="28">
        <v>2217.9299999999998</v>
      </c>
      <c r="FV5" s="18">
        <v>43309.01862999997</v>
      </c>
      <c r="FW5" s="18">
        <v>7450.124420000001</v>
      </c>
      <c r="FX5" s="51">
        <v>6316.6299799999997</v>
      </c>
      <c r="FY5" s="51">
        <v>143.6</v>
      </c>
      <c r="FZ5" s="19">
        <v>59437.303029999966</v>
      </c>
      <c r="GA5" s="17"/>
      <c r="GB5" s="114" t="s">
        <v>499</v>
      </c>
      <c r="GC5" s="31">
        <v>0</v>
      </c>
      <c r="GD5" s="18">
        <v>2719.2143999999998</v>
      </c>
      <c r="GE5" s="18">
        <v>229.86600000000001</v>
      </c>
      <c r="GF5" s="18">
        <v>418.84415999999999</v>
      </c>
      <c r="GG5" s="18">
        <v>0</v>
      </c>
      <c r="GH5" s="19">
        <v>3367.9245599999999</v>
      </c>
      <c r="GI5" s="28">
        <v>2217.9299999999998</v>
      </c>
      <c r="GJ5" s="18">
        <v>46028.233029999989</v>
      </c>
      <c r="GK5" s="18">
        <v>7679.9904200000019</v>
      </c>
      <c r="GL5" s="51">
        <v>6735.4741399999994</v>
      </c>
      <c r="GM5" s="51">
        <v>143.6</v>
      </c>
      <c r="GN5" s="19">
        <v>62805.227589999988</v>
      </c>
      <c r="GO5" s="17"/>
      <c r="GP5" s="114" t="s">
        <v>499</v>
      </c>
      <c r="GQ5" s="31">
        <v>0</v>
      </c>
      <c r="GR5" s="18">
        <v>1980.1936000000001</v>
      </c>
      <c r="GS5" s="18">
        <v>704.24164999999994</v>
      </c>
      <c r="GT5" s="18">
        <v>951.6906899999999</v>
      </c>
      <c r="GU5" s="18">
        <v>0</v>
      </c>
      <c r="GV5" s="19">
        <v>3636.1259399999999</v>
      </c>
      <c r="GW5" s="28">
        <v>2217.9299999999998</v>
      </c>
      <c r="GX5" s="18">
        <v>48008.42662999998</v>
      </c>
      <c r="GY5" s="18">
        <v>8384.2320700000037</v>
      </c>
      <c r="GZ5" s="51">
        <v>7687.1648299999997</v>
      </c>
      <c r="HA5" s="51">
        <v>143.6</v>
      </c>
      <c r="HB5" s="19">
        <v>66441.353529999993</v>
      </c>
      <c r="HC5" s="72"/>
      <c r="HD5" s="114" t="s">
        <v>499</v>
      </c>
      <c r="HE5" s="31">
        <v>0</v>
      </c>
      <c r="HF5" s="18">
        <v>2988.9607999999998</v>
      </c>
      <c r="HG5" s="18">
        <v>739.92305999999996</v>
      </c>
      <c r="HH5" s="18">
        <v>482.95350000000002</v>
      </c>
      <c r="HI5" s="18">
        <v>0</v>
      </c>
      <c r="HJ5" s="19">
        <v>4211.8373599999995</v>
      </c>
      <c r="HK5" s="28">
        <v>2217.9299999999998</v>
      </c>
      <c r="HL5" s="18">
        <v>50997.387429999988</v>
      </c>
      <c r="HM5" s="18">
        <v>9124.1551300000046</v>
      </c>
      <c r="HN5" s="51">
        <v>8170.1183300000002</v>
      </c>
      <c r="HO5" s="51">
        <v>143.6</v>
      </c>
      <c r="HP5" s="19">
        <v>70653.190889999998</v>
      </c>
      <c r="HQ5" s="17"/>
      <c r="HR5" s="114" t="s">
        <v>499</v>
      </c>
      <c r="HS5" s="31">
        <v>0</v>
      </c>
      <c r="HT5" s="18">
        <v>2100.672</v>
      </c>
      <c r="HU5" s="18">
        <v>676.33124999999995</v>
      </c>
      <c r="HV5" s="18">
        <v>396.88631999999996</v>
      </c>
      <c r="HW5" s="18">
        <v>0</v>
      </c>
      <c r="HX5" s="19">
        <v>3173.8895699999998</v>
      </c>
      <c r="HY5" s="28">
        <v>2217.9299999999998</v>
      </c>
      <c r="HZ5" s="18">
        <v>53098.059429999994</v>
      </c>
      <c r="IA5" s="18">
        <v>9800.4863800000021</v>
      </c>
      <c r="IB5" s="51">
        <v>8567.0046500000008</v>
      </c>
      <c r="IC5" s="51">
        <v>143.6</v>
      </c>
      <c r="ID5" s="19">
        <v>73827.080459999997</v>
      </c>
      <c r="IF5" s="114" t="s">
        <v>499</v>
      </c>
      <c r="IG5" s="31">
        <v>0</v>
      </c>
      <c r="IH5" s="18">
        <v>1782.5808</v>
      </c>
      <c r="II5" s="18">
        <v>652.01290000000006</v>
      </c>
      <c r="IJ5" s="18">
        <v>400.50948</v>
      </c>
      <c r="IK5" s="18">
        <v>0</v>
      </c>
      <c r="IL5" s="19">
        <v>2835.1031800000001</v>
      </c>
      <c r="IM5" s="28">
        <v>2217.9299999999998</v>
      </c>
      <c r="IN5" s="18">
        <v>54880.64022999999</v>
      </c>
      <c r="IO5" s="18">
        <v>10452.499280000004</v>
      </c>
      <c r="IP5" s="51">
        <v>8967.5141299999996</v>
      </c>
      <c r="IQ5" s="51">
        <v>143.6</v>
      </c>
      <c r="IR5" s="19">
        <v>76662.183640000003</v>
      </c>
      <c r="IS5" s="17"/>
      <c r="IT5" s="114" t="s">
        <v>499</v>
      </c>
      <c r="IU5" s="31">
        <v>0</v>
      </c>
      <c r="IV5" s="18">
        <v>2238.3130000000001</v>
      </c>
      <c r="IW5" s="18">
        <v>206.89007999999998</v>
      </c>
      <c r="IX5" s="18">
        <v>552.29327999999998</v>
      </c>
      <c r="IY5" s="18">
        <v>0</v>
      </c>
      <c r="IZ5" s="19">
        <v>2997.4963600000001</v>
      </c>
      <c r="JA5" s="28">
        <v>2217.9299999999998</v>
      </c>
      <c r="JB5" s="18">
        <v>57118.953229999985</v>
      </c>
      <c r="JC5" s="18">
        <v>10659.389359999999</v>
      </c>
      <c r="JD5" s="51">
        <v>9519.8074099999994</v>
      </c>
      <c r="JE5" s="51">
        <v>143.6</v>
      </c>
      <c r="JF5" s="19">
        <v>79659.679999999978</v>
      </c>
      <c r="JG5" s="17"/>
      <c r="JH5" s="114" t="s">
        <v>499</v>
      </c>
      <c r="JI5" s="31">
        <v>1850.68317</v>
      </c>
      <c r="JJ5" s="18">
        <v>2100.672</v>
      </c>
      <c r="JK5" s="18">
        <v>181.12674999999999</v>
      </c>
      <c r="JL5" s="18">
        <v>427.84531999999996</v>
      </c>
      <c r="JM5" s="18">
        <v>0</v>
      </c>
      <c r="JN5" s="19">
        <v>4560.3272400000005</v>
      </c>
      <c r="JO5" s="28">
        <v>4068.6131700000001</v>
      </c>
      <c r="JP5" s="18">
        <v>59219.625229999983</v>
      </c>
      <c r="JQ5" s="18">
        <v>10840.51611</v>
      </c>
      <c r="JR5" s="51">
        <v>9947.6527299999998</v>
      </c>
      <c r="JS5" s="51">
        <v>143.6</v>
      </c>
      <c r="JT5" s="19">
        <v>84220.007239999992</v>
      </c>
      <c r="JU5" s="17"/>
      <c r="JV5" s="114" t="s">
        <v>499</v>
      </c>
      <c r="JW5" s="31">
        <v>32.965000000000003</v>
      </c>
      <c r="JX5" s="18">
        <v>2383.4748000000004</v>
      </c>
      <c r="JY5" s="18">
        <v>618.1353499999999</v>
      </c>
      <c r="JZ5" s="18">
        <v>473.23752000000002</v>
      </c>
      <c r="KA5" s="18">
        <v>0</v>
      </c>
      <c r="KB5" s="19">
        <v>3507.8126700000007</v>
      </c>
      <c r="KC5" s="28">
        <v>4101.5781699999998</v>
      </c>
      <c r="KD5" s="18">
        <v>61603.100029999972</v>
      </c>
      <c r="KE5" s="18">
        <v>11458.651459999999</v>
      </c>
      <c r="KF5" s="51">
        <v>10420.890249999999</v>
      </c>
      <c r="KG5" s="51">
        <v>143.6</v>
      </c>
      <c r="KH5" s="19">
        <v>87727.819909999962</v>
      </c>
      <c r="KI5" s="17"/>
      <c r="KJ5" s="114" t="s">
        <v>499</v>
      </c>
      <c r="KK5" s="31">
        <v>1450.482</v>
      </c>
      <c r="KL5" s="18">
        <v>3917.6759999999999</v>
      </c>
      <c r="KM5" s="18">
        <v>237.99509999999998</v>
      </c>
      <c r="KN5" s="18">
        <v>313.96301</v>
      </c>
      <c r="KO5" s="18">
        <v>0</v>
      </c>
      <c r="KP5" s="19">
        <v>5920.1161099999999</v>
      </c>
      <c r="KQ5" s="28">
        <v>5552.0601699999997</v>
      </c>
      <c r="KR5" s="18">
        <v>65520.776029999979</v>
      </c>
      <c r="KS5" s="18">
        <v>11696.646559999997</v>
      </c>
      <c r="KT5" s="51">
        <v>10734.853259999998</v>
      </c>
      <c r="KU5" s="51">
        <v>143.6</v>
      </c>
      <c r="KV5" s="19">
        <v>93647.936019999979</v>
      </c>
      <c r="KW5" s="17"/>
      <c r="KX5" s="114" t="s">
        <v>499</v>
      </c>
      <c r="KY5" s="31">
        <v>0</v>
      </c>
      <c r="KZ5" s="18">
        <v>2621.1743999999999</v>
      </c>
      <c r="LA5" s="18">
        <v>544.92340000000002</v>
      </c>
      <c r="LB5" s="18">
        <v>0</v>
      </c>
      <c r="LC5" s="18">
        <v>0</v>
      </c>
      <c r="LD5" s="19">
        <v>3166.0978</v>
      </c>
      <c r="LE5" s="28">
        <v>5552.0601699999997</v>
      </c>
      <c r="LF5" s="18">
        <v>68141.950429999983</v>
      </c>
      <c r="LG5" s="18">
        <v>12241.569959999995</v>
      </c>
      <c r="LH5" s="51">
        <v>10734.853259999998</v>
      </c>
      <c r="LI5" s="51">
        <v>143.6</v>
      </c>
      <c r="LJ5" s="19">
        <v>96814.033819999982</v>
      </c>
      <c r="LK5" s="17">
        <f t="shared" ref="LK5:LK10" si="2">LE5-KY5-KQ5</f>
        <v>0</v>
      </c>
      <c r="LL5" s="17">
        <f t="shared" si="0"/>
        <v>0</v>
      </c>
      <c r="LM5" s="17">
        <f t="shared" si="0"/>
        <v>0</v>
      </c>
      <c r="LN5" s="17">
        <f t="shared" si="0"/>
        <v>0</v>
      </c>
      <c r="LO5" s="17">
        <f t="shared" si="0"/>
        <v>0</v>
      </c>
      <c r="LP5" s="17">
        <f t="shared" si="0"/>
        <v>0</v>
      </c>
    </row>
    <row r="6" spans="2:328" x14ac:dyDescent="0.3">
      <c r="B6" s="115" t="s">
        <v>539</v>
      </c>
      <c r="C6" s="32">
        <v>0</v>
      </c>
      <c r="D6" s="21">
        <v>2633.5344000000005</v>
      </c>
      <c r="E6" s="21">
        <v>383.00634999999988</v>
      </c>
      <c r="F6" s="21">
        <v>395.11023999999998</v>
      </c>
      <c r="G6" s="21">
        <v>0</v>
      </c>
      <c r="H6" s="23">
        <v>3411.6509900000001</v>
      </c>
      <c r="I6" s="29">
        <v>0</v>
      </c>
      <c r="J6" s="21">
        <v>6192.3182999999999</v>
      </c>
      <c r="K6" s="21">
        <v>1234.2014699999993</v>
      </c>
      <c r="L6" s="52">
        <v>668.17071999999996</v>
      </c>
      <c r="M6" s="52">
        <v>0</v>
      </c>
      <c r="N6" s="23">
        <v>8094.690489999999</v>
      </c>
      <c r="P6" s="115" t="s">
        <v>539</v>
      </c>
      <c r="Q6" s="32">
        <v>0</v>
      </c>
      <c r="R6" s="21">
        <v>2633.5344000000005</v>
      </c>
      <c r="S6" s="21">
        <v>383.00634999999988</v>
      </c>
      <c r="T6" s="21">
        <v>395.11023999999998</v>
      </c>
      <c r="U6" s="21">
        <v>0</v>
      </c>
      <c r="V6" s="23">
        <v>3411.6509900000001</v>
      </c>
      <c r="W6" s="29">
        <v>0</v>
      </c>
      <c r="X6" s="21">
        <v>6192.3182999999999</v>
      </c>
      <c r="Y6" s="21">
        <v>1234.2014699999993</v>
      </c>
      <c r="Z6" s="52">
        <v>668.17071999999996</v>
      </c>
      <c r="AA6" s="52">
        <v>0</v>
      </c>
      <c r="AB6" s="23">
        <v>8094.690489999999</v>
      </c>
      <c r="AD6" s="115" t="s">
        <v>539</v>
      </c>
      <c r="AE6" s="32">
        <v>0</v>
      </c>
      <c r="AF6" s="21">
        <v>2239.4424000000004</v>
      </c>
      <c r="AG6" s="21">
        <v>309.64569999999986</v>
      </c>
      <c r="AH6" s="21">
        <v>545.93371999999999</v>
      </c>
      <c r="AI6" s="21">
        <v>0</v>
      </c>
      <c r="AJ6" s="23">
        <v>3095.0218200000004</v>
      </c>
      <c r="AK6" s="29">
        <v>0</v>
      </c>
      <c r="AL6" s="21">
        <v>8431.7607000000007</v>
      </c>
      <c r="AM6" s="21">
        <v>1534.3854699999993</v>
      </c>
      <c r="AN6" s="52">
        <v>1214.1044399999998</v>
      </c>
      <c r="AO6" s="52">
        <v>0</v>
      </c>
      <c r="AP6" s="23">
        <v>11180.250609999999</v>
      </c>
      <c r="AQ6" s="17"/>
      <c r="AR6" s="115" t="s">
        <v>539</v>
      </c>
      <c r="AS6" s="32">
        <v>0</v>
      </c>
      <c r="AT6" s="21">
        <v>2529.3072000000002</v>
      </c>
      <c r="AU6" s="21">
        <v>500.20424999999983</v>
      </c>
      <c r="AV6" s="21">
        <v>297.88415999999995</v>
      </c>
      <c r="AW6" s="21">
        <v>0</v>
      </c>
      <c r="AX6" s="23">
        <v>3327.39561</v>
      </c>
      <c r="AY6" s="29">
        <v>0</v>
      </c>
      <c r="AZ6" s="21">
        <v>10961.067900000002</v>
      </c>
      <c r="BA6" s="21">
        <v>2034.5897199999993</v>
      </c>
      <c r="BB6" s="52">
        <v>1511.9885999999999</v>
      </c>
      <c r="BC6" s="52">
        <v>0</v>
      </c>
      <c r="BD6" s="23">
        <v>14507.646220000002</v>
      </c>
      <c r="BF6" s="115" t="s">
        <v>539</v>
      </c>
      <c r="BG6" s="32">
        <v>1487.4899999999998</v>
      </c>
      <c r="BH6" s="21">
        <v>3239.7900500000001</v>
      </c>
      <c r="BI6" s="21">
        <v>715.97924999999964</v>
      </c>
      <c r="BJ6" s="21">
        <v>298.60656</v>
      </c>
      <c r="BK6" s="21">
        <v>0</v>
      </c>
      <c r="BL6" s="23">
        <v>5741.865859999999</v>
      </c>
      <c r="BM6" s="29">
        <v>1487.4899999999998</v>
      </c>
      <c r="BN6" s="21">
        <v>19718.449529999998</v>
      </c>
      <c r="BO6" s="21">
        <v>3913.8737699999974</v>
      </c>
      <c r="BP6" s="52">
        <v>2967.2454400000001</v>
      </c>
      <c r="BQ6" s="52">
        <v>0</v>
      </c>
      <c r="BR6" s="23">
        <v>28087.058739999993</v>
      </c>
      <c r="BS6" s="17"/>
      <c r="BT6" s="115" t="s">
        <v>539</v>
      </c>
      <c r="BU6" s="32">
        <v>0</v>
      </c>
      <c r="BV6" s="21">
        <v>2007.2807999999998</v>
      </c>
      <c r="BW6" s="21">
        <v>208.21741999999986</v>
      </c>
      <c r="BX6" s="21">
        <v>303.10503999999997</v>
      </c>
      <c r="BY6" s="21">
        <v>0</v>
      </c>
      <c r="BZ6" s="23">
        <v>2518.6032599999994</v>
      </c>
      <c r="CA6" s="29">
        <v>1487.4899999999998</v>
      </c>
      <c r="CB6" s="21">
        <v>21725.730329999999</v>
      </c>
      <c r="CC6" s="21">
        <v>4122.0911899999974</v>
      </c>
      <c r="CD6" s="52">
        <v>3270.3504800000001</v>
      </c>
      <c r="CE6" s="52">
        <v>0</v>
      </c>
      <c r="CF6" s="23">
        <v>30605.661999999997</v>
      </c>
      <c r="CG6" s="17"/>
      <c r="CH6" s="115" t="s">
        <v>539</v>
      </c>
      <c r="CI6" s="32">
        <v>0</v>
      </c>
      <c r="CJ6" s="21">
        <v>2573.4695000000002</v>
      </c>
      <c r="CK6" s="21">
        <v>618.30369999999971</v>
      </c>
      <c r="CL6" s="21">
        <v>491.62235999999996</v>
      </c>
      <c r="CM6" s="21">
        <v>168.73472000000001</v>
      </c>
      <c r="CN6" s="23">
        <f t="shared" si="1"/>
        <v>3852.1302799999994</v>
      </c>
      <c r="CO6" s="29">
        <v>1487.4899999999998</v>
      </c>
      <c r="CP6" s="21">
        <v>24299.199829999998</v>
      </c>
      <c r="CQ6" s="21">
        <v>4740.3948899999978</v>
      </c>
      <c r="CR6" s="52">
        <v>3761.9728400000004</v>
      </c>
      <c r="CS6" s="52">
        <v>168.73472000000001</v>
      </c>
      <c r="CT6" s="23">
        <v>34457.792279999994</v>
      </c>
      <c r="CU6" s="17"/>
      <c r="CV6" s="115" t="s">
        <v>539</v>
      </c>
      <c r="CW6" s="32">
        <v>0</v>
      </c>
      <c r="CX6" s="21">
        <v>2942.1167999999998</v>
      </c>
      <c r="CY6" s="21">
        <v>693.36824999999965</v>
      </c>
      <c r="CZ6" s="21">
        <v>640.18079999999998</v>
      </c>
      <c r="DA6" s="21">
        <v>0</v>
      </c>
      <c r="DB6" s="23">
        <v>4275.6658499999994</v>
      </c>
      <c r="DC6" s="29">
        <v>1487.4899999999998</v>
      </c>
      <c r="DD6" s="21">
        <v>27241.316630000005</v>
      </c>
      <c r="DE6" s="21">
        <v>5433.7631399999964</v>
      </c>
      <c r="DF6" s="52">
        <v>4402.1536400000005</v>
      </c>
      <c r="DG6" s="52">
        <v>168.73472000000001</v>
      </c>
      <c r="DH6" s="23">
        <v>38733.458130000006</v>
      </c>
      <c r="DI6" s="17"/>
      <c r="DJ6" s="115" t="s">
        <v>539</v>
      </c>
      <c r="DK6" s="32">
        <v>0</v>
      </c>
      <c r="DL6" s="21">
        <v>2182.6217000000001</v>
      </c>
      <c r="DM6" s="21">
        <v>319.7141499999999</v>
      </c>
      <c r="DN6" s="21">
        <v>385.26432</v>
      </c>
      <c r="DO6" s="21">
        <v>0</v>
      </c>
      <c r="DP6" s="23">
        <v>2887.6001699999997</v>
      </c>
      <c r="DQ6" s="29">
        <v>1487.4899999999998</v>
      </c>
      <c r="DR6" s="21">
        <v>29423.938330000004</v>
      </c>
      <c r="DS6" s="21">
        <v>5753.4772899999971</v>
      </c>
      <c r="DT6" s="52">
        <v>4787.4179600000007</v>
      </c>
      <c r="DU6" s="52">
        <v>168.73472000000001</v>
      </c>
      <c r="DV6" s="23">
        <v>41621.058299999997</v>
      </c>
      <c r="DW6" s="17"/>
      <c r="DX6" s="115" t="s">
        <v>539</v>
      </c>
      <c r="DY6" s="32">
        <v>0</v>
      </c>
      <c r="DZ6" s="21">
        <v>2504.4911500000003</v>
      </c>
      <c r="EA6" s="21">
        <v>273.80499999999989</v>
      </c>
      <c r="EB6" s="21">
        <v>438.97391999999991</v>
      </c>
      <c r="EC6" s="21">
        <v>0</v>
      </c>
      <c r="ED6" s="23">
        <v>3217.27007</v>
      </c>
      <c r="EE6" s="29">
        <v>1487.4899999999998</v>
      </c>
      <c r="EF6" s="21">
        <v>31928.429480000006</v>
      </c>
      <c r="EG6" s="21">
        <v>6027.2822899999974</v>
      </c>
      <c r="EH6" s="52">
        <v>5226.391880000001</v>
      </c>
      <c r="EI6" s="52">
        <v>168.73472000000001</v>
      </c>
      <c r="EJ6" s="23">
        <v>44838.328370000003</v>
      </c>
      <c r="EK6" s="17"/>
      <c r="EL6" s="115" t="s">
        <v>539</v>
      </c>
      <c r="EM6" s="32">
        <v>0</v>
      </c>
      <c r="EN6" s="21">
        <v>4152.94355</v>
      </c>
      <c r="EO6" s="21">
        <v>278.66439999999994</v>
      </c>
      <c r="EP6" s="21">
        <v>193.35455999999999</v>
      </c>
      <c r="EQ6" s="21">
        <v>0</v>
      </c>
      <c r="ER6" s="23">
        <v>4624.9625099999994</v>
      </c>
      <c r="ES6" s="29">
        <v>1487.4899999999998</v>
      </c>
      <c r="ET6" s="21">
        <v>36081.37303000001</v>
      </c>
      <c r="EU6" s="21">
        <v>6305.946689999997</v>
      </c>
      <c r="EV6" s="52">
        <v>5419.7464400000017</v>
      </c>
      <c r="EW6" s="52">
        <v>168.73472000000001</v>
      </c>
      <c r="EX6" s="23">
        <v>49463.290880000008</v>
      </c>
      <c r="EY6" s="17"/>
      <c r="EZ6" s="115" t="s">
        <v>539</v>
      </c>
      <c r="FA6" s="32">
        <v>0</v>
      </c>
      <c r="FB6" s="21">
        <v>3475.5812000000001</v>
      </c>
      <c r="FC6" s="21">
        <v>520.2956499999998</v>
      </c>
      <c r="FD6" s="21">
        <v>342.29664000000002</v>
      </c>
      <c r="FE6" s="21">
        <v>0</v>
      </c>
      <c r="FF6" s="23">
        <v>4338.1734899999992</v>
      </c>
      <c r="FG6" s="29">
        <v>1487.4899999999998</v>
      </c>
      <c r="FH6" s="21">
        <v>39556.95423000001</v>
      </c>
      <c r="FI6" s="21">
        <v>6826.2423399999961</v>
      </c>
      <c r="FJ6" s="52">
        <v>5762.0430800000022</v>
      </c>
      <c r="FK6" s="52">
        <v>168.73472000000001</v>
      </c>
      <c r="FL6" s="23">
        <v>53801.464370000009</v>
      </c>
      <c r="FM6" s="17"/>
      <c r="FN6" s="115" t="s">
        <v>539</v>
      </c>
      <c r="FO6" s="32">
        <v>0</v>
      </c>
      <c r="FP6" s="21">
        <v>2638.5912000000003</v>
      </c>
      <c r="FQ6" s="21">
        <v>326.99659999999994</v>
      </c>
      <c r="FR6" s="21">
        <v>193.35455999999999</v>
      </c>
      <c r="FS6" s="21">
        <v>0</v>
      </c>
      <c r="FT6" s="23">
        <v>3158.94236</v>
      </c>
      <c r="FU6" s="29">
        <v>1487.4899999999998</v>
      </c>
      <c r="FV6" s="21">
        <v>42195.545430000013</v>
      </c>
      <c r="FW6" s="21">
        <v>7153.2389399999956</v>
      </c>
      <c r="FX6" s="52">
        <v>5955.3976400000029</v>
      </c>
      <c r="FY6" s="52">
        <v>168.73472000000001</v>
      </c>
      <c r="FZ6" s="23">
        <v>56960.40673000001</v>
      </c>
      <c r="GA6" s="17"/>
      <c r="GB6" s="115" t="s">
        <v>539</v>
      </c>
      <c r="GC6" s="32">
        <v>0</v>
      </c>
      <c r="GD6" s="21">
        <v>2653.38</v>
      </c>
      <c r="GE6" s="21">
        <v>252.22854999999993</v>
      </c>
      <c r="GF6" s="21">
        <v>386.70911999999998</v>
      </c>
      <c r="GG6" s="21">
        <v>0</v>
      </c>
      <c r="GH6" s="23">
        <v>3292.3176699999999</v>
      </c>
      <c r="GI6" s="29">
        <v>1487.4899999999998</v>
      </c>
      <c r="GJ6" s="21">
        <v>44848.925430000025</v>
      </c>
      <c r="GK6" s="21">
        <v>7405.4674899999955</v>
      </c>
      <c r="GL6" s="52">
        <v>6342.1067600000015</v>
      </c>
      <c r="GM6" s="52">
        <v>168.73472000000001</v>
      </c>
      <c r="GN6" s="23">
        <v>60252.724400000021</v>
      </c>
      <c r="GO6" s="17"/>
      <c r="GP6" s="115" t="s">
        <v>539</v>
      </c>
      <c r="GQ6" s="32">
        <v>0</v>
      </c>
      <c r="GR6" s="21">
        <v>1926.9460000000001</v>
      </c>
      <c r="GS6" s="21">
        <v>814.69955000000004</v>
      </c>
      <c r="GT6" s="21">
        <v>898.58794999999998</v>
      </c>
      <c r="GU6" s="21">
        <v>0</v>
      </c>
      <c r="GV6" s="23">
        <v>3640.2335000000003</v>
      </c>
      <c r="GW6" s="29">
        <v>1487.4899999999998</v>
      </c>
      <c r="GX6" s="21">
        <v>46775.871430000007</v>
      </c>
      <c r="GY6" s="21">
        <v>8220.1670399999948</v>
      </c>
      <c r="GZ6" s="52">
        <v>7240.6947100000025</v>
      </c>
      <c r="HA6" s="52">
        <v>168.73472000000001</v>
      </c>
      <c r="HB6" s="23">
        <v>63892.957900000001</v>
      </c>
      <c r="HC6" s="72"/>
      <c r="HD6" s="115" t="s">
        <v>539</v>
      </c>
      <c r="HE6" s="32">
        <v>0</v>
      </c>
      <c r="HF6" s="21">
        <v>2926.5750499999999</v>
      </c>
      <c r="HG6" s="21">
        <v>731.87553999999977</v>
      </c>
      <c r="HH6" s="21">
        <v>450.43588</v>
      </c>
      <c r="HI6" s="21">
        <v>0</v>
      </c>
      <c r="HJ6" s="23">
        <v>4108.8864699999995</v>
      </c>
      <c r="HK6" s="29">
        <v>1487.4899999999998</v>
      </c>
      <c r="HL6" s="21">
        <v>49702.446480000006</v>
      </c>
      <c r="HM6" s="21">
        <v>8952.0425799999939</v>
      </c>
      <c r="HN6" s="52">
        <v>7691.1305900000034</v>
      </c>
      <c r="HO6" s="52">
        <v>168.73472000000001</v>
      </c>
      <c r="HP6" s="23">
        <v>68001.844369999992</v>
      </c>
      <c r="HQ6" s="17"/>
      <c r="HR6" s="115" t="s">
        <v>539</v>
      </c>
      <c r="HS6" s="32">
        <v>0</v>
      </c>
      <c r="HT6" s="21">
        <v>2050.944</v>
      </c>
      <c r="HU6" s="21">
        <v>657.47079999999983</v>
      </c>
      <c r="HV6" s="21">
        <v>380.96040000000005</v>
      </c>
      <c r="HW6" s="21">
        <v>0</v>
      </c>
      <c r="HX6" s="23">
        <v>3089.3751999999995</v>
      </c>
      <c r="HY6" s="29">
        <v>1487.4899999999998</v>
      </c>
      <c r="HZ6" s="21">
        <v>51753.390480000002</v>
      </c>
      <c r="IA6" s="21">
        <v>9609.513379999993</v>
      </c>
      <c r="IB6" s="52">
        <v>8072.0909900000024</v>
      </c>
      <c r="IC6" s="52">
        <v>168.73472000000001</v>
      </c>
      <c r="ID6" s="23">
        <v>71091.219569999987</v>
      </c>
      <c r="IE6" s="17"/>
      <c r="IF6" s="115" t="s">
        <v>539</v>
      </c>
      <c r="IG6" s="32">
        <v>0</v>
      </c>
      <c r="IH6" s="21">
        <v>1738.7772500000001</v>
      </c>
      <c r="II6" s="21">
        <v>632.63094999999976</v>
      </c>
      <c r="IJ6" s="21">
        <v>388.44955999999996</v>
      </c>
      <c r="IK6" s="21">
        <v>0</v>
      </c>
      <c r="IL6" s="23">
        <v>2759.8577599999999</v>
      </c>
      <c r="IM6" s="29">
        <v>1487.4899999999998</v>
      </c>
      <c r="IN6" s="21">
        <v>53492.167729999994</v>
      </c>
      <c r="IO6" s="21">
        <v>10242.144329999999</v>
      </c>
      <c r="IP6" s="52">
        <v>8460.5405500000033</v>
      </c>
      <c r="IQ6" s="52">
        <v>168.73472000000001</v>
      </c>
      <c r="IR6" s="23">
        <v>73851.077329999986</v>
      </c>
      <c r="IS6" s="17"/>
      <c r="IT6" s="115" t="s">
        <v>539</v>
      </c>
      <c r="IU6" s="32">
        <v>0</v>
      </c>
      <c r="IV6" s="21">
        <v>2183.24575</v>
      </c>
      <c r="IW6" s="21">
        <v>208.15850999999995</v>
      </c>
      <c r="IX6" s="21">
        <v>520.25904000000003</v>
      </c>
      <c r="IY6" s="21">
        <v>0</v>
      </c>
      <c r="IZ6" s="23">
        <v>2911.6632999999997</v>
      </c>
      <c r="JA6" s="29">
        <v>1487.4899999999998</v>
      </c>
      <c r="JB6" s="21">
        <v>55675.413480000003</v>
      </c>
      <c r="JC6" s="21">
        <v>10450.302839999998</v>
      </c>
      <c r="JD6" s="52">
        <v>8980.7995900000024</v>
      </c>
      <c r="JE6" s="52">
        <v>168.73472000000001</v>
      </c>
      <c r="JF6" s="23">
        <v>76762.74063</v>
      </c>
      <c r="JG6" s="17"/>
      <c r="JH6" s="115" t="s">
        <v>539</v>
      </c>
      <c r="JI6" s="32">
        <v>1391.7948099999999</v>
      </c>
      <c r="JJ6" s="21">
        <v>2050.6080000000002</v>
      </c>
      <c r="JK6" s="21">
        <v>244.86770000000004</v>
      </c>
      <c r="JL6" s="21">
        <v>405.42669999999993</v>
      </c>
      <c r="JM6" s="21">
        <v>0</v>
      </c>
      <c r="JN6" s="23">
        <v>4092.6972100000003</v>
      </c>
      <c r="JO6" s="29">
        <v>2879.2848099999997</v>
      </c>
      <c r="JP6" s="21">
        <v>57726.021480000003</v>
      </c>
      <c r="JQ6" s="21">
        <v>10695.170539999997</v>
      </c>
      <c r="JR6" s="52">
        <v>9386.2262900000023</v>
      </c>
      <c r="JS6" s="52">
        <v>168.73472000000001</v>
      </c>
      <c r="JT6" s="23">
        <v>80855.437839999999</v>
      </c>
      <c r="JU6" s="17"/>
      <c r="JV6" s="115" t="s">
        <v>539</v>
      </c>
      <c r="JW6" s="32">
        <v>24.688999999999997</v>
      </c>
      <c r="JX6" s="21">
        <v>2321.9262500000004</v>
      </c>
      <c r="JY6" s="21">
        <v>610.1836999999997</v>
      </c>
      <c r="JZ6" s="21">
        <v>462.77784000000008</v>
      </c>
      <c r="KA6" s="21">
        <v>0</v>
      </c>
      <c r="KB6" s="23">
        <v>3419.5767900000001</v>
      </c>
      <c r="KC6" s="29">
        <v>2903.9738099999995</v>
      </c>
      <c r="KD6" s="21">
        <v>60047.947730000007</v>
      </c>
      <c r="KE6" s="21">
        <v>11305.354239999999</v>
      </c>
      <c r="KF6" s="52">
        <v>9849.004130000003</v>
      </c>
      <c r="KG6" s="52">
        <v>168.73472000000001</v>
      </c>
      <c r="KH6" s="23">
        <v>84275.014630000005</v>
      </c>
      <c r="KI6" s="17"/>
      <c r="KJ6" s="115" t="s">
        <v>539</v>
      </c>
      <c r="KK6" s="32">
        <v>1090.826</v>
      </c>
      <c r="KL6" s="21">
        <v>3814.3777</v>
      </c>
      <c r="KM6" s="21">
        <v>228.4264499999999</v>
      </c>
      <c r="KN6" s="21">
        <v>298.52175</v>
      </c>
      <c r="KO6" s="21">
        <v>0</v>
      </c>
      <c r="KP6" s="23">
        <v>5432.1518999999998</v>
      </c>
      <c r="KQ6" s="29">
        <v>3994.7998099999995</v>
      </c>
      <c r="KR6" s="21">
        <v>63862.325430000012</v>
      </c>
      <c r="KS6" s="21">
        <v>11533.780690000001</v>
      </c>
      <c r="KT6" s="52">
        <v>10147.525880000001</v>
      </c>
      <c r="KU6" s="52">
        <v>168.73472000000001</v>
      </c>
      <c r="KV6" s="23">
        <v>89707.166530000002</v>
      </c>
      <c r="KW6" s="17"/>
      <c r="KX6" s="115" t="s">
        <v>539</v>
      </c>
      <c r="KY6" s="32">
        <v>0</v>
      </c>
      <c r="KZ6" s="21">
        <v>2577.5122900000001</v>
      </c>
      <c r="LA6" s="21">
        <v>505.92884999999967</v>
      </c>
      <c r="LB6" s="21">
        <v>0</v>
      </c>
      <c r="LC6" s="21">
        <v>0</v>
      </c>
      <c r="LD6" s="23">
        <v>3083.4411399999999</v>
      </c>
      <c r="LE6" s="29">
        <v>3994.7998099999995</v>
      </c>
      <c r="LF6" s="21">
        <v>66439.83772000001</v>
      </c>
      <c r="LG6" s="21">
        <v>12039.709540000003</v>
      </c>
      <c r="LH6" s="52">
        <v>10147.525880000001</v>
      </c>
      <c r="LI6" s="52">
        <v>168.73472000000001</v>
      </c>
      <c r="LJ6" s="23">
        <v>92790.607670000012</v>
      </c>
      <c r="LK6" s="17">
        <f t="shared" si="2"/>
        <v>0</v>
      </c>
      <c r="LL6" s="17">
        <f t="shared" si="0"/>
        <v>0</v>
      </c>
      <c r="LM6" s="17">
        <f t="shared" si="0"/>
        <v>0</v>
      </c>
      <c r="LN6" s="17">
        <f t="shared" si="0"/>
        <v>0</v>
      </c>
      <c r="LO6" s="17">
        <f t="shared" si="0"/>
        <v>0</v>
      </c>
      <c r="LP6" s="17">
        <f t="shared" si="0"/>
        <v>0</v>
      </c>
    </row>
    <row r="7" spans="2:328" x14ac:dyDescent="0.3">
      <c r="B7" s="114" t="s">
        <v>540</v>
      </c>
      <c r="C7" s="31">
        <v>0</v>
      </c>
      <c r="D7" s="18">
        <v>2134.2887999999998</v>
      </c>
      <c r="E7" s="18">
        <v>323.52844999999979</v>
      </c>
      <c r="F7" s="18">
        <v>377.96989999999994</v>
      </c>
      <c r="G7" s="18">
        <v>0</v>
      </c>
      <c r="H7" s="19">
        <v>2835.7871499999997</v>
      </c>
      <c r="I7" s="28">
        <v>0</v>
      </c>
      <c r="J7" s="18">
        <v>5058.8653500000009</v>
      </c>
      <c r="K7" s="18">
        <v>1053.4712899999993</v>
      </c>
      <c r="L7" s="51">
        <v>639.18469999999991</v>
      </c>
      <c r="M7" s="51">
        <v>0</v>
      </c>
      <c r="N7" s="19">
        <v>6751.5213400000002</v>
      </c>
      <c r="P7" s="114" t="s">
        <v>540</v>
      </c>
      <c r="Q7" s="31">
        <v>0</v>
      </c>
      <c r="R7" s="18">
        <v>2134.2887999999998</v>
      </c>
      <c r="S7" s="18">
        <v>323.52844999999979</v>
      </c>
      <c r="T7" s="18">
        <v>377.96989999999994</v>
      </c>
      <c r="U7" s="18">
        <v>0</v>
      </c>
      <c r="V7" s="19">
        <v>2835.7871499999997</v>
      </c>
      <c r="W7" s="28">
        <v>0</v>
      </c>
      <c r="X7" s="18">
        <v>5058.8653500000009</v>
      </c>
      <c r="Y7" s="18">
        <v>1053.4712899999993</v>
      </c>
      <c r="Z7" s="51">
        <v>639.18469999999991</v>
      </c>
      <c r="AA7" s="51">
        <v>0</v>
      </c>
      <c r="AB7" s="19">
        <v>6751.5213400000002</v>
      </c>
      <c r="AD7" s="114" t="s">
        <v>540</v>
      </c>
      <c r="AE7" s="31">
        <v>0</v>
      </c>
      <c r="AF7" s="18">
        <v>1830.1745100000001</v>
      </c>
      <c r="AG7" s="18">
        <v>248.22769999999986</v>
      </c>
      <c r="AH7" s="18">
        <v>524.63969999999995</v>
      </c>
      <c r="AI7" s="18">
        <v>0</v>
      </c>
      <c r="AJ7" s="19">
        <v>2603.0419099999999</v>
      </c>
      <c r="AK7" s="28">
        <v>0</v>
      </c>
      <c r="AL7" s="18">
        <v>6889.0398600000008</v>
      </c>
      <c r="AM7" s="18">
        <v>1301.6989899999992</v>
      </c>
      <c r="AN7" s="51">
        <v>1163.8244</v>
      </c>
      <c r="AO7" s="51">
        <v>0</v>
      </c>
      <c r="AP7" s="19">
        <v>9354.5632499999992</v>
      </c>
      <c r="AQ7" s="17"/>
      <c r="AR7" s="114" t="s">
        <v>540</v>
      </c>
      <c r="AS7" s="31">
        <v>0</v>
      </c>
      <c r="AT7" s="18">
        <v>2085.1992</v>
      </c>
      <c r="AU7" s="18">
        <v>380.50634999999988</v>
      </c>
      <c r="AV7" s="18">
        <v>284.96159999999998</v>
      </c>
      <c r="AW7" s="18">
        <v>0</v>
      </c>
      <c r="AX7" s="19">
        <v>2750.6671499999998</v>
      </c>
      <c r="AY7" s="28">
        <v>0</v>
      </c>
      <c r="AZ7" s="18">
        <v>8974.2390599999999</v>
      </c>
      <c r="BA7" s="18">
        <v>1682.2053399999991</v>
      </c>
      <c r="BB7" s="51">
        <v>1448.7860000000001</v>
      </c>
      <c r="BC7" s="51">
        <v>0</v>
      </c>
      <c r="BD7" s="19">
        <v>12105.230399999999</v>
      </c>
      <c r="BF7" s="114" t="s">
        <v>540</v>
      </c>
      <c r="BG7" s="31">
        <v>1264.8299999999997</v>
      </c>
      <c r="BH7" s="18">
        <v>2653.2936500000005</v>
      </c>
      <c r="BI7" s="18">
        <v>598.74324999999965</v>
      </c>
      <c r="BJ7" s="18">
        <v>286.40191999999996</v>
      </c>
      <c r="BK7" s="18">
        <v>0</v>
      </c>
      <c r="BL7" s="19">
        <v>4803.2688200000002</v>
      </c>
      <c r="BM7" s="28">
        <v>1264.8299999999997</v>
      </c>
      <c r="BN7" s="18">
        <v>16140.766390000003</v>
      </c>
      <c r="BO7" s="18">
        <v>3185.5589499999983</v>
      </c>
      <c r="BP7" s="51">
        <v>2844.9298199999998</v>
      </c>
      <c r="BQ7" s="51">
        <v>0</v>
      </c>
      <c r="BR7" s="19">
        <v>23436.085160000002</v>
      </c>
      <c r="BS7" s="17"/>
      <c r="BT7" s="114" t="s">
        <v>540</v>
      </c>
      <c r="BU7" s="31">
        <v>0</v>
      </c>
      <c r="BV7" s="18">
        <v>1655.9403</v>
      </c>
      <c r="BW7" s="18">
        <v>174.45827999999992</v>
      </c>
      <c r="BX7" s="18">
        <v>291.07988</v>
      </c>
      <c r="BY7" s="18">
        <v>0</v>
      </c>
      <c r="BZ7" s="19">
        <v>2121.4784599999998</v>
      </c>
      <c r="CA7" s="28">
        <v>1264.8299999999997</v>
      </c>
      <c r="CB7" s="18">
        <v>17796.706689999999</v>
      </c>
      <c r="CC7" s="18">
        <v>3360.0172299999981</v>
      </c>
      <c r="CD7" s="51">
        <v>3136.0096999999996</v>
      </c>
      <c r="CE7" s="51">
        <v>0</v>
      </c>
      <c r="CF7" s="19">
        <v>25557.563619999994</v>
      </c>
      <c r="CG7" s="17"/>
      <c r="CH7" s="114" t="s">
        <v>540</v>
      </c>
      <c r="CI7" s="31">
        <v>0</v>
      </c>
      <c r="CJ7" s="18">
        <v>2104.0733999999998</v>
      </c>
      <c r="CK7" s="18">
        <v>525.08329999999967</v>
      </c>
      <c r="CL7" s="18">
        <v>472.22569999999996</v>
      </c>
      <c r="CM7" s="18">
        <v>162.32472000000001</v>
      </c>
      <c r="CN7" s="19">
        <f t="shared" si="1"/>
        <v>3263.7071199999996</v>
      </c>
      <c r="CO7" s="28">
        <v>1264.8299999999997</v>
      </c>
      <c r="CP7" s="18">
        <v>19900.780089999993</v>
      </c>
      <c r="CQ7" s="18">
        <v>3885.1005299999979</v>
      </c>
      <c r="CR7" s="51">
        <v>3608.2354</v>
      </c>
      <c r="CS7" s="51">
        <v>162.32472000000001</v>
      </c>
      <c r="CT7" s="19">
        <v>28821.270739999993</v>
      </c>
      <c r="CU7" s="17"/>
      <c r="CV7" s="114" t="s">
        <v>540</v>
      </c>
      <c r="CW7" s="31">
        <v>0</v>
      </c>
      <c r="CX7" s="18">
        <v>2406.0287999999996</v>
      </c>
      <c r="CY7" s="18">
        <v>549.23954999999967</v>
      </c>
      <c r="CZ7" s="18">
        <v>614.33567999999991</v>
      </c>
      <c r="DA7" s="18">
        <v>0</v>
      </c>
      <c r="DB7" s="19">
        <v>3569.6040299999995</v>
      </c>
      <c r="DC7" s="28">
        <v>1264.8299999999997</v>
      </c>
      <c r="DD7" s="18">
        <v>22306.808889999993</v>
      </c>
      <c r="DE7" s="18">
        <v>4434.3400799999981</v>
      </c>
      <c r="DF7" s="51">
        <v>4222.5710799999997</v>
      </c>
      <c r="DG7" s="51">
        <v>162.32472000000001</v>
      </c>
      <c r="DH7" s="19">
        <v>32390.874769999991</v>
      </c>
      <c r="DI7" s="17"/>
      <c r="DJ7" s="114" t="s">
        <v>540</v>
      </c>
      <c r="DK7" s="31">
        <v>0</v>
      </c>
      <c r="DL7" s="18">
        <v>1782.7894000000001</v>
      </c>
      <c r="DM7" s="18">
        <v>201.51354999999992</v>
      </c>
      <c r="DN7" s="18">
        <v>370.90591999999998</v>
      </c>
      <c r="DO7" s="18">
        <v>0</v>
      </c>
      <c r="DP7" s="19">
        <v>2355.2088699999999</v>
      </c>
      <c r="DQ7" s="28">
        <v>1264.8299999999997</v>
      </c>
      <c r="DR7" s="18">
        <v>24089.598289999987</v>
      </c>
      <c r="DS7" s="18">
        <v>4635.8536299999978</v>
      </c>
      <c r="DT7" s="51">
        <v>4593.4769999999999</v>
      </c>
      <c r="DU7" s="51">
        <v>162.32472000000001</v>
      </c>
      <c r="DV7" s="19">
        <v>34746.083639999983</v>
      </c>
      <c r="DW7" s="17"/>
      <c r="DX7" s="114" t="s">
        <v>540</v>
      </c>
      <c r="DY7" s="31">
        <v>0</v>
      </c>
      <c r="DZ7" s="18">
        <v>2060.3715999999999</v>
      </c>
      <c r="EA7" s="18">
        <v>209.04379999999989</v>
      </c>
      <c r="EB7" s="18">
        <v>422.82071999999999</v>
      </c>
      <c r="EC7" s="18">
        <v>0</v>
      </c>
      <c r="ED7" s="19">
        <v>2692.23612</v>
      </c>
      <c r="EE7" s="28">
        <v>1264.8299999999997</v>
      </c>
      <c r="EF7" s="18">
        <v>26149.969889999993</v>
      </c>
      <c r="EG7" s="18">
        <v>4844.8974299999991</v>
      </c>
      <c r="EH7" s="51">
        <v>5016.2977200000005</v>
      </c>
      <c r="EI7" s="51">
        <v>162.32472000000001</v>
      </c>
      <c r="EJ7" s="19">
        <v>37438.319759999991</v>
      </c>
      <c r="EK7" s="17"/>
      <c r="EL7" s="114" t="s">
        <v>540</v>
      </c>
      <c r="EM7" s="31">
        <v>0</v>
      </c>
      <c r="EN7" s="18">
        <v>3396.3657000000003</v>
      </c>
      <c r="EO7" s="18">
        <v>198.78109999999998</v>
      </c>
      <c r="EP7" s="18">
        <v>186.89328</v>
      </c>
      <c r="EQ7" s="18">
        <v>0</v>
      </c>
      <c r="ER7" s="19">
        <v>3782.0400800000007</v>
      </c>
      <c r="ES7" s="28">
        <v>1264.8299999999997</v>
      </c>
      <c r="ET7" s="18">
        <v>29546.335589999988</v>
      </c>
      <c r="EU7" s="18">
        <v>5043.6785299999983</v>
      </c>
      <c r="EV7" s="51">
        <v>5203.1910000000007</v>
      </c>
      <c r="EW7" s="51">
        <v>162.32472000000001</v>
      </c>
      <c r="EX7" s="19">
        <v>41220.359839999983</v>
      </c>
      <c r="EY7" s="17"/>
      <c r="EZ7" s="114" t="s">
        <v>540</v>
      </c>
      <c r="FA7" s="31">
        <v>0</v>
      </c>
      <c r="FB7" s="18">
        <v>2828.6356000000005</v>
      </c>
      <c r="FC7" s="18">
        <v>431.36974999999978</v>
      </c>
      <c r="FD7" s="18">
        <v>329.37407999999994</v>
      </c>
      <c r="FE7" s="18">
        <v>0</v>
      </c>
      <c r="FF7" s="19">
        <v>3589.3794300000004</v>
      </c>
      <c r="FG7" s="28">
        <v>1264.8299999999997</v>
      </c>
      <c r="FH7" s="18">
        <v>32374.971189999993</v>
      </c>
      <c r="FI7" s="18">
        <v>5475.0482799999982</v>
      </c>
      <c r="FJ7" s="51">
        <v>5532.5650800000012</v>
      </c>
      <c r="FK7" s="51">
        <v>162.32472000000001</v>
      </c>
      <c r="FL7" s="19">
        <v>44809.739269999984</v>
      </c>
      <c r="FM7" s="17"/>
      <c r="FN7" s="114" t="s">
        <v>540</v>
      </c>
      <c r="FO7" s="31">
        <v>0</v>
      </c>
      <c r="FP7" s="18">
        <v>2156.1120000000001</v>
      </c>
      <c r="FQ7" s="18">
        <v>232.16269999999992</v>
      </c>
      <c r="FR7" s="18">
        <v>186.89328</v>
      </c>
      <c r="FS7" s="18">
        <v>0</v>
      </c>
      <c r="FT7" s="19">
        <v>2575.1679800000002</v>
      </c>
      <c r="FU7" s="28">
        <v>1264.8299999999997</v>
      </c>
      <c r="FV7" s="18">
        <v>34531.08318999999</v>
      </c>
      <c r="FW7" s="18">
        <v>5707.210979999998</v>
      </c>
      <c r="FX7" s="51">
        <v>5719.4583600000005</v>
      </c>
      <c r="FY7" s="51">
        <v>162.32472000000001</v>
      </c>
      <c r="FZ7" s="19">
        <v>47384.907249999982</v>
      </c>
      <c r="GA7" s="17"/>
      <c r="GB7" s="114" t="s">
        <v>540</v>
      </c>
      <c r="GC7" s="31">
        <v>0</v>
      </c>
      <c r="GD7" s="18">
        <v>2166.7525000000005</v>
      </c>
      <c r="GE7" s="18">
        <v>175.94884999999994</v>
      </c>
      <c r="GF7" s="18">
        <v>373.78656000000001</v>
      </c>
      <c r="GG7" s="18">
        <v>0</v>
      </c>
      <c r="GH7" s="19">
        <v>2716.4879100000003</v>
      </c>
      <c r="GI7" s="28">
        <v>1264.8299999999997</v>
      </c>
      <c r="GJ7" s="18">
        <v>36697.83569</v>
      </c>
      <c r="GK7" s="18">
        <v>5883.1598299999969</v>
      </c>
      <c r="GL7" s="51">
        <v>6093.244920000001</v>
      </c>
      <c r="GM7" s="51">
        <v>162.32472000000001</v>
      </c>
      <c r="GN7" s="19">
        <v>50101.395159999993</v>
      </c>
      <c r="GO7" s="17"/>
      <c r="GP7" s="114" t="s">
        <v>540</v>
      </c>
      <c r="GQ7" s="31">
        <v>0</v>
      </c>
      <c r="GR7" s="18">
        <v>1575.9492000000002</v>
      </c>
      <c r="GS7" s="18">
        <v>547.87845000000004</v>
      </c>
      <c r="GT7" s="18">
        <v>863.13423999999998</v>
      </c>
      <c r="GU7" s="18">
        <v>0</v>
      </c>
      <c r="GV7" s="19">
        <v>2986.96189</v>
      </c>
      <c r="GW7" s="28">
        <v>1264.8299999999997</v>
      </c>
      <c r="GX7" s="18">
        <v>38273.784889999995</v>
      </c>
      <c r="GY7" s="18">
        <v>6431.0382799999961</v>
      </c>
      <c r="GZ7" s="51">
        <v>6956.3791599999995</v>
      </c>
      <c r="HA7" s="51">
        <v>162.32472000000001</v>
      </c>
      <c r="HB7" s="19">
        <v>53088.357049999984</v>
      </c>
      <c r="HC7" s="72"/>
      <c r="HD7" s="114" t="s">
        <v>540</v>
      </c>
      <c r="HE7" s="31">
        <v>0</v>
      </c>
      <c r="HF7" s="18">
        <v>2388.7038000000002</v>
      </c>
      <c r="HG7" s="18">
        <v>582.54213999999979</v>
      </c>
      <c r="HH7" s="18">
        <v>434.02628000000004</v>
      </c>
      <c r="HI7" s="18">
        <v>0</v>
      </c>
      <c r="HJ7" s="19">
        <v>3405.2722199999998</v>
      </c>
      <c r="HK7" s="28">
        <v>1264.8299999999997</v>
      </c>
      <c r="HL7" s="18">
        <v>40662.488689999991</v>
      </c>
      <c r="HM7" s="18">
        <v>7013.5804199999957</v>
      </c>
      <c r="HN7" s="51">
        <v>7390.4054399999986</v>
      </c>
      <c r="HO7" s="51">
        <v>162.32472000000001</v>
      </c>
      <c r="HP7" s="19">
        <v>56493.629269999983</v>
      </c>
      <c r="HQ7" s="17"/>
      <c r="HR7" s="114" t="s">
        <v>540</v>
      </c>
      <c r="HS7" s="31">
        <v>0</v>
      </c>
      <c r="HT7" s="18">
        <v>1675.6823999999999</v>
      </c>
      <c r="HU7" s="18">
        <v>531.40289999999993</v>
      </c>
      <c r="HV7" s="18">
        <v>365.42255999999998</v>
      </c>
      <c r="HW7" s="18">
        <v>0</v>
      </c>
      <c r="HX7" s="19">
        <v>2572.5078599999997</v>
      </c>
      <c r="HY7" s="28">
        <v>1264.8299999999997</v>
      </c>
      <c r="HZ7" s="18">
        <v>42338.171089999989</v>
      </c>
      <c r="IA7" s="18">
        <v>7544.9833199999957</v>
      </c>
      <c r="IB7" s="51">
        <v>7755.8279999999968</v>
      </c>
      <c r="IC7" s="51">
        <v>162.32472000000001</v>
      </c>
      <c r="ID7" s="19">
        <v>59066.137129999981</v>
      </c>
      <c r="IE7" s="17"/>
      <c r="IF7" s="114" t="s">
        <v>540</v>
      </c>
      <c r="IG7" s="31">
        <v>0</v>
      </c>
      <c r="IH7" s="18">
        <v>1419.3581500000005</v>
      </c>
      <c r="II7" s="18">
        <v>512.51584999999989</v>
      </c>
      <c r="IJ7" s="18">
        <v>371.86048</v>
      </c>
      <c r="IK7" s="18">
        <v>0</v>
      </c>
      <c r="IL7" s="19">
        <v>2303.7344800000001</v>
      </c>
      <c r="IM7" s="28">
        <v>1264.8299999999997</v>
      </c>
      <c r="IN7" s="18">
        <v>43757.529239999996</v>
      </c>
      <c r="IO7" s="18">
        <v>8057.4991699999955</v>
      </c>
      <c r="IP7" s="51">
        <v>8127.6884799999971</v>
      </c>
      <c r="IQ7" s="51">
        <v>162.32472000000001</v>
      </c>
      <c r="IR7" s="19">
        <v>61369.871609999987</v>
      </c>
      <c r="IS7" s="17"/>
      <c r="IT7" s="114" t="s">
        <v>540</v>
      </c>
      <c r="IU7" s="31">
        <v>0</v>
      </c>
      <c r="IV7" s="18">
        <v>1786.2936</v>
      </c>
      <c r="IW7" s="18">
        <v>162.36502999999993</v>
      </c>
      <c r="IX7" s="18">
        <v>500.87520000000001</v>
      </c>
      <c r="IY7" s="18">
        <v>0</v>
      </c>
      <c r="IZ7" s="19">
        <v>2449.5338299999999</v>
      </c>
      <c r="JA7" s="28">
        <v>1264.8299999999997</v>
      </c>
      <c r="JB7" s="18">
        <v>45543.822839999993</v>
      </c>
      <c r="JC7" s="18">
        <v>8219.8641999999945</v>
      </c>
      <c r="JD7" s="51">
        <v>8628.5636799999975</v>
      </c>
      <c r="JE7" s="51">
        <v>162.32472000000001</v>
      </c>
      <c r="JF7" s="19">
        <v>63819.405439999988</v>
      </c>
      <c r="JG7" s="17"/>
      <c r="JH7" s="114" t="s">
        <v>540</v>
      </c>
      <c r="JI7" s="31">
        <v>1183.4592699999998</v>
      </c>
      <c r="JJ7" s="18">
        <v>1675.3464000000001</v>
      </c>
      <c r="JK7" s="18">
        <v>137.91960000000003</v>
      </c>
      <c r="JL7" s="18">
        <v>389.67733000000004</v>
      </c>
      <c r="JM7" s="18">
        <v>0</v>
      </c>
      <c r="JN7" s="19">
        <v>3386.4025999999999</v>
      </c>
      <c r="JO7" s="28">
        <v>2448.2892699999998</v>
      </c>
      <c r="JP7" s="18">
        <v>47219.169240000003</v>
      </c>
      <c r="JQ7" s="18">
        <v>8357.7837999999956</v>
      </c>
      <c r="JR7" s="51">
        <v>9018.2410099999979</v>
      </c>
      <c r="JS7" s="51">
        <v>162.32472000000001</v>
      </c>
      <c r="JT7" s="19">
        <v>67205.808040000004</v>
      </c>
      <c r="JU7" s="17"/>
      <c r="JV7" s="114" t="s">
        <v>540</v>
      </c>
      <c r="JW7" s="31">
        <v>21.256499999999996</v>
      </c>
      <c r="JX7" s="18">
        <v>1897.8522500000001</v>
      </c>
      <c r="JY7" s="18">
        <v>482.80609999999973</v>
      </c>
      <c r="JZ7" s="18">
        <v>442.31711999999999</v>
      </c>
      <c r="KA7" s="18">
        <v>0</v>
      </c>
      <c r="KB7" s="19">
        <v>2844.2319699999998</v>
      </c>
      <c r="KC7" s="28">
        <v>2469.5457699999997</v>
      </c>
      <c r="KD7" s="18">
        <v>49117.021490000014</v>
      </c>
      <c r="KE7" s="18">
        <v>8840.5898999999936</v>
      </c>
      <c r="KF7" s="51">
        <v>9460.5581299999976</v>
      </c>
      <c r="KG7" s="51">
        <v>162.32472000000001</v>
      </c>
      <c r="KH7" s="19">
        <v>70050.040009999997</v>
      </c>
      <c r="KI7" s="17"/>
      <c r="KJ7" s="114" t="s">
        <v>540</v>
      </c>
      <c r="KK7" s="31">
        <v>927.54199999999992</v>
      </c>
      <c r="KL7" s="18">
        <v>3118.1213000000002</v>
      </c>
      <c r="KM7" s="18">
        <v>185.95884999999993</v>
      </c>
      <c r="KN7" s="18">
        <v>286.87478000000004</v>
      </c>
      <c r="KO7" s="18">
        <v>0</v>
      </c>
      <c r="KP7" s="19">
        <v>4518.4969300000002</v>
      </c>
      <c r="KQ7" s="28">
        <v>3397.0877699999996</v>
      </c>
      <c r="KR7" s="18">
        <v>52235.142790000005</v>
      </c>
      <c r="KS7" s="18">
        <v>9026.5487499999945</v>
      </c>
      <c r="KT7" s="51">
        <v>9747.4329099999977</v>
      </c>
      <c r="KU7" s="51">
        <v>162.32472000000001</v>
      </c>
      <c r="KV7" s="19">
        <v>74568.536940000005</v>
      </c>
      <c r="KW7" s="17"/>
      <c r="KX7" s="114" t="s">
        <v>540</v>
      </c>
      <c r="KY7" s="31">
        <v>0</v>
      </c>
      <c r="KZ7" s="18">
        <v>2093.2346500000003</v>
      </c>
      <c r="LA7" s="18">
        <v>427.16204999999968</v>
      </c>
      <c r="LB7" s="18">
        <v>0</v>
      </c>
      <c r="LC7" s="18">
        <v>0</v>
      </c>
      <c r="LD7" s="19">
        <v>2520.3967000000002</v>
      </c>
      <c r="LE7" s="28">
        <v>3397.0877699999996</v>
      </c>
      <c r="LF7" s="18">
        <v>54328.377439999997</v>
      </c>
      <c r="LG7" s="18">
        <v>9453.7107999999971</v>
      </c>
      <c r="LH7" s="51">
        <v>9747.4329099999977</v>
      </c>
      <c r="LI7" s="51">
        <v>162.32472000000001</v>
      </c>
      <c r="LJ7" s="19">
        <v>77088.933640000003</v>
      </c>
      <c r="LK7" s="17">
        <f t="shared" si="2"/>
        <v>0</v>
      </c>
      <c r="LL7" s="17">
        <f t="shared" si="0"/>
        <v>0</v>
      </c>
      <c r="LM7" s="17">
        <f t="shared" si="0"/>
        <v>0</v>
      </c>
      <c r="LN7" s="17">
        <f t="shared" si="0"/>
        <v>0</v>
      </c>
      <c r="LO7" s="17">
        <f t="shared" si="0"/>
        <v>0</v>
      </c>
      <c r="LP7" s="17">
        <f t="shared" si="0"/>
        <v>0</v>
      </c>
    </row>
    <row r="8" spans="2:328" x14ac:dyDescent="0.3">
      <c r="B8" s="114" t="s">
        <v>541</v>
      </c>
      <c r="C8" s="31">
        <v>0</v>
      </c>
      <c r="D8" s="18">
        <v>255.738</v>
      </c>
      <c r="E8" s="18">
        <v>32.943949999999994</v>
      </c>
      <c r="F8" s="18">
        <v>12.3004</v>
      </c>
      <c r="G8" s="18">
        <v>0</v>
      </c>
      <c r="H8" s="19">
        <v>300.98235</v>
      </c>
      <c r="I8" s="28">
        <v>0</v>
      </c>
      <c r="J8" s="18">
        <v>581.87639999999999</v>
      </c>
      <c r="K8" s="18">
        <v>98.240509999999986</v>
      </c>
      <c r="L8" s="51">
        <v>20.801199999999998</v>
      </c>
      <c r="M8" s="51">
        <v>0</v>
      </c>
      <c r="N8" s="19">
        <v>700.91810999999996</v>
      </c>
      <c r="P8" s="114" t="s">
        <v>541</v>
      </c>
      <c r="Q8" s="31">
        <v>0</v>
      </c>
      <c r="R8" s="18">
        <v>255.738</v>
      </c>
      <c r="S8" s="18">
        <v>32.943949999999994</v>
      </c>
      <c r="T8" s="18">
        <v>12.3004</v>
      </c>
      <c r="U8" s="18">
        <v>0</v>
      </c>
      <c r="V8" s="19">
        <v>300.98235</v>
      </c>
      <c r="W8" s="28">
        <v>0</v>
      </c>
      <c r="X8" s="18">
        <v>581.87639999999999</v>
      </c>
      <c r="Y8" s="18">
        <v>98.240509999999986</v>
      </c>
      <c r="Z8" s="51">
        <v>20.801199999999998</v>
      </c>
      <c r="AA8" s="51">
        <v>0</v>
      </c>
      <c r="AB8" s="19">
        <v>700.91810999999996</v>
      </c>
      <c r="AD8" s="114" t="s">
        <v>541</v>
      </c>
      <c r="AE8" s="31">
        <v>0</v>
      </c>
      <c r="AF8" s="18">
        <v>207.25575999999998</v>
      </c>
      <c r="AG8" s="18">
        <v>37.278500000000001</v>
      </c>
      <c r="AH8" s="18">
        <v>15.2812</v>
      </c>
      <c r="AI8" s="18">
        <v>0</v>
      </c>
      <c r="AJ8" s="19">
        <v>259.81545999999997</v>
      </c>
      <c r="AK8" s="28">
        <v>0</v>
      </c>
      <c r="AL8" s="18">
        <v>789.13216</v>
      </c>
      <c r="AM8" s="18">
        <v>135.51900999999998</v>
      </c>
      <c r="AN8" s="51">
        <v>36.082399999999993</v>
      </c>
      <c r="AO8" s="51">
        <v>0</v>
      </c>
      <c r="AP8" s="19">
        <v>960.73356999999999</v>
      </c>
      <c r="AQ8" s="17"/>
      <c r="AR8" s="114" t="s">
        <v>541</v>
      </c>
      <c r="AS8" s="31">
        <v>0</v>
      </c>
      <c r="AT8" s="18">
        <v>227.53919999999999</v>
      </c>
      <c r="AU8" s="18">
        <v>72.43634999999999</v>
      </c>
      <c r="AV8" s="18">
        <v>9.2735999999999983</v>
      </c>
      <c r="AW8" s="18">
        <v>0</v>
      </c>
      <c r="AX8" s="19">
        <v>309.24914999999999</v>
      </c>
      <c r="AY8" s="28">
        <v>0</v>
      </c>
      <c r="AZ8" s="18">
        <v>1016.6713599999999</v>
      </c>
      <c r="BA8" s="18">
        <v>207.95535999999998</v>
      </c>
      <c r="BB8" s="51">
        <v>45.356000000000002</v>
      </c>
      <c r="BC8" s="51">
        <v>0</v>
      </c>
      <c r="BD8" s="19">
        <v>1269.98272</v>
      </c>
      <c r="BF8" s="114" t="s">
        <v>541</v>
      </c>
      <c r="BG8" s="31">
        <v>118.05</v>
      </c>
      <c r="BH8" s="18">
        <v>298.44815</v>
      </c>
      <c r="BI8" s="18">
        <v>67.693850000000012</v>
      </c>
      <c r="BJ8" s="18">
        <v>8.7584</v>
      </c>
      <c r="BK8" s="18">
        <v>0</v>
      </c>
      <c r="BL8" s="19">
        <v>492.9504</v>
      </c>
      <c r="BM8" s="28">
        <v>118.05</v>
      </c>
      <c r="BN8" s="18">
        <v>1826.4127399999998</v>
      </c>
      <c r="BO8" s="18">
        <v>432.06689000000011</v>
      </c>
      <c r="BP8" s="51">
        <v>87.777199999999979</v>
      </c>
      <c r="BQ8" s="51">
        <v>0</v>
      </c>
      <c r="BR8" s="19">
        <v>2464.30683</v>
      </c>
      <c r="BS8" s="17"/>
      <c r="BT8" s="114" t="s">
        <v>541</v>
      </c>
      <c r="BU8" s="31">
        <v>0</v>
      </c>
      <c r="BV8" s="18">
        <v>180.7218</v>
      </c>
      <c r="BW8" s="18">
        <v>20.188470000000002</v>
      </c>
      <c r="BX8" s="18">
        <v>8.6295999999999982</v>
      </c>
      <c r="BY8" s="18">
        <v>0</v>
      </c>
      <c r="BZ8" s="19">
        <v>209.53987000000001</v>
      </c>
      <c r="CA8" s="28">
        <v>118.05</v>
      </c>
      <c r="CB8" s="18">
        <v>2007.13454</v>
      </c>
      <c r="CC8" s="18">
        <v>452.25536000000011</v>
      </c>
      <c r="CD8" s="51">
        <v>96.40679999999999</v>
      </c>
      <c r="CE8" s="51">
        <v>0</v>
      </c>
      <c r="CF8" s="19">
        <v>2673.8467000000005</v>
      </c>
      <c r="CG8" s="17"/>
      <c r="CH8" s="114" t="s">
        <v>541</v>
      </c>
      <c r="CI8" s="31">
        <v>0</v>
      </c>
      <c r="CJ8" s="18">
        <v>237.78715</v>
      </c>
      <c r="CK8" s="18">
        <v>54.229700000000001</v>
      </c>
      <c r="CL8" s="18">
        <v>13.919599999999999</v>
      </c>
      <c r="CM8" s="18">
        <v>4.5999999999999996</v>
      </c>
      <c r="CN8" s="19">
        <f t="shared" si="1"/>
        <v>310.53645</v>
      </c>
      <c r="CO8" s="28">
        <v>118.05</v>
      </c>
      <c r="CP8" s="18">
        <v>2244.9216900000001</v>
      </c>
      <c r="CQ8" s="18">
        <v>506.48506000000003</v>
      </c>
      <c r="CR8" s="51">
        <v>110.32639999999999</v>
      </c>
      <c r="CS8" s="51">
        <v>4.5999999999999996</v>
      </c>
      <c r="CT8" s="19">
        <v>2984.3831500000001</v>
      </c>
      <c r="CU8" s="17"/>
      <c r="CV8" s="114" t="s">
        <v>541</v>
      </c>
      <c r="CW8" s="31">
        <v>0</v>
      </c>
      <c r="CX8" s="18">
        <v>271.572</v>
      </c>
      <c r="CY8" s="18">
        <v>87.389799999999994</v>
      </c>
      <c r="CZ8" s="18">
        <v>18.547199999999997</v>
      </c>
      <c r="DA8" s="18">
        <v>0</v>
      </c>
      <c r="DB8" s="19">
        <v>377.50899999999996</v>
      </c>
      <c r="DC8" s="28">
        <v>118.05</v>
      </c>
      <c r="DD8" s="18">
        <v>2516.4936899999998</v>
      </c>
      <c r="DE8" s="18">
        <v>593.87486000000001</v>
      </c>
      <c r="DF8" s="51">
        <v>128.87359999999998</v>
      </c>
      <c r="DG8" s="51">
        <v>4.5999999999999996</v>
      </c>
      <c r="DH8" s="19">
        <v>3361.8921499999997</v>
      </c>
      <c r="DI8" s="17"/>
      <c r="DJ8" s="114" t="s">
        <v>541</v>
      </c>
      <c r="DK8" s="31">
        <v>0</v>
      </c>
      <c r="DL8" s="18">
        <v>202.54744999999997</v>
      </c>
      <c r="DM8" s="18">
        <v>74.546149999999997</v>
      </c>
      <c r="DN8" s="18">
        <v>10.304</v>
      </c>
      <c r="DO8" s="18">
        <v>0</v>
      </c>
      <c r="DP8" s="19">
        <v>287.39759999999995</v>
      </c>
      <c r="DQ8" s="28">
        <v>118.05</v>
      </c>
      <c r="DR8" s="18">
        <v>2719.0411399999998</v>
      </c>
      <c r="DS8" s="18">
        <v>668.42101000000014</v>
      </c>
      <c r="DT8" s="51">
        <v>139.17759999999998</v>
      </c>
      <c r="DU8" s="51">
        <v>4.5999999999999996</v>
      </c>
      <c r="DV8" s="19">
        <v>3649.2897499999999</v>
      </c>
      <c r="DW8" s="17"/>
      <c r="DX8" s="114" t="s">
        <v>541</v>
      </c>
      <c r="DY8" s="31">
        <v>0</v>
      </c>
      <c r="DZ8" s="18">
        <v>227.17134999999999</v>
      </c>
      <c r="EA8" s="18">
        <v>39.608799999999995</v>
      </c>
      <c r="EB8" s="18">
        <v>11.591999999999999</v>
      </c>
      <c r="EC8" s="18">
        <v>0</v>
      </c>
      <c r="ED8" s="19">
        <v>278.37214999999998</v>
      </c>
      <c r="EE8" s="28">
        <v>118.05</v>
      </c>
      <c r="EF8" s="18">
        <v>2946.2124900000003</v>
      </c>
      <c r="EG8" s="18">
        <v>708.02981000000023</v>
      </c>
      <c r="EH8" s="51">
        <v>150.76959999999997</v>
      </c>
      <c r="EI8" s="51">
        <v>4.5999999999999996</v>
      </c>
      <c r="EJ8" s="19">
        <v>3927.661900000001</v>
      </c>
      <c r="EK8" s="17"/>
      <c r="EL8" s="114" t="s">
        <v>541</v>
      </c>
      <c r="EM8" s="31">
        <v>0</v>
      </c>
      <c r="EN8" s="18">
        <v>383.53490000000005</v>
      </c>
      <c r="EO8" s="18">
        <v>48.53799999999999</v>
      </c>
      <c r="EP8" s="18">
        <v>4.6367999999999991</v>
      </c>
      <c r="EQ8" s="18">
        <v>0</v>
      </c>
      <c r="ER8" s="19">
        <v>436.70970000000005</v>
      </c>
      <c r="ES8" s="28">
        <v>118.05</v>
      </c>
      <c r="ET8" s="18">
        <v>3329.7473899999995</v>
      </c>
      <c r="EU8" s="18">
        <v>756.56781000000024</v>
      </c>
      <c r="EV8" s="51">
        <v>155.40639999999993</v>
      </c>
      <c r="EW8" s="51">
        <v>4.5999999999999996</v>
      </c>
      <c r="EX8" s="19">
        <v>4364.3716000000004</v>
      </c>
      <c r="EY8" s="17"/>
      <c r="EZ8" s="114" t="s">
        <v>541</v>
      </c>
      <c r="FA8" s="31">
        <v>0</v>
      </c>
      <c r="FB8" s="18">
        <v>329.8526</v>
      </c>
      <c r="FC8" s="18">
        <v>51.181550000000001</v>
      </c>
      <c r="FD8" s="18">
        <v>9.2735999999999983</v>
      </c>
      <c r="FE8" s="18">
        <v>0</v>
      </c>
      <c r="FF8" s="19">
        <v>390.30775</v>
      </c>
      <c r="FG8" s="28">
        <v>118.05</v>
      </c>
      <c r="FH8" s="18">
        <v>3659.5999899999997</v>
      </c>
      <c r="FI8" s="18">
        <v>807.74936000000025</v>
      </c>
      <c r="FJ8" s="51">
        <v>164.67999999999998</v>
      </c>
      <c r="FK8" s="51">
        <v>4.5999999999999996</v>
      </c>
      <c r="FL8" s="19">
        <v>4754.6793500000003</v>
      </c>
      <c r="FM8" s="17"/>
      <c r="FN8" s="114" t="s">
        <v>541</v>
      </c>
      <c r="FO8" s="31">
        <v>0</v>
      </c>
      <c r="FP8" s="18">
        <v>244.41479999999999</v>
      </c>
      <c r="FQ8" s="18">
        <v>58.742249999999999</v>
      </c>
      <c r="FR8" s="18">
        <v>4.6367999999999991</v>
      </c>
      <c r="FS8" s="18">
        <v>0</v>
      </c>
      <c r="FT8" s="19">
        <v>307.79384999999996</v>
      </c>
      <c r="FU8" s="28">
        <v>118.05</v>
      </c>
      <c r="FV8" s="18">
        <v>3904.0147899999997</v>
      </c>
      <c r="FW8" s="18">
        <v>866.49161000000038</v>
      </c>
      <c r="FX8" s="51">
        <v>169.3168</v>
      </c>
      <c r="FY8" s="51">
        <v>4.5999999999999996</v>
      </c>
      <c r="FZ8" s="19">
        <v>5062.4732000000004</v>
      </c>
      <c r="GA8" s="17"/>
      <c r="GB8" s="114" t="s">
        <v>541</v>
      </c>
      <c r="GC8" s="31">
        <v>0</v>
      </c>
      <c r="GD8" s="18">
        <v>246.51624999999993</v>
      </c>
      <c r="GE8" s="18">
        <v>47.384049999999995</v>
      </c>
      <c r="GF8" s="18">
        <v>9.2735999999999983</v>
      </c>
      <c r="GG8" s="18">
        <v>0</v>
      </c>
      <c r="GH8" s="19">
        <v>303.17389999999989</v>
      </c>
      <c r="GI8" s="28">
        <v>118.05</v>
      </c>
      <c r="GJ8" s="18">
        <v>4150.5310399999998</v>
      </c>
      <c r="GK8" s="18">
        <v>913.87566000000015</v>
      </c>
      <c r="GL8" s="51">
        <v>178.59039999999996</v>
      </c>
      <c r="GM8" s="51">
        <v>4.5999999999999996</v>
      </c>
      <c r="GN8" s="19">
        <v>5365.647100000001</v>
      </c>
      <c r="GO8" s="17"/>
      <c r="GP8" s="114" t="s">
        <v>541</v>
      </c>
      <c r="GQ8" s="31">
        <v>0</v>
      </c>
      <c r="GR8" s="18">
        <v>178.23539999999997</v>
      </c>
      <c r="GS8" s="18">
        <v>162.44724999999997</v>
      </c>
      <c r="GT8" s="18">
        <v>25.442599999999999</v>
      </c>
      <c r="GU8" s="18">
        <v>0</v>
      </c>
      <c r="GV8" s="19">
        <v>366.12524999999994</v>
      </c>
      <c r="GW8" s="28">
        <v>118.05</v>
      </c>
      <c r="GX8" s="18">
        <v>4328.7664399999994</v>
      </c>
      <c r="GY8" s="18">
        <v>1076.3229099999996</v>
      </c>
      <c r="GZ8" s="51">
        <v>204.03299999999999</v>
      </c>
      <c r="HA8" s="51">
        <v>4.5999999999999996</v>
      </c>
      <c r="HB8" s="19">
        <v>5731.7723500000002</v>
      </c>
      <c r="HC8" s="72"/>
      <c r="HD8" s="114" t="s">
        <v>541</v>
      </c>
      <c r="HE8" s="31">
        <v>0</v>
      </c>
      <c r="HF8" s="18">
        <v>273.1533</v>
      </c>
      <c r="HG8" s="18">
        <v>86.74776</v>
      </c>
      <c r="HH8" s="18">
        <v>11.776</v>
      </c>
      <c r="HI8" s="18">
        <v>0</v>
      </c>
      <c r="HJ8" s="19">
        <v>371.67706000000004</v>
      </c>
      <c r="HK8" s="28">
        <v>118.05</v>
      </c>
      <c r="HL8" s="18">
        <v>4601.9197399999994</v>
      </c>
      <c r="HM8" s="18">
        <v>1163.0706699999994</v>
      </c>
      <c r="HN8" s="51">
        <v>215.809</v>
      </c>
      <c r="HO8" s="51">
        <v>4.5999999999999996</v>
      </c>
      <c r="HP8" s="19">
        <v>6103.4494099999993</v>
      </c>
      <c r="HQ8" s="17"/>
      <c r="HR8" s="114" t="s">
        <v>541</v>
      </c>
      <c r="HS8" s="31">
        <v>0</v>
      </c>
      <c r="HT8" s="18">
        <v>190.10040000000001</v>
      </c>
      <c r="HU8" s="18">
        <v>73.206000000000003</v>
      </c>
      <c r="HV8" s="18">
        <v>11.150399999999998</v>
      </c>
      <c r="HW8" s="18">
        <v>0</v>
      </c>
      <c r="HX8" s="19">
        <v>274.45679999999999</v>
      </c>
      <c r="HY8" s="28">
        <v>118.05</v>
      </c>
      <c r="HZ8" s="18">
        <v>4792.0201399999987</v>
      </c>
      <c r="IA8" s="18">
        <v>1236.2766699999995</v>
      </c>
      <c r="IB8" s="51">
        <v>226.95939999999999</v>
      </c>
      <c r="IC8" s="51">
        <v>4.5999999999999996</v>
      </c>
      <c r="ID8" s="19">
        <v>6377.9062099999983</v>
      </c>
      <c r="IE8" s="17"/>
      <c r="IF8" s="114" t="s">
        <v>541</v>
      </c>
      <c r="IG8" s="31">
        <v>0</v>
      </c>
      <c r="IH8" s="18">
        <v>161.81164999999999</v>
      </c>
      <c r="II8" s="18">
        <v>70.541800000000009</v>
      </c>
      <c r="IJ8" s="18">
        <v>11.9048</v>
      </c>
      <c r="IK8" s="18">
        <v>0</v>
      </c>
      <c r="IL8" s="19">
        <v>244.25825</v>
      </c>
      <c r="IM8" s="28">
        <v>118.05</v>
      </c>
      <c r="IN8" s="18">
        <v>4953.8317900000002</v>
      </c>
      <c r="IO8" s="18">
        <v>1306.8184699999995</v>
      </c>
      <c r="IP8" s="51">
        <v>238.86419999999998</v>
      </c>
      <c r="IQ8" s="51">
        <v>4.5999999999999996</v>
      </c>
      <c r="IR8" s="19">
        <v>6622.16446</v>
      </c>
      <c r="IS8" s="17"/>
      <c r="IT8" s="114" t="s">
        <v>541</v>
      </c>
      <c r="IU8" s="31">
        <v>0</v>
      </c>
      <c r="IV8" s="18">
        <v>201.35534999999999</v>
      </c>
      <c r="IW8" s="18">
        <v>27.891590000000001</v>
      </c>
      <c r="IX8" s="18">
        <v>13.910399999999997</v>
      </c>
      <c r="IY8" s="18">
        <v>0</v>
      </c>
      <c r="IZ8" s="19">
        <v>243.15734</v>
      </c>
      <c r="JA8" s="28">
        <v>118.05</v>
      </c>
      <c r="JB8" s="18">
        <v>5155.1871399999991</v>
      </c>
      <c r="JC8" s="18">
        <v>1334.7100599999994</v>
      </c>
      <c r="JD8" s="51">
        <v>252.77459999999996</v>
      </c>
      <c r="JE8" s="51">
        <v>4.5999999999999996</v>
      </c>
      <c r="JF8" s="19">
        <v>6865.3217999999988</v>
      </c>
      <c r="JG8" s="17"/>
      <c r="JH8" s="114" t="s">
        <v>541</v>
      </c>
      <c r="JI8" s="31">
        <v>110.45545</v>
      </c>
      <c r="JJ8" s="18">
        <v>190.10039999999998</v>
      </c>
      <c r="JK8" s="18">
        <v>67.596199999999996</v>
      </c>
      <c r="JL8" s="18">
        <v>11.302199999999999</v>
      </c>
      <c r="JM8" s="18">
        <v>0</v>
      </c>
      <c r="JN8" s="19">
        <v>379.45425</v>
      </c>
      <c r="JO8" s="28">
        <v>228.50545000000002</v>
      </c>
      <c r="JP8" s="18">
        <v>5345.2875399999994</v>
      </c>
      <c r="JQ8" s="18">
        <v>1402.3062599999994</v>
      </c>
      <c r="JR8" s="51">
        <v>264.07679999999999</v>
      </c>
      <c r="JS8" s="51">
        <v>4.5999999999999996</v>
      </c>
      <c r="JT8" s="19">
        <v>7244.7760499999986</v>
      </c>
      <c r="JU8" s="17"/>
      <c r="JV8" s="114" t="s">
        <v>541</v>
      </c>
      <c r="JW8" s="31">
        <v>1.9675</v>
      </c>
      <c r="JX8" s="18">
        <v>215.14814999999996</v>
      </c>
      <c r="JY8" s="18">
        <v>77.324100000000001</v>
      </c>
      <c r="JZ8" s="18">
        <v>14.683199999999999</v>
      </c>
      <c r="KA8" s="18">
        <v>0</v>
      </c>
      <c r="KB8" s="19">
        <v>309.12294999999995</v>
      </c>
      <c r="KC8" s="28">
        <v>230.47295000000003</v>
      </c>
      <c r="KD8" s="18">
        <v>5560.4356899999993</v>
      </c>
      <c r="KE8" s="18">
        <v>1479.6303599999994</v>
      </c>
      <c r="KF8" s="51">
        <v>278.76</v>
      </c>
      <c r="KG8" s="51">
        <v>4.5999999999999996</v>
      </c>
      <c r="KH8" s="19">
        <v>7553.8989999999994</v>
      </c>
      <c r="KI8" s="17"/>
      <c r="KJ8" s="114" t="s">
        <v>541</v>
      </c>
      <c r="KK8" s="31">
        <v>86.57</v>
      </c>
      <c r="KL8" s="18">
        <v>353.35090000000002</v>
      </c>
      <c r="KM8" s="18">
        <v>25.239549999999998</v>
      </c>
      <c r="KN8" s="18">
        <v>8.3582000000000001</v>
      </c>
      <c r="KO8" s="18">
        <v>0</v>
      </c>
      <c r="KP8" s="19">
        <v>473.51865000000004</v>
      </c>
      <c r="KQ8" s="28">
        <v>317.04295000000002</v>
      </c>
      <c r="KR8" s="18">
        <v>5913.7865899999988</v>
      </c>
      <c r="KS8" s="18">
        <v>1504.8699099999994</v>
      </c>
      <c r="KT8" s="51">
        <v>287.11819999999994</v>
      </c>
      <c r="KU8" s="51">
        <v>4.5999999999999996</v>
      </c>
      <c r="KV8" s="19">
        <v>8027.4176499999985</v>
      </c>
      <c r="KW8" s="17"/>
      <c r="KX8" s="114" t="s">
        <v>541</v>
      </c>
      <c r="KY8" s="31">
        <v>0</v>
      </c>
      <c r="KZ8" s="18">
        <v>243.41717999999992</v>
      </c>
      <c r="LA8" s="18">
        <v>45.75235</v>
      </c>
      <c r="LB8" s="18">
        <v>0</v>
      </c>
      <c r="LC8" s="18">
        <v>0</v>
      </c>
      <c r="LD8" s="19">
        <v>289.1695299999999</v>
      </c>
      <c r="LE8" s="28">
        <v>317.04295000000002</v>
      </c>
      <c r="LF8" s="18">
        <v>6157.2037699999983</v>
      </c>
      <c r="LG8" s="18">
        <v>1550.6222599999992</v>
      </c>
      <c r="LH8" s="51">
        <v>287.11819999999994</v>
      </c>
      <c r="LI8" s="51">
        <v>4.5999999999999996</v>
      </c>
      <c r="LJ8" s="19">
        <v>8316.5871799999986</v>
      </c>
      <c r="LK8" s="17">
        <f t="shared" si="2"/>
        <v>0</v>
      </c>
      <c r="LL8" s="17">
        <f t="shared" si="0"/>
        <v>0</v>
      </c>
      <c r="LM8" s="17">
        <f t="shared" si="0"/>
        <v>0</v>
      </c>
      <c r="LN8" s="17">
        <f t="shared" si="0"/>
        <v>0</v>
      </c>
      <c r="LO8" s="17">
        <f t="shared" si="0"/>
        <v>0</v>
      </c>
      <c r="LP8" s="17">
        <f t="shared" si="0"/>
        <v>0</v>
      </c>
    </row>
    <row r="9" spans="2:328" x14ac:dyDescent="0.3">
      <c r="B9" s="114" t="s">
        <v>542</v>
      </c>
      <c r="C9" s="31">
        <v>0</v>
      </c>
      <c r="D9" s="18">
        <v>243.50759999999997</v>
      </c>
      <c r="E9" s="18">
        <v>26.533949999999997</v>
      </c>
      <c r="F9" s="18">
        <v>4.8399399999999995</v>
      </c>
      <c r="G9" s="18">
        <v>0</v>
      </c>
      <c r="H9" s="19">
        <v>274.88148999999999</v>
      </c>
      <c r="I9" s="28">
        <v>0</v>
      </c>
      <c r="J9" s="18">
        <v>551.57654999999988</v>
      </c>
      <c r="K9" s="18">
        <v>82.489670000000004</v>
      </c>
      <c r="L9" s="51">
        <v>8.1848200000000002</v>
      </c>
      <c r="M9" s="51">
        <v>0</v>
      </c>
      <c r="N9" s="19">
        <v>642.25103999999988</v>
      </c>
      <c r="P9" s="114" t="s">
        <v>542</v>
      </c>
      <c r="Q9" s="31">
        <v>0</v>
      </c>
      <c r="R9" s="18">
        <v>243.50759999999997</v>
      </c>
      <c r="S9" s="18">
        <v>26.533949999999997</v>
      </c>
      <c r="T9" s="18">
        <v>4.8399399999999995</v>
      </c>
      <c r="U9" s="18">
        <v>0</v>
      </c>
      <c r="V9" s="19">
        <v>274.88148999999999</v>
      </c>
      <c r="W9" s="28">
        <v>0</v>
      </c>
      <c r="X9" s="18">
        <v>551.57654999999988</v>
      </c>
      <c r="Y9" s="18">
        <v>82.489670000000004</v>
      </c>
      <c r="Z9" s="51">
        <v>8.1848200000000002</v>
      </c>
      <c r="AA9" s="51">
        <v>0</v>
      </c>
      <c r="AB9" s="19">
        <v>642.25103999999988</v>
      </c>
      <c r="AD9" s="114" t="s">
        <v>542</v>
      </c>
      <c r="AE9" s="31">
        <v>0</v>
      </c>
      <c r="AF9" s="18">
        <v>202.01213000000001</v>
      </c>
      <c r="AG9" s="18">
        <v>24.139499999999995</v>
      </c>
      <c r="AH9" s="18">
        <v>6.0128199999999996</v>
      </c>
      <c r="AI9" s="18">
        <v>0</v>
      </c>
      <c r="AJ9" s="19">
        <v>232.16445000000002</v>
      </c>
      <c r="AK9" s="28">
        <v>0</v>
      </c>
      <c r="AL9" s="18">
        <v>753.58867999999995</v>
      </c>
      <c r="AM9" s="18">
        <v>97.167469999999994</v>
      </c>
      <c r="AN9" s="51">
        <v>14.197639999999998</v>
      </c>
      <c r="AO9" s="51">
        <v>0</v>
      </c>
      <c r="AP9" s="19">
        <v>864.95378999999991</v>
      </c>
      <c r="AQ9" s="17"/>
      <c r="AR9" s="114" t="s">
        <v>542</v>
      </c>
      <c r="AS9" s="31">
        <v>0</v>
      </c>
      <c r="AT9" s="18">
        <v>216.56880000000001</v>
      </c>
      <c r="AU9" s="18">
        <v>47.261549999999993</v>
      </c>
      <c r="AV9" s="18">
        <v>3.6489599999999998</v>
      </c>
      <c r="AW9" s="18">
        <v>0</v>
      </c>
      <c r="AX9" s="19">
        <v>267.47931</v>
      </c>
      <c r="AY9" s="28">
        <v>0</v>
      </c>
      <c r="AZ9" s="18">
        <v>970.15747999999996</v>
      </c>
      <c r="BA9" s="18">
        <v>144.42901999999995</v>
      </c>
      <c r="BB9" s="51">
        <v>17.846599999999999</v>
      </c>
      <c r="BC9" s="51">
        <v>0</v>
      </c>
      <c r="BD9" s="19">
        <v>1132.4331</v>
      </c>
      <c r="BF9" s="114" t="s">
        <v>542</v>
      </c>
      <c r="BG9" s="31">
        <v>104.61000000000001</v>
      </c>
      <c r="BH9" s="18">
        <v>288.04825</v>
      </c>
      <c r="BI9" s="18">
        <v>49.542149999999992</v>
      </c>
      <c r="BJ9" s="18">
        <v>3.44624</v>
      </c>
      <c r="BK9" s="18">
        <v>0</v>
      </c>
      <c r="BL9" s="19">
        <v>445.64663999999999</v>
      </c>
      <c r="BM9" s="28">
        <v>104.61000000000001</v>
      </c>
      <c r="BN9" s="18">
        <v>1751.2704000000001</v>
      </c>
      <c r="BO9" s="18">
        <v>296.24793</v>
      </c>
      <c r="BP9" s="51">
        <v>34.538419999999995</v>
      </c>
      <c r="BQ9" s="51">
        <v>0</v>
      </c>
      <c r="BR9" s="19">
        <v>2186.6667499999999</v>
      </c>
      <c r="BS9" s="17"/>
      <c r="BT9" s="114" t="s">
        <v>542</v>
      </c>
      <c r="BU9" s="31">
        <v>0</v>
      </c>
      <c r="BV9" s="18">
        <v>170.61870000000005</v>
      </c>
      <c r="BW9" s="18">
        <v>13.57067</v>
      </c>
      <c r="BX9" s="18">
        <v>3.3955599999999997</v>
      </c>
      <c r="BY9" s="18">
        <v>0</v>
      </c>
      <c r="BZ9" s="19">
        <v>187.58493000000004</v>
      </c>
      <c r="CA9" s="28">
        <v>104.61000000000001</v>
      </c>
      <c r="CB9" s="18">
        <v>1921.8890999999999</v>
      </c>
      <c r="CC9" s="18">
        <v>309.8186</v>
      </c>
      <c r="CD9" s="51">
        <v>37.933979999999998</v>
      </c>
      <c r="CE9" s="51">
        <v>0</v>
      </c>
      <c r="CF9" s="19">
        <v>2374.2516799999999</v>
      </c>
      <c r="CG9" s="17"/>
      <c r="CH9" s="114" t="s">
        <v>542</v>
      </c>
      <c r="CI9" s="31">
        <v>0</v>
      </c>
      <c r="CJ9" s="18">
        <v>231.60895000000002</v>
      </c>
      <c r="CK9" s="18">
        <v>38.990699999999997</v>
      </c>
      <c r="CL9" s="18">
        <v>5.4770599999999998</v>
      </c>
      <c r="CM9" s="18">
        <v>1.8099999999999998</v>
      </c>
      <c r="CN9" s="19">
        <f t="shared" si="1"/>
        <v>277.88670999999999</v>
      </c>
      <c r="CO9" s="28">
        <v>104.61000000000001</v>
      </c>
      <c r="CP9" s="18">
        <v>2153.4980499999997</v>
      </c>
      <c r="CQ9" s="18">
        <v>348.80930000000006</v>
      </c>
      <c r="CR9" s="51">
        <v>43.411039999999993</v>
      </c>
      <c r="CS9" s="51">
        <v>1.8099999999999998</v>
      </c>
      <c r="CT9" s="19">
        <v>2652.1383899999996</v>
      </c>
      <c r="CU9" s="17"/>
      <c r="CV9" s="114" t="s">
        <v>542</v>
      </c>
      <c r="CW9" s="31">
        <v>0</v>
      </c>
      <c r="CX9" s="18">
        <v>264.51600000000002</v>
      </c>
      <c r="CY9" s="18">
        <v>56.738899999999994</v>
      </c>
      <c r="CZ9" s="18">
        <v>7.2979199999999995</v>
      </c>
      <c r="DA9" s="18">
        <v>0</v>
      </c>
      <c r="DB9" s="19">
        <v>328.55282</v>
      </c>
      <c r="DC9" s="28">
        <v>104.61000000000001</v>
      </c>
      <c r="DD9" s="18">
        <v>2418.0140500000002</v>
      </c>
      <c r="DE9" s="18">
        <v>405.54819999999989</v>
      </c>
      <c r="DF9" s="51">
        <v>50.70895999999999</v>
      </c>
      <c r="DG9" s="51">
        <v>1.8099999999999998</v>
      </c>
      <c r="DH9" s="19">
        <v>2980.69121</v>
      </c>
      <c r="DI9" s="17"/>
      <c r="DJ9" s="114" t="s">
        <v>542</v>
      </c>
      <c r="DK9" s="31">
        <v>0</v>
      </c>
      <c r="DL9" s="18">
        <v>197.28485000000001</v>
      </c>
      <c r="DM9" s="18">
        <v>43.654449999999997</v>
      </c>
      <c r="DN9" s="18">
        <v>4.0543999999999993</v>
      </c>
      <c r="DO9" s="18">
        <v>0</v>
      </c>
      <c r="DP9" s="19">
        <v>244.99369999999999</v>
      </c>
      <c r="DQ9" s="28">
        <v>104.61000000000001</v>
      </c>
      <c r="DR9" s="18">
        <v>2615.2988999999993</v>
      </c>
      <c r="DS9" s="18">
        <v>449.20264999999989</v>
      </c>
      <c r="DT9" s="51">
        <v>54.763359999999992</v>
      </c>
      <c r="DU9" s="51">
        <v>1.8099999999999998</v>
      </c>
      <c r="DV9" s="19">
        <v>3225.684909999999</v>
      </c>
      <c r="DW9" s="17"/>
      <c r="DX9" s="114" t="s">
        <v>542</v>
      </c>
      <c r="DY9" s="31">
        <v>0</v>
      </c>
      <c r="DZ9" s="18">
        <v>216.94820000000001</v>
      </c>
      <c r="EA9" s="18">
        <v>25.152399999999997</v>
      </c>
      <c r="EB9" s="18">
        <v>4.5611999999999995</v>
      </c>
      <c r="EC9" s="18">
        <v>0</v>
      </c>
      <c r="ED9" s="19">
        <v>246.66180000000003</v>
      </c>
      <c r="EE9" s="28">
        <v>104.61000000000001</v>
      </c>
      <c r="EF9" s="18">
        <v>2832.2471000000005</v>
      </c>
      <c r="EG9" s="18">
        <v>474.35504999999989</v>
      </c>
      <c r="EH9" s="51">
        <v>59.324559999999998</v>
      </c>
      <c r="EI9" s="51">
        <v>1.8099999999999998</v>
      </c>
      <c r="EJ9" s="19">
        <v>3472.3467100000003</v>
      </c>
      <c r="EK9" s="17"/>
      <c r="EL9" s="114" t="s">
        <v>542</v>
      </c>
      <c r="EM9" s="31">
        <v>0</v>
      </c>
      <c r="EN9" s="18">
        <v>373.04295000000002</v>
      </c>
      <c r="EO9" s="18">
        <v>31.345299999999998</v>
      </c>
      <c r="EP9" s="18">
        <v>1.8244799999999999</v>
      </c>
      <c r="EQ9" s="18">
        <v>0</v>
      </c>
      <c r="ER9" s="19">
        <v>406.21273000000002</v>
      </c>
      <c r="ES9" s="28">
        <v>104.61000000000001</v>
      </c>
      <c r="ET9" s="18">
        <v>3205.2900500000001</v>
      </c>
      <c r="EU9" s="18">
        <v>505.70034999999984</v>
      </c>
      <c r="EV9" s="51">
        <v>61.149039999999992</v>
      </c>
      <c r="EW9" s="51">
        <v>1.8099999999999998</v>
      </c>
      <c r="EX9" s="19">
        <v>3878.55944</v>
      </c>
      <c r="EY9" s="17"/>
      <c r="EZ9" s="114" t="s">
        <v>542</v>
      </c>
      <c r="FA9" s="31">
        <v>0</v>
      </c>
      <c r="FB9" s="18">
        <v>317.09300000000002</v>
      </c>
      <c r="FC9" s="18">
        <v>37.744349999999997</v>
      </c>
      <c r="FD9" s="18">
        <v>3.6489599999999998</v>
      </c>
      <c r="FE9" s="18">
        <v>0</v>
      </c>
      <c r="FF9" s="19">
        <v>358.48631</v>
      </c>
      <c r="FG9" s="28">
        <v>104.61000000000001</v>
      </c>
      <c r="FH9" s="18">
        <v>3522.3830499999999</v>
      </c>
      <c r="FI9" s="18">
        <v>543.44469999999978</v>
      </c>
      <c r="FJ9" s="51">
        <v>64.797999999999988</v>
      </c>
      <c r="FK9" s="51">
        <v>1.8099999999999998</v>
      </c>
      <c r="FL9" s="19">
        <v>4237.0457500000002</v>
      </c>
      <c r="FM9" s="17"/>
      <c r="FN9" s="114" t="s">
        <v>542</v>
      </c>
      <c r="FO9" s="31">
        <v>0</v>
      </c>
      <c r="FP9" s="18">
        <v>238.06440000000003</v>
      </c>
      <c r="FQ9" s="18">
        <v>36.091649999999994</v>
      </c>
      <c r="FR9" s="18">
        <v>1.8244799999999999</v>
      </c>
      <c r="FS9" s="18">
        <v>0</v>
      </c>
      <c r="FT9" s="19">
        <v>275.98053000000004</v>
      </c>
      <c r="FU9" s="28">
        <v>104.61000000000001</v>
      </c>
      <c r="FV9" s="18">
        <v>3760.4474499999997</v>
      </c>
      <c r="FW9" s="18">
        <v>579.53635000000008</v>
      </c>
      <c r="FX9" s="51">
        <v>66.622479999999996</v>
      </c>
      <c r="FY9" s="51">
        <v>1.8099999999999998</v>
      </c>
      <c r="FZ9" s="19">
        <v>4513.02628</v>
      </c>
      <c r="GA9" s="17"/>
      <c r="GB9" s="114" t="s">
        <v>542</v>
      </c>
      <c r="GC9" s="31">
        <v>0</v>
      </c>
      <c r="GD9" s="18">
        <v>240.11125000000001</v>
      </c>
      <c r="GE9" s="18">
        <v>28.895649999999996</v>
      </c>
      <c r="GF9" s="18">
        <v>3.6489599999999998</v>
      </c>
      <c r="GG9" s="18">
        <v>0</v>
      </c>
      <c r="GH9" s="19">
        <v>272.65586000000002</v>
      </c>
      <c r="GI9" s="28">
        <v>104.61000000000001</v>
      </c>
      <c r="GJ9" s="18">
        <v>4000.5586999999996</v>
      </c>
      <c r="GK9" s="18">
        <v>608.43200000000024</v>
      </c>
      <c r="GL9" s="51">
        <v>70.271439999999984</v>
      </c>
      <c r="GM9" s="51">
        <v>1.8099999999999998</v>
      </c>
      <c r="GN9" s="19">
        <v>4785.6821399999999</v>
      </c>
      <c r="GO9" s="17"/>
      <c r="GP9" s="114" t="s">
        <v>542</v>
      </c>
      <c r="GQ9" s="31">
        <v>0</v>
      </c>
      <c r="GR9" s="18">
        <v>172.76139999999998</v>
      </c>
      <c r="GS9" s="18">
        <v>104.37385</v>
      </c>
      <c r="GT9" s="18">
        <v>10.011109999999999</v>
      </c>
      <c r="GU9" s="18">
        <v>0</v>
      </c>
      <c r="GV9" s="19">
        <v>287.14635999999996</v>
      </c>
      <c r="GW9" s="28">
        <v>104.61000000000001</v>
      </c>
      <c r="GX9" s="18">
        <v>4173.3201000000008</v>
      </c>
      <c r="GY9" s="18">
        <v>712.80585000000008</v>
      </c>
      <c r="GZ9" s="51">
        <v>80.282549999999986</v>
      </c>
      <c r="HA9" s="51">
        <v>1.8099999999999998</v>
      </c>
      <c r="HB9" s="19">
        <v>5072.8285000000005</v>
      </c>
      <c r="HC9" s="72"/>
      <c r="HD9" s="114" t="s">
        <v>542</v>
      </c>
      <c r="HE9" s="31">
        <v>0</v>
      </c>
      <c r="HF9" s="18">
        <v>264.71795000000003</v>
      </c>
      <c r="HG9" s="18">
        <v>62.585639999999998</v>
      </c>
      <c r="HH9" s="18">
        <v>4.6335999999999995</v>
      </c>
      <c r="HI9" s="18">
        <v>0</v>
      </c>
      <c r="HJ9" s="19">
        <v>331.93719000000004</v>
      </c>
      <c r="HK9" s="28">
        <v>104.61000000000001</v>
      </c>
      <c r="HL9" s="18">
        <v>4438.0380500000019</v>
      </c>
      <c r="HM9" s="18">
        <v>775.39149000000032</v>
      </c>
      <c r="HN9" s="51">
        <v>84.916149999999988</v>
      </c>
      <c r="HO9" s="51">
        <v>1.8099999999999998</v>
      </c>
      <c r="HP9" s="19">
        <v>5404.765690000002</v>
      </c>
      <c r="HQ9" s="17"/>
      <c r="HR9" s="114" t="s">
        <v>542</v>
      </c>
      <c r="HS9" s="31">
        <v>0</v>
      </c>
      <c r="HT9" s="18">
        <v>185.16120000000001</v>
      </c>
      <c r="HU9" s="18">
        <v>52.861899999999999</v>
      </c>
      <c r="HV9" s="18">
        <v>4.3874399999999998</v>
      </c>
      <c r="HW9" s="18">
        <v>0</v>
      </c>
      <c r="HX9" s="19">
        <v>242.41054</v>
      </c>
      <c r="HY9" s="28">
        <v>104.61000000000001</v>
      </c>
      <c r="HZ9" s="18">
        <v>4623.1992500000006</v>
      </c>
      <c r="IA9" s="18">
        <v>828.25339000000031</v>
      </c>
      <c r="IB9" s="51">
        <v>89.30359</v>
      </c>
      <c r="IC9" s="51">
        <v>1.8099999999999998</v>
      </c>
      <c r="ID9" s="19">
        <v>5647.1762300000009</v>
      </c>
      <c r="IF9" s="114" t="s">
        <v>542</v>
      </c>
      <c r="IG9" s="31">
        <v>0</v>
      </c>
      <c r="IH9" s="18">
        <v>157.60745</v>
      </c>
      <c r="II9" s="18">
        <v>49.573299999999996</v>
      </c>
      <c r="IJ9" s="18">
        <v>4.6842799999999993</v>
      </c>
      <c r="IK9" s="18">
        <v>0</v>
      </c>
      <c r="IL9" s="19">
        <v>211.86502999999999</v>
      </c>
      <c r="IM9" s="28">
        <v>104.61000000000001</v>
      </c>
      <c r="IN9" s="18">
        <v>4780.806700000001</v>
      </c>
      <c r="IO9" s="18">
        <v>877.82669000000044</v>
      </c>
      <c r="IP9" s="51">
        <v>93.987870000000029</v>
      </c>
      <c r="IQ9" s="51">
        <v>1.8099999999999998</v>
      </c>
      <c r="IR9" s="19">
        <v>5859.0412600000018</v>
      </c>
      <c r="IS9" s="17"/>
      <c r="IT9" s="114" t="s">
        <v>542</v>
      </c>
      <c r="IU9" s="31">
        <v>0</v>
      </c>
      <c r="IV9" s="18">
        <v>195.59680000000003</v>
      </c>
      <c r="IW9" s="18">
        <v>17.901889999999998</v>
      </c>
      <c r="IX9" s="18">
        <v>5.4734399999999992</v>
      </c>
      <c r="IY9" s="18">
        <v>0</v>
      </c>
      <c r="IZ9" s="19">
        <v>218.97213000000005</v>
      </c>
      <c r="JA9" s="28">
        <v>104.61000000000001</v>
      </c>
      <c r="JB9" s="18">
        <v>4976.4035000000013</v>
      </c>
      <c r="JC9" s="18">
        <v>895.72858000000042</v>
      </c>
      <c r="JD9" s="51">
        <v>99.46131000000004</v>
      </c>
      <c r="JE9" s="51">
        <v>1.8099999999999998</v>
      </c>
      <c r="JF9" s="19">
        <v>6078.0133900000019</v>
      </c>
      <c r="JG9" s="17"/>
      <c r="JH9" s="114" t="s">
        <v>542</v>
      </c>
      <c r="JI9" s="31">
        <v>97.88009000000001</v>
      </c>
      <c r="JJ9" s="18">
        <v>185.16120000000001</v>
      </c>
      <c r="JK9" s="18">
        <v>39.351899999999993</v>
      </c>
      <c r="JL9" s="18">
        <v>4.447169999999999</v>
      </c>
      <c r="JM9" s="18">
        <v>0</v>
      </c>
      <c r="JN9" s="19">
        <v>326.84035999999998</v>
      </c>
      <c r="JO9" s="28">
        <v>202.49009000000004</v>
      </c>
      <c r="JP9" s="18">
        <v>5161.5647000000008</v>
      </c>
      <c r="JQ9" s="18">
        <v>935.08048000000031</v>
      </c>
      <c r="JR9" s="51">
        <v>103.90848000000004</v>
      </c>
      <c r="JS9" s="51">
        <v>1.8099999999999998</v>
      </c>
      <c r="JT9" s="19">
        <v>6404.853750000002</v>
      </c>
      <c r="JU9" s="17"/>
      <c r="JV9" s="114" t="s">
        <v>542</v>
      </c>
      <c r="JW9" s="31">
        <v>1.4650000000000001</v>
      </c>
      <c r="JX9" s="18">
        <v>208.92584999999997</v>
      </c>
      <c r="JY9" s="18">
        <v>50.053499999999993</v>
      </c>
      <c r="JZ9" s="18">
        <v>5.7775199999999991</v>
      </c>
      <c r="KA9" s="18">
        <v>0</v>
      </c>
      <c r="KB9" s="19">
        <v>266.22186999999997</v>
      </c>
      <c r="KC9" s="28">
        <v>203.95509000000001</v>
      </c>
      <c r="KD9" s="18">
        <v>5370.4905500000013</v>
      </c>
      <c r="KE9" s="18">
        <v>985.13398000000007</v>
      </c>
      <c r="KF9" s="51">
        <v>109.68600000000006</v>
      </c>
      <c r="KG9" s="51">
        <v>1.8099999999999998</v>
      </c>
      <c r="KH9" s="19">
        <v>6671.0756200000023</v>
      </c>
      <c r="KI9" s="17"/>
      <c r="KJ9" s="114" t="s">
        <v>542</v>
      </c>
      <c r="KK9" s="31">
        <v>76.714000000000013</v>
      </c>
      <c r="KL9" s="18">
        <v>342.90550000000007</v>
      </c>
      <c r="KM9" s="18">
        <v>17.228049999999996</v>
      </c>
      <c r="KN9" s="18">
        <v>3.2887699999999995</v>
      </c>
      <c r="KO9" s="18">
        <v>0</v>
      </c>
      <c r="KP9" s="19">
        <v>440.13632000000007</v>
      </c>
      <c r="KQ9" s="28">
        <v>280.66909000000004</v>
      </c>
      <c r="KR9" s="18">
        <v>5713.3960500000021</v>
      </c>
      <c r="KS9" s="18">
        <v>1002.3620299999999</v>
      </c>
      <c r="KT9" s="51">
        <v>112.97477000000006</v>
      </c>
      <c r="KU9" s="51">
        <v>1.8099999999999998</v>
      </c>
      <c r="KV9" s="19">
        <v>7111.2119400000029</v>
      </c>
      <c r="KW9" s="17"/>
      <c r="KX9" s="114" t="s">
        <v>542</v>
      </c>
      <c r="KY9" s="31">
        <v>0</v>
      </c>
      <c r="KZ9" s="18">
        <v>240.86046000000002</v>
      </c>
      <c r="LA9" s="18">
        <v>33.014449999999997</v>
      </c>
      <c r="LB9" s="18">
        <v>0</v>
      </c>
      <c r="LC9" s="18">
        <v>0</v>
      </c>
      <c r="LD9" s="19">
        <v>273.87491</v>
      </c>
      <c r="LE9" s="28">
        <v>280.66909000000004</v>
      </c>
      <c r="LF9" s="18">
        <v>5954.2565100000002</v>
      </c>
      <c r="LG9" s="18">
        <v>1035.3764799999999</v>
      </c>
      <c r="LH9" s="51">
        <v>112.97477000000005</v>
      </c>
      <c r="LI9" s="51">
        <v>1.8099999999999998</v>
      </c>
      <c r="LJ9" s="19">
        <v>7385.0868500000006</v>
      </c>
      <c r="LK9" s="17">
        <f t="shared" si="2"/>
        <v>0</v>
      </c>
      <c r="LL9" s="17">
        <f t="shared" si="0"/>
        <v>0</v>
      </c>
      <c r="LM9" s="17">
        <f t="shared" si="0"/>
        <v>0</v>
      </c>
      <c r="LN9" s="17">
        <f t="shared" si="0"/>
        <v>0</v>
      </c>
      <c r="LO9" s="17">
        <f t="shared" si="0"/>
        <v>0</v>
      </c>
      <c r="LP9" s="17">
        <f t="shared" si="0"/>
        <v>0</v>
      </c>
    </row>
    <row r="10" spans="2:328" ht="15" thickBot="1" x14ac:dyDescent="0.35">
      <c r="B10" s="118" t="s">
        <v>543</v>
      </c>
      <c r="C10" s="31">
        <v>0</v>
      </c>
      <c r="D10" s="18">
        <v>45.59519999999975</v>
      </c>
      <c r="E10" s="18">
        <v>29.609650000000101</v>
      </c>
      <c r="F10" s="18">
        <v>18.584299999999985</v>
      </c>
      <c r="G10" s="18">
        <v>0</v>
      </c>
      <c r="H10" s="19">
        <v>93.789150000000063</v>
      </c>
      <c r="I10" s="28">
        <v>0</v>
      </c>
      <c r="J10" s="28">
        <v>156.04890000000069</v>
      </c>
      <c r="K10" s="28">
        <v>109.36254000000054</v>
      </c>
      <c r="L10" s="82">
        <v>31.427900000000022</v>
      </c>
      <c r="M10" s="55">
        <v>0</v>
      </c>
      <c r="N10" s="19">
        <v>296.83934000000227</v>
      </c>
      <c r="P10" s="118" t="s">
        <v>543</v>
      </c>
      <c r="Q10" s="31">
        <v>0</v>
      </c>
      <c r="R10" s="18">
        <v>45.59519999999975</v>
      </c>
      <c r="S10" s="18">
        <v>29.609650000000101</v>
      </c>
      <c r="T10" s="18">
        <v>18.584299999999985</v>
      </c>
      <c r="U10" s="18">
        <v>0</v>
      </c>
      <c r="V10" s="19">
        <v>93.789150000000063</v>
      </c>
      <c r="W10" s="28">
        <v>0</v>
      </c>
      <c r="X10" s="28">
        <v>156.04890000000069</v>
      </c>
      <c r="Y10" s="28">
        <v>109.36254000000054</v>
      </c>
      <c r="Z10" s="82">
        <v>31.427900000000022</v>
      </c>
      <c r="AA10" s="55">
        <v>0</v>
      </c>
      <c r="AB10" s="19">
        <v>296.83934000000227</v>
      </c>
      <c r="AD10" s="118" t="s">
        <v>543</v>
      </c>
      <c r="AE10" s="31">
        <v>0</v>
      </c>
      <c r="AF10" s="18">
        <v>54.218749999999545</v>
      </c>
      <c r="AG10" s="18">
        <v>11.044950000000085</v>
      </c>
      <c r="AH10" s="18">
        <v>34.325399999999945</v>
      </c>
      <c r="AI10" s="18">
        <v>0</v>
      </c>
      <c r="AJ10" s="19">
        <v>99.589099999999689</v>
      </c>
      <c r="AK10" s="28">
        <v>0</v>
      </c>
      <c r="AL10" s="28">
        <v>210.26765000000159</v>
      </c>
      <c r="AM10" s="28">
        <v>129.8691900000008</v>
      </c>
      <c r="AN10" s="82">
        <v>65.753300000000081</v>
      </c>
      <c r="AO10" s="55">
        <v>0</v>
      </c>
      <c r="AP10" s="19">
        <v>405.89014000000316</v>
      </c>
      <c r="AQ10" s="17"/>
      <c r="AR10" s="118" t="s">
        <v>543</v>
      </c>
      <c r="AS10" s="31">
        <v>0</v>
      </c>
      <c r="AT10" s="18">
        <v>87.124799999999595</v>
      </c>
      <c r="AU10" s="18">
        <v>-11.796749999999804</v>
      </c>
      <c r="AV10" s="18">
        <v>14.011200000000031</v>
      </c>
      <c r="AW10" s="18">
        <v>0</v>
      </c>
      <c r="AX10" s="19">
        <v>89.339249999999993</v>
      </c>
      <c r="AY10" s="28">
        <v>0</v>
      </c>
      <c r="AZ10" s="28">
        <v>297.39244999999937</v>
      </c>
      <c r="BA10" s="28">
        <v>118.07244000000105</v>
      </c>
      <c r="BB10" s="82">
        <v>79.764500000000226</v>
      </c>
      <c r="BC10" s="55">
        <v>0</v>
      </c>
      <c r="BD10" s="19">
        <v>495.2293899999986</v>
      </c>
      <c r="BF10" s="118" t="s">
        <v>543</v>
      </c>
      <c r="BG10" s="31">
        <v>730.44</v>
      </c>
      <c r="BH10" s="18">
        <v>95.469149999999445</v>
      </c>
      <c r="BI10" s="18">
        <v>46.016600000000381</v>
      </c>
      <c r="BJ10" s="18">
        <v>16.756880000000024</v>
      </c>
      <c r="BK10" s="18">
        <v>0</v>
      </c>
      <c r="BL10" s="19">
        <v>888.68263000000024</v>
      </c>
      <c r="BM10" s="28">
        <v>730.44</v>
      </c>
      <c r="BN10" s="28">
        <v>537.81110000000263</v>
      </c>
      <c r="BO10" s="28">
        <v>162.81515000000263</v>
      </c>
      <c r="BP10" s="82">
        <v>162.75438000000031</v>
      </c>
      <c r="BQ10" s="55">
        <v>0</v>
      </c>
      <c r="BR10" s="19">
        <v>1593.8206300000093</v>
      </c>
      <c r="BS10" s="17"/>
      <c r="BT10" s="118" t="s">
        <v>543</v>
      </c>
      <c r="BU10" s="31">
        <v>0</v>
      </c>
      <c r="BV10" s="18">
        <v>75.079200000000355</v>
      </c>
      <c r="BW10" s="18">
        <v>57.217480000000108</v>
      </c>
      <c r="BX10" s="18">
        <v>18.32432</v>
      </c>
      <c r="BY10" s="18">
        <v>0</v>
      </c>
      <c r="BZ10" s="19">
        <v>150.62100000000055</v>
      </c>
      <c r="CA10" s="28">
        <v>730.44</v>
      </c>
      <c r="CB10" s="28">
        <v>612.89029999999912</v>
      </c>
      <c r="CC10" s="28">
        <v>220.03263000000334</v>
      </c>
      <c r="CD10" s="82">
        <v>181.07870000000003</v>
      </c>
      <c r="CE10" s="55">
        <v>0</v>
      </c>
      <c r="CF10" s="19">
        <v>1744.4416300000012</v>
      </c>
      <c r="CG10" s="17"/>
      <c r="CH10" s="118" t="s">
        <v>543</v>
      </c>
      <c r="CI10" s="31">
        <v>0</v>
      </c>
      <c r="CJ10" s="18">
        <v>60.890499999999975</v>
      </c>
      <c r="CK10" s="18">
        <v>52.872750000000337</v>
      </c>
      <c r="CL10" s="18">
        <v>30.110599999999977</v>
      </c>
      <c r="CM10" s="18">
        <v>-25.134720000000016</v>
      </c>
      <c r="CN10" s="19">
        <f t="shared" si="1"/>
        <v>118.73913000000027</v>
      </c>
      <c r="CO10" s="28">
        <v>730.44</v>
      </c>
      <c r="CP10" s="28">
        <v>673.78080000000045</v>
      </c>
      <c r="CQ10" s="28">
        <v>272.90538000000288</v>
      </c>
      <c r="CR10" s="82">
        <v>211.18929999999955</v>
      </c>
      <c r="CS10" s="55">
        <v>-25.134720000000016</v>
      </c>
      <c r="CT10" s="19">
        <v>1863.1807600000029</v>
      </c>
      <c r="CU10" s="17"/>
      <c r="CV10" s="118" t="s">
        <v>543</v>
      </c>
      <c r="CW10" s="31">
        <v>0</v>
      </c>
      <c r="CX10" s="18">
        <v>68.980800000000272</v>
      </c>
      <c r="CY10" s="18">
        <v>104.40800000000036</v>
      </c>
      <c r="CZ10" s="18">
        <v>37.084319999999934</v>
      </c>
      <c r="DA10" s="18">
        <v>0</v>
      </c>
      <c r="DB10" s="19">
        <v>210.47312000000056</v>
      </c>
      <c r="DC10" s="28">
        <v>730.44</v>
      </c>
      <c r="DD10" s="28">
        <v>742.76159999999436</v>
      </c>
      <c r="DE10" s="28">
        <v>377.31338000000414</v>
      </c>
      <c r="DF10" s="82">
        <v>248.27361999999903</v>
      </c>
      <c r="DG10" s="55">
        <v>-25.134720000000016</v>
      </c>
      <c r="DH10" s="19">
        <v>2073.6538799999976</v>
      </c>
      <c r="DI10" s="17"/>
      <c r="DJ10" s="118" t="s">
        <v>543</v>
      </c>
      <c r="DK10" s="31">
        <v>0</v>
      </c>
      <c r="DL10" s="18">
        <v>53.424699999999575</v>
      </c>
      <c r="DM10" s="18">
        <v>-53.902099999999848</v>
      </c>
      <c r="DN10" s="18">
        <v>26.643680000000018</v>
      </c>
      <c r="DO10" s="18">
        <v>0</v>
      </c>
      <c r="DP10" s="19">
        <v>26.166279999999915</v>
      </c>
      <c r="DQ10" s="28">
        <v>730.44</v>
      </c>
      <c r="DR10" s="28">
        <v>796.1862999999903</v>
      </c>
      <c r="DS10" s="28">
        <v>323.4112800000039</v>
      </c>
      <c r="DT10" s="82">
        <v>274.91730000000007</v>
      </c>
      <c r="DU10" s="55">
        <v>-25.134720000000016</v>
      </c>
      <c r="DV10" s="19">
        <v>2099.8201599999943</v>
      </c>
      <c r="DW10" s="17"/>
      <c r="DX10" s="118" t="s">
        <v>543</v>
      </c>
      <c r="DY10" s="31">
        <v>0</v>
      </c>
      <c r="DZ10" s="18">
        <v>84.689849999999751</v>
      </c>
      <c r="EA10" s="18">
        <v>-3.8657499999998777</v>
      </c>
      <c r="EB10" s="18">
        <v>31.106880000000103</v>
      </c>
      <c r="EC10" s="18">
        <v>0</v>
      </c>
      <c r="ED10" s="19">
        <v>111.93098000000009</v>
      </c>
      <c r="EE10" s="28">
        <v>730.44</v>
      </c>
      <c r="EF10" s="28">
        <v>880.87614999998914</v>
      </c>
      <c r="EG10" s="28">
        <v>319.54553000000305</v>
      </c>
      <c r="EH10" s="82">
        <v>306.02417999999943</v>
      </c>
      <c r="EI10" s="55">
        <v>-25.134720000000016</v>
      </c>
      <c r="EJ10" s="19">
        <v>2211.7511399999917</v>
      </c>
      <c r="EK10" s="17"/>
      <c r="EL10" s="118" t="s">
        <v>543</v>
      </c>
      <c r="EM10" s="31">
        <v>0</v>
      </c>
      <c r="EN10" s="18">
        <v>102.00784999999996</v>
      </c>
      <c r="EO10" s="18">
        <v>-22.596349999999916</v>
      </c>
      <c r="EP10" s="18">
        <v>16.067520000000002</v>
      </c>
      <c r="EQ10" s="18">
        <v>0</v>
      </c>
      <c r="ER10" s="19">
        <v>95.479020000000673</v>
      </c>
      <c r="ES10" s="28">
        <v>730.44</v>
      </c>
      <c r="ET10" s="28">
        <v>982.88399999998364</v>
      </c>
      <c r="EU10" s="28">
        <v>296.94918000000325</v>
      </c>
      <c r="EV10" s="82">
        <v>322.09169999999904</v>
      </c>
      <c r="EW10" s="55">
        <v>-25.134720000000016</v>
      </c>
      <c r="EX10" s="19">
        <v>2307.230159999986</v>
      </c>
      <c r="EY10" s="17"/>
      <c r="EZ10" s="118" t="s">
        <v>543</v>
      </c>
      <c r="FA10" s="31">
        <v>0</v>
      </c>
      <c r="FB10" s="18">
        <v>66.934000000000196</v>
      </c>
      <c r="FC10" s="18">
        <v>27.835500000000252</v>
      </c>
      <c r="FD10" s="18">
        <v>23.07311999999996</v>
      </c>
      <c r="FE10" s="18">
        <v>0</v>
      </c>
      <c r="FF10" s="19">
        <v>117.84262000000126</v>
      </c>
      <c r="FG10" s="28">
        <v>730.44</v>
      </c>
      <c r="FH10" s="28">
        <v>1049.8179999999702</v>
      </c>
      <c r="FI10" s="28">
        <v>324.7846800000043</v>
      </c>
      <c r="FJ10" s="82">
        <v>345.16481999999814</v>
      </c>
      <c r="FK10" s="55">
        <v>-25.134720000000016</v>
      </c>
      <c r="FL10" s="19">
        <v>2425.0727799999727</v>
      </c>
      <c r="FM10" s="17"/>
      <c r="FN10" s="118" t="s">
        <v>543</v>
      </c>
      <c r="FO10" s="31">
        <v>0</v>
      </c>
      <c r="FP10" s="18">
        <v>63.655199999999695</v>
      </c>
      <c r="FQ10" s="18">
        <v>-27.899199999999894</v>
      </c>
      <c r="FR10" s="18">
        <v>16.067520000000002</v>
      </c>
      <c r="FS10" s="18">
        <v>0</v>
      </c>
      <c r="FT10" s="19">
        <v>51.823519999999917</v>
      </c>
      <c r="FU10" s="28">
        <v>730.44</v>
      </c>
      <c r="FV10" s="28">
        <v>1113.4731999999567</v>
      </c>
      <c r="FW10" s="28">
        <v>296.88548000000537</v>
      </c>
      <c r="FX10" s="82">
        <v>361.23233999999684</v>
      </c>
      <c r="FY10" s="55">
        <v>-25.134720000000016</v>
      </c>
      <c r="FZ10" s="19">
        <v>2476.896299999959</v>
      </c>
      <c r="GA10" s="17"/>
      <c r="GB10" s="118" t="s">
        <v>543</v>
      </c>
      <c r="GC10" s="31">
        <v>0</v>
      </c>
      <c r="GD10" s="18">
        <v>65.834399999999732</v>
      </c>
      <c r="GE10" s="18">
        <v>-22.362549999999914</v>
      </c>
      <c r="GF10" s="18">
        <v>32.135040000000004</v>
      </c>
      <c r="GG10" s="18">
        <v>0</v>
      </c>
      <c r="GH10" s="19">
        <v>75.606890000000021</v>
      </c>
      <c r="GI10" s="28">
        <v>730.44</v>
      </c>
      <c r="GJ10" s="28">
        <v>1179.3075999999637</v>
      </c>
      <c r="GK10" s="28">
        <v>274.52293000000645</v>
      </c>
      <c r="GL10" s="82">
        <v>393.36737999999787</v>
      </c>
      <c r="GM10" s="55">
        <v>-25.134720000000016</v>
      </c>
      <c r="GN10" s="19">
        <v>2552.5031899999681</v>
      </c>
      <c r="GO10" s="17"/>
      <c r="GP10" s="118" t="s">
        <v>543</v>
      </c>
      <c r="GQ10" s="31">
        <v>0</v>
      </c>
      <c r="GR10" s="18">
        <v>53.24759999999992</v>
      </c>
      <c r="GS10" s="18">
        <v>-110.45790000000011</v>
      </c>
      <c r="GT10" s="18">
        <v>53.102739999999926</v>
      </c>
      <c r="GU10" s="18">
        <v>0</v>
      </c>
      <c r="GV10" s="19">
        <v>-4.107560000000376</v>
      </c>
      <c r="GW10" s="28">
        <v>730.44</v>
      </c>
      <c r="GX10" s="28">
        <v>1232.5551999999734</v>
      </c>
      <c r="GY10" s="28">
        <v>164.06503000000885</v>
      </c>
      <c r="GZ10" s="82">
        <v>446.47011999999722</v>
      </c>
      <c r="HA10" s="55">
        <v>-25.134720000000016</v>
      </c>
      <c r="HB10" s="19">
        <v>2548.3956299999795</v>
      </c>
      <c r="HC10" s="72"/>
      <c r="HD10" s="118" t="s">
        <v>543</v>
      </c>
      <c r="HE10" s="31">
        <v>0</v>
      </c>
      <c r="HF10" s="18">
        <v>62.385749999999916</v>
      </c>
      <c r="HG10" s="18">
        <v>8.0475200000001905</v>
      </c>
      <c r="HH10" s="18">
        <v>32.517620000000022</v>
      </c>
      <c r="HI10" s="18">
        <v>0</v>
      </c>
      <c r="HJ10" s="19">
        <v>102.95089000000007</v>
      </c>
      <c r="HK10" s="28">
        <v>730.44</v>
      </c>
      <c r="HL10" s="28">
        <v>1294.940949999982</v>
      </c>
      <c r="HM10" s="28">
        <v>172.11255000001074</v>
      </c>
      <c r="HN10" s="82">
        <v>478.98773999999685</v>
      </c>
      <c r="HO10" s="55">
        <v>-25.134720000000016</v>
      </c>
      <c r="HP10" s="19">
        <v>2651.3465199999896</v>
      </c>
      <c r="HQ10" s="17"/>
      <c r="HR10" s="118" t="s">
        <v>543</v>
      </c>
      <c r="HS10" s="31">
        <v>0</v>
      </c>
      <c r="HT10" s="18">
        <v>49.728000000000065</v>
      </c>
      <c r="HU10" s="18">
        <v>18.860450000000128</v>
      </c>
      <c r="HV10" s="18">
        <v>15.925919999999905</v>
      </c>
      <c r="HW10" s="18">
        <v>0</v>
      </c>
      <c r="HX10" s="19">
        <v>84.514370000000326</v>
      </c>
      <c r="HY10" s="28">
        <v>730.44</v>
      </c>
      <c r="HZ10" s="28">
        <v>1344.668949999992</v>
      </c>
      <c r="IA10" s="28">
        <v>190.97300000000905</v>
      </c>
      <c r="IB10" s="82">
        <v>494.91365999999834</v>
      </c>
      <c r="IC10" s="55">
        <v>-25.134720000000016</v>
      </c>
      <c r="ID10" s="19">
        <v>2735.8608899999995</v>
      </c>
      <c r="IE10" s="17"/>
      <c r="IF10" s="118" t="s">
        <v>543</v>
      </c>
      <c r="IG10" s="31">
        <v>0</v>
      </c>
      <c r="IH10" s="18">
        <v>43.803549999999859</v>
      </c>
      <c r="II10" s="18">
        <v>19.381950000000302</v>
      </c>
      <c r="IJ10" s="18">
        <v>12.059920000000034</v>
      </c>
      <c r="IK10" s="18">
        <v>0</v>
      </c>
      <c r="IL10" s="19">
        <v>75.245420000000195</v>
      </c>
      <c r="IM10" s="28">
        <v>730.44</v>
      </c>
      <c r="IN10" s="28">
        <v>1388.4724999999962</v>
      </c>
      <c r="IO10" s="28">
        <v>210.35495000000446</v>
      </c>
      <c r="IP10" s="82">
        <v>506.97357999999622</v>
      </c>
      <c r="IQ10" s="55">
        <v>-25.134720000000016</v>
      </c>
      <c r="IR10" s="19">
        <v>2811.1063099999969</v>
      </c>
      <c r="IS10" s="17"/>
      <c r="IT10" s="118" t="s">
        <v>543</v>
      </c>
      <c r="IU10" s="31">
        <v>0</v>
      </c>
      <c r="IV10" s="18">
        <v>55.067250000000058</v>
      </c>
      <c r="IW10" s="18">
        <v>-1.2684299999999666</v>
      </c>
      <c r="IX10" s="18">
        <v>32.034239999999954</v>
      </c>
      <c r="IY10" s="18">
        <v>0</v>
      </c>
      <c r="IZ10" s="19">
        <v>85.833060000000387</v>
      </c>
      <c r="JA10" s="28">
        <v>730.44</v>
      </c>
      <c r="JB10" s="28">
        <v>1443.5397499999817</v>
      </c>
      <c r="JC10" s="28">
        <v>209.08652000000075</v>
      </c>
      <c r="JD10" s="82">
        <v>539.00781999999708</v>
      </c>
      <c r="JE10" s="55">
        <v>-25.134720000000016</v>
      </c>
      <c r="JF10" s="19">
        <v>2896.9393699999796</v>
      </c>
      <c r="JG10" s="17"/>
      <c r="JH10" s="118" t="s">
        <v>543</v>
      </c>
      <c r="JI10" s="31">
        <v>458.88836000000015</v>
      </c>
      <c r="JJ10" s="18">
        <v>50.063999999999851</v>
      </c>
      <c r="JK10" s="18">
        <v>-63.740950000000055</v>
      </c>
      <c r="JL10" s="18">
        <v>22.418620000000033</v>
      </c>
      <c r="JM10" s="18">
        <v>0</v>
      </c>
      <c r="JN10" s="19">
        <v>467.63003000000026</v>
      </c>
      <c r="JO10" s="28">
        <v>1189.3283600000004</v>
      </c>
      <c r="JP10" s="28">
        <v>1493.6037499999802</v>
      </c>
      <c r="JQ10" s="28">
        <v>145.34557000000314</v>
      </c>
      <c r="JR10" s="82">
        <v>561.42643999999746</v>
      </c>
      <c r="JS10" s="55">
        <v>-25.134720000000016</v>
      </c>
      <c r="JT10" s="19">
        <v>3364.5693999999812</v>
      </c>
      <c r="JU10" s="17"/>
      <c r="JV10" s="118" t="s">
        <v>543</v>
      </c>
      <c r="JW10" s="31">
        <v>8.2760000000000069</v>
      </c>
      <c r="JX10" s="18">
        <v>61.548549999999977</v>
      </c>
      <c r="JY10" s="18">
        <v>7.9516500000001997</v>
      </c>
      <c r="JZ10" s="18">
        <v>10.459679999999935</v>
      </c>
      <c r="KA10" s="18">
        <v>0</v>
      </c>
      <c r="KB10" s="19">
        <v>88.235880000000634</v>
      </c>
      <c r="KC10" s="28">
        <v>1197.6043600000003</v>
      </c>
      <c r="KD10" s="28">
        <v>1555.1522999999652</v>
      </c>
      <c r="KE10" s="28">
        <v>153.29722000000038</v>
      </c>
      <c r="KF10" s="82">
        <v>571.88611999999557</v>
      </c>
      <c r="KG10" s="55">
        <v>-25.134720000000016</v>
      </c>
      <c r="KH10" s="19">
        <v>3452.8052799999614</v>
      </c>
      <c r="KI10" s="17"/>
      <c r="KJ10" s="118" t="s">
        <v>543</v>
      </c>
      <c r="KK10" s="31">
        <v>359.65599999999995</v>
      </c>
      <c r="KL10" s="18">
        <v>103.29829999999993</v>
      </c>
      <c r="KM10" s="18">
        <v>9.5686500000000763</v>
      </c>
      <c r="KN10" s="18">
        <v>15.44126</v>
      </c>
      <c r="KO10" s="18">
        <v>0</v>
      </c>
      <c r="KP10" s="19">
        <v>487.96421000000009</v>
      </c>
      <c r="KQ10" s="28">
        <v>1557.2603600000002</v>
      </c>
      <c r="KR10" s="28">
        <v>1658.4505999999674</v>
      </c>
      <c r="KS10" s="28">
        <v>162.86586999999599</v>
      </c>
      <c r="KT10" s="82">
        <v>587.32737999999699</v>
      </c>
      <c r="KU10" s="55">
        <v>-25.134720000000016</v>
      </c>
      <c r="KV10" s="19">
        <v>3940.7694899999606</v>
      </c>
      <c r="KW10" s="17"/>
      <c r="KX10" s="118" t="s">
        <v>543</v>
      </c>
      <c r="KY10" s="31">
        <v>0</v>
      </c>
      <c r="KZ10" s="18">
        <v>43.662109999999757</v>
      </c>
      <c r="LA10" s="18">
        <v>38.994550000000345</v>
      </c>
      <c r="LB10" s="18">
        <v>0</v>
      </c>
      <c r="LC10" s="18">
        <v>0</v>
      </c>
      <c r="LD10" s="19">
        <v>82.656660000000102</v>
      </c>
      <c r="LE10" s="28">
        <v>1557.2603600000002</v>
      </c>
      <c r="LF10" s="28">
        <v>1702.1127099999721</v>
      </c>
      <c r="LG10" s="28">
        <v>201.86041999999179</v>
      </c>
      <c r="LH10" s="82">
        <v>587.32737999999699</v>
      </c>
      <c r="LI10" s="55">
        <v>-25.134720000000016</v>
      </c>
      <c r="LJ10" s="19">
        <v>4023.4261499999611</v>
      </c>
      <c r="LK10" s="17">
        <f t="shared" si="2"/>
        <v>0</v>
      </c>
      <c r="LL10" s="17">
        <f t="shared" si="0"/>
        <v>5.0022208597511053E-12</v>
      </c>
      <c r="LM10" s="17">
        <f t="shared" si="0"/>
        <v>-4.5474735088646412E-12</v>
      </c>
      <c r="LN10" s="17">
        <f t="shared" si="0"/>
        <v>0</v>
      </c>
      <c r="LO10" s="17">
        <f t="shared" si="0"/>
        <v>0</v>
      </c>
      <c r="LP10" s="17">
        <f t="shared" si="0"/>
        <v>0</v>
      </c>
    </row>
    <row r="11" spans="2:328" ht="15" thickBot="1" x14ac:dyDescent="0.35">
      <c r="B11" s="116" t="s">
        <v>460</v>
      </c>
      <c r="C11" s="57" t="s">
        <v>478</v>
      </c>
      <c r="D11" s="58">
        <v>1.7018661583224546E-2</v>
      </c>
      <c r="E11" s="58">
        <v>7.1760789693080501E-2</v>
      </c>
      <c r="F11" s="58">
        <v>4.4922758709844191E-2</v>
      </c>
      <c r="G11" s="58" t="s">
        <v>478</v>
      </c>
      <c r="H11" s="59">
        <v>2.6755313528189377E-2</v>
      </c>
      <c r="I11" s="60" t="s">
        <v>478</v>
      </c>
      <c r="J11" s="58">
        <v>2.4580950515905992E-2</v>
      </c>
      <c r="K11" s="58">
        <v>8.1397342579904733E-2</v>
      </c>
      <c r="L11" s="61">
        <v>4.492275870984426E-2</v>
      </c>
      <c r="M11" s="61" t="s">
        <v>478</v>
      </c>
      <c r="N11" s="59">
        <v>3.5373685849127492E-2</v>
      </c>
      <c r="P11" s="116" t="s">
        <v>460</v>
      </c>
      <c r="Q11" s="57" t="s">
        <v>478</v>
      </c>
      <c r="R11" s="58">
        <v>1.7018661583224546E-2</v>
      </c>
      <c r="S11" s="58">
        <v>7.1760789693080501E-2</v>
      </c>
      <c r="T11" s="58">
        <v>4.4922758709844191E-2</v>
      </c>
      <c r="U11" s="58" t="s">
        <v>478</v>
      </c>
      <c r="V11" s="59">
        <v>2.6755313528189377E-2</v>
      </c>
      <c r="W11" s="60" t="s">
        <v>478</v>
      </c>
      <c r="X11" s="58">
        <v>2.4580950515905992E-2</v>
      </c>
      <c r="Y11" s="58">
        <v>8.1397342579904733E-2</v>
      </c>
      <c r="Z11" s="61">
        <v>4.492275870984426E-2</v>
      </c>
      <c r="AA11" s="61" t="s">
        <v>478</v>
      </c>
      <c r="AB11" s="59">
        <v>3.5373685849127492E-2</v>
      </c>
      <c r="AD11" s="116" t="s">
        <v>460</v>
      </c>
      <c r="AE11" s="57" t="s">
        <v>478</v>
      </c>
      <c r="AF11" s="58">
        <v>2.3638517834249209E-2</v>
      </c>
      <c r="AG11" s="58">
        <v>3.4441135093898394E-2</v>
      </c>
      <c r="AH11" s="58">
        <v>5.9155295999483729E-2</v>
      </c>
      <c r="AI11" s="58" t="s">
        <v>478</v>
      </c>
      <c r="AJ11" s="59">
        <v>3.1174093651442126E-2</v>
      </c>
      <c r="AK11" s="60" t="s">
        <v>478</v>
      </c>
      <c r="AL11" s="58">
        <v>2.4330821594678236E-2</v>
      </c>
      <c r="AM11" s="58">
        <v>7.8034445762045088E-2</v>
      </c>
      <c r="AN11" s="61">
        <v>5.1375475527459857E-2</v>
      </c>
      <c r="AO11" s="61" t="s">
        <v>478</v>
      </c>
      <c r="AP11" s="59">
        <v>3.5032384704976341E-2</v>
      </c>
      <c r="AR11" s="116" t="s">
        <v>460</v>
      </c>
      <c r="AS11" s="57" t="s">
        <v>478</v>
      </c>
      <c r="AT11" s="58">
        <v>3.3299088223962867E-2</v>
      </c>
      <c r="AU11" s="58">
        <v>-2.4153498871331426E-2</v>
      </c>
      <c r="AV11" s="58">
        <v>4.4922758709844322E-2</v>
      </c>
      <c r="AW11" s="58" t="s">
        <v>478</v>
      </c>
      <c r="AX11" s="59">
        <v>2.6147551291117739E-2</v>
      </c>
      <c r="AY11" s="60" t="s">
        <v>478</v>
      </c>
      <c r="AZ11" s="58">
        <v>2.6415019527958754E-2</v>
      </c>
      <c r="BA11" s="58">
        <v>5.4849498539055956E-2</v>
      </c>
      <c r="BB11" s="61">
        <v>5.0111100773103705E-2</v>
      </c>
      <c r="BC11" s="61" t="s">
        <v>478</v>
      </c>
      <c r="BD11" s="59">
        <v>3.3008964606085843E-2</v>
      </c>
      <c r="BF11" s="116" t="s">
        <v>460</v>
      </c>
      <c r="BG11" s="57">
        <v>0.32933410883120751</v>
      </c>
      <c r="BH11" s="58">
        <v>2.8624207078118385E-2</v>
      </c>
      <c r="BI11" s="58">
        <v>6.0389567738459965E-2</v>
      </c>
      <c r="BJ11" s="58">
        <v>5.313513830265177E-2</v>
      </c>
      <c r="BK11" s="58" t="s">
        <v>478</v>
      </c>
      <c r="BL11" s="59">
        <v>0.13402852438833462</v>
      </c>
      <c r="BM11" s="60">
        <v>0.32933410883120751</v>
      </c>
      <c r="BN11" s="58">
        <v>2.6550364345307231E-2</v>
      </c>
      <c r="BO11" s="58">
        <v>3.9938085342062994E-2</v>
      </c>
      <c r="BP11" s="61">
        <v>5.1998207463155789E-2</v>
      </c>
      <c r="BQ11" s="61" t="s">
        <v>478</v>
      </c>
      <c r="BR11" s="59">
        <v>5.3698564996391786E-2</v>
      </c>
      <c r="BT11" s="116" t="s">
        <v>460</v>
      </c>
      <c r="BU11" s="57" t="s">
        <v>478</v>
      </c>
      <c r="BV11" s="58">
        <v>3.6054860830980404E-2</v>
      </c>
      <c r="BW11" s="58">
        <v>0.21556125437913445</v>
      </c>
      <c r="BX11" s="58">
        <v>5.7008855693829595E-2</v>
      </c>
      <c r="BY11" s="58" t="s">
        <v>478</v>
      </c>
      <c r="BZ11" s="59">
        <v>5.6428754322801096E-2</v>
      </c>
      <c r="CA11" s="60">
        <v>0.32933410883120751</v>
      </c>
      <c r="CB11" s="58">
        <v>2.7436353844377866E-2</v>
      </c>
      <c r="CC11" s="58">
        <v>5.0673964889376026E-2</v>
      </c>
      <c r="CD11" s="61">
        <v>5.2464845881612446E-2</v>
      </c>
      <c r="CE11" s="61" t="s">
        <v>478</v>
      </c>
      <c r="CF11" s="59">
        <v>5.39238343701096E-2</v>
      </c>
      <c r="CH11" s="116" t="s">
        <v>460</v>
      </c>
      <c r="CI11" s="57" t="s">
        <v>478</v>
      </c>
      <c r="CJ11" s="58">
        <v>2.311396316372856E-2</v>
      </c>
      <c r="CK11" s="58">
        <v>7.8776229410314286E-2</v>
      </c>
      <c r="CL11" s="58">
        <v>5.7712665881795126E-2</v>
      </c>
      <c r="CM11" s="58">
        <v>-0.17503286908078006</v>
      </c>
      <c r="CN11" s="59">
        <v>3.7591774862799743E-2</v>
      </c>
      <c r="CO11" s="60">
        <v>0.32933410883120751</v>
      </c>
      <c r="CP11" s="58">
        <v>2.6980391727473203E-2</v>
      </c>
      <c r="CQ11" s="58">
        <v>5.4436272575391312E-2</v>
      </c>
      <c r="CR11" s="61">
        <v>5.3153959631760596E-2</v>
      </c>
      <c r="CS11" s="61">
        <v>-0.17503286908078006</v>
      </c>
      <c r="CT11" s="59">
        <v>5.2196036398556724E-2</v>
      </c>
      <c r="CV11" s="116" t="s">
        <v>460</v>
      </c>
      <c r="CW11" s="57" t="s">
        <v>478</v>
      </c>
      <c r="CX11" s="58">
        <v>2.2908855561506965E-2</v>
      </c>
      <c r="CY11" s="58">
        <v>0.13087378823323001</v>
      </c>
      <c r="CZ11" s="58">
        <v>5.4755986843084345E-2</v>
      </c>
      <c r="DA11" s="58" t="s">
        <v>478</v>
      </c>
      <c r="DB11" s="59">
        <v>4.6916317440785962E-2</v>
      </c>
      <c r="DC11" s="60">
        <v>0.32933410883120751</v>
      </c>
      <c r="DD11" s="58">
        <v>2.6542292867224964E-2</v>
      </c>
      <c r="DE11" s="58">
        <v>6.4930031243161823E-2</v>
      </c>
      <c r="DF11" s="61">
        <v>5.338727091497375E-2</v>
      </c>
      <c r="DG11" s="61">
        <v>-0.17503286908078006</v>
      </c>
      <c r="DH11" s="59">
        <v>5.0815992062654122E-2</v>
      </c>
      <c r="DJ11" s="116" t="s">
        <v>460</v>
      </c>
      <c r="DK11" s="57" t="s">
        <v>478</v>
      </c>
      <c r="DL11" s="58">
        <v>2.3892482732021832E-2</v>
      </c>
      <c r="DM11" s="58">
        <v>-0.20278275571028415</v>
      </c>
      <c r="DN11" s="58">
        <v>6.4683570117599121E-2</v>
      </c>
      <c r="DO11" s="58" t="s">
        <v>478</v>
      </c>
      <c r="DP11" s="59">
        <v>8.9802255771048219E-3</v>
      </c>
      <c r="DQ11" s="60">
        <v>0.32933410883120751</v>
      </c>
      <c r="DR11" s="58">
        <v>2.6346228208787847E-2</v>
      </c>
      <c r="DS11" s="58">
        <v>5.3219879922860563E-2</v>
      </c>
      <c r="DT11" s="61">
        <v>5.4306419049772701E-2</v>
      </c>
      <c r="DU11" s="61">
        <v>-0.17503286908078006</v>
      </c>
      <c r="DV11" s="59">
        <v>4.802785840456314E-2</v>
      </c>
      <c r="DX11" s="116" t="s">
        <v>460</v>
      </c>
      <c r="DY11" s="57" t="s">
        <v>478</v>
      </c>
      <c r="DZ11" s="58">
        <v>3.2709126940140436E-2</v>
      </c>
      <c r="EA11" s="58">
        <v>-1.4320814775916719E-2</v>
      </c>
      <c r="EB11" s="58">
        <v>6.6173474857939535E-2</v>
      </c>
      <c r="EC11" s="58" t="s">
        <v>478</v>
      </c>
      <c r="ED11" s="59">
        <v>3.3620973416429771E-2</v>
      </c>
      <c r="EE11" s="60">
        <v>0.32933410883120751</v>
      </c>
      <c r="EF11" s="58">
        <v>2.6848363081312467E-2</v>
      </c>
      <c r="EG11" s="58">
        <v>5.0347281990706823E-2</v>
      </c>
      <c r="EH11" s="61">
        <v>5.5314744350590188E-2</v>
      </c>
      <c r="EI11" s="61">
        <v>-0.17503286908078006</v>
      </c>
      <c r="EJ11" s="59">
        <v>4.7008446383813386E-2</v>
      </c>
      <c r="EL11" s="116" t="s">
        <v>460</v>
      </c>
      <c r="EM11" s="57" t="s">
        <v>478</v>
      </c>
      <c r="EN11" s="58">
        <v>2.3973916599846466E-2</v>
      </c>
      <c r="EO11" s="58">
        <v>-8.8243535263379844E-2</v>
      </c>
      <c r="EP11" s="58">
        <v>7.6723142087023494E-2</v>
      </c>
      <c r="EQ11" s="58" t="s">
        <v>478</v>
      </c>
      <c r="ER11" s="59">
        <v>2.0226713834542651E-2</v>
      </c>
      <c r="ES11" s="60">
        <v>0.32933410883120751</v>
      </c>
      <c r="ET11" s="58">
        <v>2.6518378587878678E-2</v>
      </c>
      <c r="EU11" s="58">
        <v>4.4972567468340711E-2</v>
      </c>
      <c r="EV11" s="61">
        <v>5.6095572906553405E-2</v>
      </c>
      <c r="EW11" s="61">
        <v>-0.17503286908078006</v>
      </c>
      <c r="EX11" s="59">
        <v>4.4566485205302972E-2</v>
      </c>
      <c r="EZ11" s="116" t="s">
        <v>460</v>
      </c>
      <c r="FA11" s="57" t="s">
        <v>478</v>
      </c>
      <c r="FB11" s="58">
        <v>1.8894484912866483E-2</v>
      </c>
      <c r="FC11" s="58">
        <v>5.078255450360785E-2</v>
      </c>
      <c r="FD11" s="58">
        <v>6.3150053797555547E-2</v>
      </c>
      <c r="FE11" s="58" t="s">
        <v>478</v>
      </c>
      <c r="FF11" s="59">
        <v>2.6445734730523956E-2</v>
      </c>
      <c r="FG11" s="60">
        <v>0.32933410883120751</v>
      </c>
      <c r="FH11" s="58">
        <v>2.585327378531142E-2</v>
      </c>
      <c r="FI11" s="58">
        <v>4.541790697918581E-2</v>
      </c>
      <c r="FJ11" s="61">
        <v>5.6517614211233601E-2</v>
      </c>
      <c r="FK11" s="61">
        <v>-0.17503286908078006</v>
      </c>
      <c r="FL11" s="59">
        <v>4.313039541329771E-2</v>
      </c>
      <c r="FN11" s="116" t="s">
        <v>460</v>
      </c>
      <c r="FO11" s="57" t="s">
        <v>478</v>
      </c>
      <c r="FP11" s="58">
        <v>2.3556401074306066E-2</v>
      </c>
      <c r="FQ11" s="58">
        <v>-9.3277975669463831E-2</v>
      </c>
      <c r="FR11" s="58">
        <v>7.6723142087023494E-2</v>
      </c>
      <c r="FS11" s="58" t="s">
        <v>478</v>
      </c>
      <c r="FT11" s="59">
        <v>1.6140547749934328E-2</v>
      </c>
      <c r="FU11" s="60">
        <v>0.32933410883120751</v>
      </c>
      <c r="FV11" s="58">
        <v>2.5709961463515098E-2</v>
      </c>
      <c r="FW11" s="58">
        <v>3.9849734482690066E-2</v>
      </c>
      <c r="FX11" s="61">
        <v>5.7187509976640558E-2</v>
      </c>
      <c r="FY11" s="61">
        <v>-0.17503286908078006</v>
      </c>
      <c r="FZ11" s="59">
        <v>4.1672420748124925E-2</v>
      </c>
      <c r="GB11" s="116" t="s">
        <v>460</v>
      </c>
      <c r="GC11" s="57" t="s">
        <v>478</v>
      </c>
      <c r="GD11" s="58">
        <v>2.4210816182791521E-2</v>
      </c>
      <c r="GE11" s="58">
        <v>-9.7285157439551351E-2</v>
      </c>
      <c r="GF11" s="58">
        <v>7.6723142087023494E-2</v>
      </c>
      <c r="GG11" s="58" t="s">
        <v>478</v>
      </c>
      <c r="GH11" s="59">
        <v>2.2449104382551852E-2</v>
      </c>
      <c r="GI11" s="60">
        <v>0.32933410883120751</v>
      </c>
      <c r="GJ11" s="58">
        <v>2.5621396311940155E-2</v>
      </c>
      <c r="GK11" s="58">
        <v>3.5745217765519866E-2</v>
      </c>
      <c r="GL11" s="61">
        <v>5.8402329490644875E-2</v>
      </c>
      <c r="GM11" s="61">
        <v>-0.17503286908078006</v>
      </c>
      <c r="GN11" s="59">
        <v>4.0641572173944075E-2</v>
      </c>
      <c r="GP11" s="116" t="s">
        <v>460</v>
      </c>
      <c r="GQ11" s="57" t="s">
        <v>478</v>
      </c>
      <c r="GR11" s="58">
        <v>2.6890098018698738E-2</v>
      </c>
      <c r="GS11" s="58">
        <v>-0.15684658809941179</v>
      </c>
      <c r="GT11" s="58">
        <v>5.5798318254011638E-2</v>
      </c>
      <c r="GU11" s="58" t="s">
        <v>478</v>
      </c>
      <c r="GV11" s="59">
        <v>-1.1296528414525642E-3</v>
      </c>
      <c r="GW11" s="60">
        <v>0.32933410883120751</v>
      </c>
      <c r="GX11" s="58">
        <v>2.5673726187680605E-2</v>
      </c>
      <c r="GY11" s="58">
        <v>1.9568283490989866E-2</v>
      </c>
      <c r="GZ11" s="61">
        <v>5.8079946231619599E-2</v>
      </c>
      <c r="HA11" s="61">
        <v>-0.17503286908078006</v>
      </c>
      <c r="HB11" s="59">
        <v>3.8355564638660057E-2</v>
      </c>
      <c r="HD11" s="116" t="s">
        <v>460</v>
      </c>
      <c r="HE11" s="57" t="s">
        <v>478</v>
      </c>
      <c r="HF11" s="58">
        <v>2.0872053591335128E-2</v>
      </c>
      <c r="HG11" s="58">
        <v>1.0876157853493836E-2</v>
      </c>
      <c r="HH11" s="58">
        <v>6.7330747163029198E-2</v>
      </c>
      <c r="HI11" s="58" t="s">
        <v>478</v>
      </c>
      <c r="HJ11" s="59">
        <v>2.4443225414573007E-2</v>
      </c>
      <c r="HK11" s="60">
        <v>0.32933410883120751</v>
      </c>
      <c r="HL11" s="58">
        <v>2.539229978746349E-2</v>
      </c>
      <c r="HM11" s="58">
        <v>1.8863395848466975E-2</v>
      </c>
      <c r="HN11" s="61">
        <v>5.8626781235370046E-2</v>
      </c>
      <c r="HO11" s="61">
        <v>-0.17503286908078006</v>
      </c>
      <c r="HP11" s="59">
        <v>3.7526210587259572E-2</v>
      </c>
      <c r="HR11" s="116" t="s">
        <v>460</v>
      </c>
      <c r="HS11" s="57" t="s">
        <v>478</v>
      </c>
      <c r="HT11" s="58">
        <v>2.3672424824056335E-2</v>
      </c>
      <c r="HU11" s="58">
        <v>2.7886409211462768E-2</v>
      </c>
      <c r="HV11" s="58">
        <v>4.0127157821917135E-2</v>
      </c>
      <c r="HW11" s="58" t="s">
        <v>478</v>
      </c>
      <c r="HX11" s="59">
        <v>2.6628012139691529E-2</v>
      </c>
      <c r="HY11" s="60">
        <v>0.32933410883120751</v>
      </c>
      <c r="HZ11" s="58">
        <v>2.5324257881263818E-2</v>
      </c>
      <c r="IA11" s="58">
        <v>1.9486073710558945E-2</v>
      </c>
      <c r="IB11" s="61">
        <v>5.7769743360650362E-2</v>
      </c>
      <c r="IC11" s="61">
        <v>-0.17503286908078006</v>
      </c>
      <c r="ID11" s="59">
        <v>3.7057687679825119E-2</v>
      </c>
      <c r="IF11" s="116" t="s">
        <v>460</v>
      </c>
      <c r="IG11" s="57" t="s">
        <v>478</v>
      </c>
      <c r="IH11" s="58">
        <v>2.4573107709900083E-2</v>
      </c>
      <c r="II11" s="58">
        <v>2.9726329034287971E-2</v>
      </c>
      <c r="IJ11" s="58">
        <v>3.0111447049892635E-2</v>
      </c>
      <c r="IK11" s="58" t="s">
        <v>478</v>
      </c>
      <c r="IL11" s="59">
        <v>2.6540628408451856E-2</v>
      </c>
      <c r="IM11" s="60">
        <v>0.32933410883120751</v>
      </c>
      <c r="IN11" s="58">
        <v>2.529985973525507E-2</v>
      </c>
      <c r="IO11" s="58">
        <v>2.0124847116947554E-2</v>
      </c>
      <c r="IP11" s="61">
        <v>5.6534461239817001E-2</v>
      </c>
      <c r="IQ11" s="61">
        <v>-0.17503286908078006</v>
      </c>
      <c r="IR11" s="59">
        <v>3.6668748221427482E-2</v>
      </c>
      <c r="IT11" s="116" t="s">
        <v>460</v>
      </c>
      <c r="IU11" s="57" t="s">
        <v>478</v>
      </c>
      <c r="IV11" s="58">
        <v>2.4602122223299449E-2</v>
      </c>
      <c r="IW11" s="58">
        <v>-6.1309367757021831E-3</v>
      </c>
      <c r="IX11" s="58">
        <v>5.8002226643061733E-2</v>
      </c>
      <c r="IY11" s="58" t="s">
        <v>478</v>
      </c>
      <c r="IZ11" s="59">
        <v>2.8634917174678531E-2</v>
      </c>
      <c r="JA11" s="60">
        <v>0.32933410883120751</v>
      </c>
      <c r="JB11" s="58">
        <v>2.5272517586015678E-2</v>
      </c>
      <c r="JC11" s="58">
        <v>1.9615243700976955E-2</v>
      </c>
      <c r="JD11" s="61">
        <v>5.6619613904562917E-2</v>
      </c>
      <c r="JE11" s="61">
        <v>-0.17503286908078006</v>
      </c>
      <c r="JF11" s="59">
        <v>3.6366444981952982E-2</v>
      </c>
      <c r="JH11" s="116" t="s">
        <v>460</v>
      </c>
      <c r="JI11" s="57">
        <v>0.24795619662981003</v>
      </c>
      <c r="JJ11" s="58">
        <v>2.383237364043499E-2</v>
      </c>
      <c r="JK11" s="58">
        <v>-0.35191350808204785</v>
      </c>
      <c r="JL11" s="58">
        <v>5.2398890327934489E-2</v>
      </c>
      <c r="JM11" s="58" t="s">
        <v>478</v>
      </c>
      <c r="JN11" s="59">
        <v>0.1025430863597412</v>
      </c>
      <c r="JO11" s="60">
        <v>0.29231787597049941</v>
      </c>
      <c r="JP11" s="58">
        <v>2.5221431986424285E-2</v>
      </c>
      <c r="JQ11" s="58">
        <v>1.3407624556355476E-2</v>
      </c>
      <c r="JR11" s="61">
        <v>5.6438081951419056E-2</v>
      </c>
      <c r="JS11" s="61">
        <v>-0.17503286908078006</v>
      </c>
      <c r="JT11" s="59">
        <v>3.9949763841886622E-2</v>
      </c>
      <c r="JV11" s="116" t="s">
        <v>460</v>
      </c>
      <c r="JW11" s="57">
        <v>0.25105414833914774</v>
      </c>
      <c r="JX11" s="58">
        <v>2.5823033664966782E-2</v>
      </c>
      <c r="JY11" s="58">
        <v>1.2863930205577469E-2</v>
      </c>
      <c r="JZ11" s="58">
        <v>2.2102389514677395E-2</v>
      </c>
      <c r="KA11" s="58" t="s">
        <v>478</v>
      </c>
      <c r="KB11" s="59">
        <v>2.5154102656228965E-2</v>
      </c>
      <c r="KC11" s="60">
        <v>0.29198623319179612</v>
      </c>
      <c r="KD11" s="58">
        <v>2.5244708452052327E-2</v>
      </c>
      <c r="KE11" s="58">
        <v>1.3378295040662699E-2</v>
      </c>
      <c r="KF11" s="61">
        <v>5.4878816135693939E-2</v>
      </c>
      <c r="KG11" s="61">
        <v>-0.17503286908078006</v>
      </c>
      <c r="KH11" s="59">
        <v>3.9358156666177237E-2</v>
      </c>
      <c r="KJ11" s="116" t="s">
        <v>460</v>
      </c>
      <c r="KK11" s="57">
        <v>0.24795619662980992</v>
      </c>
      <c r="KL11" s="58">
        <v>2.6367239148923988E-2</v>
      </c>
      <c r="KM11" s="58">
        <v>4.020523951963749E-2</v>
      </c>
      <c r="KN11" s="58">
        <v>4.918178100025223E-2</v>
      </c>
      <c r="KO11" s="58" t="s">
        <v>478</v>
      </c>
      <c r="KP11" s="59">
        <v>8.2424770212826126E-2</v>
      </c>
      <c r="KQ11" s="60">
        <v>0.28048333633243033</v>
      </c>
      <c r="KR11" s="58">
        <v>2.5311827797042774E-2</v>
      </c>
      <c r="KS11" s="58">
        <v>1.3924150752486791E-2</v>
      </c>
      <c r="KT11" s="61">
        <v>5.4712194547501161E-2</v>
      </c>
      <c r="KU11" s="61">
        <v>-0.17503286908078006</v>
      </c>
      <c r="KV11" s="59">
        <v>4.2080687065632151E-2</v>
      </c>
      <c r="KX11" s="116" t="s">
        <v>460</v>
      </c>
      <c r="KY11" s="57" t="s">
        <v>478</v>
      </c>
      <c r="KZ11" s="58">
        <v>1.6657460869448349E-2</v>
      </c>
      <c r="LA11" s="58">
        <v>7.1559690774887524E-2</v>
      </c>
      <c r="LB11" s="58" t="s">
        <v>478</v>
      </c>
      <c r="LC11" s="58" t="s">
        <v>478</v>
      </c>
      <c r="LD11" s="59">
        <v>2.6106793037157634E-2</v>
      </c>
      <c r="LE11" s="60">
        <v>0.28048333633243033</v>
      </c>
      <c r="LF11" s="58">
        <v>2.4978925599561424E-2</v>
      </c>
      <c r="LG11" s="58">
        <v>1.64897493262369E-2</v>
      </c>
      <c r="LH11" s="61">
        <v>5.4712194547501161E-2</v>
      </c>
      <c r="LI11" s="61">
        <v>-0.17503286908078006</v>
      </c>
      <c r="LJ11" s="59">
        <v>4.1558294714591222E-2</v>
      </c>
    </row>
    <row r="12" spans="2:328" ht="15" thickBot="1" x14ac:dyDescent="0.35">
      <c r="B12" s="363" t="s">
        <v>482</v>
      </c>
      <c r="C12" s="364"/>
      <c r="D12" s="364"/>
      <c r="E12" s="364"/>
      <c r="F12" s="364"/>
      <c r="G12" s="364"/>
      <c r="H12" s="364"/>
      <c r="I12" s="364"/>
      <c r="J12" s="364"/>
      <c r="K12" s="364"/>
      <c r="L12" s="364"/>
      <c r="M12" s="364"/>
      <c r="N12" s="365"/>
      <c r="P12" s="363" t="s">
        <v>482</v>
      </c>
      <c r="Q12" s="364"/>
      <c r="R12" s="364"/>
      <c r="S12" s="364"/>
      <c r="T12" s="364"/>
      <c r="U12" s="364"/>
      <c r="V12" s="364"/>
      <c r="W12" s="364"/>
      <c r="X12" s="364"/>
      <c r="Y12" s="364"/>
      <c r="Z12" s="364"/>
      <c r="AA12" s="364"/>
      <c r="AB12" s="365"/>
      <c r="AD12" s="377" t="s">
        <v>482</v>
      </c>
      <c r="AE12" s="369"/>
      <c r="AF12" s="369"/>
      <c r="AG12" s="369"/>
      <c r="AH12" s="369"/>
      <c r="AI12" s="369"/>
      <c r="AJ12" s="369"/>
      <c r="AK12" s="369"/>
      <c r="AL12" s="369"/>
      <c r="AM12" s="369"/>
      <c r="AN12" s="369"/>
      <c r="AO12" s="369"/>
      <c r="AP12" s="370"/>
      <c r="AR12" s="363" t="s">
        <v>482</v>
      </c>
      <c r="AS12" s="364"/>
      <c r="AT12" s="364"/>
      <c r="AU12" s="364"/>
      <c r="AV12" s="364"/>
      <c r="AW12" s="364"/>
      <c r="AX12" s="364"/>
      <c r="AY12" s="364"/>
      <c r="AZ12" s="364"/>
      <c r="BA12" s="364"/>
      <c r="BB12" s="364"/>
      <c r="BC12" s="364"/>
      <c r="BD12" s="365"/>
      <c r="BF12" s="363" t="s">
        <v>482</v>
      </c>
      <c r="BG12" s="364"/>
      <c r="BH12" s="364"/>
      <c r="BI12" s="364"/>
      <c r="BJ12" s="364"/>
      <c r="BK12" s="364"/>
      <c r="BL12" s="364"/>
      <c r="BM12" s="364"/>
      <c r="BN12" s="364"/>
      <c r="BO12" s="364"/>
      <c r="BP12" s="364"/>
      <c r="BQ12" s="364"/>
      <c r="BR12" s="365"/>
      <c r="BT12" s="377" t="s">
        <v>482</v>
      </c>
      <c r="BU12" s="369"/>
      <c r="BV12" s="369"/>
      <c r="BW12" s="369"/>
      <c r="BX12" s="369"/>
      <c r="BY12" s="369"/>
      <c r="BZ12" s="369"/>
      <c r="CA12" s="369"/>
      <c r="CB12" s="369"/>
      <c r="CC12" s="369"/>
      <c r="CD12" s="369"/>
      <c r="CE12" s="369"/>
      <c r="CF12" s="370"/>
      <c r="CH12" s="377" t="s">
        <v>482</v>
      </c>
      <c r="CI12" s="369"/>
      <c r="CJ12" s="369"/>
      <c r="CK12" s="369"/>
      <c r="CL12" s="369"/>
      <c r="CM12" s="369"/>
      <c r="CN12" s="369"/>
      <c r="CO12" s="369"/>
      <c r="CP12" s="369"/>
      <c r="CQ12" s="369"/>
      <c r="CR12" s="369"/>
      <c r="CS12" s="369"/>
      <c r="CT12" s="370"/>
      <c r="CV12" s="377" t="s">
        <v>482</v>
      </c>
      <c r="CW12" s="369"/>
      <c r="CX12" s="369"/>
      <c r="CY12" s="369"/>
      <c r="CZ12" s="369"/>
      <c r="DA12" s="369"/>
      <c r="DB12" s="369"/>
      <c r="DC12" s="369"/>
      <c r="DD12" s="369"/>
      <c r="DE12" s="369"/>
      <c r="DF12" s="369"/>
      <c r="DG12" s="369"/>
      <c r="DH12" s="370"/>
      <c r="DJ12" s="377" t="s">
        <v>482</v>
      </c>
      <c r="DK12" s="369"/>
      <c r="DL12" s="369"/>
      <c r="DM12" s="369"/>
      <c r="DN12" s="369"/>
      <c r="DO12" s="369"/>
      <c r="DP12" s="369"/>
      <c r="DQ12" s="369"/>
      <c r="DR12" s="369"/>
      <c r="DS12" s="369"/>
      <c r="DT12" s="369"/>
      <c r="DU12" s="369"/>
      <c r="DV12" s="370"/>
      <c r="DX12" s="377" t="s">
        <v>482</v>
      </c>
      <c r="DY12" s="369"/>
      <c r="DZ12" s="369"/>
      <c r="EA12" s="369"/>
      <c r="EB12" s="369"/>
      <c r="EC12" s="369"/>
      <c r="ED12" s="369"/>
      <c r="EE12" s="369"/>
      <c r="EF12" s="369"/>
      <c r="EG12" s="369"/>
      <c r="EH12" s="369"/>
      <c r="EI12" s="369"/>
      <c r="EJ12" s="370"/>
      <c r="EL12" s="377" t="s">
        <v>482</v>
      </c>
      <c r="EM12" s="369"/>
      <c r="EN12" s="369"/>
      <c r="EO12" s="369"/>
      <c r="EP12" s="369"/>
      <c r="EQ12" s="369"/>
      <c r="ER12" s="369"/>
      <c r="ES12" s="369"/>
      <c r="ET12" s="369"/>
      <c r="EU12" s="369"/>
      <c r="EV12" s="369"/>
      <c r="EW12" s="369"/>
      <c r="EX12" s="370"/>
      <c r="EZ12" s="377" t="s">
        <v>482</v>
      </c>
      <c r="FA12" s="369"/>
      <c r="FB12" s="369"/>
      <c r="FC12" s="369"/>
      <c r="FD12" s="369"/>
      <c r="FE12" s="369"/>
      <c r="FF12" s="369"/>
      <c r="FG12" s="369"/>
      <c r="FH12" s="369"/>
      <c r="FI12" s="369"/>
      <c r="FJ12" s="369"/>
      <c r="FK12" s="369"/>
      <c r="FL12" s="370"/>
      <c r="FN12" s="377" t="s">
        <v>482</v>
      </c>
      <c r="FO12" s="369"/>
      <c r="FP12" s="369"/>
      <c r="FQ12" s="369"/>
      <c r="FR12" s="369"/>
      <c r="FS12" s="369"/>
      <c r="FT12" s="369"/>
      <c r="FU12" s="369"/>
      <c r="FV12" s="369"/>
      <c r="FW12" s="369"/>
      <c r="FX12" s="369"/>
      <c r="FY12" s="369"/>
      <c r="FZ12" s="370"/>
      <c r="GB12" s="377" t="s">
        <v>482</v>
      </c>
      <c r="GC12" s="369"/>
      <c r="GD12" s="369"/>
      <c r="GE12" s="369"/>
      <c r="GF12" s="369"/>
      <c r="GG12" s="369"/>
      <c r="GH12" s="369"/>
      <c r="GI12" s="369"/>
      <c r="GJ12" s="369"/>
      <c r="GK12" s="369"/>
      <c r="GL12" s="369"/>
      <c r="GM12" s="369"/>
      <c r="GN12" s="370"/>
      <c r="GP12" s="377" t="s">
        <v>482</v>
      </c>
      <c r="GQ12" s="369"/>
      <c r="GR12" s="369"/>
      <c r="GS12" s="369"/>
      <c r="GT12" s="369"/>
      <c r="GU12" s="369"/>
      <c r="GV12" s="369"/>
      <c r="GW12" s="369"/>
      <c r="GX12" s="369"/>
      <c r="GY12" s="369"/>
      <c r="GZ12" s="369"/>
      <c r="HA12" s="369"/>
      <c r="HB12" s="370"/>
      <c r="HD12" s="377" t="s">
        <v>482</v>
      </c>
      <c r="HE12" s="369"/>
      <c r="HF12" s="369"/>
      <c r="HG12" s="369"/>
      <c r="HH12" s="369"/>
      <c r="HI12" s="369"/>
      <c r="HJ12" s="369"/>
      <c r="HK12" s="369"/>
      <c r="HL12" s="369"/>
      <c r="HM12" s="369"/>
      <c r="HN12" s="369"/>
      <c r="HO12" s="369"/>
      <c r="HP12" s="370"/>
      <c r="HR12" s="377" t="s">
        <v>482</v>
      </c>
      <c r="HS12" s="369"/>
      <c r="HT12" s="369"/>
      <c r="HU12" s="369"/>
      <c r="HV12" s="369"/>
      <c r="HW12" s="369"/>
      <c r="HX12" s="369"/>
      <c r="HY12" s="369"/>
      <c r="HZ12" s="369"/>
      <c r="IA12" s="369"/>
      <c r="IB12" s="369"/>
      <c r="IC12" s="369"/>
      <c r="ID12" s="370"/>
      <c r="IE12" s="17"/>
      <c r="IF12" s="377" t="s">
        <v>482</v>
      </c>
      <c r="IG12" s="369"/>
      <c r="IH12" s="369"/>
      <c r="II12" s="369"/>
      <c r="IJ12" s="369"/>
      <c r="IK12" s="369"/>
      <c r="IL12" s="369"/>
      <c r="IM12" s="369"/>
      <c r="IN12" s="369"/>
      <c r="IO12" s="369"/>
      <c r="IP12" s="369"/>
      <c r="IQ12" s="369"/>
      <c r="IR12" s="370"/>
      <c r="IT12" s="377" t="s">
        <v>482</v>
      </c>
      <c r="IU12" s="369"/>
      <c r="IV12" s="369"/>
      <c r="IW12" s="369"/>
      <c r="IX12" s="369"/>
      <c r="IY12" s="369"/>
      <c r="IZ12" s="369"/>
      <c r="JA12" s="369"/>
      <c r="JB12" s="369"/>
      <c r="JC12" s="369"/>
      <c r="JD12" s="369"/>
      <c r="JE12" s="369"/>
      <c r="JF12" s="370"/>
      <c r="JH12" s="377" t="s">
        <v>482</v>
      </c>
      <c r="JI12" s="369"/>
      <c r="JJ12" s="369"/>
      <c r="JK12" s="369"/>
      <c r="JL12" s="369"/>
      <c r="JM12" s="369"/>
      <c r="JN12" s="369"/>
      <c r="JO12" s="369"/>
      <c r="JP12" s="369"/>
      <c r="JQ12" s="369"/>
      <c r="JR12" s="369"/>
      <c r="JS12" s="369"/>
      <c r="JT12" s="370"/>
      <c r="JV12" s="377" t="s">
        <v>482</v>
      </c>
      <c r="JW12" s="369"/>
      <c r="JX12" s="369"/>
      <c r="JY12" s="369"/>
      <c r="JZ12" s="369"/>
      <c r="KA12" s="369"/>
      <c r="KB12" s="369"/>
      <c r="KC12" s="369"/>
      <c r="KD12" s="369"/>
      <c r="KE12" s="369"/>
      <c r="KF12" s="369"/>
      <c r="KG12" s="369"/>
      <c r="KH12" s="370"/>
      <c r="KJ12" s="377" t="s">
        <v>482</v>
      </c>
      <c r="KK12" s="369"/>
      <c r="KL12" s="369"/>
      <c r="KM12" s="369"/>
      <c r="KN12" s="369"/>
      <c r="KO12" s="369"/>
      <c r="KP12" s="369"/>
      <c r="KQ12" s="369"/>
      <c r="KR12" s="369"/>
      <c r="KS12" s="369"/>
      <c r="KT12" s="369"/>
      <c r="KU12" s="369"/>
      <c r="KV12" s="370"/>
      <c r="KX12" s="377" t="s">
        <v>482</v>
      </c>
      <c r="KY12" s="369"/>
      <c r="KZ12" s="369"/>
      <c r="LA12" s="369"/>
      <c r="LB12" s="369"/>
      <c r="LC12" s="369"/>
      <c r="LD12" s="369"/>
      <c r="LE12" s="369"/>
      <c r="LF12" s="369"/>
      <c r="LG12" s="369"/>
      <c r="LH12" s="369"/>
      <c r="LI12" s="369"/>
      <c r="LJ12" s="370"/>
    </row>
    <row r="14" spans="2:328" x14ac:dyDescent="0.3">
      <c r="BF14" s="113" t="s">
        <v>550</v>
      </c>
      <c r="BG14">
        <f>BG5*1000/BG$4</f>
        <v>739.31</v>
      </c>
      <c r="BH14">
        <f t="shared" ref="BH14:BQ14" si="3">BH5*1000/BH$4</f>
        <v>367.92710424710424</v>
      </c>
      <c r="BI14">
        <f t="shared" si="3"/>
        <v>725.71033333333332</v>
      </c>
      <c r="BJ14">
        <f t="shared" si="3"/>
        <v>165.63205882352941</v>
      </c>
      <c r="BK14" t="e">
        <f t="shared" si="3"/>
        <v>#DIV/0!</v>
      </c>
      <c r="BM14">
        <f t="shared" si="3"/>
        <v>739.31</v>
      </c>
      <c r="BN14">
        <f t="shared" si="3"/>
        <v>369.47123812129502</v>
      </c>
      <c r="BO14">
        <f t="shared" si="3"/>
        <v>896.17254781270606</v>
      </c>
      <c r="BP14">
        <f t="shared" si="3"/>
        <v>164.02891835237398</v>
      </c>
      <c r="BQ14" t="e">
        <f t="shared" si="3"/>
        <v>#DIV/0!</v>
      </c>
      <c r="BT14" s="113" t="s">
        <v>550</v>
      </c>
      <c r="BU14" t="e">
        <f>BU5*1000/BU$4</f>
        <v>#DIV/0!</v>
      </c>
      <c r="BV14">
        <f t="shared" ref="BV14:BY14" si="4">BV5*1000/BV$4</f>
        <v>396.64000000000004</v>
      </c>
      <c r="BW14">
        <f t="shared" si="4"/>
        <v>1096.8384297520661</v>
      </c>
      <c r="BX14">
        <f t="shared" si="4"/>
        <v>171.3376119402985</v>
      </c>
      <c r="BY14" t="e">
        <f t="shared" si="4"/>
        <v>#DIV/0!</v>
      </c>
      <c r="CA14">
        <f t="shared" ref="CA14:CE14" si="5">CA5*1000/CA$4</f>
        <v>739.31</v>
      </c>
      <c r="CB14">
        <f t="shared" si="5"/>
        <v>371.8455369121931</v>
      </c>
      <c r="CC14">
        <f t="shared" si="5"/>
        <v>919.74662571489102</v>
      </c>
      <c r="CD14">
        <f t="shared" si="5"/>
        <v>164.68313674968985</v>
      </c>
      <c r="CE14" t="e">
        <f t="shared" si="5"/>
        <v>#DIV/0!</v>
      </c>
      <c r="CH14" s="113" t="s">
        <v>550</v>
      </c>
      <c r="CI14" s="17">
        <f t="shared" ref="CI14:CM14" si="6">CI4</f>
        <v>0</v>
      </c>
      <c r="CJ14" s="17">
        <f t="shared" si="6"/>
        <v>7355</v>
      </c>
      <c r="CK14" s="17">
        <f t="shared" si="6"/>
        <v>735</v>
      </c>
      <c r="CL14" s="17">
        <f t="shared" si="6"/>
        <v>3026</v>
      </c>
      <c r="CM14" s="17">
        <f t="shared" si="6"/>
        <v>200</v>
      </c>
      <c r="CO14" s="17">
        <f>CO4</f>
        <v>3000</v>
      </c>
      <c r="CP14" s="17">
        <f t="shared" ref="CP14:CR14" si="7">CP4</f>
        <v>67430</v>
      </c>
      <c r="CQ14" s="17">
        <f t="shared" si="7"/>
        <v>5456</v>
      </c>
      <c r="CR14" s="17">
        <f t="shared" si="7"/>
        <v>23984</v>
      </c>
      <c r="CS14" s="17">
        <f>CS4</f>
        <v>200</v>
      </c>
      <c r="CV14" s="113" t="s">
        <v>550</v>
      </c>
      <c r="CW14" s="17">
        <f t="shared" ref="CW14:DA14" si="8">CW4</f>
        <v>0</v>
      </c>
      <c r="CX14" s="17">
        <f t="shared" si="8"/>
        <v>8400</v>
      </c>
      <c r="CY14" s="17">
        <f t="shared" si="8"/>
        <v>700</v>
      </c>
      <c r="CZ14" s="17">
        <f t="shared" si="8"/>
        <v>4032</v>
      </c>
      <c r="DA14" s="17">
        <f t="shared" si="8"/>
        <v>0</v>
      </c>
      <c r="DC14" s="17">
        <f>DC4</f>
        <v>3000</v>
      </c>
      <c r="DD14" s="17">
        <f t="shared" ref="DD14:DF14" si="9">DD4</f>
        <v>75830</v>
      </c>
      <c r="DE14" s="17">
        <f t="shared" si="9"/>
        <v>6156</v>
      </c>
      <c r="DF14" s="17">
        <f t="shared" si="9"/>
        <v>28016</v>
      </c>
      <c r="DG14" s="17">
        <f>DG4</f>
        <v>200</v>
      </c>
      <c r="DJ14" s="113" t="s">
        <v>550</v>
      </c>
      <c r="DK14" s="17">
        <f t="shared" ref="DK14:DO14" si="10">DK4</f>
        <v>0</v>
      </c>
      <c r="DL14" s="17">
        <f t="shared" si="10"/>
        <v>6265</v>
      </c>
      <c r="DM14" s="17">
        <f t="shared" si="10"/>
        <v>140</v>
      </c>
      <c r="DN14" s="17">
        <f t="shared" si="10"/>
        <v>2240</v>
      </c>
      <c r="DO14" s="17">
        <f t="shared" si="10"/>
        <v>0</v>
      </c>
      <c r="DQ14" s="17">
        <f>DQ4</f>
        <v>3000</v>
      </c>
      <c r="DR14" s="17">
        <f t="shared" ref="DR14:DT14" si="11">DR4</f>
        <v>82095</v>
      </c>
      <c r="DS14" s="17">
        <f t="shared" si="11"/>
        <v>6296</v>
      </c>
      <c r="DT14" s="17">
        <f t="shared" si="11"/>
        <v>30256</v>
      </c>
      <c r="DU14" s="17">
        <f>DU4</f>
        <v>200</v>
      </c>
      <c r="DX14" s="113" t="s">
        <v>550</v>
      </c>
      <c r="DY14" s="17">
        <f t="shared" ref="DY14:EC14" si="12">DY4</f>
        <v>0</v>
      </c>
      <c r="DZ14" s="17">
        <f t="shared" si="12"/>
        <v>6755</v>
      </c>
      <c r="EA14" s="17">
        <f t="shared" si="12"/>
        <v>245</v>
      </c>
      <c r="EB14" s="17">
        <f t="shared" si="12"/>
        <v>2520</v>
      </c>
      <c r="EC14" s="17">
        <f t="shared" si="12"/>
        <v>0</v>
      </c>
      <c r="EE14" s="17">
        <f>EE4</f>
        <v>3000</v>
      </c>
      <c r="EF14" s="17">
        <f t="shared" ref="EF14:EH14" si="13">EF4</f>
        <v>88850</v>
      </c>
      <c r="EG14" s="17">
        <f t="shared" si="13"/>
        <v>6541</v>
      </c>
      <c r="EH14" s="17">
        <f t="shared" si="13"/>
        <v>32776</v>
      </c>
      <c r="EI14" s="17">
        <f>EI4</f>
        <v>200</v>
      </c>
      <c r="EL14" s="113" t="s">
        <v>550</v>
      </c>
      <c r="EM14" s="17">
        <f t="shared" ref="EM14:EQ14" si="14">EM4</f>
        <v>0</v>
      </c>
      <c r="EN14" s="17">
        <f t="shared" si="14"/>
        <v>11830</v>
      </c>
      <c r="EO14" s="17">
        <f t="shared" si="14"/>
        <v>385</v>
      </c>
      <c r="EP14" s="17">
        <f t="shared" si="14"/>
        <v>1008</v>
      </c>
      <c r="EQ14" s="17">
        <f t="shared" si="14"/>
        <v>0</v>
      </c>
      <c r="ES14" s="17">
        <f>ES4</f>
        <v>3000</v>
      </c>
      <c r="ET14" s="17">
        <f t="shared" ref="ET14:EV14" si="15">ET4</f>
        <v>100680</v>
      </c>
      <c r="EU14" s="17">
        <f t="shared" si="15"/>
        <v>6926</v>
      </c>
      <c r="EV14" s="17">
        <f t="shared" si="15"/>
        <v>33784</v>
      </c>
      <c r="EW14" s="17">
        <f>EW4</f>
        <v>200</v>
      </c>
      <c r="EZ14" s="113" t="s">
        <v>550</v>
      </c>
      <c r="FA14" s="17">
        <f t="shared" ref="FA14:FE14" si="16">FA4</f>
        <v>0</v>
      </c>
      <c r="FB14" s="17">
        <f t="shared" si="16"/>
        <v>9940</v>
      </c>
      <c r="FC14" s="17">
        <f t="shared" si="16"/>
        <v>770</v>
      </c>
      <c r="FD14" s="17">
        <f t="shared" si="16"/>
        <v>2016</v>
      </c>
      <c r="FE14" s="17">
        <f t="shared" si="16"/>
        <v>0</v>
      </c>
      <c r="FG14" s="17">
        <f>FG4</f>
        <v>3000</v>
      </c>
      <c r="FH14" s="17">
        <f t="shared" ref="FH14:FJ14" si="17">FH4</f>
        <v>110620</v>
      </c>
      <c r="FI14" s="17">
        <f t="shared" si="17"/>
        <v>7696</v>
      </c>
      <c r="FJ14" s="17">
        <f t="shared" si="17"/>
        <v>35800</v>
      </c>
      <c r="FK14" s="17">
        <f>FK4</f>
        <v>200</v>
      </c>
      <c r="FN14" s="113" t="s">
        <v>550</v>
      </c>
      <c r="FO14" s="17">
        <f t="shared" ref="FO14:FS14" si="18">FO4</f>
        <v>0</v>
      </c>
      <c r="FP14" s="17">
        <f t="shared" si="18"/>
        <v>7560</v>
      </c>
      <c r="FQ14" s="17">
        <f t="shared" si="18"/>
        <v>280</v>
      </c>
      <c r="FR14" s="17">
        <f t="shared" si="18"/>
        <v>1008</v>
      </c>
      <c r="FS14" s="17">
        <f t="shared" si="18"/>
        <v>0</v>
      </c>
      <c r="FU14" s="17">
        <f>FU4</f>
        <v>3000</v>
      </c>
      <c r="FV14" s="17">
        <f t="shared" ref="FV14:FX14" si="19">FV4</f>
        <v>118180</v>
      </c>
      <c r="FW14" s="17">
        <f t="shared" si="19"/>
        <v>7976</v>
      </c>
      <c r="FX14" s="17">
        <f t="shared" si="19"/>
        <v>36808</v>
      </c>
      <c r="FY14" s="17">
        <f>FY4</f>
        <v>200</v>
      </c>
      <c r="GB14" s="113" t="s">
        <v>550</v>
      </c>
      <c r="GC14" s="17">
        <f t="shared" ref="GC14:GG14" si="20">GC4</f>
        <v>0</v>
      </c>
      <c r="GD14" s="17">
        <f t="shared" si="20"/>
        <v>7625</v>
      </c>
      <c r="GE14" s="17">
        <f t="shared" si="20"/>
        <v>245</v>
      </c>
      <c r="GF14" s="17">
        <f t="shared" si="20"/>
        <v>2016</v>
      </c>
      <c r="GG14" s="17">
        <f t="shared" si="20"/>
        <v>0</v>
      </c>
      <c r="GI14" s="17">
        <f>GI4</f>
        <v>3000</v>
      </c>
      <c r="GJ14" s="17">
        <f t="shared" ref="GJ14:GL14" si="21">GJ4</f>
        <v>125805</v>
      </c>
      <c r="GK14" s="17">
        <f t="shared" si="21"/>
        <v>8221</v>
      </c>
      <c r="GL14" s="17">
        <f t="shared" si="21"/>
        <v>38824</v>
      </c>
      <c r="GM14" s="17">
        <f>GM4</f>
        <v>200</v>
      </c>
      <c r="GP14" s="113" t="s">
        <v>550</v>
      </c>
      <c r="GQ14" s="17">
        <f t="shared" ref="GQ14:GU14" si="22">GQ4</f>
        <v>0</v>
      </c>
      <c r="GR14" s="17">
        <f t="shared" si="22"/>
        <v>5460</v>
      </c>
      <c r="GS14" s="17">
        <f t="shared" si="22"/>
        <v>1190</v>
      </c>
      <c r="GT14" s="17">
        <f t="shared" si="22"/>
        <v>5531</v>
      </c>
      <c r="GU14" s="17">
        <f t="shared" si="22"/>
        <v>0</v>
      </c>
      <c r="GW14" s="17">
        <f>GW4</f>
        <v>3000</v>
      </c>
      <c r="GX14" s="17">
        <f t="shared" ref="GX14:GZ14" si="23">GX4</f>
        <v>131265</v>
      </c>
      <c r="GY14" s="17">
        <f t="shared" si="23"/>
        <v>9411</v>
      </c>
      <c r="GZ14" s="17">
        <f t="shared" si="23"/>
        <v>44355</v>
      </c>
      <c r="HA14" s="17">
        <f>HA4</f>
        <v>200</v>
      </c>
      <c r="HD14" s="113" t="s">
        <v>550</v>
      </c>
      <c r="HE14" s="17">
        <f t="shared" ref="HE14:HI14" si="24">HE4</f>
        <v>0</v>
      </c>
      <c r="HF14" s="17">
        <f t="shared" si="24"/>
        <v>8365</v>
      </c>
      <c r="HG14" s="17">
        <f t="shared" si="24"/>
        <v>1254</v>
      </c>
      <c r="HH14" s="17">
        <f t="shared" si="24"/>
        <v>2560</v>
      </c>
      <c r="HI14" s="17">
        <f t="shared" si="24"/>
        <v>0</v>
      </c>
      <c r="HK14" s="17">
        <f>HK4</f>
        <v>3000</v>
      </c>
      <c r="HL14" s="17">
        <f t="shared" ref="HL14:HN14" si="25">HL4</f>
        <v>139630</v>
      </c>
      <c r="HM14" s="17">
        <f t="shared" si="25"/>
        <v>10665</v>
      </c>
      <c r="HN14" s="17">
        <f t="shared" si="25"/>
        <v>46915</v>
      </c>
      <c r="HO14" s="17">
        <f>HO4</f>
        <v>200</v>
      </c>
      <c r="HR14" s="113" t="s">
        <v>550</v>
      </c>
      <c r="HS14" s="17">
        <f t="shared" ref="HS14:HW14" si="26">HS4</f>
        <v>0</v>
      </c>
      <c r="HT14" s="17">
        <f t="shared" si="26"/>
        <v>5880</v>
      </c>
      <c r="HU14" s="17">
        <f t="shared" si="26"/>
        <v>1085</v>
      </c>
      <c r="HV14" s="17">
        <f t="shared" si="26"/>
        <v>2424</v>
      </c>
      <c r="HW14" s="17">
        <f t="shared" si="26"/>
        <v>0</v>
      </c>
      <c r="HY14" s="17">
        <f>HY4</f>
        <v>3000</v>
      </c>
      <c r="HZ14" s="17">
        <f t="shared" ref="HZ14:IB14" si="27">HZ4</f>
        <v>145510</v>
      </c>
      <c r="IA14" s="17">
        <f t="shared" si="27"/>
        <v>11750</v>
      </c>
      <c r="IB14" s="17">
        <f t="shared" si="27"/>
        <v>49339</v>
      </c>
      <c r="IC14" s="17">
        <f>IC4</f>
        <v>200</v>
      </c>
      <c r="IF14" s="113" t="s">
        <v>550</v>
      </c>
      <c r="IG14" s="17">
        <f t="shared" ref="IG14:IK14" si="28">IG4</f>
        <v>0</v>
      </c>
      <c r="IH14" s="17">
        <f t="shared" si="28"/>
        <v>5005</v>
      </c>
      <c r="II14" s="17">
        <f t="shared" si="28"/>
        <v>875</v>
      </c>
      <c r="IJ14" s="17">
        <f t="shared" si="28"/>
        <v>2588</v>
      </c>
      <c r="IK14" s="17">
        <f t="shared" si="28"/>
        <v>0</v>
      </c>
      <c r="IM14" s="17">
        <f>IM4</f>
        <v>3000</v>
      </c>
      <c r="IN14" s="17">
        <f t="shared" ref="IN14:IP14" si="29">IN4</f>
        <v>150515</v>
      </c>
      <c r="IO14" s="17">
        <f t="shared" si="29"/>
        <v>12625</v>
      </c>
      <c r="IP14" s="17">
        <f t="shared" si="29"/>
        <v>51927</v>
      </c>
      <c r="IQ14" s="17">
        <f>IQ4</f>
        <v>200</v>
      </c>
      <c r="IT14" s="113" t="s">
        <v>550</v>
      </c>
      <c r="IU14" s="17">
        <f t="shared" ref="IU14:IY14" si="30">IU4</f>
        <v>0</v>
      </c>
      <c r="IV14" s="17">
        <f t="shared" si="30"/>
        <v>6195</v>
      </c>
      <c r="IW14" s="17">
        <f t="shared" si="30"/>
        <v>239</v>
      </c>
      <c r="IX14" s="17">
        <f t="shared" si="30"/>
        <v>3024</v>
      </c>
      <c r="IY14" s="17">
        <f t="shared" si="30"/>
        <v>0</v>
      </c>
      <c r="JA14" s="17">
        <f>JA4</f>
        <v>3000</v>
      </c>
      <c r="JB14" s="17">
        <f t="shared" ref="JB14:JD14" si="31">JB4</f>
        <v>156710</v>
      </c>
      <c r="JC14" s="17">
        <f t="shared" si="31"/>
        <v>12864</v>
      </c>
      <c r="JD14" s="17">
        <f t="shared" si="31"/>
        <v>54951</v>
      </c>
      <c r="JE14" s="17">
        <f>JE4</f>
        <v>200</v>
      </c>
      <c r="JH14" s="113" t="s">
        <v>550</v>
      </c>
      <c r="JI14" s="17">
        <f t="shared" ref="JI14:JM14" si="32">JI4</f>
        <v>2807</v>
      </c>
      <c r="JJ14" s="17">
        <f t="shared" si="32"/>
        <v>5880</v>
      </c>
      <c r="JK14" s="17">
        <f t="shared" si="32"/>
        <v>175</v>
      </c>
      <c r="JL14" s="17">
        <f t="shared" si="32"/>
        <v>2457</v>
      </c>
      <c r="JM14" s="17">
        <f t="shared" si="32"/>
        <v>0</v>
      </c>
      <c r="JO14" s="17">
        <f>JO4</f>
        <v>5807</v>
      </c>
      <c r="JP14" s="17">
        <f t="shared" ref="JP14:JR14" si="33">JP4</f>
        <v>162590</v>
      </c>
      <c r="JQ14" s="17">
        <f t="shared" si="33"/>
        <v>13039</v>
      </c>
      <c r="JR14" s="17">
        <f t="shared" si="33"/>
        <v>57408</v>
      </c>
      <c r="JS14" s="17">
        <f>JS4</f>
        <v>200</v>
      </c>
      <c r="JV14" s="113" t="s">
        <v>550</v>
      </c>
      <c r="JW14" s="17">
        <f t="shared" ref="JW14:KA14" si="34">JW4</f>
        <v>50</v>
      </c>
      <c r="JX14" s="17">
        <f t="shared" si="34"/>
        <v>6615</v>
      </c>
      <c r="JY14" s="17">
        <f t="shared" si="34"/>
        <v>595</v>
      </c>
      <c r="JZ14" s="17">
        <f t="shared" si="34"/>
        <v>3192</v>
      </c>
      <c r="KA14" s="17">
        <f t="shared" si="34"/>
        <v>0</v>
      </c>
      <c r="KC14" s="17">
        <f>KC4</f>
        <v>5857</v>
      </c>
      <c r="KD14" s="17">
        <f t="shared" ref="KD14:KF14" si="35">KD4</f>
        <v>169205</v>
      </c>
      <c r="KE14" s="17">
        <f t="shared" si="35"/>
        <v>13634</v>
      </c>
      <c r="KF14" s="17">
        <f t="shared" si="35"/>
        <v>60600</v>
      </c>
      <c r="KG14" s="17">
        <f>KG4</f>
        <v>200</v>
      </c>
      <c r="KJ14" s="113" t="s">
        <v>550</v>
      </c>
      <c r="KK14" s="17">
        <f t="shared" ref="KK14:KO14" si="36">KK4</f>
        <v>2200</v>
      </c>
      <c r="KL14" s="17">
        <f t="shared" si="36"/>
        <v>10850</v>
      </c>
      <c r="KM14" s="17">
        <f t="shared" si="36"/>
        <v>245</v>
      </c>
      <c r="KN14" s="17">
        <f t="shared" si="36"/>
        <v>1817</v>
      </c>
      <c r="KO14" s="17">
        <f t="shared" si="36"/>
        <v>0</v>
      </c>
      <c r="KQ14" s="17">
        <f>KQ4</f>
        <v>8057</v>
      </c>
      <c r="KR14" s="17">
        <f t="shared" ref="KR14:KT14" si="37">KR4</f>
        <v>180055</v>
      </c>
      <c r="KS14" s="17">
        <f t="shared" si="37"/>
        <v>13879</v>
      </c>
      <c r="KT14" s="17">
        <f t="shared" si="37"/>
        <v>62417</v>
      </c>
      <c r="KU14" s="17">
        <f>KU4</f>
        <v>200</v>
      </c>
      <c r="KX14" s="113" t="s">
        <v>550</v>
      </c>
      <c r="KY14" s="17">
        <f t="shared" ref="KY14:LC14" si="38">KY4</f>
        <v>0</v>
      </c>
      <c r="KZ14" s="17">
        <f t="shared" si="38"/>
        <v>7766</v>
      </c>
      <c r="LA14" s="17">
        <f t="shared" si="38"/>
        <v>595</v>
      </c>
      <c r="LB14" s="17">
        <f t="shared" si="38"/>
        <v>0</v>
      </c>
      <c r="LC14" s="17">
        <f t="shared" si="38"/>
        <v>0</v>
      </c>
      <c r="LE14" s="17">
        <f>LE4</f>
        <v>8057</v>
      </c>
      <c r="LF14" s="17">
        <f t="shared" ref="LF14:LH14" si="39">LF4</f>
        <v>187821</v>
      </c>
      <c r="LG14" s="17">
        <f t="shared" si="39"/>
        <v>14474</v>
      </c>
      <c r="LH14" s="17">
        <f t="shared" si="39"/>
        <v>62417</v>
      </c>
      <c r="LI14" s="17">
        <f>LI4</f>
        <v>200</v>
      </c>
    </row>
    <row r="15" spans="2:328" x14ac:dyDescent="0.3">
      <c r="BF15" s="114" t="s">
        <v>499</v>
      </c>
      <c r="BG15">
        <f t="shared" ref="BG15:BQ15" si="40">BG6*1000/BG$4</f>
        <v>495.82999999999993</v>
      </c>
      <c r="BH15">
        <f t="shared" si="40"/>
        <v>357.39548262548266</v>
      </c>
      <c r="BI15">
        <f t="shared" si="40"/>
        <v>681.88499999999965</v>
      </c>
      <c r="BJ15">
        <f t="shared" si="40"/>
        <v>156.83117647058825</v>
      </c>
      <c r="BK15" t="e">
        <f t="shared" si="40"/>
        <v>#DIV/0!</v>
      </c>
      <c r="BM15">
        <f t="shared" si="40"/>
        <v>495.82999999999993</v>
      </c>
      <c r="BN15">
        <f t="shared" si="40"/>
        <v>359.6616421340629</v>
      </c>
      <c r="BO15">
        <f t="shared" si="40"/>
        <v>860.38113211694815</v>
      </c>
      <c r="BP15">
        <f t="shared" si="40"/>
        <v>155.4997086259302</v>
      </c>
      <c r="BQ15" t="e">
        <f t="shared" si="40"/>
        <v>#DIV/0!</v>
      </c>
      <c r="BT15" s="114" t="s">
        <v>499</v>
      </c>
      <c r="BU15" t="e">
        <f t="shared" ref="BU15:BY15" si="41">BU6*1000/BU$4</f>
        <v>#DIV/0!</v>
      </c>
      <c r="BV15">
        <f t="shared" si="41"/>
        <v>382.33919999999995</v>
      </c>
      <c r="BW15">
        <f t="shared" si="41"/>
        <v>860.40256198347049</v>
      </c>
      <c r="BX15">
        <f t="shared" si="41"/>
        <v>161.56985074626866</v>
      </c>
      <c r="BY15" t="e">
        <f t="shared" si="41"/>
        <v>#DIV/0!</v>
      </c>
      <c r="CA15">
        <f t="shared" ref="CA15:CE15" si="42">CA6*1000/CA$4</f>
        <v>495.82999999999993</v>
      </c>
      <c r="CB15">
        <f t="shared" si="42"/>
        <v>361.64345118601744</v>
      </c>
      <c r="CC15">
        <f t="shared" si="42"/>
        <v>873.13941749629259</v>
      </c>
      <c r="CD15">
        <f t="shared" si="42"/>
        <v>156.04306136081686</v>
      </c>
      <c r="CE15" t="e">
        <f t="shared" si="42"/>
        <v>#DIV/0!</v>
      </c>
      <c r="CH15" s="114" t="s">
        <v>499</v>
      </c>
      <c r="CI15" t="e">
        <f t="shared" ref="CI15:CM15" si="43">CI5*1000/CI$4</f>
        <v>#DIV/0!</v>
      </c>
      <c r="CJ15">
        <f t="shared" si="43"/>
        <v>358.17267165193743</v>
      </c>
      <c r="CK15">
        <f t="shared" si="43"/>
        <v>913.16523809523824</v>
      </c>
      <c r="CL15">
        <f t="shared" si="43"/>
        <v>172.41670852610707</v>
      </c>
      <c r="CM15">
        <f t="shared" si="43"/>
        <v>718</v>
      </c>
      <c r="CO15">
        <f>CO5*1000/CO$4</f>
        <v>739.31</v>
      </c>
      <c r="CP15">
        <f t="shared" ref="CP15:CS15" si="44">CP5*1000/CP$4</f>
        <v>370.35415438232241</v>
      </c>
      <c r="CQ15">
        <f t="shared" si="44"/>
        <v>918.86002016129044</v>
      </c>
      <c r="CR15">
        <f t="shared" si="44"/>
        <v>165.65886174116079</v>
      </c>
      <c r="CS15">
        <f t="shared" si="44"/>
        <v>718</v>
      </c>
      <c r="CV15" s="114" t="s">
        <v>499</v>
      </c>
      <c r="CW15" t="e">
        <f t="shared" ref="CW15:DA15" si="45">CW5*1000/CW$4</f>
        <v>#DIV/0!</v>
      </c>
      <c r="CX15">
        <f t="shared" si="45"/>
        <v>358.464</v>
      </c>
      <c r="CY15">
        <f t="shared" si="45"/>
        <v>1139.6803571428572</v>
      </c>
      <c r="CZ15">
        <f t="shared" si="45"/>
        <v>167.97249999999997</v>
      </c>
      <c r="DA15" t="e">
        <f t="shared" si="45"/>
        <v>#DIV/0!</v>
      </c>
      <c r="DC15">
        <f>DC5*1000/DC$4</f>
        <v>739.31</v>
      </c>
      <c r="DD15">
        <f t="shared" ref="DD15:DG15" si="46">DD5*1000/DD$4</f>
        <v>369.03703323222999</v>
      </c>
      <c r="DE15">
        <f t="shared" si="46"/>
        <v>943.96954515919435</v>
      </c>
      <c r="DF15">
        <f t="shared" si="46"/>
        <v>165.99183537978297</v>
      </c>
      <c r="DG15">
        <f t="shared" si="46"/>
        <v>718</v>
      </c>
      <c r="DJ15" s="114" t="s">
        <v>499</v>
      </c>
      <c r="DK15" t="e">
        <f t="shared" ref="DK15:DO15" si="47">DK5*1000/DK$4</f>
        <v>#DIV/0!</v>
      </c>
      <c r="DL15">
        <f t="shared" si="47"/>
        <v>356.91083798882681</v>
      </c>
      <c r="DM15">
        <f t="shared" si="47"/>
        <v>1898.6575000000003</v>
      </c>
      <c r="DN15">
        <f t="shared" si="47"/>
        <v>183.88749999999999</v>
      </c>
      <c r="DO15" t="e">
        <f t="shared" si="47"/>
        <v>#DIV/0!</v>
      </c>
      <c r="DQ15">
        <f>DQ5*1000/DQ$4</f>
        <v>739.31</v>
      </c>
      <c r="DR15">
        <f t="shared" ref="DR15:DU15" si="48">DR5*1000/DR$4</f>
        <v>368.11163444789565</v>
      </c>
      <c r="DS15">
        <f t="shared" si="48"/>
        <v>965.1983116264297</v>
      </c>
      <c r="DT15">
        <f t="shared" si="48"/>
        <v>167.31673915917506</v>
      </c>
      <c r="DU15">
        <f t="shared" si="48"/>
        <v>718</v>
      </c>
      <c r="DX15" s="114" t="s">
        <v>499</v>
      </c>
      <c r="DY15" t="e">
        <f t="shared" ref="DY15:EC15" si="49">DY5*1000/DY$4</f>
        <v>#DIV/0!</v>
      </c>
      <c r="DZ15">
        <f t="shared" si="49"/>
        <v>383.2984455958549</v>
      </c>
      <c r="EA15">
        <f t="shared" si="49"/>
        <v>1101.7928571428572</v>
      </c>
      <c r="EB15">
        <f t="shared" si="49"/>
        <v>186.54</v>
      </c>
      <c r="EC15" t="e">
        <f t="shared" si="49"/>
        <v>#DIV/0!</v>
      </c>
      <c r="EE15">
        <f>EE5*1000/EE$4</f>
        <v>739.31</v>
      </c>
      <c r="EF15">
        <f t="shared" ref="EF15:EI15" si="50">EF5*1000/EF$4</f>
        <v>369.26624231851429</v>
      </c>
      <c r="EG15">
        <f t="shared" si="50"/>
        <v>970.31460327167099</v>
      </c>
      <c r="EH15">
        <f t="shared" si="50"/>
        <v>168.79472968025385</v>
      </c>
      <c r="EI15">
        <f t="shared" si="50"/>
        <v>718</v>
      </c>
      <c r="EL15" s="114" t="s">
        <v>499</v>
      </c>
      <c r="EM15" t="e">
        <f t="shared" ref="EM15:EQ15" si="51">EM5*1000/EM$4</f>
        <v>#DIV/0!</v>
      </c>
      <c r="EN15">
        <f t="shared" si="51"/>
        <v>359.67467455621306</v>
      </c>
      <c r="EO15">
        <f t="shared" si="51"/>
        <v>665.11181818181819</v>
      </c>
      <c r="EP15">
        <f t="shared" si="51"/>
        <v>207.76</v>
      </c>
      <c r="EQ15" t="e">
        <f t="shared" si="51"/>
        <v>#DIV/0!</v>
      </c>
      <c r="ES15">
        <f>ES5*1000/ES$4</f>
        <v>739.31</v>
      </c>
      <c r="ET15">
        <f t="shared" ref="ET15:EW15" si="52">ET5*1000/ET$4</f>
        <v>368.13922357965828</v>
      </c>
      <c r="EU15">
        <f t="shared" si="52"/>
        <v>953.34910049090388</v>
      </c>
      <c r="EV15">
        <f t="shared" si="52"/>
        <v>169.95732121714423</v>
      </c>
      <c r="EW15">
        <f t="shared" si="52"/>
        <v>718</v>
      </c>
      <c r="EZ15" s="114" t="s">
        <v>499</v>
      </c>
      <c r="FA15" t="e">
        <f t="shared" ref="FA15:FE15" si="53">FA5*1000/FA$4</f>
        <v>#DIV/0!</v>
      </c>
      <c r="FB15">
        <f t="shared" si="53"/>
        <v>356.38985915492958</v>
      </c>
      <c r="FC15">
        <f t="shared" si="53"/>
        <v>711.85863636363638</v>
      </c>
      <c r="FD15">
        <f t="shared" si="53"/>
        <v>181.23500000000001</v>
      </c>
      <c r="FE15" t="e">
        <f t="shared" si="53"/>
        <v>#DIV/0!</v>
      </c>
      <c r="FG15">
        <f>FG5*1000/FG$4</f>
        <v>739.31</v>
      </c>
      <c r="FH15">
        <f t="shared" ref="FH15:FK15" si="54">FH5*1000/FH$4</f>
        <v>367.08345895859685</v>
      </c>
      <c r="FI15">
        <f t="shared" si="54"/>
        <v>929.18750259875264</v>
      </c>
      <c r="FJ15">
        <f t="shared" si="54"/>
        <v>170.5923994413408</v>
      </c>
      <c r="FK15">
        <f t="shared" si="54"/>
        <v>718</v>
      </c>
      <c r="FN15" s="114" t="s">
        <v>499</v>
      </c>
      <c r="FO15" t="e">
        <f t="shared" ref="FO15:FS15" si="55">FO5*1000/FO$4</f>
        <v>#DIV/0!</v>
      </c>
      <c r="FP15">
        <f t="shared" si="55"/>
        <v>357.44</v>
      </c>
      <c r="FQ15">
        <f t="shared" si="55"/>
        <v>1068.2050000000002</v>
      </c>
      <c r="FR15">
        <f t="shared" si="55"/>
        <v>207.76</v>
      </c>
      <c r="FS15" t="e">
        <f t="shared" si="55"/>
        <v>#DIV/0!</v>
      </c>
      <c r="FU15">
        <f>FU5*1000/FU$4</f>
        <v>739.31</v>
      </c>
      <c r="FV15">
        <f t="shared" ref="FV15:FY15" si="56">FV5*1000/FV$4</f>
        <v>366.46656481638155</v>
      </c>
      <c r="FW15">
        <f t="shared" si="56"/>
        <v>934.06775576730206</v>
      </c>
      <c r="FX15">
        <f t="shared" si="56"/>
        <v>171.61024722886327</v>
      </c>
      <c r="FY15">
        <f t="shared" si="56"/>
        <v>718</v>
      </c>
      <c r="GB15" s="114" t="s">
        <v>499</v>
      </c>
      <c r="GC15" t="e">
        <f t="shared" ref="GC15:GG15" si="57">GC5*1000/GC$4</f>
        <v>#DIV/0!</v>
      </c>
      <c r="GD15">
        <f t="shared" si="57"/>
        <v>356.61828196721308</v>
      </c>
      <c r="GE15">
        <f t="shared" si="57"/>
        <v>938.2285714285714</v>
      </c>
      <c r="GF15">
        <f t="shared" si="57"/>
        <v>207.76</v>
      </c>
      <c r="GG15" t="e">
        <f t="shared" si="57"/>
        <v>#DIV/0!</v>
      </c>
      <c r="GI15">
        <f>GI5*1000/GI$4</f>
        <v>739.31</v>
      </c>
      <c r="GJ15">
        <f t="shared" ref="GJ15:GM15" si="58">GJ5*1000/GJ$4</f>
        <v>365.86966360637484</v>
      </c>
      <c r="GK15">
        <f t="shared" si="58"/>
        <v>934.19175526091738</v>
      </c>
      <c r="GL15">
        <f t="shared" si="58"/>
        <v>173.48738254687822</v>
      </c>
      <c r="GM15">
        <f t="shared" si="58"/>
        <v>718</v>
      </c>
      <c r="GP15" s="114" t="s">
        <v>499</v>
      </c>
      <c r="GQ15" t="e">
        <f t="shared" ref="GQ15:GU15" si="59">GQ5*1000/GQ$4</f>
        <v>#DIV/0!</v>
      </c>
      <c r="GR15">
        <f t="shared" si="59"/>
        <v>362.67282051282052</v>
      </c>
      <c r="GS15">
        <f t="shared" si="59"/>
        <v>591.7997058823529</v>
      </c>
      <c r="GT15">
        <f t="shared" si="59"/>
        <v>172.06485084071596</v>
      </c>
      <c r="GU15" t="e">
        <f t="shared" si="59"/>
        <v>#DIV/0!</v>
      </c>
      <c r="GW15">
        <f>GW5*1000/GW$4</f>
        <v>739.31</v>
      </c>
      <c r="GX15">
        <f t="shared" ref="GX15:HA15" si="60">GX5*1000/GX$4</f>
        <v>365.7366901306516</v>
      </c>
      <c r="GY15">
        <f t="shared" si="60"/>
        <v>890.89704282222976</v>
      </c>
      <c r="GZ15">
        <f t="shared" si="60"/>
        <v>173.30999504001804</v>
      </c>
      <c r="HA15">
        <f t="shared" si="60"/>
        <v>718</v>
      </c>
      <c r="HD15" s="114" t="s">
        <v>499</v>
      </c>
      <c r="HE15" t="e">
        <f t="shared" ref="HE15:HI15" si="61">HE5*1000/HE$4</f>
        <v>#DIV/0!</v>
      </c>
      <c r="HF15">
        <f t="shared" si="61"/>
        <v>357.31748953974892</v>
      </c>
      <c r="HG15">
        <f t="shared" si="61"/>
        <v>590.05028708133966</v>
      </c>
      <c r="HH15">
        <f t="shared" si="61"/>
        <v>188.65371093749999</v>
      </c>
      <c r="HI15" t="e">
        <f t="shared" si="61"/>
        <v>#DIV/0!</v>
      </c>
      <c r="HK15">
        <f>HK5*1000/HK$4</f>
        <v>739.31</v>
      </c>
      <c r="HL15">
        <f t="shared" ref="HL15:HO15" si="62">HL5*1000/HL$4</f>
        <v>365.23230989042457</v>
      </c>
      <c r="HM15">
        <f t="shared" si="62"/>
        <v>855.52321894045986</v>
      </c>
      <c r="HN15">
        <f t="shared" si="62"/>
        <v>174.14725205158265</v>
      </c>
      <c r="HO15">
        <f t="shared" si="62"/>
        <v>718</v>
      </c>
      <c r="HR15" s="114" t="s">
        <v>499</v>
      </c>
      <c r="HS15" t="e">
        <f t="shared" ref="HS15:HW15" si="63">HS5*1000/HS$4</f>
        <v>#DIV/0!</v>
      </c>
      <c r="HT15">
        <f t="shared" si="63"/>
        <v>357.25714285714287</v>
      </c>
      <c r="HU15">
        <f t="shared" si="63"/>
        <v>623.34677419354841</v>
      </c>
      <c r="HV15">
        <f t="shared" si="63"/>
        <v>163.73198019801978</v>
      </c>
      <c r="HW15" t="e">
        <f t="shared" si="63"/>
        <v>#DIV/0!</v>
      </c>
      <c r="HY15">
        <f>HY5*1000/HY$4</f>
        <v>739.31</v>
      </c>
      <c r="HZ15">
        <f t="shared" ref="HZ15:IC15" si="64">HZ5*1000/HZ$4</f>
        <v>364.91003662978483</v>
      </c>
      <c r="IA15">
        <f t="shared" si="64"/>
        <v>834.08394723404274</v>
      </c>
      <c r="IB15">
        <f t="shared" si="64"/>
        <v>173.63555503759704</v>
      </c>
      <c r="IC15">
        <f t="shared" si="64"/>
        <v>718</v>
      </c>
      <c r="IF15" s="114" t="s">
        <v>499</v>
      </c>
      <c r="IG15" t="e">
        <f t="shared" ref="IG15:IK15" si="65">IG5*1000/IG$4</f>
        <v>#DIV/0!</v>
      </c>
      <c r="IH15">
        <f t="shared" si="65"/>
        <v>356.16</v>
      </c>
      <c r="II15">
        <f t="shared" si="65"/>
        <v>745.1576</v>
      </c>
      <c r="IJ15">
        <f t="shared" si="65"/>
        <v>154.75636785162285</v>
      </c>
      <c r="IK15" t="e">
        <f t="shared" si="65"/>
        <v>#DIV/0!</v>
      </c>
      <c r="IM15">
        <f>IM5*1000/IM$4</f>
        <v>739.31</v>
      </c>
      <c r="IN15">
        <f t="shared" ref="IN15:IQ15" si="66">IN5*1000/IN$4</f>
        <v>364.61907603893292</v>
      </c>
      <c r="IO15">
        <f t="shared" si="66"/>
        <v>827.9207350495052</v>
      </c>
      <c r="IP15">
        <f t="shared" si="66"/>
        <v>172.69463150191612</v>
      </c>
      <c r="IQ15">
        <f t="shared" si="66"/>
        <v>718</v>
      </c>
      <c r="IT15" s="114" t="s">
        <v>499</v>
      </c>
      <c r="IU15" t="e">
        <f t="shared" ref="IU15:IY15" si="67">IU5*1000/IU$4</f>
        <v>#DIV/0!</v>
      </c>
      <c r="IV15">
        <f t="shared" si="67"/>
        <v>361.30960451977398</v>
      </c>
      <c r="IW15">
        <f t="shared" si="67"/>
        <v>865.64887029288695</v>
      </c>
      <c r="IX15">
        <f t="shared" si="67"/>
        <v>182.63666666666668</v>
      </c>
      <c r="IY15" t="e">
        <f t="shared" si="67"/>
        <v>#DIV/0!</v>
      </c>
      <c r="JA15">
        <f>JA5*1000/JA$4</f>
        <v>739.31</v>
      </c>
      <c r="JB15">
        <f t="shared" ref="JB15:JE15" si="68">JB5*1000/JB$4</f>
        <v>364.488247272031</v>
      </c>
      <c r="JC15">
        <f t="shared" si="68"/>
        <v>828.62168532338308</v>
      </c>
      <c r="JD15">
        <f t="shared" si="68"/>
        <v>173.24175010463867</v>
      </c>
      <c r="JE15">
        <f t="shared" si="68"/>
        <v>718</v>
      </c>
      <c r="JH15" s="114" t="s">
        <v>499</v>
      </c>
      <c r="JI15">
        <f t="shared" ref="JI15:JM15" si="69">JI5*1000/JI$4</f>
        <v>659.31</v>
      </c>
      <c r="JJ15">
        <f t="shared" si="69"/>
        <v>357.25714285714287</v>
      </c>
      <c r="JK15">
        <f t="shared" si="69"/>
        <v>1035.01</v>
      </c>
      <c r="JL15">
        <f t="shared" si="69"/>
        <v>174.13321937321936</v>
      </c>
      <c r="JM15" t="e">
        <f t="shared" si="69"/>
        <v>#DIV/0!</v>
      </c>
      <c r="JO15">
        <f>JO5*1000/JO$4</f>
        <v>700.63942999827793</v>
      </c>
      <c r="JP15">
        <f t="shared" ref="JP15:JS15" si="70">JP5*1000/JP$4</f>
        <v>364.22673737622227</v>
      </c>
      <c r="JQ15">
        <f t="shared" si="70"/>
        <v>831.39167957665472</v>
      </c>
      <c r="JR15">
        <f t="shared" si="70"/>
        <v>173.27990402034561</v>
      </c>
      <c r="JS15">
        <f t="shared" si="70"/>
        <v>718</v>
      </c>
      <c r="JV15" s="114" t="s">
        <v>499</v>
      </c>
      <c r="JW15">
        <f t="shared" ref="JW15:KA15" si="71">JW5*1000/JW$4</f>
        <v>659.3</v>
      </c>
      <c r="JX15">
        <f t="shared" si="71"/>
        <v>360.31365079365082</v>
      </c>
      <c r="JY15">
        <f t="shared" si="71"/>
        <v>1038.8829411764702</v>
      </c>
      <c r="JZ15">
        <f t="shared" si="71"/>
        <v>148.25736842105263</v>
      </c>
      <c r="KA15" t="e">
        <f t="shared" si="71"/>
        <v>#DIV/0!</v>
      </c>
      <c r="KC15">
        <f>KC5*1000/KC$4</f>
        <v>700.28652381765403</v>
      </c>
      <c r="KD15">
        <f t="shared" ref="KD15:KG15" si="72">KD5*1000/KD$4</f>
        <v>364.07375686297667</v>
      </c>
      <c r="KE15">
        <f t="shared" si="72"/>
        <v>840.44678450931485</v>
      </c>
      <c r="KF15">
        <f t="shared" si="72"/>
        <v>171.96188531353133</v>
      </c>
      <c r="KG15">
        <f t="shared" si="72"/>
        <v>718</v>
      </c>
      <c r="KJ15" s="114" t="s">
        <v>499</v>
      </c>
      <c r="KK15">
        <f t="shared" ref="KK15:KO15" si="73">KK5*1000/KK$4</f>
        <v>659.31</v>
      </c>
      <c r="KL15">
        <f t="shared" si="73"/>
        <v>361.07612903225805</v>
      </c>
      <c r="KM15">
        <f t="shared" si="73"/>
        <v>971.40857142857135</v>
      </c>
      <c r="KN15">
        <f t="shared" si="73"/>
        <v>172.79197028068245</v>
      </c>
      <c r="KO15" t="e">
        <f t="shared" si="73"/>
        <v>#DIV/0!</v>
      </c>
      <c r="KQ15">
        <f>KQ5*1000/KQ$4</f>
        <v>689.09770013652724</v>
      </c>
      <c r="KR15">
        <f t="shared" ref="KR15:KU15" si="74">KR5*1000/KR$4</f>
        <v>363.89312171280983</v>
      </c>
      <c r="KS15">
        <f t="shared" si="74"/>
        <v>842.75859644066554</v>
      </c>
      <c r="KT15">
        <f t="shared" si="74"/>
        <v>171.98604963391381</v>
      </c>
      <c r="KU15">
        <f t="shared" si="74"/>
        <v>718</v>
      </c>
      <c r="KX15" s="114" t="s">
        <v>499</v>
      </c>
      <c r="KY15" t="e">
        <f t="shared" ref="KY15:LC15" si="75">KY5*1000/KY$4</f>
        <v>#DIV/0!</v>
      </c>
      <c r="KZ15">
        <f t="shared" si="75"/>
        <v>337.51923770280712</v>
      </c>
      <c r="LA15">
        <f t="shared" si="75"/>
        <v>915.83764705882356</v>
      </c>
      <c r="LB15" t="e">
        <f t="shared" si="75"/>
        <v>#DIV/0!</v>
      </c>
      <c r="LC15" t="e">
        <f t="shared" si="75"/>
        <v>#DIV/0!</v>
      </c>
      <c r="LE15">
        <f>LE5*1000/LE$4</f>
        <v>689.09770013652724</v>
      </c>
      <c r="LF15">
        <f t="shared" ref="LF15:LI15" si="76">LF5*1000/LF$4</f>
        <v>362.80261754542875</v>
      </c>
      <c r="LG15">
        <f t="shared" si="76"/>
        <v>845.76274423103462</v>
      </c>
      <c r="LH15">
        <f t="shared" si="76"/>
        <v>171.98604963391381</v>
      </c>
      <c r="LI15">
        <f t="shared" si="76"/>
        <v>718</v>
      </c>
    </row>
    <row r="16" spans="2:328" x14ac:dyDescent="0.3">
      <c r="BF16" s="115" t="s">
        <v>539</v>
      </c>
      <c r="BG16">
        <f t="shared" ref="BG16:BQ16" si="77">BG7*1000/BG$4</f>
        <v>421.6099999999999</v>
      </c>
      <c r="BH16">
        <f t="shared" si="77"/>
        <v>292.69648648648655</v>
      </c>
      <c r="BI16">
        <f t="shared" si="77"/>
        <v>570.23166666666634</v>
      </c>
      <c r="BJ16">
        <f t="shared" si="77"/>
        <v>150.42117647058822</v>
      </c>
      <c r="BK16" t="e">
        <f t="shared" si="77"/>
        <v>#DIV/0!</v>
      </c>
      <c r="BM16">
        <f t="shared" si="77"/>
        <v>421.6099999999999</v>
      </c>
      <c r="BN16">
        <f t="shared" si="77"/>
        <v>294.40522371181032</v>
      </c>
      <c r="BO16">
        <f t="shared" si="77"/>
        <v>700.27675313255622</v>
      </c>
      <c r="BP16">
        <f t="shared" si="77"/>
        <v>149.0897086259302</v>
      </c>
      <c r="BQ16" t="e">
        <f t="shared" si="77"/>
        <v>#DIV/0!</v>
      </c>
      <c r="BT16" s="115" t="s">
        <v>539</v>
      </c>
      <c r="BU16" t="e">
        <f t="shared" ref="BU16:BY16" si="78">BU7*1000/BU$4</f>
        <v>#DIV/0!</v>
      </c>
      <c r="BV16">
        <f t="shared" si="78"/>
        <v>315.41720000000004</v>
      </c>
      <c r="BW16">
        <f t="shared" si="78"/>
        <v>720.901983471074</v>
      </c>
      <c r="BX16">
        <f t="shared" si="78"/>
        <v>155.15985074626866</v>
      </c>
      <c r="BY16" t="e">
        <f t="shared" si="78"/>
        <v>#DIV/0!</v>
      </c>
      <c r="CA16">
        <f t="shared" ref="CA16:CE16" si="79">CA7*1000/CA$4</f>
        <v>421.6099999999999</v>
      </c>
      <c r="CB16">
        <f t="shared" si="79"/>
        <v>296.24147632126505</v>
      </c>
      <c r="CC16">
        <f t="shared" si="79"/>
        <v>711.717269646261</v>
      </c>
      <c r="CD16">
        <f t="shared" si="79"/>
        <v>149.63306136081687</v>
      </c>
      <c r="CE16" t="e">
        <f t="shared" si="79"/>
        <v>#DIV/0!</v>
      </c>
      <c r="CH16" s="115" t="s">
        <v>539</v>
      </c>
      <c r="CI16" t="e">
        <f t="shared" ref="CI16:CM16" si="80">CI6*1000/CI$4</f>
        <v>#DIV/0!</v>
      </c>
      <c r="CJ16">
        <f t="shared" si="80"/>
        <v>349.89388171312032</v>
      </c>
      <c r="CK16">
        <f t="shared" si="80"/>
        <v>841.22952380952347</v>
      </c>
      <c r="CL16">
        <f t="shared" si="80"/>
        <v>162.466080634501</v>
      </c>
      <c r="CM16">
        <f t="shared" si="80"/>
        <v>843.67359999999996</v>
      </c>
      <c r="CO16">
        <f t="shared" ref="CO16:CS20" si="81">CO6*1000/CO$4</f>
        <v>495.82999999999993</v>
      </c>
      <c r="CP16">
        <f t="shared" si="81"/>
        <v>360.36185421919026</v>
      </c>
      <c r="CQ16">
        <f t="shared" si="81"/>
        <v>868.84070564516094</v>
      </c>
      <c r="CR16">
        <f t="shared" si="81"/>
        <v>156.85343729152771</v>
      </c>
      <c r="CS16">
        <f t="shared" si="81"/>
        <v>843.67359999999996</v>
      </c>
      <c r="CV16" s="115" t="s">
        <v>539</v>
      </c>
      <c r="CW16" t="e">
        <f t="shared" ref="CW16:DA16" si="82">CW6*1000/CW$4</f>
        <v>#DIV/0!</v>
      </c>
      <c r="CX16">
        <f t="shared" si="82"/>
        <v>350.25199999999995</v>
      </c>
      <c r="CY16">
        <f t="shared" si="82"/>
        <v>990.52607142857096</v>
      </c>
      <c r="CZ16">
        <f t="shared" si="82"/>
        <v>158.77499999999998</v>
      </c>
      <c r="DA16" t="e">
        <f t="shared" si="82"/>
        <v>#DIV/0!</v>
      </c>
      <c r="DC16">
        <f t="shared" ref="DC16:DG16" si="83">DC6*1000/DC$4</f>
        <v>495.82999999999993</v>
      </c>
      <c r="DD16">
        <f t="shared" si="83"/>
        <v>359.2419442173283</v>
      </c>
      <c r="DE16">
        <f t="shared" si="83"/>
        <v>882.67757309941453</v>
      </c>
      <c r="DF16">
        <f t="shared" si="83"/>
        <v>157.12998429468877</v>
      </c>
      <c r="DG16">
        <f t="shared" si="83"/>
        <v>843.67359999999996</v>
      </c>
      <c r="DJ16" s="115" t="s">
        <v>539</v>
      </c>
      <c r="DK16" t="e">
        <f t="shared" ref="DK16:DO16" si="84">DK6*1000/DK$4</f>
        <v>#DIV/0!</v>
      </c>
      <c r="DL16">
        <f t="shared" si="84"/>
        <v>348.38335195530732</v>
      </c>
      <c r="DM16">
        <f t="shared" si="84"/>
        <v>2283.6724999999992</v>
      </c>
      <c r="DN16">
        <f t="shared" si="84"/>
        <v>171.99299999999999</v>
      </c>
      <c r="DO16" t="e">
        <f t="shared" si="84"/>
        <v>#DIV/0!</v>
      </c>
      <c r="DQ16">
        <f t="shared" ref="DQ16:DU16" si="85">DQ6*1000/DQ$4</f>
        <v>495.82999999999993</v>
      </c>
      <c r="DR16">
        <f t="shared" si="85"/>
        <v>358.4132813204215</v>
      </c>
      <c r="DS16">
        <f t="shared" si="85"/>
        <v>913.83057337992329</v>
      </c>
      <c r="DT16">
        <f t="shared" si="85"/>
        <v>158.23036620835541</v>
      </c>
      <c r="DU16">
        <f t="shared" si="85"/>
        <v>843.67359999999996</v>
      </c>
      <c r="DX16" s="115" t="s">
        <v>539</v>
      </c>
      <c r="DY16" t="e">
        <f t="shared" ref="DY16:EC16" si="86">DY6*1000/DY$4</f>
        <v>#DIV/0!</v>
      </c>
      <c r="DZ16">
        <f t="shared" si="86"/>
        <v>370.76108808290161</v>
      </c>
      <c r="EA16">
        <f t="shared" si="86"/>
        <v>1117.571428571428</v>
      </c>
      <c r="EB16">
        <f t="shared" si="86"/>
        <v>174.19599999999997</v>
      </c>
      <c r="EC16" t="e">
        <f t="shared" si="86"/>
        <v>#DIV/0!</v>
      </c>
      <c r="EE16">
        <f t="shared" ref="EE16:EI16" si="87">EE6*1000/EE$4</f>
        <v>495.82999999999993</v>
      </c>
      <c r="EF16">
        <f t="shared" si="87"/>
        <v>359.35204817107496</v>
      </c>
      <c r="EG16">
        <f t="shared" si="87"/>
        <v>921.46190032105142</v>
      </c>
      <c r="EH16">
        <f t="shared" si="87"/>
        <v>159.45789236026363</v>
      </c>
      <c r="EI16">
        <f t="shared" si="87"/>
        <v>843.67359999999996</v>
      </c>
      <c r="EL16" s="115" t="s">
        <v>539</v>
      </c>
      <c r="EM16" t="e">
        <f t="shared" ref="EM16:EQ16" si="88">EM6*1000/EM$4</f>
        <v>#DIV/0!</v>
      </c>
      <c r="EN16">
        <f t="shared" si="88"/>
        <v>351.05186390532543</v>
      </c>
      <c r="EO16">
        <f t="shared" si="88"/>
        <v>723.80363636363631</v>
      </c>
      <c r="EP16">
        <f t="shared" si="88"/>
        <v>191.82</v>
      </c>
      <c r="EQ16" t="e">
        <f t="shared" si="88"/>
        <v>#DIV/0!</v>
      </c>
      <c r="ES16">
        <f t="shared" ref="ES16:EW16" si="89">ES6*1000/ES$4</f>
        <v>495.82999999999993</v>
      </c>
      <c r="ET16">
        <f t="shared" si="89"/>
        <v>358.37676827572517</v>
      </c>
      <c r="EU16">
        <f t="shared" si="89"/>
        <v>910.47454374819472</v>
      </c>
      <c r="EV16">
        <f t="shared" si="89"/>
        <v>160.42346791380538</v>
      </c>
      <c r="EW16">
        <f t="shared" si="89"/>
        <v>843.67359999999996</v>
      </c>
      <c r="EZ16" s="115" t="s">
        <v>539</v>
      </c>
      <c r="FA16" t="e">
        <f t="shared" ref="FA16:FE16" si="90">FA6*1000/FA$4</f>
        <v>#DIV/0!</v>
      </c>
      <c r="FB16">
        <f t="shared" si="90"/>
        <v>349.65605633802818</v>
      </c>
      <c r="FC16">
        <f t="shared" si="90"/>
        <v>675.70863636363606</v>
      </c>
      <c r="FD16">
        <f t="shared" si="90"/>
        <v>169.79000000000002</v>
      </c>
      <c r="FE16" t="e">
        <f t="shared" si="90"/>
        <v>#DIV/0!</v>
      </c>
      <c r="FG16">
        <f t="shared" ref="FG16:FK16" si="91">FG6*1000/FG$4</f>
        <v>495.82999999999993</v>
      </c>
      <c r="FH16">
        <f t="shared" si="91"/>
        <v>357.59314979208108</v>
      </c>
      <c r="FI16">
        <f t="shared" si="91"/>
        <v>886.98575103950054</v>
      </c>
      <c r="FJ16">
        <f t="shared" si="91"/>
        <v>160.95092402234641</v>
      </c>
      <c r="FK16">
        <f t="shared" si="91"/>
        <v>843.67359999999996</v>
      </c>
      <c r="FN16" s="115" t="s">
        <v>539</v>
      </c>
      <c r="FO16" t="e">
        <f t="shared" ref="FO16:FS16" si="92">FO6*1000/FO$4</f>
        <v>#DIV/0!</v>
      </c>
      <c r="FP16">
        <f t="shared" si="92"/>
        <v>349.02000000000004</v>
      </c>
      <c r="FQ16">
        <f t="shared" si="92"/>
        <v>1167.8449999999998</v>
      </c>
      <c r="FR16">
        <f t="shared" si="92"/>
        <v>191.82</v>
      </c>
      <c r="FS16" t="e">
        <f t="shared" si="92"/>
        <v>#DIV/0!</v>
      </c>
      <c r="FU16">
        <f t="shared" ref="FU16:FY16" si="93">FU6*1000/FU$4</f>
        <v>495.82999999999993</v>
      </c>
      <c r="FV16">
        <f t="shared" si="93"/>
        <v>357.04472355728564</v>
      </c>
      <c r="FW16">
        <f t="shared" si="93"/>
        <v>896.84540371113292</v>
      </c>
      <c r="FX16">
        <f t="shared" si="93"/>
        <v>161.7962845033689</v>
      </c>
      <c r="FY16">
        <f t="shared" si="93"/>
        <v>843.67359999999996</v>
      </c>
      <c r="GB16" s="115" t="s">
        <v>539</v>
      </c>
      <c r="GC16" t="e">
        <f t="shared" ref="GC16:GG16" si="94">GC6*1000/GC$4</f>
        <v>#DIV/0!</v>
      </c>
      <c r="GD16">
        <f t="shared" si="94"/>
        <v>347.98426229508198</v>
      </c>
      <c r="GE16">
        <f t="shared" si="94"/>
        <v>1029.5042857142855</v>
      </c>
      <c r="GF16">
        <f t="shared" si="94"/>
        <v>191.82</v>
      </c>
      <c r="GG16" t="e">
        <f t="shared" si="94"/>
        <v>#DIV/0!</v>
      </c>
      <c r="GI16">
        <f t="shared" ref="GI16:GM16" si="95">GI6*1000/GI$4</f>
        <v>495.82999999999993</v>
      </c>
      <c r="GJ16">
        <f t="shared" si="95"/>
        <v>356.49557195659969</v>
      </c>
      <c r="GK16">
        <f t="shared" si="95"/>
        <v>900.79886753436267</v>
      </c>
      <c r="GL16">
        <f t="shared" si="95"/>
        <v>163.35531526890588</v>
      </c>
      <c r="GM16">
        <f t="shared" si="95"/>
        <v>843.67359999999996</v>
      </c>
      <c r="GP16" s="115" t="s">
        <v>539</v>
      </c>
      <c r="GQ16" t="e">
        <f t="shared" ref="GQ16:GU16" si="96">GQ6*1000/GQ$4</f>
        <v>#DIV/0!</v>
      </c>
      <c r="GR16">
        <f t="shared" si="96"/>
        <v>352.92051282051284</v>
      </c>
      <c r="GS16">
        <f t="shared" si="96"/>
        <v>684.6214705882353</v>
      </c>
      <c r="GT16">
        <f t="shared" si="96"/>
        <v>162.46392153317663</v>
      </c>
      <c r="GU16" t="e">
        <f t="shared" si="96"/>
        <v>#DIV/0!</v>
      </c>
      <c r="GW16">
        <f t="shared" ref="GW16:HA16" si="97">GW6*1000/GW$4</f>
        <v>495.82999999999993</v>
      </c>
      <c r="GX16">
        <f t="shared" si="97"/>
        <v>356.34686649144862</v>
      </c>
      <c r="GY16">
        <f t="shared" si="97"/>
        <v>873.46371692699972</v>
      </c>
      <c r="GZ16">
        <f t="shared" si="97"/>
        <v>163.24415984669153</v>
      </c>
      <c r="HA16">
        <f t="shared" si="97"/>
        <v>843.67359999999996</v>
      </c>
      <c r="HD16" s="115" t="s">
        <v>539</v>
      </c>
      <c r="HE16" t="e">
        <f t="shared" ref="HE16:HI16" si="98">HE6*1000/HE$4</f>
        <v>#DIV/0!</v>
      </c>
      <c r="HF16">
        <f t="shared" si="98"/>
        <v>349.85953974895398</v>
      </c>
      <c r="HG16">
        <f t="shared" si="98"/>
        <v>583.63280701754366</v>
      </c>
      <c r="HH16">
        <f t="shared" si="98"/>
        <v>175.95151562500001</v>
      </c>
      <c r="HI16" t="e">
        <f t="shared" si="98"/>
        <v>#DIV/0!</v>
      </c>
      <c r="HK16">
        <f t="shared" ref="HK16:HO16" si="99">HK6*1000/HK$4</f>
        <v>495.82999999999993</v>
      </c>
      <c r="HL16">
        <f t="shared" si="99"/>
        <v>355.95822158561919</v>
      </c>
      <c r="HM16">
        <f t="shared" si="99"/>
        <v>839.38514580403137</v>
      </c>
      <c r="HN16">
        <f t="shared" si="99"/>
        <v>163.93755920281367</v>
      </c>
      <c r="HO16">
        <f t="shared" si="99"/>
        <v>843.67359999999996</v>
      </c>
      <c r="HR16" s="115" t="s">
        <v>539</v>
      </c>
      <c r="HS16" t="e">
        <f t="shared" ref="HS16:HW16" si="100">HS6*1000/HS$4</f>
        <v>#DIV/0!</v>
      </c>
      <c r="HT16">
        <f t="shared" si="100"/>
        <v>348.8</v>
      </c>
      <c r="HU16">
        <f t="shared" si="100"/>
        <v>605.96387096774174</v>
      </c>
      <c r="HV16">
        <f t="shared" si="100"/>
        <v>157.16188118811883</v>
      </c>
      <c r="HW16" t="e">
        <f t="shared" si="100"/>
        <v>#DIV/0!</v>
      </c>
      <c r="HY16">
        <f t="shared" ref="HY16:IC16" si="101">HY6*1000/HY$4</f>
        <v>495.82999999999993</v>
      </c>
      <c r="HZ16">
        <f t="shared" si="101"/>
        <v>355.6689607587108</v>
      </c>
      <c r="IA16">
        <f t="shared" si="101"/>
        <v>817.8309259574462</v>
      </c>
      <c r="IB16">
        <f t="shared" si="101"/>
        <v>163.60467358479099</v>
      </c>
      <c r="IC16">
        <f t="shared" si="101"/>
        <v>843.67359999999996</v>
      </c>
      <c r="IF16" s="115" t="s">
        <v>539</v>
      </c>
      <c r="IG16" t="e">
        <f t="shared" ref="IG16:IK16" si="102">IG6*1000/IG$4</f>
        <v>#DIV/0!</v>
      </c>
      <c r="IH16">
        <f t="shared" si="102"/>
        <v>347.40804195804196</v>
      </c>
      <c r="II16">
        <f t="shared" si="102"/>
        <v>723.00679999999966</v>
      </c>
      <c r="IJ16">
        <f t="shared" si="102"/>
        <v>150.09642967542501</v>
      </c>
      <c r="IK16" t="e">
        <f t="shared" si="102"/>
        <v>#DIV/0!</v>
      </c>
      <c r="IM16">
        <f t="shared" ref="IM16:IQ16" si="103">IM6*1000/IM$4</f>
        <v>495.82999999999993</v>
      </c>
      <c r="IN16">
        <f t="shared" si="103"/>
        <v>355.39426455834962</v>
      </c>
      <c r="IO16">
        <f t="shared" si="103"/>
        <v>811.25895683168312</v>
      </c>
      <c r="IP16">
        <f t="shared" si="103"/>
        <v>162.93143355094656</v>
      </c>
      <c r="IQ16">
        <f t="shared" si="103"/>
        <v>843.67359999999996</v>
      </c>
      <c r="IT16" s="115" t="s">
        <v>539</v>
      </c>
      <c r="IU16" t="e">
        <f t="shared" ref="IU16:IY16" si="104">IU6*1000/IU$4</f>
        <v>#DIV/0!</v>
      </c>
      <c r="IV16">
        <f t="shared" si="104"/>
        <v>352.42062146892653</v>
      </c>
      <c r="IW16">
        <f t="shared" si="104"/>
        <v>870.95610878661068</v>
      </c>
      <c r="IX16">
        <f t="shared" si="104"/>
        <v>172.04333333333335</v>
      </c>
      <c r="IY16" t="e">
        <f t="shared" si="104"/>
        <v>#DIV/0!</v>
      </c>
      <c r="JA16">
        <f t="shared" ref="JA16:JE16" si="105">JA6*1000/JA$4</f>
        <v>495.82999999999993</v>
      </c>
      <c r="JB16">
        <f t="shared" si="105"/>
        <v>355.27671163295264</v>
      </c>
      <c r="JC16">
        <f t="shared" si="105"/>
        <v>812.36806902985063</v>
      </c>
      <c r="JD16">
        <f t="shared" si="105"/>
        <v>163.43286910156326</v>
      </c>
      <c r="JE16">
        <f t="shared" si="105"/>
        <v>843.67359999999996</v>
      </c>
      <c r="JH16" s="115" t="s">
        <v>539</v>
      </c>
      <c r="JI16">
        <f t="shared" ref="JI16:JM16" si="106">JI6*1000/JI$4</f>
        <v>495.82999999999993</v>
      </c>
      <c r="JJ16">
        <f t="shared" si="106"/>
        <v>348.74285714285719</v>
      </c>
      <c r="JK16">
        <f t="shared" si="106"/>
        <v>1399.2440000000001</v>
      </c>
      <c r="JL16">
        <f t="shared" si="106"/>
        <v>165.00883190883189</v>
      </c>
      <c r="JM16" t="e">
        <f t="shared" si="106"/>
        <v>#DIV/0!</v>
      </c>
      <c r="JO16">
        <f t="shared" ref="JO16:JS16" si="107">JO6*1000/JO$4</f>
        <v>495.82999999999993</v>
      </c>
      <c r="JP16">
        <f t="shared" si="107"/>
        <v>355.04041749185069</v>
      </c>
      <c r="JQ16">
        <f t="shared" si="107"/>
        <v>820.24469207761308</v>
      </c>
      <c r="JR16">
        <f t="shared" si="107"/>
        <v>163.50031859671131</v>
      </c>
      <c r="JS16">
        <f t="shared" si="107"/>
        <v>843.67359999999996</v>
      </c>
      <c r="JV16" s="115" t="s">
        <v>539</v>
      </c>
      <c r="JW16">
        <f t="shared" ref="JW16:KA16" si="108">JW6*1000/JW$4</f>
        <v>493.77999999999992</v>
      </c>
      <c r="JX16">
        <f t="shared" si="108"/>
        <v>351.00925925925935</v>
      </c>
      <c r="JY16">
        <f t="shared" si="108"/>
        <v>1025.5188235294113</v>
      </c>
      <c r="JZ16">
        <f t="shared" si="108"/>
        <v>144.98052631578949</v>
      </c>
      <c r="KA16" t="e">
        <f t="shared" si="108"/>
        <v>#DIV/0!</v>
      </c>
      <c r="KC16">
        <f t="shared" ref="KC16:KG16" si="109">KC6*1000/KC$4</f>
        <v>495.81249957316027</v>
      </c>
      <c r="KD16">
        <f t="shared" si="109"/>
        <v>354.88282101592745</v>
      </c>
      <c r="KE16">
        <f t="shared" si="109"/>
        <v>829.20303946017293</v>
      </c>
      <c r="KF16">
        <f t="shared" si="109"/>
        <v>162.52482062706275</v>
      </c>
      <c r="KG16">
        <f t="shared" si="109"/>
        <v>843.67359999999996</v>
      </c>
      <c r="KJ16" s="115" t="s">
        <v>539</v>
      </c>
      <c r="KK16">
        <f t="shared" ref="KK16:KO16" si="110">KK6*1000/KK$4</f>
        <v>495.83</v>
      </c>
      <c r="KL16">
        <f t="shared" si="110"/>
        <v>351.55554838709679</v>
      </c>
      <c r="KM16">
        <f t="shared" si="110"/>
        <v>932.35285714285669</v>
      </c>
      <c r="KN16">
        <f t="shared" si="110"/>
        <v>164.29375343973584</v>
      </c>
      <c r="KO16" t="e">
        <f t="shared" si="110"/>
        <v>#DIV/0!</v>
      </c>
      <c r="KQ16">
        <f t="shared" ref="KQ16:KU16" si="111">KQ6*1000/KQ$4</f>
        <v>495.81727814322943</v>
      </c>
      <c r="KR16">
        <f t="shared" si="111"/>
        <v>354.6823216794869</v>
      </c>
      <c r="KS16">
        <f t="shared" si="111"/>
        <v>831.02389869587159</v>
      </c>
      <c r="KT16">
        <f t="shared" si="111"/>
        <v>162.57631542688691</v>
      </c>
      <c r="KU16">
        <f t="shared" si="111"/>
        <v>843.67359999999996</v>
      </c>
      <c r="KX16" s="115" t="s">
        <v>539</v>
      </c>
      <c r="KY16" t="e">
        <f t="shared" ref="KY16:LC16" si="112">KY6*1000/KY$4</f>
        <v>#DIV/0!</v>
      </c>
      <c r="KZ16">
        <f t="shared" si="112"/>
        <v>331.89702420808652</v>
      </c>
      <c r="LA16">
        <f t="shared" si="112"/>
        <v>850.30058823529362</v>
      </c>
      <c r="LB16" t="e">
        <f t="shared" si="112"/>
        <v>#DIV/0!</v>
      </c>
      <c r="LC16" t="e">
        <f t="shared" si="112"/>
        <v>#DIV/0!</v>
      </c>
      <c r="LE16">
        <f t="shared" ref="LE16:LI16" si="113">LE6*1000/LE$4</f>
        <v>495.81727814322943</v>
      </c>
      <c r="LF16">
        <f t="shared" si="113"/>
        <v>353.74019795443542</v>
      </c>
      <c r="LG16">
        <f t="shared" si="113"/>
        <v>831.81632858919465</v>
      </c>
      <c r="LH16">
        <f t="shared" si="113"/>
        <v>162.57631542688691</v>
      </c>
      <c r="LI16">
        <f t="shared" si="113"/>
        <v>843.67359999999996</v>
      </c>
    </row>
    <row r="17" spans="58:321" x14ac:dyDescent="0.3">
      <c r="BF17" s="114" t="s">
        <v>540</v>
      </c>
      <c r="BG17">
        <f t="shared" ref="BG17:BQ17" si="114">BG8*1000/BG$4</f>
        <v>39.35</v>
      </c>
      <c r="BH17">
        <f t="shared" si="114"/>
        <v>32.923127413127418</v>
      </c>
      <c r="BI17">
        <f t="shared" si="114"/>
        <v>64.470333333333343</v>
      </c>
      <c r="BJ17">
        <f t="shared" si="114"/>
        <v>4.5999999999999996</v>
      </c>
      <c r="BK17" t="e">
        <f t="shared" si="114"/>
        <v>#DIV/0!</v>
      </c>
      <c r="BM17">
        <f t="shared" si="114"/>
        <v>39.35</v>
      </c>
      <c r="BN17">
        <f t="shared" si="114"/>
        <v>33.313501869585039</v>
      </c>
      <c r="BO17">
        <f t="shared" si="114"/>
        <v>94.980630907891879</v>
      </c>
      <c r="BP17">
        <f t="shared" si="114"/>
        <v>4.5999999999999988</v>
      </c>
      <c r="BQ17" t="e">
        <f t="shared" si="114"/>
        <v>#DIV/0!</v>
      </c>
      <c r="BT17" s="114" t="s">
        <v>540</v>
      </c>
      <c r="BU17" t="e">
        <f t="shared" ref="BU17:BY17" si="115">BU8*1000/BU$4</f>
        <v>#DIV/0!</v>
      </c>
      <c r="BV17">
        <f t="shared" si="115"/>
        <v>34.423199999999994</v>
      </c>
      <c r="BW17">
        <f t="shared" si="115"/>
        <v>83.423429752066127</v>
      </c>
      <c r="BX17">
        <f t="shared" si="115"/>
        <v>4.5999999999999996</v>
      </c>
      <c r="BY17" t="e">
        <f t="shared" si="115"/>
        <v>#DIV/0!</v>
      </c>
      <c r="CA17">
        <f t="shared" ref="CA17:CE17" si="116">CA8*1000/CA$4</f>
        <v>39.35</v>
      </c>
      <c r="CB17">
        <f t="shared" si="116"/>
        <v>33.41047923429047</v>
      </c>
      <c r="CC17">
        <f t="shared" si="116"/>
        <v>95.796517686930756</v>
      </c>
      <c r="CD17">
        <f t="shared" si="116"/>
        <v>4.5999999999999996</v>
      </c>
      <c r="CE17" t="e">
        <f t="shared" si="116"/>
        <v>#DIV/0!</v>
      </c>
      <c r="CH17" s="114" t="s">
        <v>540</v>
      </c>
      <c r="CI17" t="e">
        <f t="shared" ref="CI17:CM17" si="117">CI7*1000/CI$4</f>
        <v>#DIV/0!</v>
      </c>
      <c r="CJ17">
        <f t="shared" si="117"/>
        <v>286.07388171312033</v>
      </c>
      <c r="CK17">
        <f t="shared" si="117"/>
        <v>714.39904761904722</v>
      </c>
      <c r="CL17">
        <f t="shared" si="117"/>
        <v>156.05608063450097</v>
      </c>
      <c r="CM17">
        <f t="shared" si="117"/>
        <v>811.62360000000001</v>
      </c>
      <c r="CO17">
        <f t="shared" si="81"/>
        <v>421.6099999999999</v>
      </c>
      <c r="CP17">
        <f t="shared" si="81"/>
        <v>295.13243496959797</v>
      </c>
      <c r="CQ17">
        <f t="shared" si="81"/>
        <v>712.07854288856265</v>
      </c>
      <c r="CR17">
        <f t="shared" si="81"/>
        <v>150.44343729152769</v>
      </c>
      <c r="CS17">
        <f t="shared" si="81"/>
        <v>811.62360000000001</v>
      </c>
      <c r="CV17" s="114" t="s">
        <v>540</v>
      </c>
      <c r="CW17" t="e">
        <f t="shared" ref="CW17:DA17" si="118">CW7*1000/CW$4</f>
        <v>#DIV/0!</v>
      </c>
      <c r="CX17">
        <f t="shared" si="118"/>
        <v>286.43199999999996</v>
      </c>
      <c r="CY17">
        <f t="shared" si="118"/>
        <v>784.62792857142813</v>
      </c>
      <c r="CZ17">
        <f t="shared" si="118"/>
        <v>152.36499999999998</v>
      </c>
      <c r="DA17" t="e">
        <f t="shared" si="118"/>
        <v>#DIV/0!</v>
      </c>
      <c r="DC17">
        <f t="shared" ref="DC17:DG17" si="119">DC7*1000/DC$4</f>
        <v>421.6099999999999</v>
      </c>
      <c r="DD17">
        <f t="shared" si="119"/>
        <v>294.16865211657648</v>
      </c>
      <c r="DE17">
        <f t="shared" si="119"/>
        <v>720.32814814814787</v>
      </c>
      <c r="DF17">
        <f t="shared" si="119"/>
        <v>150.71998429468874</v>
      </c>
      <c r="DG17">
        <f t="shared" si="119"/>
        <v>811.62360000000001</v>
      </c>
      <c r="DJ17" s="114" t="s">
        <v>540</v>
      </c>
      <c r="DK17" t="e">
        <f t="shared" ref="DK17:DO17" si="120">DK7*1000/DK$4</f>
        <v>#DIV/0!</v>
      </c>
      <c r="DL17">
        <f t="shared" si="120"/>
        <v>284.56335195530727</v>
      </c>
      <c r="DM17">
        <f t="shared" si="120"/>
        <v>1439.3824999999995</v>
      </c>
      <c r="DN17">
        <f t="shared" si="120"/>
        <v>165.583</v>
      </c>
      <c r="DO17" t="e">
        <f t="shared" si="120"/>
        <v>#DIV/0!</v>
      </c>
      <c r="DQ17">
        <f t="shared" ref="DQ17:DU17" si="121">DQ7*1000/DQ$4</f>
        <v>421.6099999999999</v>
      </c>
      <c r="DR17">
        <f t="shared" si="121"/>
        <v>293.43563298617443</v>
      </c>
      <c r="DS17">
        <f t="shared" si="121"/>
        <v>736.31728557814449</v>
      </c>
      <c r="DT17">
        <f t="shared" si="121"/>
        <v>151.82036620835538</v>
      </c>
      <c r="DU17">
        <f t="shared" si="121"/>
        <v>811.62360000000001</v>
      </c>
      <c r="DX17" s="114" t="s">
        <v>540</v>
      </c>
      <c r="DY17" t="e">
        <f t="shared" ref="DY17:EC17" si="122">DY7*1000/DY$4</f>
        <v>#DIV/0!</v>
      </c>
      <c r="DZ17">
        <f t="shared" si="122"/>
        <v>305.01430051813469</v>
      </c>
      <c r="EA17">
        <f t="shared" si="122"/>
        <v>853.23999999999955</v>
      </c>
      <c r="EB17">
        <f t="shared" si="122"/>
        <v>167.786</v>
      </c>
      <c r="EC17" t="e">
        <f t="shared" si="122"/>
        <v>#DIV/0!</v>
      </c>
      <c r="EE17">
        <f t="shared" ref="EE17:EI17" si="123">EE7*1000/EE$4</f>
        <v>421.6099999999999</v>
      </c>
      <c r="EF17">
        <f t="shared" si="123"/>
        <v>294.31592447945968</v>
      </c>
      <c r="EG17">
        <f t="shared" si="123"/>
        <v>740.69674820363844</v>
      </c>
      <c r="EH17">
        <f t="shared" si="123"/>
        <v>153.04789236026363</v>
      </c>
      <c r="EI17">
        <f t="shared" si="123"/>
        <v>811.62360000000001</v>
      </c>
      <c r="EL17" s="114" t="s">
        <v>540</v>
      </c>
      <c r="EM17" t="e">
        <f t="shared" ref="EM17:EQ17" si="124">EM7*1000/EM$4</f>
        <v>#DIV/0!</v>
      </c>
      <c r="EN17">
        <f t="shared" si="124"/>
        <v>287.09769230769234</v>
      </c>
      <c r="EO17">
        <f t="shared" si="124"/>
        <v>516.3145454545454</v>
      </c>
      <c r="EP17">
        <f t="shared" si="124"/>
        <v>185.41</v>
      </c>
      <c r="EQ17" t="e">
        <f t="shared" si="124"/>
        <v>#DIV/0!</v>
      </c>
      <c r="ES17">
        <f t="shared" ref="ES17:EW17" si="125">ES7*1000/ES$4</f>
        <v>421.6099999999999</v>
      </c>
      <c r="ET17">
        <f t="shared" si="125"/>
        <v>293.46777502979728</v>
      </c>
      <c r="EU17">
        <f t="shared" si="125"/>
        <v>728.22387092116639</v>
      </c>
      <c r="EV17">
        <f t="shared" si="125"/>
        <v>154.01346791380539</v>
      </c>
      <c r="EW17">
        <f t="shared" si="125"/>
        <v>811.62360000000001</v>
      </c>
      <c r="EZ17" s="114" t="s">
        <v>540</v>
      </c>
      <c r="FA17" t="e">
        <f t="shared" ref="FA17:FE17" si="126">FA7*1000/FA$4</f>
        <v>#DIV/0!</v>
      </c>
      <c r="FB17">
        <f t="shared" si="126"/>
        <v>284.570985915493</v>
      </c>
      <c r="FC17">
        <f t="shared" si="126"/>
        <v>560.22045454545423</v>
      </c>
      <c r="FD17">
        <f t="shared" si="126"/>
        <v>163.37999999999997</v>
      </c>
      <c r="FE17" t="e">
        <f t="shared" si="126"/>
        <v>#DIV/0!</v>
      </c>
      <c r="FG17">
        <f t="shared" ref="FG17:FK17" si="127">FG7*1000/FG$4</f>
        <v>421.6099999999999</v>
      </c>
      <c r="FH17">
        <f t="shared" si="127"/>
        <v>292.66833474959316</v>
      </c>
      <c r="FI17">
        <f t="shared" si="127"/>
        <v>711.41479729729713</v>
      </c>
      <c r="FJ17">
        <f t="shared" si="127"/>
        <v>154.54092402234639</v>
      </c>
      <c r="FK17">
        <f t="shared" si="127"/>
        <v>811.62360000000001</v>
      </c>
      <c r="FN17" s="114" t="s">
        <v>540</v>
      </c>
      <c r="FO17" t="e">
        <f t="shared" ref="FO17:FS17" si="128">FO7*1000/FO$4</f>
        <v>#DIV/0!</v>
      </c>
      <c r="FP17">
        <f t="shared" si="128"/>
        <v>285.2</v>
      </c>
      <c r="FQ17">
        <f t="shared" si="128"/>
        <v>829.15249999999969</v>
      </c>
      <c r="FR17">
        <f t="shared" si="128"/>
        <v>185.41</v>
      </c>
      <c r="FS17" t="e">
        <f t="shared" si="128"/>
        <v>#DIV/0!</v>
      </c>
      <c r="FU17">
        <f t="shared" ref="FU17:FY17" si="129">FU7*1000/FU$4</f>
        <v>421.6099999999999</v>
      </c>
      <c r="FV17">
        <f t="shared" si="129"/>
        <v>292.19058377051948</v>
      </c>
      <c r="FW17">
        <f t="shared" si="129"/>
        <v>715.54801654964865</v>
      </c>
      <c r="FX17">
        <f t="shared" si="129"/>
        <v>155.38628450336884</v>
      </c>
      <c r="FY17">
        <f t="shared" si="129"/>
        <v>811.62360000000001</v>
      </c>
      <c r="GB17" s="114" t="s">
        <v>540</v>
      </c>
      <c r="GC17" t="e">
        <f t="shared" ref="GC17:GG17" si="130">GC7*1000/GC$4</f>
        <v>#DIV/0!</v>
      </c>
      <c r="GD17">
        <f t="shared" si="130"/>
        <v>284.16426229508204</v>
      </c>
      <c r="GE17">
        <f t="shared" si="130"/>
        <v>718.15857142857124</v>
      </c>
      <c r="GF17">
        <f t="shared" si="130"/>
        <v>185.41</v>
      </c>
      <c r="GG17" t="e">
        <f t="shared" si="130"/>
        <v>#DIV/0!</v>
      </c>
      <c r="GI17">
        <f t="shared" ref="GI17:GM17" si="131">GI7*1000/GI$4</f>
        <v>421.6099999999999</v>
      </c>
      <c r="GJ17">
        <f t="shared" si="131"/>
        <v>291.70411104487101</v>
      </c>
      <c r="GK17">
        <f t="shared" si="131"/>
        <v>715.6258155942096</v>
      </c>
      <c r="GL17">
        <f t="shared" si="131"/>
        <v>156.94531526890586</v>
      </c>
      <c r="GM17">
        <f t="shared" si="131"/>
        <v>811.62360000000001</v>
      </c>
      <c r="GP17" s="114" t="s">
        <v>540</v>
      </c>
      <c r="GQ17" t="e">
        <f t="shared" ref="GQ17:GU17" si="132">GQ7*1000/GQ$4</f>
        <v>#DIV/0!</v>
      </c>
      <c r="GR17">
        <f t="shared" si="132"/>
        <v>288.63538461538462</v>
      </c>
      <c r="GS17">
        <f t="shared" si="132"/>
        <v>460.40205882352944</v>
      </c>
      <c r="GT17">
        <f t="shared" si="132"/>
        <v>156.05392153317663</v>
      </c>
      <c r="GU17" t="e">
        <f t="shared" si="132"/>
        <v>#DIV/0!</v>
      </c>
      <c r="GW17">
        <f t="shared" ref="GW17:HA17" si="133">GW7*1000/GW$4</f>
        <v>421.6099999999999</v>
      </c>
      <c r="GX17">
        <f t="shared" si="133"/>
        <v>291.57646661333939</v>
      </c>
      <c r="GY17">
        <f t="shared" si="133"/>
        <v>683.35333970885097</v>
      </c>
      <c r="GZ17">
        <f t="shared" si="133"/>
        <v>156.83415984669145</v>
      </c>
      <c r="HA17">
        <f t="shared" si="133"/>
        <v>811.62360000000001</v>
      </c>
      <c r="HD17" s="114" t="s">
        <v>540</v>
      </c>
      <c r="HE17" t="e">
        <f t="shared" ref="HE17:HI17" si="134">HE7*1000/HE$4</f>
        <v>#DIV/0!</v>
      </c>
      <c r="HF17">
        <f t="shared" si="134"/>
        <v>285.55933054393307</v>
      </c>
      <c r="HG17">
        <f t="shared" si="134"/>
        <v>464.54716108452931</v>
      </c>
      <c r="HH17">
        <f t="shared" si="134"/>
        <v>169.54151562500002</v>
      </c>
      <c r="HI17" t="e">
        <f t="shared" si="134"/>
        <v>#DIV/0!</v>
      </c>
      <c r="HK17">
        <f t="shared" ref="HK17:HO17" si="135">HK7*1000/HK$4</f>
        <v>421.6099999999999</v>
      </c>
      <c r="HL17">
        <f t="shared" si="135"/>
        <v>291.21599004511916</v>
      </c>
      <c r="HM17">
        <f t="shared" si="135"/>
        <v>657.62591842475342</v>
      </c>
      <c r="HN17">
        <f t="shared" si="135"/>
        <v>157.52755920281356</v>
      </c>
      <c r="HO17">
        <f t="shared" si="135"/>
        <v>811.62360000000001</v>
      </c>
      <c r="HR17" s="114" t="s">
        <v>540</v>
      </c>
      <c r="HS17" t="e">
        <f t="shared" ref="HS17:HW17" si="136">HS7*1000/HS$4</f>
        <v>#DIV/0!</v>
      </c>
      <c r="HT17">
        <f t="shared" si="136"/>
        <v>284.97999999999996</v>
      </c>
      <c r="HU17">
        <f t="shared" si="136"/>
        <v>489.77225806451605</v>
      </c>
      <c r="HV17">
        <f t="shared" si="136"/>
        <v>150.7518811881188</v>
      </c>
      <c r="HW17" t="e">
        <f t="shared" si="136"/>
        <v>#DIV/0!</v>
      </c>
      <c r="HY17">
        <f t="shared" ref="HY17:IC17" si="137">HY7*1000/HY$4</f>
        <v>421.6099999999999</v>
      </c>
      <c r="HZ17">
        <f t="shared" si="137"/>
        <v>290.96399622019095</v>
      </c>
      <c r="IA17">
        <f t="shared" si="137"/>
        <v>642.1262399999996</v>
      </c>
      <c r="IB17">
        <f t="shared" si="137"/>
        <v>157.19467358479088</v>
      </c>
      <c r="IC17">
        <f t="shared" si="137"/>
        <v>811.62360000000001</v>
      </c>
      <c r="IF17" s="114" t="s">
        <v>540</v>
      </c>
      <c r="IG17" t="e">
        <f t="shared" ref="IG17:IK17" si="138">IG7*1000/IG$4</f>
        <v>#DIV/0!</v>
      </c>
      <c r="IH17">
        <f t="shared" si="138"/>
        <v>283.58804195804203</v>
      </c>
      <c r="II17">
        <f t="shared" si="138"/>
        <v>585.73239999999987</v>
      </c>
      <c r="IJ17">
        <f t="shared" si="138"/>
        <v>143.68642967542502</v>
      </c>
      <c r="IK17" t="e">
        <f t="shared" si="138"/>
        <v>#DIV/0!</v>
      </c>
      <c r="IM17">
        <f t="shared" ref="IM17:IQ17" si="139">IM7*1000/IM$4</f>
        <v>421.6099999999999</v>
      </c>
      <c r="IN17">
        <f t="shared" si="139"/>
        <v>290.7187273029266</v>
      </c>
      <c r="IO17">
        <f t="shared" si="139"/>
        <v>638.21775603960361</v>
      </c>
      <c r="IP17">
        <f t="shared" si="139"/>
        <v>156.52143355094645</v>
      </c>
      <c r="IQ17">
        <f t="shared" si="139"/>
        <v>811.62360000000001</v>
      </c>
      <c r="IT17" s="114" t="s">
        <v>540</v>
      </c>
      <c r="IU17" t="e">
        <f t="shared" ref="IU17:IY17" si="140">IU7*1000/IU$4</f>
        <v>#DIV/0!</v>
      </c>
      <c r="IV17">
        <f t="shared" si="140"/>
        <v>288.34440677966097</v>
      </c>
      <c r="IW17">
        <f t="shared" si="140"/>
        <v>679.3515899581588</v>
      </c>
      <c r="IX17">
        <f t="shared" si="140"/>
        <v>165.63333333333333</v>
      </c>
      <c r="IY17" t="e">
        <f t="shared" si="140"/>
        <v>#DIV/0!</v>
      </c>
      <c r="JA17">
        <f t="shared" ref="JA17:JE17" si="141">JA7*1000/JA$4</f>
        <v>421.6099999999999</v>
      </c>
      <c r="JB17">
        <f t="shared" si="141"/>
        <v>290.62486656882135</v>
      </c>
      <c r="JC17">
        <f t="shared" si="141"/>
        <v>638.98198072139257</v>
      </c>
      <c r="JD17">
        <f t="shared" si="141"/>
        <v>157.02286910156317</v>
      </c>
      <c r="JE17">
        <f t="shared" si="141"/>
        <v>811.62360000000001</v>
      </c>
      <c r="JH17" s="114" t="s">
        <v>540</v>
      </c>
      <c r="JI17">
        <f t="shared" ref="JI17:JM17" si="142">JI7*1000/JI$4</f>
        <v>421.6099999999999</v>
      </c>
      <c r="JJ17">
        <f t="shared" si="142"/>
        <v>284.92285714285714</v>
      </c>
      <c r="JK17">
        <f t="shared" si="142"/>
        <v>788.11200000000019</v>
      </c>
      <c r="JL17">
        <f t="shared" si="142"/>
        <v>158.59883190883193</v>
      </c>
      <c r="JM17" t="e">
        <f t="shared" si="142"/>
        <v>#DIV/0!</v>
      </c>
      <c r="JO17">
        <f t="shared" ref="JO17:JS17" si="143">JO7*1000/JO$4</f>
        <v>421.6099999999999</v>
      </c>
      <c r="JP17">
        <f t="shared" si="143"/>
        <v>290.41865575988686</v>
      </c>
      <c r="JQ17">
        <f t="shared" si="143"/>
        <v>640.98349566684522</v>
      </c>
      <c r="JR17">
        <f t="shared" si="143"/>
        <v>157.09031859671123</v>
      </c>
      <c r="JS17">
        <f t="shared" si="143"/>
        <v>811.62360000000001</v>
      </c>
      <c r="JV17" s="114" t="s">
        <v>540</v>
      </c>
      <c r="JW17">
        <f t="shared" ref="JW17:KA17" si="144">JW7*1000/JW$4</f>
        <v>425.12999999999994</v>
      </c>
      <c r="JX17">
        <f t="shared" si="144"/>
        <v>286.90132275132277</v>
      </c>
      <c r="JY17">
        <f t="shared" si="144"/>
        <v>811.43882352941137</v>
      </c>
      <c r="JZ17">
        <f t="shared" si="144"/>
        <v>138.57052631578946</v>
      </c>
      <c r="KA17" t="e">
        <f t="shared" si="144"/>
        <v>#DIV/0!</v>
      </c>
      <c r="KC17">
        <f t="shared" ref="KC17:KG17" si="145">KC7*1000/KC$4</f>
        <v>421.64004951340269</v>
      </c>
      <c r="KD17">
        <f t="shared" si="145"/>
        <v>290.28114707012213</v>
      </c>
      <c r="KE17">
        <f t="shared" si="145"/>
        <v>648.42231920199447</v>
      </c>
      <c r="KF17">
        <f t="shared" si="145"/>
        <v>156.11482062706267</v>
      </c>
      <c r="KG17">
        <f t="shared" si="145"/>
        <v>811.62360000000001</v>
      </c>
      <c r="KJ17" s="114" t="s">
        <v>540</v>
      </c>
      <c r="KK17">
        <f t="shared" ref="KK17:KO17" si="146">KK7*1000/KK$4</f>
        <v>421.60999999999996</v>
      </c>
      <c r="KL17">
        <f t="shared" si="146"/>
        <v>287.38445161290326</v>
      </c>
      <c r="KM17">
        <f t="shared" si="146"/>
        <v>759.0157142857139</v>
      </c>
      <c r="KN17">
        <f t="shared" si="146"/>
        <v>157.88375343973584</v>
      </c>
      <c r="KO17" t="e">
        <f t="shared" si="146"/>
        <v>#DIV/0!</v>
      </c>
      <c r="KQ17">
        <f t="shared" ref="KQ17:KU17" si="147">KQ7*1000/KQ$4</f>
        <v>421.63184435894249</v>
      </c>
      <c r="KR17">
        <f t="shared" si="147"/>
        <v>290.10659404070981</v>
      </c>
      <c r="KS17">
        <f t="shared" si="147"/>
        <v>650.37457669860896</v>
      </c>
      <c r="KT17">
        <f t="shared" si="147"/>
        <v>156.16631542688688</v>
      </c>
      <c r="KU17">
        <f t="shared" si="147"/>
        <v>811.62360000000001</v>
      </c>
      <c r="KX17" s="114" t="s">
        <v>540</v>
      </c>
      <c r="KY17" t="e">
        <f t="shared" ref="KY17:LC17" si="148">KY7*1000/KY$4</f>
        <v>#DIV/0!</v>
      </c>
      <c r="KZ17">
        <f t="shared" si="148"/>
        <v>269.53832732423388</v>
      </c>
      <c r="LA17">
        <f t="shared" si="148"/>
        <v>717.91941176470539</v>
      </c>
      <c r="LB17" t="e">
        <f t="shared" si="148"/>
        <v>#DIV/0!</v>
      </c>
      <c r="LC17" t="e">
        <f t="shared" si="148"/>
        <v>#DIV/0!</v>
      </c>
      <c r="LE17">
        <f t="shared" ref="LE17:LI17" si="149">LE7*1000/LE$4</f>
        <v>421.63184435894249</v>
      </c>
      <c r="LF17">
        <f t="shared" si="149"/>
        <v>289.2561398352687</v>
      </c>
      <c r="LG17">
        <f t="shared" si="149"/>
        <v>653.15122288240968</v>
      </c>
      <c r="LH17">
        <f t="shared" si="149"/>
        <v>156.16631542688688</v>
      </c>
      <c r="LI17">
        <f t="shared" si="149"/>
        <v>811.62360000000001</v>
      </c>
    </row>
    <row r="18" spans="58:321" x14ac:dyDescent="0.3">
      <c r="BF18" s="114" t="s">
        <v>541</v>
      </c>
      <c r="BG18">
        <f t="shared" ref="BG18:BQ18" si="150">BG9*1000/BG$4</f>
        <v>34.870000000000005</v>
      </c>
      <c r="BH18">
        <f t="shared" si="150"/>
        <v>31.775868725868726</v>
      </c>
      <c r="BI18">
        <f t="shared" si="150"/>
        <v>47.182999999999993</v>
      </c>
      <c r="BJ18">
        <f t="shared" si="150"/>
        <v>1.8099999999999998</v>
      </c>
      <c r="BK18" t="e">
        <f t="shared" si="150"/>
        <v>#DIV/0!</v>
      </c>
      <c r="BM18">
        <f t="shared" si="150"/>
        <v>34.870000000000005</v>
      </c>
      <c r="BN18">
        <f t="shared" si="150"/>
        <v>31.94291655266758</v>
      </c>
      <c r="BO18">
        <f t="shared" si="150"/>
        <v>65.123748076500334</v>
      </c>
      <c r="BP18">
        <f t="shared" si="150"/>
        <v>1.8099999999999998</v>
      </c>
      <c r="BQ18" t="e">
        <f t="shared" si="150"/>
        <v>#DIV/0!</v>
      </c>
      <c r="BT18" s="114" t="s">
        <v>541</v>
      </c>
      <c r="BU18" t="e">
        <f t="shared" ref="BU18:BY18" si="151">BU9*1000/BU$4</f>
        <v>#DIV/0!</v>
      </c>
      <c r="BV18">
        <f t="shared" si="151"/>
        <v>32.49880000000001</v>
      </c>
      <c r="BW18">
        <f t="shared" si="151"/>
        <v>56.07714876033058</v>
      </c>
      <c r="BX18">
        <f t="shared" si="151"/>
        <v>1.8099999999999998</v>
      </c>
      <c r="BY18" t="e">
        <f t="shared" si="151"/>
        <v>#DIV/0!</v>
      </c>
      <c r="CA18">
        <f t="shared" ref="CA18:CE18" si="152">CA9*1000/CA$4</f>
        <v>34.870000000000005</v>
      </c>
      <c r="CB18">
        <f t="shared" si="152"/>
        <v>31.99149563046192</v>
      </c>
      <c r="CC18">
        <f t="shared" si="152"/>
        <v>65.625630163101036</v>
      </c>
      <c r="CD18">
        <f t="shared" si="152"/>
        <v>1.8099999999999998</v>
      </c>
      <c r="CE18" t="e">
        <f t="shared" si="152"/>
        <v>#DIV/0!</v>
      </c>
      <c r="CH18" s="114" t="s">
        <v>541</v>
      </c>
      <c r="CI18" t="e">
        <f t="shared" ref="CI18:CM18" si="153">CI8*1000/CI$4</f>
        <v>#DIV/0!</v>
      </c>
      <c r="CJ18">
        <f t="shared" si="153"/>
        <v>32.33</v>
      </c>
      <c r="CK18">
        <f t="shared" si="153"/>
        <v>73.781904761904769</v>
      </c>
      <c r="CL18">
        <f t="shared" si="153"/>
        <v>4.5999999999999996</v>
      </c>
      <c r="CM18">
        <f t="shared" si="153"/>
        <v>23</v>
      </c>
      <c r="CO18">
        <f t="shared" si="81"/>
        <v>39.35</v>
      </c>
      <c r="CP18">
        <f t="shared" si="81"/>
        <v>33.29262479608483</v>
      </c>
      <c r="CQ18">
        <f t="shared" si="81"/>
        <v>92.830839442815261</v>
      </c>
      <c r="CR18">
        <f t="shared" si="81"/>
        <v>4.5999999999999996</v>
      </c>
      <c r="CS18">
        <f t="shared" si="81"/>
        <v>23</v>
      </c>
      <c r="CV18" s="114" t="s">
        <v>541</v>
      </c>
      <c r="CW18" t="e">
        <f t="shared" ref="CW18:DA18" si="154">CW8*1000/CW$4</f>
        <v>#DIV/0!</v>
      </c>
      <c r="CX18">
        <f t="shared" si="154"/>
        <v>32.33</v>
      </c>
      <c r="CY18">
        <f t="shared" si="154"/>
        <v>124.84257142857142</v>
      </c>
      <c r="CZ18">
        <f t="shared" si="154"/>
        <v>4.5999999999999996</v>
      </c>
      <c r="DA18" t="e">
        <f t="shared" si="154"/>
        <v>#DIV/0!</v>
      </c>
      <c r="DC18">
        <f t="shared" ref="DC18:DG18" si="155">DC8*1000/DC$4</f>
        <v>39.35</v>
      </c>
      <c r="DD18">
        <f t="shared" si="155"/>
        <v>33.185990900698933</v>
      </c>
      <c r="DE18">
        <f t="shared" si="155"/>
        <v>96.470899935022743</v>
      </c>
      <c r="DF18">
        <f t="shared" si="155"/>
        <v>4.5999999999999988</v>
      </c>
      <c r="DG18">
        <f t="shared" si="155"/>
        <v>23</v>
      </c>
      <c r="DJ18" s="114" t="s">
        <v>541</v>
      </c>
      <c r="DK18" t="e">
        <f t="shared" ref="DK18:DO18" si="156">DK8*1000/DK$4</f>
        <v>#DIV/0!</v>
      </c>
      <c r="DL18">
        <f t="shared" si="156"/>
        <v>32.33</v>
      </c>
      <c r="DM18">
        <f t="shared" si="156"/>
        <v>532.47249999999997</v>
      </c>
      <c r="DN18">
        <f t="shared" si="156"/>
        <v>4.5999999999999996</v>
      </c>
      <c r="DO18" t="e">
        <f t="shared" si="156"/>
        <v>#DIV/0!</v>
      </c>
      <c r="DQ18">
        <f t="shared" ref="DQ18:DU18" si="157">DQ8*1000/DQ$4</f>
        <v>39.35</v>
      </c>
      <c r="DR18">
        <f t="shared" si="157"/>
        <v>33.120666788476761</v>
      </c>
      <c r="DS18">
        <f t="shared" si="157"/>
        <v>106.16597998729354</v>
      </c>
      <c r="DT18">
        <f t="shared" si="157"/>
        <v>4.5999999999999996</v>
      </c>
      <c r="DU18">
        <f t="shared" si="157"/>
        <v>23</v>
      </c>
      <c r="DX18" s="114" t="s">
        <v>541</v>
      </c>
      <c r="DY18" t="e">
        <f t="shared" ref="DY18:EC18" si="158">DY8*1000/DY$4</f>
        <v>#DIV/0!</v>
      </c>
      <c r="DZ18">
        <f t="shared" si="158"/>
        <v>33.630103626943004</v>
      </c>
      <c r="EA18">
        <f t="shared" si="158"/>
        <v>161.6685714285714</v>
      </c>
      <c r="EB18">
        <f t="shared" si="158"/>
        <v>4.5999999999999996</v>
      </c>
      <c r="EC18" t="e">
        <f t="shared" si="158"/>
        <v>#DIV/0!</v>
      </c>
      <c r="EE18">
        <f t="shared" ref="EE18:EI18" si="159">EE8*1000/EE$4</f>
        <v>39.35</v>
      </c>
      <c r="EF18">
        <f t="shared" si="159"/>
        <v>33.159397749015199</v>
      </c>
      <c r="EG18">
        <f t="shared" si="159"/>
        <v>108.24488763186059</v>
      </c>
      <c r="EH18">
        <f t="shared" si="159"/>
        <v>4.5999999999999996</v>
      </c>
      <c r="EI18">
        <f t="shared" si="159"/>
        <v>23</v>
      </c>
      <c r="EL18" s="114" t="s">
        <v>541</v>
      </c>
      <c r="EM18" t="e">
        <f t="shared" ref="EM18:EQ18" si="160">EM8*1000/EM$4</f>
        <v>#DIV/0!</v>
      </c>
      <c r="EN18">
        <f t="shared" si="160"/>
        <v>32.420532544378702</v>
      </c>
      <c r="EO18">
        <f t="shared" si="160"/>
        <v>126.07272727272725</v>
      </c>
      <c r="EP18">
        <f t="shared" si="160"/>
        <v>4.5999999999999996</v>
      </c>
      <c r="EQ18" t="e">
        <f t="shared" si="160"/>
        <v>#DIV/0!</v>
      </c>
      <c r="ES18">
        <f t="shared" ref="ES18:EW18" si="161">ES8*1000/ES$4</f>
        <v>39.35</v>
      </c>
      <c r="ET18">
        <f t="shared" si="161"/>
        <v>33.072580353595548</v>
      </c>
      <c r="EU18">
        <f t="shared" si="161"/>
        <v>109.23589517759173</v>
      </c>
      <c r="EV18">
        <f t="shared" si="161"/>
        <v>4.5999999999999979</v>
      </c>
      <c r="EW18">
        <f t="shared" si="161"/>
        <v>23</v>
      </c>
      <c r="EZ18" s="114" t="s">
        <v>541</v>
      </c>
      <c r="FA18" t="e">
        <f t="shared" ref="FA18:FE18" si="162">FA8*1000/FA$4</f>
        <v>#DIV/0!</v>
      </c>
      <c r="FB18">
        <f t="shared" si="162"/>
        <v>33.184366197183095</v>
      </c>
      <c r="FC18">
        <f t="shared" si="162"/>
        <v>66.469545454545454</v>
      </c>
      <c r="FD18">
        <f t="shared" si="162"/>
        <v>4.5999999999999996</v>
      </c>
      <c r="FE18" t="e">
        <f t="shared" si="162"/>
        <v>#DIV/0!</v>
      </c>
      <c r="FG18">
        <f t="shared" ref="FG18:FK18" si="163">FG8*1000/FG$4</f>
        <v>39.35</v>
      </c>
      <c r="FH18">
        <f t="shared" si="163"/>
        <v>33.082625112999459</v>
      </c>
      <c r="FI18">
        <f t="shared" si="163"/>
        <v>104.95703742203744</v>
      </c>
      <c r="FJ18">
        <f t="shared" si="163"/>
        <v>4.5999999999999988</v>
      </c>
      <c r="FK18">
        <f t="shared" si="163"/>
        <v>23</v>
      </c>
      <c r="FN18" s="114" t="s">
        <v>541</v>
      </c>
      <c r="FO18" t="e">
        <f t="shared" ref="FO18:FS18" si="164">FO8*1000/FO$4</f>
        <v>#DIV/0!</v>
      </c>
      <c r="FP18">
        <f t="shared" si="164"/>
        <v>32.33</v>
      </c>
      <c r="FQ18">
        <f t="shared" si="164"/>
        <v>209.79374999999999</v>
      </c>
      <c r="FR18">
        <f t="shared" si="164"/>
        <v>4.5999999999999996</v>
      </c>
      <c r="FS18" t="e">
        <f t="shared" si="164"/>
        <v>#DIV/0!</v>
      </c>
      <c r="FU18">
        <f t="shared" ref="FU18:FY18" si="165">FU8*1000/FU$4</f>
        <v>39.35</v>
      </c>
      <c r="FV18">
        <f t="shared" si="165"/>
        <v>33.034479522761885</v>
      </c>
      <c r="FW18">
        <f t="shared" si="165"/>
        <v>108.6373633400201</v>
      </c>
      <c r="FX18">
        <f t="shared" si="165"/>
        <v>4.5999999999999996</v>
      </c>
      <c r="FY18">
        <f t="shared" si="165"/>
        <v>23</v>
      </c>
      <c r="GB18" s="114" t="s">
        <v>541</v>
      </c>
      <c r="GC18" t="e">
        <f t="shared" ref="GC18:GG18" si="166">GC8*1000/GC$4</f>
        <v>#DIV/0!</v>
      </c>
      <c r="GD18">
        <f t="shared" si="166"/>
        <v>32.329999999999991</v>
      </c>
      <c r="GE18">
        <f t="shared" si="166"/>
        <v>193.40428571428569</v>
      </c>
      <c r="GF18">
        <f t="shared" si="166"/>
        <v>4.5999999999999996</v>
      </c>
      <c r="GG18" t="e">
        <f t="shared" si="166"/>
        <v>#DIV/0!</v>
      </c>
      <c r="GI18">
        <f t="shared" ref="GI18:GM18" si="167">GI8*1000/GI$4</f>
        <v>39.35</v>
      </c>
      <c r="GJ18">
        <f t="shared" si="167"/>
        <v>32.991781248758002</v>
      </c>
      <c r="GK18">
        <f t="shared" si="167"/>
        <v>111.16356404330375</v>
      </c>
      <c r="GL18">
        <f t="shared" si="167"/>
        <v>4.5999999999999988</v>
      </c>
      <c r="GM18">
        <f t="shared" si="167"/>
        <v>23</v>
      </c>
      <c r="GP18" s="114" t="s">
        <v>541</v>
      </c>
      <c r="GQ18" t="e">
        <f t="shared" ref="GQ18:GU18" si="168">GQ8*1000/GQ$4</f>
        <v>#DIV/0!</v>
      </c>
      <c r="GR18">
        <f t="shared" si="168"/>
        <v>32.643846153846148</v>
      </c>
      <c r="GS18">
        <f t="shared" si="168"/>
        <v>136.51029411764702</v>
      </c>
      <c r="GT18">
        <f t="shared" si="168"/>
        <v>4.5999999999999996</v>
      </c>
      <c r="GU18" t="e">
        <f t="shared" si="168"/>
        <v>#DIV/0!</v>
      </c>
      <c r="GW18">
        <f t="shared" ref="GW18:HA18" si="169">GW8*1000/GW$4</f>
        <v>39.35</v>
      </c>
      <c r="GX18">
        <f t="shared" si="169"/>
        <v>32.977308802803485</v>
      </c>
      <c r="GY18">
        <f t="shared" si="169"/>
        <v>114.36860163638292</v>
      </c>
      <c r="GZ18">
        <f t="shared" si="169"/>
        <v>4.5999999999999996</v>
      </c>
      <c r="HA18">
        <f t="shared" si="169"/>
        <v>23</v>
      </c>
      <c r="HD18" s="114" t="s">
        <v>541</v>
      </c>
      <c r="HE18" t="e">
        <f t="shared" ref="HE18:HI18" si="170">HE8*1000/HE$4</f>
        <v>#DIV/0!</v>
      </c>
      <c r="HF18">
        <f t="shared" si="170"/>
        <v>32.654309623430962</v>
      </c>
      <c r="HG18">
        <f t="shared" si="170"/>
        <v>69.176842105263148</v>
      </c>
      <c r="HH18">
        <f t="shared" si="170"/>
        <v>4.5999999999999996</v>
      </c>
      <c r="HI18" t="e">
        <f t="shared" si="170"/>
        <v>#DIV/0!</v>
      </c>
      <c r="HK18">
        <f t="shared" ref="HK18:HO18" si="171">HK8*1000/HK$4</f>
        <v>39.35</v>
      </c>
      <c r="HL18">
        <f t="shared" si="171"/>
        <v>32.957958461648637</v>
      </c>
      <c r="HM18">
        <f t="shared" si="171"/>
        <v>109.05491514299104</v>
      </c>
      <c r="HN18">
        <f t="shared" si="171"/>
        <v>4.5999999999999996</v>
      </c>
      <c r="HO18">
        <f t="shared" si="171"/>
        <v>23</v>
      </c>
      <c r="HR18" s="114" t="s">
        <v>541</v>
      </c>
      <c r="HS18" t="e">
        <f t="shared" ref="HS18:HW18" si="172">HS8*1000/HS$4</f>
        <v>#DIV/0!</v>
      </c>
      <c r="HT18">
        <f t="shared" si="172"/>
        <v>32.33</v>
      </c>
      <c r="HU18">
        <f t="shared" si="172"/>
        <v>67.470967741935482</v>
      </c>
      <c r="HV18">
        <f t="shared" si="172"/>
        <v>4.5999999999999988</v>
      </c>
      <c r="HW18" t="e">
        <f t="shared" si="172"/>
        <v>#DIV/0!</v>
      </c>
      <c r="HY18">
        <f t="shared" ref="HY18:IC18" si="173">HY8*1000/HY$4</f>
        <v>39.35</v>
      </c>
      <c r="HZ18">
        <f t="shared" si="173"/>
        <v>32.932582915263545</v>
      </c>
      <c r="IA18">
        <f t="shared" si="173"/>
        <v>105.2150357446808</v>
      </c>
      <c r="IB18">
        <f t="shared" si="173"/>
        <v>4.5999999999999996</v>
      </c>
      <c r="IC18">
        <f t="shared" si="173"/>
        <v>23</v>
      </c>
      <c r="IF18" s="114" t="s">
        <v>541</v>
      </c>
      <c r="IG18" t="e">
        <f t="shared" ref="IG18:IK18" si="174">IG8*1000/IG$4</f>
        <v>#DIV/0!</v>
      </c>
      <c r="IH18">
        <f t="shared" si="174"/>
        <v>32.33</v>
      </c>
      <c r="II18">
        <f t="shared" si="174"/>
        <v>80.619200000000006</v>
      </c>
      <c r="IJ18">
        <f t="shared" si="174"/>
        <v>4.5999999999999996</v>
      </c>
      <c r="IK18" t="e">
        <f t="shared" si="174"/>
        <v>#DIV/0!</v>
      </c>
      <c r="IM18">
        <f t="shared" ref="IM18:IQ18" si="175">IM8*1000/IM$4</f>
        <v>39.35</v>
      </c>
      <c r="IN18">
        <f t="shared" si="175"/>
        <v>32.912545527023887</v>
      </c>
      <c r="IO18">
        <f t="shared" si="175"/>
        <v>103.5103738613861</v>
      </c>
      <c r="IP18">
        <f t="shared" si="175"/>
        <v>4.5999999999999996</v>
      </c>
      <c r="IQ18">
        <f t="shared" si="175"/>
        <v>23</v>
      </c>
      <c r="IT18" s="114" t="s">
        <v>541</v>
      </c>
      <c r="IU18" t="e">
        <f t="shared" ref="IU18:IY18" si="176">IU8*1000/IU$4</f>
        <v>#DIV/0!</v>
      </c>
      <c r="IV18">
        <f t="shared" si="176"/>
        <v>32.502881355932203</v>
      </c>
      <c r="IW18">
        <f t="shared" si="176"/>
        <v>116.70121338912134</v>
      </c>
      <c r="IX18">
        <f t="shared" si="176"/>
        <v>4.5999999999999996</v>
      </c>
      <c r="IY18" t="e">
        <f t="shared" si="176"/>
        <v>#DIV/0!</v>
      </c>
      <c r="JA18">
        <f t="shared" ref="JA18:JE18" si="177">JA8*1000/JA$4</f>
        <v>39.35</v>
      </c>
      <c r="JB18">
        <f t="shared" si="177"/>
        <v>32.896350839129596</v>
      </c>
      <c r="JC18">
        <f t="shared" si="177"/>
        <v>103.75544620646761</v>
      </c>
      <c r="JD18">
        <f t="shared" si="177"/>
        <v>4.5999999999999996</v>
      </c>
      <c r="JE18">
        <f t="shared" si="177"/>
        <v>23</v>
      </c>
      <c r="JH18" s="114" t="s">
        <v>541</v>
      </c>
      <c r="JI18">
        <f t="shared" ref="JI18:JM18" si="178">JI8*1000/JI$4</f>
        <v>39.35</v>
      </c>
      <c r="JJ18">
        <f t="shared" si="178"/>
        <v>32.329999999999991</v>
      </c>
      <c r="JK18">
        <f t="shared" si="178"/>
        <v>386.26400000000001</v>
      </c>
      <c r="JL18">
        <f t="shared" si="178"/>
        <v>4.5999999999999996</v>
      </c>
      <c r="JM18" t="e">
        <f t="shared" si="178"/>
        <v>#DIV/0!</v>
      </c>
      <c r="JO18">
        <f t="shared" ref="JO18:JS18" si="179">JO8*1000/JO$4</f>
        <v>39.35</v>
      </c>
      <c r="JP18">
        <f t="shared" si="179"/>
        <v>32.875868995633184</v>
      </c>
      <c r="JQ18">
        <f t="shared" si="179"/>
        <v>107.54707109440903</v>
      </c>
      <c r="JR18">
        <f t="shared" si="179"/>
        <v>4.5999999999999996</v>
      </c>
      <c r="JS18">
        <f t="shared" si="179"/>
        <v>23</v>
      </c>
      <c r="JV18" s="114" t="s">
        <v>541</v>
      </c>
      <c r="JW18">
        <f t="shared" ref="JW18:KA18" si="180">JW8*1000/JW$4</f>
        <v>39.35</v>
      </c>
      <c r="JX18">
        <f t="shared" si="180"/>
        <v>32.52428571428571</v>
      </c>
      <c r="JY18">
        <f t="shared" si="180"/>
        <v>129.95647058823531</v>
      </c>
      <c r="JZ18">
        <f t="shared" si="180"/>
        <v>4.5999999999999996</v>
      </c>
      <c r="KA18" t="e">
        <f t="shared" si="180"/>
        <v>#DIV/0!</v>
      </c>
      <c r="KC18">
        <f t="shared" ref="KC18:KG18" si="181">KC8*1000/KC$4</f>
        <v>39.35</v>
      </c>
      <c r="KD18">
        <f t="shared" si="181"/>
        <v>32.86212399160781</v>
      </c>
      <c r="KE18">
        <f t="shared" si="181"/>
        <v>108.52503740648375</v>
      </c>
      <c r="KF18">
        <f t="shared" si="181"/>
        <v>4.5999999999999996</v>
      </c>
      <c r="KG18">
        <f t="shared" si="181"/>
        <v>23</v>
      </c>
      <c r="KJ18" s="114" t="s">
        <v>541</v>
      </c>
      <c r="KK18">
        <f t="shared" ref="KK18:KO18" si="182">KK8*1000/KK$4</f>
        <v>39.35</v>
      </c>
      <c r="KL18">
        <f t="shared" si="182"/>
        <v>32.566903225806456</v>
      </c>
      <c r="KM18">
        <f t="shared" si="182"/>
        <v>103.01857142857142</v>
      </c>
      <c r="KN18">
        <f t="shared" si="182"/>
        <v>4.6000000000000005</v>
      </c>
      <c r="KO18" t="e">
        <f t="shared" si="182"/>
        <v>#DIV/0!</v>
      </c>
      <c r="KQ18">
        <f t="shared" ref="KQ18:KU18" si="183">KQ8*1000/KQ$4</f>
        <v>39.35</v>
      </c>
      <c r="KR18">
        <f t="shared" si="183"/>
        <v>32.844334175668543</v>
      </c>
      <c r="KS18">
        <f t="shared" si="183"/>
        <v>108.42783413790615</v>
      </c>
      <c r="KT18">
        <f t="shared" si="183"/>
        <v>4.5999999999999996</v>
      </c>
      <c r="KU18">
        <f t="shared" si="183"/>
        <v>23</v>
      </c>
      <c r="KX18" s="114" t="s">
        <v>541</v>
      </c>
      <c r="KY18" t="e">
        <f t="shared" ref="KY18:LC18" si="184">KY8*1000/KY$4</f>
        <v>#DIV/0!</v>
      </c>
      <c r="KZ18">
        <f t="shared" si="184"/>
        <v>31.343958279680646</v>
      </c>
      <c r="LA18">
        <f t="shared" si="184"/>
        <v>76.894705882352937</v>
      </c>
      <c r="LB18" t="e">
        <f t="shared" si="184"/>
        <v>#DIV/0!</v>
      </c>
      <c r="LC18" t="e">
        <f t="shared" si="184"/>
        <v>#DIV/0!</v>
      </c>
      <c r="LE18">
        <f t="shared" ref="LE18:LI18" si="185">LE8*1000/LE$4</f>
        <v>39.35</v>
      </c>
      <c r="LF18">
        <f t="shared" si="185"/>
        <v>32.782296814520201</v>
      </c>
      <c r="LG18">
        <f t="shared" si="185"/>
        <v>107.1315641840541</v>
      </c>
      <c r="LH18">
        <f t="shared" si="185"/>
        <v>4.5999999999999996</v>
      </c>
      <c r="LI18">
        <f t="shared" si="185"/>
        <v>23</v>
      </c>
    </row>
    <row r="19" spans="58:321" x14ac:dyDescent="0.3">
      <c r="BF19" s="114" t="s">
        <v>542</v>
      </c>
      <c r="BG19">
        <f t="shared" ref="BG19:BQ19" si="186">BG10*1000/BG$4</f>
        <v>243.48</v>
      </c>
      <c r="BH19">
        <f t="shared" si="186"/>
        <v>10.531621621621561</v>
      </c>
      <c r="BI19">
        <f t="shared" si="186"/>
        <v>43.825333333333703</v>
      </c>
      <c r="BJ19">
        <f t="shared" si="186"/>
        <v>8.8008823529411888</v>
      </c>
      <c r="BK19" t="e">
        <f t="shared" si="186"/>
        <v>#DIV/0!</v>
      </c>
      <c r="BM19">
        <f t="shared" si="186"/>
        <v>243.48</v>
      </c>
      <c r="BN19">
        <f t="shared" si="186"/>
        <v>9.8095959872321501</v>
      </c>
      <c r="BO19">
        <f t="shared" si="186"/>
        <v>35.791415695757891</v>
      </c>
      <c r="BP19">
        <f t="shared" si="186"/>
        <v>8.5292097264437849</v>
      </c>
      <c r="BQ19" t="e">
        <f t="shared" si="186"/>
        <v>#DIV/0!</v>
      </c>
      <c r="BT19" s="114" t="s">
        <v>542</v>
      </c>
      <c r="BU19" t="e">
        <f t="shared" ref="BU19:BY19" si="187">BU10*1000/BU$4</f>
        <v>#DIV/0!</v>
      </c>
      <c r="BV19">
        <f t="shared" si="187"/>
        <v>14.300800000000068</v>
      </c>
      <c r="BW19">
        <f t="shared" si="187"/>
        <v>236.43586776859547</v>
      </c>
      <c r="BX19">
        <f t="shared" si="187"/>
        <v>9.7677611940298501</v>
      </c>
      <c r="BY19" t="e">
        <f t="shared" si="187"/>
        <v>#DIV/0!</v>
      </c>
      <c r="CA19">
        <f t="shared" ref="CA19:CE19" si="188">CA10*1000/CA$4</f>
        <v>243.48</v>
      </c>
      <c r="CB19">
        <f t="shared" si="188"/>
        <v>10.2020857261756</v>
      </c>
      <c r="CC19">
        <f t="shared" si="188"/>
        <v>46.607208218598458</v>
      </c>
      <c r="CD19">
        <f t="shared" si="188"/>
        <v>8.6400753888729849</v>
      </c>
      <c r="CE19" t="e">
        <f t="shared" si="188"/>
        <v>#DIV/0!</v>
      </c>
      <c r="CH19" s="114" t="s">
        <v>542</v>
      </c>
      <c r="CI19" t="e">
        <f t="shared" ref="CI19:CM19" si="189">CI9*1000/CI$4</f>
        <v>#DIV/0!</v>
      </c>
      <c r="CJ19">
        <f t="shared" si="189"/>
        <v>31.490000000000002</v>
      </c>
      <c r="CK19">
        <f t="shared" si="189"/>
        <v>53.048571428571428</v>
      </c>
      <c r="CL19">
        <f t="shared" si="189"/>
        <v>1.8099999999999998</v>
      </c>
      <c r="CM19">
        <f t="shared" si="189"/>
        <v>9.0499999999999989</v>
      </c>
      <c r="CO19">
        <f t="shared" si="81"/>
        <v>34.870000000000005</v>
      </c>
      <c r="CP19">
        <f t="shared" si="81"/>
        <v>31.936794453507339</v>
      </c>
      <c r="CQ19">
        <f t="shared" si="81"/>
        <v>63.931323313782997</v>
      </c>
      <c r="CR19">
        <f t="shared" si="81"/>
        <v>1.8099999999999998</v>
      </c>
      <c r="CS19">
        <f t="shared" si="81"/>
        <v>9.0499999999999989</v>
      </c>
      <c r="CV19" s="114" t="s">
        <v>542</v>
      </c>
      <c r="CW19" t="e">
        <f t="shared" ref="CW19:DA19" si="190">CW9*1000/CW$4</f>
        <v>#DIV/0!</v>
      </c>
      <c r="CX19">
        <f t="shared" si="190"/>
        <v>31.49</v>
      </c>
      <c r="CY19">
        <f t="shared" si="190"/>
        <v>81.055571428571426</v>
      </c>
      <c r="CZ19">
        <f t="shared" si="190"/>
        <v>1.8099999999999998</v>
      </c>
      <c r="DA19" t="e">
        <f t="shared" si="190"/>
        <v>#DIV/0!</v>
      </c>
      <c r="DC19">
        <f t="shared" ref="DC19:DG19" si="191">DC9*1000/DC$4</f>
        <v>34.870000000000005</v>
      </c>
      <c r="DD19">
        <f t="shared" si="191"/>
        <v>31.887301200052754</v>
      </c>
      <c r="DE19">
        <f t="shared" si="191"/>
        <v>65.878525016244296</v>
      </c>
      <c r="DF19">
        <f t="shared" si="191"/>
        <v>1.8099999999999996</v>
      </c>
      <c r="DG19">
        <f t="shared" si="191"/>
        <v>9.0499999999999989</v>
      </c>
      <c r="DJ19" s="114" t="s">
        <v>542</v>
      </c>
      <c r="DK19" t="e">
        <f t="shared" ref="DK19:DO19" si="192">DK9*1000/DK$4</f>
        <v>#DIV/0!</v>
      </c>
      <c r="DL19">
        <f t="shared" si="192"/>
        <v>31.490000000000002</v>
      </c>
      <c r="DM19">
        <f t="shared" si="192"/>
        <v>311.8175</v>
      </c>
      <c r="DN19">
        <f t="shared" si="192"/>
        <v>1.8099999999999996</v>
      </c>
      <c r="DO19" t="e">
        <f t="shared" si="192"/>
        <v>#DIV/0!</v>
      </c>
      <c r="DQ19">
        <f t="shared" ref="DQ19:DU19" si="193">DQ9*1000/DQ$4</f>
        <v>34.870000000000005</v>
      </c>
      <c r="DR19">
        <f t="shared" si="193"/>
        <v>31.856981545770136</v>
      </c>
      <c r="DS19">
        <f t="shared" si="193"/>
        <v>71.347307814485376</v>
      </c>
      <c r="DT19">
        <f t="shared" si="193"/>
        <v>1.8099999999999998</v>
      </c>
      <c r="DU19">
        <f t="shared" si="193"/>
        <v>9.0499999999999989</v>
      </c>
      <c r="DX19" s="114" t="s">
        <v>542</v>
      </c>
      <c r="DY19" t="e">
        <f t="shared" ref="DY19:EC19" si="194">DY9*1000/DY$4</f>
        <v>#DIV/0!</v>
      </c>
      <c r="DZ19">
        <f t="shared" si="194"/>
        <v>32.116683937823836</v>
      </c>
      <c r="EA19">
        <f t="shared" si="194"/>
        <v>102.66285714285713</v>
      </c>
      <c r="EB19">
        <f t="shared" si="194"/>
        <v>1.8099999999999998</v>
      </c>
      <c r="EC19" t="e">
        <f t="shared" si="194"/>
        <v>#DIV/0!</v>
      </c>
      <c r="EE19">
        <f t="shared" ref="EE19:EI19" si="195">EE9*1000/EE$4</f>
        <v>34.870000000000005</v>
      </c>
      <c r="EF19">
        <f t="shared" si="195"/>
        <v>31.876725942599894</v>
      </c>
      <c r="EG19">
        <f t="shared" si="195"/>
        <v>72.520264485552644</v>
      </c>
      <c r="EH19">
        <f t="shared" si="195"/>
        <v>1.8099999999999998</v>
      </c>
      <c r="EI19">
        <f t="shared" si="195"/>
        <v>9.0499999999999989</v>
      </c>
      <c r="EL19" s="114" t="s">
        <v>542</v>
      </c>
      <c r="EM19" t="e">
        <f t="shared" ref="EM19:EQ19" si="196">EM9*1000/EM$4</f>
        <v>#DIV/0!</v>
      </c>
      <c r="EN19">
        <f t="shared" si="196"/>
        <v>31.53363905325444</v>
      </c>
      <c r="EO19">
        <f t="shared" si="196"/>
        <v>81.416363636363641</v>
      </c>
      <c r="EP19">
        <f t="shared" si="196"/>
        <v>1.8099999999999998</v>
      </c>
      <c r="EQ19" t="e">
        <f t="shared" si="196"/>
        <v>#DIV/0!</v>
      </c>
      <c r="ES19">
        <f t="shared" ref="ES19:EW19" si="197">ES9*1000/ES$4</f>
        <v>34.870000000000005</v>
      </c>
      <c r="ET19">
        <f t="shared" si="197"/>
        <v>31.836412892332145</v>
      </c>
      <c r="EU19">
        <f t="shared" si="197"/>
        <v>73.01477764943688</v>
      </c>
      <c r="EV19">
        <f t="shared" si="197"/>
        <v>1.8099999999999998</v>
      </c>
      <c r="EW19">
        <f t="shared" si="197"/>
        <v>9.0499999999999989</v>
      </c>
      <c r="EZ19" s="114" t="s">
        <v>542</v>
      </c>
      <c r="FA19" t="e">
        <f t="shared" ref="FA19:FE19" si="198">FA9*1000/FA$4</f>
        <v>#DIV/0!</v>
      </c>
      <c r="FB19">
        <f t="shared" si="198"/>
        <v>31.900704225352111</v>
      </c>
      <c r="FC19">
        <f t="shared" si="198"/>
        <v>49.018636363636361</v>
      </c>
      <c r="FD19">
        <f t="shared" si="198"/>
        <v>1.8099999999999998</v>
      </c>
      <c r="FE19" t="e">
        <f t="shared" si="198"/>
        <v>#DIV/0!</v>
      </c>
      <c r="FG19">
        <f t="shared" ref="FG19:FK19" si="199">FG9*1000/FG$4</f>
        <v>34.870000000000005</v>
      </c>
      <c r="FH19">
        <f t="shared" si="199"/>
        <v>31.842189929488338</v>
      </c>
      <c r="FI19">
        <f t="shared" si="199"/>
        <v>70.613916320166297</v>
      </c>
      <c r="FJ19">
        <f t="shared" si="199"/>
        <v>1.8099999999999996</v>
      </c>
      <c r="FK19">
        <f t="shared" si="199"/>
        <v>9.0499999999999989</v>
      </c>
      <c r="FN19" s="114" t="s">
        <v>542</v>
      </c>
      <c r="FO19" t="e">
        <f t="shared" ref="FO19:FS19" si="200">FO9*1000/FO$4</f>
        <v>#DIV/0!</v>
      </c>
      <c r="FP19">
        <f t="shared" si="200"/>
        <v>31.490000000000002</v>
      </c>
      <c r="FQ19">
        <f t="shared" si="200"/>
        <v>128.89874999999998</v>
      </c>
      <c r="FR19">
        <f t="shared" si="200"/>
        <v>1.8099999999999998</v>
      </c>
      <c r="FS19" t="e">
        <f t="shared" si="200"/>
        <v>#DIV/0!</v>
      </c>
      <c r="FU19">
        <f t="shared" ref="FU19:FY19" si="201">FU9*1000/FU$4</f>
        <v>34.870000000000005</v>
      </c>
      <c r="FV19">
        <f t="shared" si="201"/>
        <v>31.81966026400406</v>
      </c>
      <c r="FW19">
        <f t="shared" si="201"/>
        <v>72.660023821464407</v>
      </c>
      <c r="FX19">
        <f t="shared" si="201"/>
        <v>1.8099999999999998</v>
      </c>
      <c r="FY19">
        <f t="shared" si="201"/>
        <v>9.0499999999999989</v>
      </c>
      <c r="GB19" s="114" t="s">
        <v>542</v>
      </c>
      <c r="GC19" t="e">
        <f t="shared" ref="GC19:GG19" si="202">GC9*1000/GC$4</f>
        <v>#DIV/0!</v>
      </c>
      <c r="GD19">
        <f t="shared" si="202"/>
        <v>31.49</v>
      </c>
      <c r="GE19">
        <f t="shared" si="202"/>
        <v>117.94142857142856</v>
      </c>
      <c r="GF19">
        <f t="shared" si="202"/>
        <v>1.8099999999999998</v>
      </c>
      <c r="GG19" t="e">
        <f t="shared" si="202"/>
        <v>#DIV/0!</v>
      </c>
      <c r="GI19">
        <f t="shared" ref="GI19:GM19" si="203">GI9*1000/GI$4</f>
        <v>34.870000000000005</v>
      </c>
      <c r="GJ19">
        <f t="shared" si="203"/>
        <v>31.799679662970469</v>
      </c>
      <c r="GK19">
        <f t="shared" si="203"/>
        <v>74.009487896849564</v>
      </c>
      <c r="GL19">
        <f t="shared" si="203"/>
        <v>1.8099999999999996</v>
      </c>
      <c r="GM19">
        <f t="shared" si="203"/>
        <v>9.0499999999999989</v>
      </c>
      <c r="GP19" s="114" t="s">
        <v>542</v>
      </c>
      <c r="GQ19" t="e">
        <f t="shared" ref="GQ19:GU19" si="204">GQ9*1000/GQ$4</f>
        <v>#DIV/0!</v>
      </c>
      <c r="GR19">
        <f t="shared" si="204"/>
        <v>31.641282051282051</v>
      </c>
      <c r="GS19">
        <f t="shared" si="204"/>
        <v>87.709117647058832</v>
      </c>
      <c r="GT19">
        <f t="shared" si="204"/>
        <v>1.8099999999999998</v>
      </c>
      <c r="GU19" t="e">
        <f t="shared" si="204"/>
        <v>#DIV/0!</v>
      </c>
      <c r="GW19">
        <f t="shared" ref="GW19:HA19" si="205">GW9*1000/GW$4</f>
        <v>34.870000000000005</v>
      </c>
      <c r="GX19">
        <f t="shared" si="205"/>
        <v>31.793091075305686</v>
      </c>
      <c r="GY19">
        <f t="shared" si="205"/>
        <v>75.741775581766035</v>
      </c>
      <c r="GZ19">
        <f t="shared" si="205"/>
        <v>1.8099999999999998</v>
      </c>
      <c r="HA19">
        <f t="shared" si="205"/>
        <v>9.0499999999999989</v>
      </c>
      <c r="HD19" s="114" t="s">
        <v>542</v>
      </c>
      <c r="HE19" t="e">
        <f t="shared" ref="HE19:HI19" si="206">HE9*1000/HE$4</f>
        <v>#DIV/0!</v>
      </c>
      <c r="HF19">
        <f t="shared" si="206"/>
        <v>31.645899581589958</v>
      </c>
      <c r="HG19">
        <f t="shared" si="206"/>
        <v>49.908803827751193</v>
      </c>
      <c r="HH19">
        <f t="shared" si="206"/>
        <v>1.8099999999999998</v>
      </c>
      <c r="HI19" t="e">
        <f t="shared" si="206"/>
        <v>#DIV/0!</v>
      </c>
      <c r="HK19">
        <f t="shared" ref="HK19:HO19" si="207">HK9*1000/HK$4</f>
        <v>34.870000000000005</v>
      </c>
      <c r="HL19">
        <f t="shared" si="207"/>
        <v>31.78427307885126</v>
      </c>
      <c r="HM19">
        <f t="shared" si="207"/>
        <v>72.704312236286952</v>
      </c>
      <c r="HN19">
        <f t="shared" si="207"/>
        <v>1.8099999999999998</v>
      </c>
      <c r="HO19">
        <f t="shared" si="207"/>
        <v>9.0499999999999989</v>
      </c>
      <c r="HR19" s="114" t="s">
        <v>542</v>
      </c>
      <c r="HS19" t="e">
        <f t="shared" ref="HS19:HW19" si="208">HS9*1000/HS$4</f>
        <v>#DIV/0!</v>
      </c>
      <c r="HT19">
        <f t="shared" si="208"/>
        <v>31.490000000000002</v>
      </c>
      <c r="HU19">
        <f t="shared" si="208"/>
        <v>48.720645161290321</v>
      </c>
      <c r="HV19">
        <f t="shared" si="208"/>
        <v>1.8099999999999998</v>
      </c>
      <c r="HW19" t="e">
        <f t="shared" si="208"/>
        <v>#DIV/0!</v>
      </c>
      <c r="HY19">
        <f t="shared" ref="HY19:IC19" si="209">HY9*1000/HY$4</f>
        <v>34.870000000000005</v>
      </c>
      <c r="HZ19">
        <f t="shared" si="209"/>
        <v>31.772381623256141</v>
      </c>
      <c r="IA19">
        <f t="shared" si="209"/>
        <v>70.489650212765994</v>
      </c>
      <c r="IB19">
        <f t="shared" si="209"/>
        <v>1.8099999999999998</v>
      </c>
      <c r="IC19">
        <f t="shared" si="209"/>
        <v>9.0499999999999989</v>
      </c>
      <c r="IF19" s="114" t="s">
        <v>542</v>
      </c>
      <c r="IG19" t="e">
        <f t="shared" ref="IG19:IK19" si="210">IG9*1000/IG$4</f>
        <v>#DIV/0!</v>
      </c>
      <c r="IH19">
        <f t="shared" si="210"/>
        <v>31.490000000000002</v>
      </c>
      <c r="II19">
        <f t="shared" si="210"/>
        <v>56.655199999999994</v>
      </c>
      <c r="IJ19">
        <f t="shared" si="210"/>
        <v>1.8099999999999998</v>
      </c>
      <c r="IK19" t="e">
        <f t="shared" si="210"/>
        <v>#DIV/0!</v>
      </c>
      <c r="IM19">
        <f t="shared" ref="IM19:IQ19" si="211">IM9*1000/IM$4</f>
        <v>34.870000000000005</v>
      </c>
      <c r="IN19">
        <f t="shared" si="211"/>
        <v>31.762991728399172</v>
      </c>
      <c r="IO19">
        <f t="shared" si="211"/>
        <v>69.530826930693095</v>
      </c>
      <c r="IP19">
        <f t="shared" si="211"/>
        <v>1.8100000000000005</v>
      </c>
      <c r="IQ19">
        <f t="shared" si="211"/>
        <v>9.0499999999999989</v>
      </c>
      <c r="IT19" s="114" t="s">
        <v>542</v>
      </c>
      <c r="IU19" t="e">
        <f t="shared" ref="IU19:IY19" si="212">IU9*1000/IU$4</f>
        <v>#DIV/0!</v>
      </c>
      <c r="IV19">
        <f t="shared" si="212"/>
        <v>31.573333333333338</v>
      </c>
      <c r="IW19">
        <f t="shared" si="212"/>
        <v>74.903305439330538</v>
      </c>
      <c r="IX19">
        <f t="shared" si="212"/>
        <v>1.8099999999999998</v>
      </c>
      <c r="IY19" t="e">
        <f t="shared" si="212"/>
        <v>#DIV/0!</v>
      </c>
      <c r="JA19">
        <f t="shared" ref="JA19:JE19" si="213">JA9*1000/JA$4</f>
        <v>34.870000000000005</v>
      </c>
      <c r="JB19">
        <f t="shared" si="213"/>
        <v>31.755494225001602</v>
      </c>
      <c r="JC19">
        <f t="shared" si="213"/>
        <v>69.630642101990077</v>
      </c>
      <c r="JD19">
        <f t="shared" si="213"/>
        <v>1.8100000000000007</v>
      </c>
      <c r="JE19">
        <f t="shared" si="213"/>
        <v>9.0499999999999989</v>
      </c>
      <c r="JH19" s="114" t="s">
        <v>542</v>
      </c>
      <c r="JI19">
        <f t="shared" ref="JI19:JM19" si="214">JI9*1000/JI$4</f>
        <v>34.870000000000005</v>
      </c>
      <c r="JJ19">
        <f t="shared" si="214"/>
        <v>31.490000000000002</v>
      </c>
      <c r="JK19">
        <f t="shared" si="214"/>
        <v>224.86799999999997</v>
      </c>
      <c r="JL19">
        <f t="shared" si="214"/>
        <v>1.8099999999999996</v>
      </c>
      <c r="JM19" t="e">
        <f t="shared" si="214"/>
        <v>#DIV/0!</v>
      </c>
      <c r="JO19">
        <f t="shared" ref="JO19:JS19" si="215">JO9*1000/JO$4</f>
        <v>34.870000000000005</v>
      </c>
      <c r="JP19">
        <f t="shared" si="215"/>
        <v>31.745892736330653</v>
      </c>
      <c r="JQ19">
        <f t="shared" si="215"/>
        <v>71.714125316358647</v>
      </c>
      <c r="JR19">
        <f t="shared" si="215"/>
        <v>1.8100000000000007</v>
      </c>
      <c r="JS19">
        <f t="shared" si="215"/>
        <v>9.0499999999999989</v>
      </c>
      <c r="JV19" s="114" t="s">
        <v>542</v>
      </c>
      <c r="JW19">
        <f t="shared" ref="JW19:KA19" si="216">JW9*1000/JW$4</f>
        <v>29.3</v>
      </c>
      <c r="JX19">
        <f t="shared" si="216"/>
        <v>31.58365079365079</v>
      </c>
      <c r="JY19">
        <f t="shared" si="216"/>
        <v>84.123529411764693</v>
      </c>
      <c r="JZ19">
        <f t="shared" si="216"/>
        <v>1.8099999999999998</v>
      </c>
      <c r="KA19" t="e">
        <f t="shared" si="216"/>
        <v>#DIV/0!</v>
      </c>
      <c r="KC19">
        <f t="shared" ref="KC19:KG19" si="217">KC9*1000/KC$4</f>
        <v>34.822450059757557</v>
      </c>
      <c r="KD19">
        <f t="shared" si="217"/>
        <v>31.739549954197582</v>
      </c>
      <c r="KE19">
        <f t="shared" si="217"/>
        <v>72.255682851694303</v>
      </c>
      <c r="KF19">
        <f t="shared" si="217"/>
        <v>1.8100000000000009</v>
      </c>
      <c r="KG19">
        <f t="shared" si="217"/>
        <v>9.0499999999999989</v>
      </c>
      <c r="KJ19" s="114" t="s">
        <v>542</v>
      </c>
      <c r="KK19">
        <f t="shared" ref="KK19:KO19" si="218">KK9*1000/KK$4</f>
        <v>34.870000000000005</v>
      </c>
      <c r="KL19">
        <f t="shared" si="218"/>
        <v>31.604193548387101</v>
      </c>
      <c r="KM19">
        <f t="shared" si="218"/>
        <v>70.318571428571417</v>
      </c>
      <c r="KN19">
        <f t="shared" si="218"/>
        <v>1.8099999999999998</v>
      </c>
      <c r="KO19" t="e">
        <f t="shared" si="218"/>
        <v>#DIV/0!</v>
      </c>
      <c r="KQ19">
        <f t="shared" ref="KQ19:KU19" si="219">KQ9*1000/KQ$4</f>
        <v>34.835433784286955</v>
      </c>
      <c r="KR19">
        <f t="shared" si="219"/>
        <v>31.731393463108503</v>
      </c>
      <c r="KS19">
        <f t="shared" si="219"/>
        <v>72.221487859355861</v>
      </c>
      <c r="KT19">
        <f t="shared" si="219"/>
        <v>1.8100000000000009</v>
      </c>
      <c r="KU19">
        <f t="shared" si="219"/>
        <v>9.0499999999999989</v>
      </c>
      <c r="KX19" s="114" t="s">
        <v>542</v>
      </c>
      <c r="KY19" t="e">
        <f t="shared" ref="KY19:LC19" si="220">KY9*1000/KY$4</f>
        <v>#DIV/0!</v>
      </c>
      <c r="KZ19">
        <f t="shared" si="220"/>
        <v>31.014738604172035</v>
      </c>
      <c r="LA19">
        <f t="shared" si="220"/>
        <v>55.486470588235292</v>
      </c>
      <c r="LB19" t="e">
        <f t="shared" si="220"/>
        <v>#DIV/0!</v>
      </c>
      <c r="LC19" t="e">
        <f t="shared" si="220"/>
        <v>#DIV/0!</v>
      </c>
      <c r="LE19">
        <f t="shared" ref="LE19:LI19" si="221">LE9*1000/LE$4</f>
        <v>34.835433784286955</v>
      </c>
      <c r="LF19">
        <f t="shared" si="221"/>
        <v>31.701761304646443</v>
      </c>
      <c r="LG19">
        <f t="shared" si="221"/>
        <v>71.533541522730403</v>
      </c>
      <c r="LH19">
        <f t="shared" si="221"/>
        <v>1.8100000000000007</v>
      </c>
      <c r="LI19">
        <f t="shared" si="221"/>
        <v>9.0499999999999989</v>
      </c>
    </row>
    <row r="20" spans="58:321" ht="15" thickBot="1" x14ac:dyDescent="0.35">
      <c r="BF20" s="118" t="s">
        <v>543</v>
      </c>
      <c r="BG20">
        <f t="shared" ref="BG20:BQ20" si="222">BG11*1000/BG$4</f>
        <v>0.10977803627706917</v>
      </c>
      <c r="BH20">
        <f t="shared" si="222"/>
        <v>3.1576621156225466E-3</v>
      </c>
      <c r="BI20">
        <f t="shared" si="222"/>
        <v>5.751387403662854E-2</v>
      </c>
      <c r="BJ20">
        <f t="shared" si="222"/>
        <v>2.7907110453073408E-2</v>
      </c>
      <c r="BK20" t="e">
        <f t="shared" si="222"/>
        <v>#VALUE!</v>
      </c>
      <c r="BM20">
        <f t="shared" si="222"/>
        <v>0.10977803627706917</v>
      </c>
      <c r="BN20">
        <f t="shared" si="222"/>
        <v>4.8427477146023221E-4</v>
      </c>
      <c r="BO20">
        <f t="shared" si="222"/>
        <v>8.7795307412756648E-3</v>
      </c>
      <c r="BP20">
        <f t="shared" si="222"/>
        <v>2.7249872897576661E-3</v>
      </c>
      <c r="BQ20" t="e">
        <f t="shared" si="222"/>
        <v>#VALUE!</v>
      </c>
      <c r="BT20" s="118" t="s">
        <v>543</v>
      </c>
      <c r="BU20" t="e">
        <f t="shared" ref="BU20:BY20" si="223">BU11*1000/BU$4</f>
        <v>#VALUE!</v>
      </c>
      <c r="BV20">
        <f t="shared" si="223"/>
        <v>6.8675925392343625E-3</v>
      </c>
      <c r="BW20">
        <f t="shared" si="223"/>
        <v>0.89074898503774569</v>
      </c>
      <c r="BX20">
        <f t="shared" si="223"/>
        <v>3.0388515828267376E-2</v>
      </c>
      <c r="BY20" t="e">
        <f t="shared" si="223"/>
        <v>#VALUE!</v>
      </c>
      <c r="CA20">
        <f t="shared" ref="CA20:CE20" si="224">CA11*1000/CA$4</f>
        <v>0.10977803627706917</v>
      </c>
      <c r="CB20">
        <f t="shared" si="224"/>
        <v>4.5670168696425908E-4</v>
      </c>
      <c r="CC20">
        <f t="shared" si="224"/>
        <v>1.073373541397501E-2</v>
      </c>
      <c r="CD20">
        <f t="shared" si="224"/>
        <v>2.5033326596818613E-3</v>
      </c>
      <c r="CE20" t="e">
        <f t="shared" si="224"/>
        <v>#VALUE!</v>
      </c>
      <c r="CH20" s="118" t="s">
        <v>543</v>
      </c>
      <c r="CI20" t="e">
        <f t="shared" ref="CI20:CM20" si="225">CI10*1000/CI$4</f>
        <v>#DIV/0!</v>
      </c>
      <c r="CJ20">
        <f t="shared" si="225"/>
        <v>8.2787899388171269</v>
      </c>
      <c r="CK20">
        <f t="shared" si="225"/>
        <v>71.935714285714738</v>
      </c>
      <c r="CL20">
        <f t="shared" si="225"/>
        <v>9.9506278916060733</v>
      </c>
      <c r="CM20">
        <f t="shared" si="225"/>
        <v>-125.67360000000008</v>
      </c>
      <c r="CO20">
        <f t="shared" si="81"/>
        <v>243.48</v>
      </c>
      <c r="CP20">
        <f t="shared" si="81"/>
        <v>9.9923001631321444</v>
      </c>
      <c r="CQ20">
        <f t="shared" si="81"/>
        <v>50.019314516129555</v>
      </c>
      <c r="CR20">
        <f t="shared" si="81"/>
        <v>8.8054244496330707</v>
      </c>
      <c r="CS20">
        <f t="shared" si="81"/>
        <v>-125.67360000000008</v>
      </c>
      <c r="CV20" s="118" t="s">
        <v>543</v>
      </c>
      <c r="CW20" t="e">
        <f t="shared" ref="CW20:DA20" si="226">CW10*1000/CW$4</f>
        <v>#DIV/0!</v>
      </c>
      <c r="CX20">
        <f t="shared" si="226"/>
        <v>8.2120000000000335</v>
      </c>
      <c r="CY20">
        <f t="shared" si="226"/>
        <v>149.1542857142862</v>
      </c>
      <c r="CZ20">
        <f t="shared" si="226"/>
        <v>9.1974999999999838</v>
      </c>
      <c r="DA20" t="e">
        <f t="shared" si="226"/>
        <v>#DIV/0!</v>
      </c>
      <c r="DC20">
        <f t="shared" ref="DC20:DG20" si="227">DC10*1000/DC$4</f>
        <v>243.48</v>
      </c>
      <c r="DD20">
        <f t="shared" si="227"/>
        <v>9.7950890149016807</v>
      </c>
      <c r="DE20">
        <f t="shared" si="227"/>
        <v>61.291972059779752</v>
      </c>
      <c r="DF20">
        <f t="shared" si="227"/>
        <v>8.8618510850941981</v>
      </c>
      <c r="DG20">
        <f t="shared" si="227"/>
        <v>-125.67360000000008</v>
      </c>
      <c r="DJ20" s="118" t="s">
        <v>543</v>
      </c>
      <c r="DK20" t="e">
        <f t="shared" ref="DK20:DO20" si="228">DK10*1000/DK$4</f>
        <v>#DIV/0!</v>
      </c>
      <c r="DL20">
        <f t="shared" si="228"/>
        <v>8.5274860335194855</v>
      </c>
      <c r="DM20">
        <f t="shared" si="228"/>
        <v>-385.01499999999891</v>
      </c>
      <c r="DN20">
        <f t="shared" si="228"/>
        <v>11.894500000000008</v>
      </c>
      <c r="DO20" t="e">
        <f t="shared" si="228"/>
        <v>#DIV/0!</v>
      </c>
      <c r="DQ20">
        <f t="shared" ref="DQ20:DU20" si="229">DQ10*1000/DQ$4</f>
        <v>243.48</v>
      </c>
      <c r="DR20">
        <f t="shared" si="229"/>
        <v>9.6983531274741495</v>
      </c>
      <c r="DS20">
        <f t="shared" si="229"/>
        <v>51.367738246506335</v>
      </c>
      <c r="DT20">
        <f t="shared" si="229"/>
        <v>9.0863729508196744</v>
      </c>
      <c r="DU20">
        <f t="shared" si="229"/>
        <v>-125.67360000000008</v>
      </c>
      <c r="DX20" s="118" t="s">
        <v>543</v>
      </c>
      <c r="DY20" t="e">
        <f t="shared" ref="DY20:EC20" si="230">DY10*1000/DY$4</f>
        <v>#DIV/0!</v>
      </c>
      <c r="DZ20">
        <f t="shared" si="230"/>
        <v>12.53735751295333</v>
      </c>
      <c r="EA20">
        <f t="shared" si="230"/>
        <v>-15.778571428570929</v>
      </c>
      <c r="EB20">
        <f t="shared" si="230"/>
        <v>12.34400000000004</v>
      </c>
      <c r="EC20" t="e">
        <f t="shared" si="230"/>
        <v>#DIV/0!</v>
      </c>
      <c r="EE20">
        <f t="shared" ref="EE20:EI20" si="231">EE10*1000/EE$4</f>
        <v>243.48</v>
      </c>
      <c r="EF20">
        <f t="shared" si="231"/>
        <v>9.9141941474393835</v>
      </c>
      <c r="EG20">
        <f t="shared" si="231"/>
        <v>48.852702950619637</v>
      </c>
      <c r="EH20">
        <f t="shared" si="231"/>
        <v>9.3368373199902184</v>
      </c>
      <c r="EI20">
        <f t="shared" si="231"/>
        <v>-125.67360000000008</v>
      </c>
      <c r="EL20" s="118" t="s">
        <v>543</v>
      </c>
      <c r="EM20" t="e">
        <f t="shared" ref="EM20:EQ20" si="232">EM10*1000/EM$4</f>
        <v>#DIV/0!</v>
      </c>
      <c r="EN20">
        <f t="shared" si="232"/>
        <v>8.6228106508875708</v>
      </c>
      <c r="EO20">
        <f t="shared" si="232"/>
        <v>-58.691818181817958</v>
      </c>
      <c r="EP20">
        <f t="shared" si="232"/>
        <v>15.940000000000003</v>
      </c>
      <c r="EQ20" t="e">
        <f t="shared" si="232"/>
        <v>#DIV/0!</v>
      </c>
      <c r="ES20">
        <f t="shared" ref="ES20:EW20" si="233">ES10*1000/ES$4</f>
        <v>243.48</v>
      </c>
      <c r="ET20">
        <f t="shared" si="233"/>
        <v>9.7624553039330912</v>
      </c>
      <c r="EU20">
        <f t="shared" si="233"/>
        <v>42.874556742709103</v>
      </c>
      <c r="EV20">
        <f t="shared" si="233"/>
        <v>9.5338533033388302</v>
      </c>
      <c r="EW20">
        <f t="shared" si="233"/>
        <v>-125.67360000000008</v>
      </c>
      <c r="EZ20" s="118" t="s">
        <v>543</v>
      </c>
      <c r="FA20" t="e">
        <f t="shared" ref="FA20:FE20" si="234">FA10*1000/FA$4</f>
        <v>#DIV/0!</v>
      </c>
      <c r="FB20">
        <f t="shared" si="234"/>
        <v>6.733802816901429</v>
      </c>
      <c r="FC20">
        <f t="shared" si="234"/>
        <v>36.150000000000325</v>
      </c>
      <c r="FD20">
        <f t="shared" si="234"/>
        <v>11.444999999999979</v>
      </c>
      <c r="FE20" t="e">
        <f t="shared" si="234"/>
        <v>#DIV/0!</v>
      </c>
      <c r="FG20">
        <f t="shared" ref="FG20:FK20" si="235">FG10*1000/FG$4</f>
        <v>243.48</v>
      </c>
      <c r="FH20">
        <f t="shared" si="235"/>
        <v>9.4903091665157309</v>
      </c>
      <c r="FI20">
        <f t="shared" si="235"/>
        <v>42.201751559252116</v>
      </c>
      <c r="FJ20">
        <f t="shared" si="235"/>
        <v>9.6414754189943608</v>
      </c>
      <c r="FK20">
        <f t="shared" si="235"/>
        <v>-125.67360000000008</v>
      </c>
      <c r="FN20" s="118" t="s">
        <v>543</v>
      </c>
      <c r="FO20" t="e">
        <f t="shared" ref="FO20:FS20" si="236">FO10*1000/FO$4</f>
        <v>#DIV/0!</v>
      </c>
      <c r="FP20">
        <f t="shared" si="236"/>
        <v>8.4199999999999591</v>
      </c>
      <c r="FQ20">
        <f t="shared" si="236"/>
        <v>-99.639999999999631</v>
      </c>
      <c r="FR20">
        <f t="shared" si="236"/>
        <v>15.940000000000003</v>
      </c>
      <c r="FS20" t="e">
        <f t="shared" si="236"/>
        <v>#DIV/0!</v>
      </c>
      <c r="FU20">
        <f t="shared" ref="FU20:FY20" si="237">FU10*1000/FU$4</f>
        <v>243.48</v>
      </c>
      <c r="FV20">
        <f t="shared" si="237"/>
        <v>9.4218412590959275</v>
      </c>
      <c r="FW20">
        <f t="shared" si="237"/>
        <v>37.222352056169179</v>
      </c>
      <c r="FX20">
        <f t="shared" si="237"/>
        <v>9.8139627254943722</v>
      </c>
      <c r="FY20">
        <f t="shared" si="237"/>
        <v>-125.67360000000008</v>
      </c>
      <c r="GB20" s="118" t="s">
        <v>543</v>
      </c>
      <c r="GC20" t="e">
        <f t="shared" ref="GC20:GG20" si="238">GC10*1000/GC$4</f>
        <v>#DIV/0!</v>
      </c>
      <c r="GD20">
        <f t="shared" si="238"/>
        <v>8.634019672131112</v>
      </c>
      <c r="GE20">
        <f t="shared" si="238"/>
        <v>-91.275714285713931</v>
      </c>
      <c r="GF20">
        <f t="shared" si="238"/>
        <v>15.940000000000003</v>
      </c>
      <c r="GG20" t="e">
        <f t="shared" si="238"/>
        <v>#DIV/0!</v>
      </c>
      <c r="GI20">
        <f t="shared" ref="GI20:GM20" si="239">GI10*1000/GI$4</f>
        <v>243.48</v>
      </c>
      <c r="GJ20">
        <f t="shared" si="239"/>
        <v>9.3740916497751581</v>
      </c>
      <c r="GK20">
        <f t="shared" si="239"/>
        <v>33.392887726554733</v>
      </c>
      <c r="GL20">
        <f t="shared" si="239"/>
        <v>10.132067277972332</v>
      </c>
      <c r="GM20">
        <f t="shared" si="239"/>
        <v>-125.67360000000008</v>
      </c>
      <c r="GP20" s="118" t="s">
        <v>543</v>
      </c>
      <c r="GQ20" t="e">
        <f t="shared" ref="GQ20:GU20" si="240">GQ10*1000/GQ$4</f>
        <v>#DIV/0!</v>
      </c>
      <c r="GR20">
        <f t="shared" si="240"/>
        <v>9.7523076923076779</v>
      </c>
      <c r="GS20">
        <f t="shared" si="240"/>
        <v>-92.821764705882444</v>
      </c>
      <c r="GT20">
        <f t="shared" si="240"/>
        <v>9.6009293075393103</v>
      </c>
      <c r="GU20" t="e">
        <f t="shared" si="240"/>
        <v>#DIV/0!</v>
      </c>
      <c r="GW20">
        <f t="shared" ref="GW20:HA20" si="241">GW10*1000/GW$4</f>
        <v>243.48</v>
      </c>
      <c r="GX20">
        <f t="shared" si="241"/>
        <v>9.3898236392029357</v>
      </c>
      <c r="GY20">
        <f t="shared" si="241"/>
        <v>17.433325895229927</v>
      </c>
      <c r="GZ20">
        <f t="shared" si="241"/>
        <v>10.065835193326507</v>
      </c>
      <c r="HA20">
        <f t="shared" si="241"/>
        <v>-125.67360000000008</v>
      </c>
      <c r="HD20" s="118" t="s">
        <v>543</v>
      </c>
      <c r="HE20" t="e">
        <f t="shared" ref="HE20:HI20" si="242">HE10*1000/HE$4</f>
        <v>#DIV/0!</v>
      </c>
      <c r="HF20">
        <f t="shared" si="242"/>
        <v>7.4579497907949683</v>
      </c>
      <c r="HG20">
        <f t="shared" si="242"/>
        <v>6.4174800637960052</v>
      </c>
      <c r="HH20">
        <f t="shared" si="242"/>
        <v>12.702195312500008</v>
      </c>
      <c r="HI20" t="e">
        <f t="shared" si="242"/>
        <v>#DIV/0!</v>
      </c>
      <c r="HK20">
        <f t="shared" ref="HK20:HO20" si="243">HK10*1000/HK$4</f>
        <v>243.48</v>
      </c>
      <c r="HL20">
        <f t="shared" si="243"/>
        <v>9.2740883048054297</v>
      </c>
      <c r="HM20">
        <f t="shared" si="243"/>
        <v>16.138073136428574</v>
      </c>
      <c r="HN20">
        <f t="shared" si="243"/>
        <v>10.209692848768983</v>
      </c>
      <c r="HO20">
        <f t="shared" si="243"/>
        <v>-125.67360000000008</v>
      </c>
      <c r="HR20" s="118" t="s">
        <v>543</v>
      </c>
      <c r="HS20" t="e">
        <f t="shared" ref="HS20:HW20" si="244">HS10*1000/HS$4</f>
        <v>#DIV/0!</v>
      </c>
      <c r="HT20">
        <f t="shared" si="244"/>
        <v>8.457142857142868</v>
      </c>
      <c r="HU20">
        <f t="shared" si="244"/>
        <v>17.382903225806569</v>
      </c>
      <c r="HV20">
        <f t="shared" si="244"/>
        <v>6.5700990099009511</v>
      </c>
      <c r="HW20" t="e">
        <f t="shared" si="244"/>
        <v>#DIV/0!</v>
      </c>
      <c r="HY20">
        <f t="shared" ref="HY20:IC20" si="245">HY10*1000/HY$4</f>
        <v>243.48</v>
      </c>
      <c r="HZ20">
        <f t="shared" si="245"/>
        <v>9.2410758710740986</v>
      </c>
      <c r="IA20">
        <f t="shared" si="245"/>
        <v>16.253021276596517</v>
      </c>
      <c r="IB20">
        <f t="shared" si="245"/>
        <v>10.030881452806064</v>
      </c>
      <c r="IC20">
        <f t="shared" si="245"/>
        <v>-125.67360000000008</v>
      </c>
      <c r="IF20" s="118" t="s">
        <v>543</v>
      </c>
      <c r="IG20" t="e">
        <f t="shared" ref="IG20:IK20" si="246">IG10*1000/IG$4</f>
        <v>#DIV/0!</v>
      </c>
      <c r="IH20">
        <f t="shared" si="246"/>
        <v>8.7519580419580141</v>
      </c>
      <c r="II20">
        <f t="shared" si="246"/>
        <v>22.150800000000345</v>
      </c>
      <c r="IJ20">
        <f t="shared" si="246"/>
        <v>4.6599381761978496</v>
      </c>
      <c r="IK20" t="e">
        <f t="shared" si="246"/>
        <v>#DIV/0!</v>
      </c>
      <c r="IM20">
        <f t="shared" ref="IM20:IQ20" si="247">IM10*1000/IM$4</f>
        <v>243.48</v>
      </c>
      <c r="IN20">
        <f t="shared" si="247"/>
        <v>9.2248114805833055</v>
      </c>
      <c r="IO20">
        <f t="shared" si="247"/>
        <v>16.661778217822135</v>
      </c>
      <c r="IP20">
        <f t="shared" si="247"/>
        <v>9.7631979509695572</v>
      </c>
      <c r="IQ20">
        <f t="shared" si="247"/>
        <v>-125.67360000000008</v>
      </c>
      <c r="IT20" s="118" t="s">
        <v>543</v>
      </c>
      <c r="IU20" t="e">
        <f t="shared" ref="IU20:IY20" si="248">IU10*1000/IU$4</f>
        <v>#DIV/0!</v>
      </c>
      <c r="IV20">
        <f t="shared" si="248"/>
        <v>8.8889830508474663</v>
      </c>
      <c r="IW20">
        <f t="shared" si="248"/>
        <v>-5.3072384937237098</v>
      </c>
      <c r="IX20">
        <f t="shared" si="248"/>
        <v>10.593333333333318</v>
      </c>
      <c r="IY20" t="e">
        <f t="shared" si="248"/>
        <v>#DIV/0!</v>
      </c>
      <c r="JA20">
        <f t="shared" ref="JA20:JE20" si="249">JA10*1000/JA$4</f>
        <v>243.48</v>
      </c>
      <c r="JB20">
        <f t="shared" si="249"/>
        <v>9.211535639078436</v>
      </c>
      <c r="JC20">
        <f t="shared" si="249"/>
        <v>16.253616293532396</v>
      </c>
      <c r="JD20">
        <f t="shared" si="249"/>
        <v>9.8088810030754132</v>
      </c>
      <c r="JE20">
        <f t="shared" si="249"/>
        <v>-125.67360000000008</v>
      </c>
      <c r="JH20" s="118" t="s">
        <v>543</v>
      </c>
      <c r="JI20">
        <f t="shared" ref="JI20:JM20" si="250">JI10*1000/JI$4</f>
        <v>163.48000000000005</v>
      </c>
      <c r="JJ20">
        <f t="shared" si="250"/>
        <v>8.5142857142856894</v>
      </c>
      <c r="JK20">
        <f t="shared" si="250"/>
        <v>-364.23400000000032</v>
      </c>
      <c r="JL20">
        <f t="shared" si="250"/>
        <v>9.1243874643874765</v>
      </c>
      <c r="JM20" t="e">
        <f t="shared" si="250"/>
        <v>#DIV/0!</v>
      </c>
      <c r="JO20">
        <f t="shared" ref="JO20:JS20" si="251">JO10*1000/JO$4</f>
        <v>204.80942999827801</v>
      </c>
      <c r="JP20">
        <f t="shared" si="251"/>
        <v>9.1863198843716116</v>
      </c>
      <c r="JQ20">
        <f t="shared" si="251"/>
        <v>11.146987499041579</v>
      </c>
      <c r="JR20">
        <f t="shared" si="251"/>
        <v>9.779585423634293</v>
      </c>
      <c r="JS20">
        <f t="shared" si="251"/>
        <v>-125.67360000000008</v>
      </c>
      <c r="JV20" s="118" t="s">
        <v>543</v>
      </c>
      <c r="JW20">
        <f t="shared" ref="JW20:KA20" si="252">JW10*1000/JW$4</f>
        <v>165.52000000000015</v>
      </c>
      <c r="JX20">
        <f t="shared" si="252"/>
        <v>9.3043915343915309</v>
      </c>
      <c r="JY20">
        <f t="shared" si="252"/>
        <v>13.364117647059159</v>
      </c>
      <c r="JZ20">
        <f t="shared" si="252"/>
        <v>3.2768421052631376</v>
      </c>
      <c r="KA20" t="e">
        <f t="shared" si="252"/>
        <v>#DIV/0!</v>
      </c>
      <c r="KC20">
        <f t="shared" ref="KC20:KG20" si="253">KC10*1000/KC$4</f>
        <v>204.47402424449382</v>
      </c>
      <c r="KD20">
        <f t="shared" si="253"/>
        <v>9.1909358470492304</v>
      </c>
      <c r="KE20">
        <f t="shared" si="253"/>
        <v>11.243745049141879</v>
      </c>
      <c r="KF20">
        <f t="shared" si="253"/>
        <v>9.4370646864685739</v>
      </c>
      <c r="KG20">
        <f t="shared" si="253"/>
        <v>-125.67360000000008</v>
      </c>
      <c r="KJ20" s="118" t="s">
        <v>543</v>
      </c>
      <c r="KK20">
        <f t="shared" ref="KK20:KO20" si="254">KK10*1000/KK$4</f>
        <v>163.47999999999996</v>
      </c>
      <c r="KL20">
        <f t="shared" si="254"/>
        <v>9.5205806451612833</v>
      </c>
      <c r="KM20">
        <f t="shared" si="254"/>
        <v>39.055714285714593</v>
      </c>
      <c r="KN20">
        <f t="shared" si="254"/>
        <v>8.4982168409466148</v>
      </c>
      <c r="KO20" t="e">
        <f t="shared" si="254"/>
        <v>#DIV/0!</v>
      </c>
      <c r="KQ20">
        <f t="shared" ref="KQ20:KU20" si="255">KQ10*1000/KQ$4</f>
        <v>193.28042199329781</v>
      </c>
      <c r="KR20">
        <f t="shared" si="255"/>
        <v>9.21080003332297</v>
      </c>
      <c r="KS20">
        <f t="shared" si="255"/>
        <v>11.734697744794003</v>
      </c>
      <c r="KT20">
        <f t="shared" si="255"/>
        <v>9.409734207026883</v>
      </c>
      <c r="KU20">
        <f t="shared" si="255"/>
        <v>-125.67360000000008</v>
      </c>
      <c r="KX20" s="118" t="s">
        <v>543</v>
      </c>
      <c r="KY20" t="e">
        <f t="shared" ref="KY20:LC20" si="256">KY10*1000/KY$4</f>
        <v>#DIV/0!</v>
      </c>
      <c r="KZ20">
        <f t="shared" si="256"/>
        <v>5.6222134947205449</v>
      </c>
      <c r="LA20">
        <f t="shared" si="256"/>
        <v>65.537058823529989</v>
      </c>
      <c r="LB20" t="e">
        <f t="shared" si="256"/>
        <v>#DIV/0!</v>
      </c>
      <c r="LC20" t="e">
        <f t="shared" si="256"/>
        <v>#DIV/0!</v>
      </c>
      <c r="LE20">
        <f t="shared" ref="LE20:LI20" si="257">LE10*1000/LE$4</f>
        <v>193.28042199329781</v>
      </c>
      <c r="LF20">
        <f t="shared" si="257"/>
        <v>9.0624195909934038</v>
      </c>
      <c r="LG20">
        <f t="shared" si="257"/>
        <v>13.946415641839973</v>
      </c>
      <c r="LH20">
        <f t="shared" si="257"/>
        <v>9.409734207026883</v>
      </c>
      <c r="LI20">
        <f t="shared" si="257"/>
        <v>-125.67360000000008</v>
      </c>
    </row>
    <row r="21" spans="58:321" ht="15" thickBot="1" x14ac:dyDescent="0.35"/>
    <row r="22" spans="58:321" ht="15" thickBot="1" x14ac:dyDescent="0.35">
      <c r="KX22" s="127" t="s">
        <v>481</v>
      </c>
      <c r="KY22" s="126" t="s">
        <v>701</v>
      </c>
      <c r="KZ22" s="126" t="s">
        <v>702</v>
      </c>
      <c r="LA22" s="126" t="s">
        <v>703</v>
      </c>
      <c r="LB22" s="128" t="s">
        <v>704</v>
      </c>
      <c r="LC22" s="129" t="s">
        <v>462</v>
      </c>
    </row>
    <row r="23" spans="58:321" ht="29.4" thickBot="1" x14ac:dyDescent="0.35">
      <c r="KX23" s="130" t="s">
        <v>455</v>
      </c>
      <c r="KY23" s="131" t="s">
        <v>476</v>
      </c>
      <c r="KZ23" s="132" t="s">
        <v>476</v>
      </c>
      <c r="LA23" s="132" t="s">
        <v>476</v>
      </c>
      <c r="LB23" s="132" t="s">
        <v>476</v>
      </c>
      <c r="LC23" s="133" t="s">
        <v>476</v>
      </c>
    </row>
    <row r="24" spans="58:321" x14ac:dyDescent="0.3">
      <c r="KX24" s="114" t="s">
        <v>456</v>
      </c>
      <c r="KY24" s="28">
        <v>19760</v>
      </c>
      <c r="KZ24" s="134">
        <v>8600</v>
      </c>
      <c r="LA24" s="134">
        <v>8057</v>
      </c>
      <c r="LB24" s="135">
        <v>13799</v>
      </c>
      <c r="LC24" s="136">
        <f>SUM(KY24:LB24)</f>
        <v>50216</v>
      </c>
    </row>
    <row r="25" spans="58:321" x14ac:dyDescent="0.3">
      <c r="KX25" s="114" t="s">
        <v>457</v>
      </c>
      <c r="KY25" s="28">
        <v>14586976.6</v>
      </c>
      <c r="KZ25" s="28">
        <v>6341266</v>
      </c>
      <c r="LA25" s="28">
        <v>5552060.1699999999</v>
      </c>
      <c r="LB25" s="137">
        <v>9097721.6899999995</v>
      </c>
      <c r="LC25" s="136">
        <f t="shared" ref="LC25:LC30" si="258">SUM(KY25:LB25)</f>
        <v>35578024.460000001</v>
      </c>
    </row>
    <row r="26" spans="58:321" x14ac:dyDescent="0.3">
      <c r="KX26" s="115" t="s">
        <v>458</v>
      </c>
      <c r="KY26" s="29">
        <v>9630171.2700000014</v>
      </c>
      <c r="KZ26" s="29">
        <v>4091192</v>
      </c>
      <c r="LA26" s="29">
        <v>3994799.8099999996</v>
      </c>
      <c r="LB26" s="138">
        <v>6892300.9799999995</v>
      </c>
      <c r="LC26" s="139">
        <f t="shared" si="258"/>
        <v>24608464.060000002</v>
      </c>
    </row>
    <row r="27" spans="58:321" x14ac:dyDescent="0.3">
      <c r="KX27" s="114" t="s">
        <v>467</v>
      </c>
      <c r="KY27" s="28">
        <v>8513336.0700000003</v>
      </c>
      <c r="KZ27" s="28">
        <v>3643562.0000000005</v>
      </c>
      <c r="LA27" s="28">
        <v>3397087.7699999996</v>
      </c>
      <c r="LB27" s="137">
        <v>5800110.1299999999</v>
      </c>
      <c r="LC27" s="136">
        <f t="shared" si="258"/>
        <v>21354095.969999999</v>
      </c>
    </row>
    <row r="28" spans="58:321" x14ac:dyDescent="0.3">
      <c r="KX28" s="114" t="s">
        <v>468</v>
      </c>
      <c r="KY28" s="28">
        <v>810357.6</v>
      </c>
      <c r="KZ28" s="28">
        <v>280102</v>
      </c>
      <c r="LA28" s="28">
        <v>317042.95</v>
      </c>
      <c r="LB28" s="137">
        <v>499799.78</v>
      </c>
      <c r="LC28" s="136">
        <f t="shared" si="258"/>
        <v>1907302.33</v>
      </c>
    </row>
    <row r="29" spans="58:321" x14ac:dyDescent="0.3">
      <c r="KX29" s="114" t="s">
        <v>469</v>
      </c>
      <c r="KY29" s="28">
        <v>306675.20000000001</v>
      </c>
      <c r="KZ29" s="28">
        <v>167786</v>
      </c>
      <c r="LA29" s="28">
        <v>280669.09000000003</v>
      </c>
      <c r="LB29" s="137">
        <v>592391.07000000007</v>
      </c>
      <c r="LC29" s="136">
        <f t="shared" si="258"/>
        <v>1347521.36</v>
      </c>
    </row>
    <row r="30" spans="58:321" ht="15" thickBot="1" x14ac:dyDescent="0.35">
      <c r="KX30" s="114" t="s">
        <v>459</v>
      </c>
      <c r="KY30" s="28">
        <v>4956805.3299999982</v>
      </c>
      <c r="KZ30" s="28">
        <v>2250073.9999999995</v>
      </c>
      <c r="LA30" s="28">
        <v>1557260.3600000003</v>
      </c>
      <c r="LB30" s="137">
        <v>2205420.7100000014</v>
      </c>
      <c r="LC30" s="136">
        <f t="shared" si="258"/>
        <v>10969560.399999999</v>
      </c>
    </row>
    <row r="31" spans="58:321" ht="15" thickBot="1" x14ac:dyDescent="0.35">
      <c r="KX31" s="116" t="s">
        <v>460</v>
      </c>
      <c r="KY31" s="140">
        <v>0.33981032985272619</v>
      </c>
      <c r="KZ31" s="140">
        <v>0.35483040768199908</v>
      </c>
      <c r="LA31" s="140">
        <v>0.28048333633243033</v>
      </c>
      <c r="LB31" s="141">
        <v>0.24241461600481221</v>
      </c>
      <c r="LC31" s="141"/>
    </row>
  </sheetData>
  <mergeCells count="69">
    <mergeCell ref="KK2:KP2"/>
    <mergeCell ref="KQ2:KV2"/>
    <mergeCell ref="KJ12:KV12"/>
    <mergeCell ref="JI2:JN2"/>
    <mergeCell ref="JO2:JT2"/>
    <mergeCell ref="JH12:JT12"/>
    <mergeCell ref="JW2:KB2"/>
    <mergeCell ref="KC2:KH2"/>
    <mergeCell ref="JV12:KH12"/>
    <mergeCell ref="IG2:IL2"/>
    <mergeCell ref="IM2:IR2"/>
    <mergeCell ref="IF12:IR12"/>
    <mergeCell ref="IU2:IZ2"/>
    <mergeCell ref="JA2:JF2"/>
    <mergeCell ref="IT12:JF12"/>
    <mergeCell ref="GQ2:GV2"/>
    <mergeCell ref="GW2:HB2"/>
    <mergeCell ref="GP12:HB12"/>
    <mergeCell ref="HS2:HX2"/>
    <mergeCell ref="HY2:ID2"/>
    <mergeCell ref="HR12:ID12"/>
    <mergeCell ref="HE2:HJ2"/>
    <mergeCell ref="HK2:HP2"/>
    <mergeCell ref="HD12:HP12"/>
    <mergeCell ref="FA2:FF2"/>
    <mergeCell ref="FG2:FL2"/>
    <mergeCell ref="EZ12:FL12"/>
    <mergeCell ref="EM2:ER2"/>
    <mergeCell ref="ES2:EX2"/>
    <mergeCell ref="EL12:EX12"/>
    <mergeCell ref="GC2:GH2"/>
    <mergeCell ref="GI2:GN2"/>
    <mergeCell ref="GB12:GN12"/>
    <mergeCell ref="FO2:FT2"/>
    <mergeCell ref="FU2:FZ2"/>
    <mergeCell ref="FN12:FZ12"/>
    <mergeCell ref="DK2:DP2"/>
    <mergeCell ref="DQ2:DV2"/>
    <mergeCell ref="DY2:ED2"/>
    <mergeCell ref="EE2:EJ2"/>
    <mergeCell ref="DX12:EJ12"/>
    <mergeCell ref="DJ12:DV12"/>
    <mergeCell ref="CA2:CF2"/>
    <mergeCell ref="BT12:CF12"/>
    <mergeCell ref="BU2:BZ2"/>
    <mergeCell ref="CW2:DB2"/>
    <mergeCell ref="DC2:DH2"/>
    <mergeCell ref="C2:H2"/>
    <mergeCell ref="I2:N2"/>
    <mergeCell ref="B12:N12"/>
    <mergeCell ref="Q2:V2"/>
    <mergeCell ref="W2:AB2"/>
    <mergeCell ref="P12:AB12"/>
    <mergeCell ref="KY2:LD2"/>
    <mergeCell ref="LE2:LJ2"/>
    <mergeCell ref="KX12:LJ12"/>
    <mergeCell ref="AE2:AJ2"/>
    <mergeCell ref="AK2:AP2"/>
    <mergeCell ref="AD12:AP12"/>
    <mergeCell ref="BG2:BL2"/>
    <mergeCell ref="BM2:BR2"/>
    <mergeCell ref="BF12:BR12"/>
    <mergeCell ref="AS2:AX2"/>
    <mergeCell ref="AY2:BD2"/>
    <mergeCell ref="AR12:BD12"/>
    <mergeCell ref="CV12:DH12"/>
    <mergeCell ref="CI2:CN2"/>
    <mergeCell ref="CO2:CT2"/>
    <mergeCell ref="CH12:CT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4DE6-4E90-447E-85BE-828543D71DF3}">
  <dimension ref="B1:MB20"/>
  <sheetViews>
    <sheetView topLeftCell="LD1" workbookViewId="0">
      <selection activeCell="LQ3" sqref="LQ3"/>
    </sheetView>
  </sheetViews>
  <sheetFormatPr defaultRowHeight="14.4" x14ac:dyDescent="0.3"/>
  <cols>
    <col min="2" max="2" width="15.109375" bestFit="1" customWidth="1"/>
    <col min="3" max="3" width="5.109375" bestFit="1" customWidth="1"/>
    <col min="4" max="4" width="7.88671875" bestFit="1" customWidth="1"/>
    <col min="5" max="5" width="5.6640625" bestFit="1" customWidth="1"/>
    <col min="6" max="6" width="6.88671875" bestFit="1" customWidth="1"/>
    <col min="7" max="7" width="5.21875" bestFit="1" customWidth="1"/>
    <col min="8" max="8" width="7.88671875" bestFit="1" customWidth="1"/>
    <col min="10" max="10" width="15.109375" bestFit="1" customWidth="1"/>
    <col min="11" max="11" width="5.109375" bestFit="1" customWidth="1"/>
    <col min="12" max="12" width="6.88671875" bestFit="1" customWidth="1"/>
    <col min="13" max="13" width="5.44140625" bestFit="1" customWidth="1"/>
    <col min="14" max="15" width="6.88671875" bestFit="1" customWidth="1"/>
    <col min="16" max="16" width="5.109375" bestFit="1" customWidth="1"/>
    <col min="17" max="17" width="7.88671875" bestFit="1" customWidth="1"/>
    <col min="18" max="18" width="5.44140625" bestFit="1" customWidth="1"/>
    <col min="19" max="19" width="6.88671875" bestFit="1" customWidth="1"/>
    <col min="20" max="20" width="7.88671875" bestFit="1" customWidth="1"/>
    <col min="22" max="22" width="15.109375" bestFit="1" customWidth="1"/>
    <col min="23" max="23" width="5.109375" bestFit="1" customWidth="1"/>
    <col min="24" max="25" width="5.44140625" bestFit="1" customWidth="1"/>
    <col min="26" max="27" width="6.88671875" bestFit="1" customWidth="1"/>
    <col min="28" max="28" width="5.109375" bestFit="1" customWidth="1"/>
    <col min="29" max="29" width="7.88671875" bestFit="1" customWidth="1"/>
    <col min="30" max="30" width="6.88671875" bestFit="1" customWidth="1"/>
    <col min="31" max="32" width="7.88671875" bestFit="1" customWidth="1"/>
    <col min="34" max="34" width="15.109375" bestFit="1" customWidth="1"/>
    <col min="35" max="36" width="5.109375" bestFit="1" customWidth="1"/>
    <col min="37" max="37" width="5.44140625" bestFit="1" customWidth="1"/>
    <col min="38" max="38" width="6.44140625" bestFit="1" customWidth="1"/>
    <col min="39" max="39" width="5.5546875" bestFit="1" customWidth="1"/>
    <col min="40" max="40" width="5.109375" bestFit="1" customWidth="1"/>
    <col min="41" max="41" width="7.88671875" bestFit="1" customWidth="1"/>
    <col min="42" max="42" width="6.88671875" bestFit="1" customWidth="1"/>
    <col min="43" max="44" width="7.88671875" bestFit="1" customWidth="1"/>
    <col min="46" max="46" width="15.109375" bestFit="1" customWidth="1"/>
    <col min="47" max="47" width="7.33203125" bestFit="1" customWidth="1"/>
    <col min="48" max="48" width="7.88671875" bestFit="1" customWidth="1"/>
    <col min="49" max="49" width="5.44140625" bestFit="1" customWidth="1"/>
    <col min="50" max="50" width="6.88671875" bestFit="1" customWidth="1"/>
    <col min="51" max="51" width="7.88671875" bestFit="1" customWidth="1"/>
    <col min="52" max="52" width="5.109375" bestFit="1" customWidth="1"/>
    <col min="53" max="53" width="7.88671875" bestFit="1" customWidth="1"/>
    <col min="54" max="54" width="6.88671875" bestFit="1" customWidth="1"/>
    <col min="55" max="56" width="7.88671875" bestFit="1" customWidth="1"/>
    <col min="58" max="58" width="15.109375" bestFit="1" customWidth="1"/>
    <col min="59" max="59" width="5.109375" bestFit="1" customWidth="1"/>
    <col min="60" max="60" width="6.88671875" bestFit="1" customWidth="1"/>
    <col min="61" max="61" width="5.44140625" bestFit="1" customWidth="1"/>
    <col min="62" max="62" width="6.44140625" bestFit="1" customWidth="1"/>
    <col min="63" max="63" width="7.88671875" bestFit="1" customWidth="1"/>
    <col min="64" max="64" width="5.109375" bestFit="1" customWidth="1"/>
    <col min="65" max="65" width="7.88671875" bestFit="1" customWidth="1"/>
    <col min="66" max="66" width="6.88671875" bestFit="1" customWidth="1"/>
    <col min="67" max="68" width="7.88671875" bestFit="1" customWidth="1"/>
    <col min="70" max="70" width="15.109375" bestFit="1" customWidth="1"/>
    <col min="71" max="71" width="7.21875" bestFit="1" customWidth="1"/>
    <col min="72" max="72" width="6.88671875" bestFit="1" customWidth="1"/>
    <col min="73" max="73" width="5.44140625" bestFit="1" customWidth="1"/>
    <col min="74" max="75" width="6.88671875" bestFit="1" customWidth="1"/>
    <col min="76" max="76" width="5.109375" bestFit="1" customWidth="1"/>
    <col min="77" max="77" width="7.88671875" bestFit="1" customWidth="1"/>
    <col min="78" max="78" width="6.88671875" bestFit="1" customWidth="1"/>
    <col min="79" max="80" width="7.88671875" bestFit="1" customWidth="1"/>
    <col min="82" max="82" width="15.109375" bestFit="1" customWidth="1"/>
    <col min="83" max="84" width="6.88671875" bestFit="1" customWidth="1"/>
    <col min="85" max="85" width="5.44140625" bestFit="1" customWidth="1"/>
    <col min="86" max="86" width="6.88671875" bestFit="1" customWidth="1"/>
    <col min="87" max="87" width="7.88671875" bestFit="1" customWidth="1"/>
    <col min="88" max="88" width="6.88671875" bestFit="1" customWidth="1"/>
    <col min="89" max="89" width="7.88671875" bestFit="1" customWidth="1"/>
    <col min="90" max="90" width="6.88671875" bestFit="1" customWidth="1"/>
    <col min="91" max="92" width="7.88671875" bestFit="1" customWidth="1"/>
    <col min="94" max="94" width="15.109375" bestFit="1" customWidth="1"/>
    <col min="95" max="95" width="5.109375" bestFit="1" customWidth="1"/>
    <col min="96" max="96" width="7.88671875" bestFit="1" customWidth="1"/>
    <col min="97" max="97" width="5.44140625" bestFit="1" customWidth="1"/>
    <col min="98" max="98" width="6.44140625" bestFit="1" customWidth="1"/>
    <col min="99" max="99" width="7.88671875" bestFit="1" customWidth="1"/>
    <col min="100" max="100" width="6.88671875" bestFit="1" customWidth="1"/>
    <col min="101" max="101" width="7.88671875" bestFit="1" customWidth="1"/>
    <col min="102" max="102" width="6.88671875" bestFit="1" customWidth="1"/>
    <col min="103" max="104" width="7.88671875" bestFit="1" customWidth="1"/>
    <col min="106" max="106" width="15.109375" bestFit="1" customWidth="1"/>
    <col min="107" max="107" width="5.109375" bestFit="1" customWidth="1"/>
    <col min="108" max="108" width="6.88671875" bestFit="1" customWidth="1"/>
    <col min="109" max="109" width="5.44140625" bestFit="1" customWidth="1"/>
    <col min="110" max="112" width="6.88671875" bestFit="1" customWidth="1"/>
    <col min="113" max="113" width="7.88671875" bestFit="1" customWidth="1"/>
    <col min="114" max="114" width="6.88671875" bestFit="1" customWidth="1"/>
    <col min="115" max="115" width="7.88671875" bestFit="1" customWidth="1"/>
    <col min="116" max="116" width="9.33203125" bestFit="1" customWidth="1"/>
    <col min="118" max="118" width="15.109375" bestFit="1" customWidth="1"/>
    <col min="119" max="119" width="5.109375" bestFit="1" customWidth="1"/>
    <col min="120" max="120" width="7.88671875" bestFit="1" customWidth="1"/>
    <col min="121" max="121" width="5.44140625" bestFit="1" customWidth="1"/>
    <col min="122" max="122" width="6.88671875" bestFit="1" customWidth="1"/>
    <col min="123" max="123" width="7.88671875" bestFit="1" customWidth="1"/>
    <col min="124" max="124" width="6.88671875" bestFit="1" customWidth="1"/>
    <col min="125" max="125" width="7.88671875" bestFit="1" customWidth="1"/>
    <col min="126" max="126" width="6.88671875" bestFit="1" customWidth="1"/>
    <col min="127" max="127" width="7.88671875" bestFit="1" customWidth="1"/>
    <col min="128" max="128" width="9.33203125" bestFit="1" customWidth="1"/>
    <col min="130" max="130" width="15.109375" bestFit="1" customWidth="1"/>
    <col min="131" max="131" width="5.109375" bestFit="1" customWidth="1"/>
    <col min="132" max="132" width="7.88671875" bestFit="1" customWidth="1"/>
    <col min="133" max="133" width="5.44140625" bestFit="1" customWidth="1"/>
    <col min="134" max="134" width="6.88671875" bestFit="1" customWidth="1"/>
    <col min="135" max="135" width="7.88671875" bestFit="1" customWidth="1"/>
    <col min="136" max="136" width="6.88671875" bestFit="1" customWidth="1"/>
    <col min="137" max="137" width="9.33203125" bestFit="1" customWidth="1"/>
    <col min="138" max="138" width="6.88671875" bestFit="1" customWidth="1"/>
    <col min="139" max="139" width="7.88671875" bestFit="1" customWidth="1"/>
    <col min="140" max="140" width="9.33203125" bestFit="1" customWidth="1"/>
    <col min="142" max="142" width="15.109375" bestFit="1" customWidth="1"/>
    <col min="143" max="143" width="5.109375" bestFit="1" customWidth="1"/>
    <col min="144" max="144" width="6.88671875" bestFit="1" customWidth="1"/>
    <col min="145" max="145" width="5.44140625" bestFit="1" customWidth="1"/>
    <col min="146" max="146" width="6.88671875" bestFit="1" customWidth="1"/>
    <col min="147" max="147" width="7.88671875" bestFit="1" customWidth="1"/>
    <col min="148" max="148" width="6.88671875" bestFit="1" customWidth="1"/>
    <col min="149" max="149" width="9.33203125" bestFit="1" customWidth="1"/>
    <col min="150" max="150" width="6.88671875" bestFit="1" customWidth="1"/>
    <col min="151" max="151" width="7.88671875" bestFit="1" customWidth="1"/>
    <col min="152" max="152" width="9.33203125" bestFit="1" customWidth="1"/>
    <col min="154" max="154" width="15.109375" bestFit="1" customWidth="1"/>
    <col min="155" max="155" width="5.109375" bestFit="1" customWidth="1"/>
    <col min="156" max="156" width="6.88671875" bestFit="1" customWidth="1"/>
    <col min="157" max="157" width="5.44140625" bestFit="1" customWidth="1"/>
    <col min="158" max="158" width="5.5546875" customWidth="1"/>
    <col min="159" max="159" width="6.44140625" bestFit="1" customWidth="1"/>
    <col min="160" max="160" width="7.88671875" bestFit="1" customWidth="1"/>
    <col min="161" max="161" width="6.88671875" bestFit="1" customWidth="1"/>
    <col min="162" max="162" width="9.33203125" bestFit="1" customWidth="1"/>
    <col min="163" max="163" width="6.88671875" bestFit="1" customWidth="1"/>
    <col min="164" max="164" width="5.44140625" customWidth="1"/>
    <col min="165" max="165" width="7.88671875" bestFit="1" customWidth="1"/>
    <col min="166" max="166" width="9.33203125" bestFit="1" customWidth="1"/>
    <col min="168" max="168" width="15.109375" bestFit="1" customWidth="1"/>
    <col min="169" max="170" width="6.88671875" bestFit="1" customWidth="1"/>
    <col min="171" max="172" width="5.44140625" bestFit="1" customWidth="1"/>
    <col min="173" max="173" width="6.88671875" bestFit="1" customWidth="1"/>
    <col min="174" max="174" width="7.88671875" bestFit="1" customWidth="1"/>
    <col min="175" max="175" width="6.88671875" bestFit="1" customWidth="1"/>
    <col min="176" max="176" width="9.33203125" bestFit="1" customWidth="1"/>
    <col min="177" max="177" width="6.88671875" bestFit="1" customWidth="1"/>
    <col min="178" max="178" width="5.44140625" bestFit="1" customWidth="1"/>
    <col min="179" max="179" width="7.88671875" bestFit="1" customWidth="1"/>
    <col min="180" max="180" width="9.33203125" bestFit="1" customWidth="1"/>
    <col min="182" max="182" width="15.109375" bestFit="1" customWidth="1"/>
    <col min="183" max="183" width="5.109375" bestFit="1" customWidth="1"/>
    <col min="184" max="185" width="6.88671875" bestFit="1" customWidth="1"/>
    <col min="186" max="186" width="5.109375" bestFit="1" customWidth="1"/>
    <col min="187" max="189" width="6.88671875" bestFit="1" customWidth="1"/>
    <col min="190" max="190" width="9.33203125" bestFit="1" customWidth="1"/>
    <col min="191" max="191" width="7.88671875" bestFit="1" customWidth="1"/>
    <col min="192" max="192" width="5.44140625" bestFit="1" customWidth="1"/>
    <col min="193" max="193" width="7.88671875" bestFit="1" customWidth="1"/>
    <col min="194" max="194" width="9.33203125" bestFit="1" customWidth="1"/>
    <col min="196" max="196" width="15.109375" bestFit="1" customWidth="1"/>
    <col min="197" max="197" width="5.109375" bestFit="1" customWidth="1"/>
    <col min="198" max="199" width="6.88671875" bestFit="1" customWidth="1"/>
    <col min="200" max="200" width="5.109375" bestFit="1" customWidth="1"/>
    <col min="201" max="201" width="6.44140625" bestFit="1" customWidth="1"/>
    <col min="202" max="202" width="7.88671875" bestFit="1" customWidth="1"/>
    <col min="203" max="203" width="6.88671875" bestFit="1" customWidth="1"/>
    <col min="204" max="204" width="9.33203125" bestFit="1" customWidth="1"/>
    <col min="205" max="205" width="7.88671875" bestFit="1" customWidth="1"/>
    <col min="206" max="206" width="5.44140625" bestFit="1" customWidth="1"/>
    <col min="207" max="207" width="7.88671875" bestFit="1" customWidth="1"/>
    <col min="208" max="208" width="9.33203125" bestFit="1" customWidth="1"/>
    <col min="210" max="210" width="15.109375" bestFit="1" customWidth="1"/>
    <col min="211" max="211" width="5.109375" bestFit="1" customWidth="1"/>
    <col min="212" max="212" width="6.88671875" bestFit="1" customWidth="1"/>
    <col min="213" max="213" width="5.44140625" bestFit="1" customWidth="1"/>
    <col min="214" max="214" width="5.109375" bestFit="1" customWidth="1"/>
    <col min="215" max="215" width="6.44140625" bestFit="1" customWidth="1"/>
    <col min="216" max="216" width="7.88671875" bestFit="1" customWidth="1"/>
    <col min="217" max="217" width="6.88671875" bestFit="1" customWidth="1"/>
    <col min="218" max="218" width="9.33203125" bestFit="1" customWidth="1"/>
    <col min="219" max="219" width="7.88671875" bestFit="1" customWidth="1"/>
    <col min="220" max="220" width="5.44140625" bestFit="1" customWidth="1"/>
    <col min="221" max="221" width="7.88671875" bestFit="1" customWidth="1"/>
    <col min="222" max="222" width="9.33203125" bestFit="1" customWidth="1"/>
    <col min="224" max="224" width="15.109375" bestFit="1" customWidth="1"/>
    <col min="225" max="225" width="5.109375" bestFit="1" customWidth="1"/>
    <col min="226" max="226" width="7.88671875" bestFit="1" customWidth="1"/>
    <col min="227" max="227" width="5.44140625" bestFit="1" customWidth="1"/>
    <col min="228" max="228" width="5.109375" bestFit="1" customWidth="1"/>
    <col min="229" max="229" width="6.88671875" bestFit="1" customWidth="1"/>
    <col min="230" max="230" width="7.88671875" bestFit="1" customWidth="1"/>
    <col min="231" max="231" width="6.88671875" bestFit="1" customWidth="1"/>
    <col min="232" max="232" width="9.33203125" bestFit="1" customWidth="1"/>
    <col min="233" max="233" width="7.88671875" bestFit="1" customWidth="1"/>
    <col min="234" max="234" width="5.44140625" bestFit="1" customWidth="1"/>
    <col min="235" max="235" width="7.88671875" bestFit="1" customWidth="1"/>
    <col min="236" max="236" width="9.33203125" bestFit="1" customWidth="1"/>
    <col min="238" max="238" width="15.109375" bestFit="1" customWidth="1"/>
    <col min="239" max="239" width="6.88671875" bestFit="1" customWidth="1"/>
    <col min="240" max="240" width="7.88671875" bestFit="1" customWidth="1"/>
    <col min="241" max="241" width="5.44140625" bestFit="1" customWidth="1"/>
    <col min="242" max="242" width="5.6640625" bestFit="1" customWidth="1"/>
    <col min="243" max="243" width="6.88671875" bestFit="1" customWidth="1"/>
    <col min="244" max="244" width="7.88671875" bestFit="1" customWidth="1"/>
    <col min="245" max="245" width="6.88671875" bestFit="1" customWidth="1"/>
    <col min="246" max="246" width="9.33203125" bestFit="1" customWidth="1"/>
    <col min="247" max="247" width="7.88671875" bestFit="1" customWidth="1"/>
    <col min="248" max="248" width="5.44140625" bestFit="1" customWidth="1"/>
    <col min="249" max="249" width="7.88671875" bestFit="1" customWidth="1"/>
    <col min="250" max="250" width="9.33203125" bestFit="1" customWidth="1"/>
    <col min="252" max="252" width="15.109375" bestFit="1" customWidth="1"/>
    <col min="253" max="253" width="5.109375" bestFit="1" customWidth="1"/>
    <col min="254" max="254" width="7.88671875" bestFit="1" customWidth="1"/>
    <col min="255" max="255" width="5.44140625" bestFit="1" customWidth="1"/>
    <col min="256" max="256" width="5.109375" bestFit="1" customWidth="1"/>
    <col min="257" max="257" width="6.88671875" bestFit="1" customWidth="1"/>
    <col min="258" max="258" width="7.88671875" bestFit="1" customWidth="1"/>
    <col min="259" max="259" width="6.88671875" bestFit="1" customWidth="1"/>
    <col min="260" max="260" width="9.33203125" bestFit="1" customWidth="1"/>
    <col min="261" max="261" width="7.88671875" bestFit="1" customWidth="1"/>
    <col min="262" max="262" width="5.44140625" bestFit="1" customWidth="1"/>
    <col min="263" max="263" width="7.88671875" bestFit="1" customWidth="1"/>
    <col min="264" max="264" width="9.33203125" bestFit="1" customWidth="1"/>
    <col min="266" max="266" width="15.109375" bestFit="1" customWidth="1"/>
    <col min="267" max="267" width="5.109375" bestFit="1" customWidth="1"/>
    <col min="268" max="268" width="6.88671875" bestFit="1" customWidth="1"/>
    <col min="269" max="269" width="5.44140625" bestFit="1" customWidth="1"/>
    <col min="270" max="270" width="5.109375" bestFit="1" customWidth="1"/>
    <col min="271" max="273" width="6.88671875" bestFit="1" customWidth="1"/>
    <col min="274" max="274" width="9.33203125" bestFit="1" customWidth="1"/>
    <col min="275" max="275" width="7.88671875" bestFit="1" customWidth="1"/>
    <col min="276" max="276" width="5.44140625" bestFit="1" customWidth="1"/>
    <col min="277" max="277" width="7.88671875" bestFit="1" customWidth="1"/>
    <col min="278" max="278" width="9.33203125" bestFit="1" customWidth="1"/>
    <col min="280" max="280" width="15.109375" bestFit="1" customWidth="1"/>
    <col min="281" max="281" width="5.109375" bestFit="1" customWidth="1"/>
    <col min="282" max="282" width="6.88671875" bestFit="1" customWidth="1"/>
    <col min="283" max="283" width="5.44140625" bestFit="1" customWidth="1"/>
    <col min="284" max="284" width="5.109375" bestFit="1" customWidth="1"/>
    <col min="285" max="285" width="6.88671875" bestFit="1" customWidth="1"/>
    <col min="286" max="286" width="7.88671875" bestFit="1" customWidth="1"/>
    <col min="287" max="287" width="6.88671875" bestFit="1" customWidth="1"/>
    <col min="288" max="288" width="9.33203125" bestFit="1" customWidth="1"/>
    <col min="289" max="289" width="7.88671875" bestFit="1" customWidth="1"/>
    <col min="290" max="290" width="5.44140625" bestFit="1" customWidth="1"/>
    <col min="291" max="291" width="7.88671875" bestFit="1" customWidth="1"/>
    <col min="292" max="292" width="9.33203125" bestFit="1" customWidth="1"/>
    <col min="294" max="294" width="15.109375" bestFit="1" customWidth="1"/>
    <col min="295" max="296" width="6.88671875" bestFit="1" customWidth="1"/>
    <col min="297" max="297" width="5.44140625" bestFit="1" customWidth="1"/>
    <col min="298" max="298" width="5.109375" bestFit="1" customWidth="1"/>
    <col min="299" max="299" width="6.88671875" bestFit="1" customWidth="1"/>
    <col min="300" max="301" width="7.88671875" bestFit="1" customWidth="1"/>
    <col min="302" max="302" width="9.33203125" bestFit="1" customWidth="1"/>
    <col min="303" max="303" width="7.88671875" bestFit="1" customWidth="1"/>
    <col min="304" max="304" width="5.44140625" bestFit="1" customWidth="1"/>
    <col min="305" max="305" width="7.88671875" bestFit="1" customWidth="1"/>
    <col min="306" max="306" width="9.33203125" bestFit="1" customWidth="1"/>
    <col min="308" max="308" width="15.109375" bestFit="1" customWidth="1"/>
    <col min="309" max="310" width="6.88671875" bestFit="1" customWidth="1"/>
    <col min="311" max="311" width="5.44140625" bestFit="1" customWidth="1"/>
    <col min="312" max="312" width="5.109375" bestFit="1" customWidth="1"/>
    <col min="313" max="313" width="6.88671875" bestFit="1" customWidth="1"/>
    <col min="314" max="315" width="7.88671875" bestFit="1" customWidth="1"/>
    <col min="316" max="316" width="9.33203125" bestFit="1" customWidth="1"/>
    <col min="317" max="317" width="7.88671875" bestFit="1" customWidth="1"/>
    <col min="318" max="318" width="5.44140625" bestFit="1" customWidth="1"/>
    <col min="319" max="319" width="7.88671875" bestFit="1" customWidth="1"/>
    <col min="320" max="320" width="9.33203125" bestFit="1" customWidth="1"/>
    <col min="322" max="322" width="15.109375" bestFit="1" customWidth="1"/>
    <col min="323" max="324" width="6.88671875" bestFit="1" customWidth="1"/>
    <col min="325" max="325" width="5.44140625" bestFit="1" customWidth="1"/>
    <col min="326" max="326" width="5.109375" bestFit="1" customWidth="1"/>
    <col min="327" max="328" width="6.88671875" bestFit="1" customWidth="1"/>
    <col min="329" max="329" width="7.88671875" bestFit="1" customWidth="1"/>
    <col min="330" max="330" width="9.33203125" bestFit="1" customWidth="1"/>
    <col min="331" max="331" width="7.88671875" bestFit="1" customWidth="1"/>
    <col min="332" max="332" width="5.44140625" bestFit="1" customWidth="1"/>
    <col min="333" max="333" width="7.88671875" bestFit="1" customWidth="1"/>
    <col min="334" max="334" width="9.33203125" bestFit="1" customWidth="1"/>
  </cols>
  <sheetData>
    <row r="1" spans="2:340" ht="15" thickBot="1" x14ac:dyDescent="0.35"/>
    <row r="2" spans="2:340" ht="15" thickBot="1" x14ac:dyDescent="0.35">
      <c r="B2" s="14" t="s">
        <v>481</v>
      </c>
      <c r="C2" s="360" t="s">
        <v>562</v>
      </c>
      <c r="D2" s="361"/>
      <c r="E2" s="361"/>
      <c r="F2" s="361"/>
      <c r="G2" s="361"/>
      <c r="H2" s="362"/>
      <c r="J2" s="14" t="s">
        <v>481</v>
      </c>
      <c r="K2" s="357">
        <v>45841</v>
      </c>
      <c r="L2" s="358"/>
      <c r="M2" s="358"/>
      <c r="N2" s="358"/>
      <c r="O2" s="359"/>
      <c r="P2" s="360" t="s">
        <v>562</v>
      </c>
      <c r="Q2" s="361"/>
      <c r="R2" s="361"/>
      <c r="S2" s="361"/>
      <c r="T2" s="362"/>
      <c r="V2" s="14" t="s">
        <v>481</v>
      </c>
      <c r="W2" s="357">
        <v>45842</v>
      </c>
      <c r="X2" s="358"/>
      <c r="Y2" s="358"/>
      <c r="Z2" s="358"/>
      <c r="AA2" s="359"/>
      <c r="AB2" s="360" t="s">
        <v>562</v>
      </c>
      <c r="AC2" s="361"/>
      <c r="AD2" s="361"/>
      <c r="AE2" s="361"/>
      <c r="AF2" s="362"/>
      <c r="AH2" s="14" t="s">
        <v>481</v>
      </c>
      <c r="AI2" s="357">
        <v>45844</v>
      </c>
      <c r="AJ2" s="358"/>
      <c r="AK2" s="358"/>
      <c r="AL2" s="358"/>
      <c r="AM2" s="359"/>
      <c r="AN2" s="360" t="s">
        <v>562</v>
      </c>
      <c r="AO2" s="361"/>
      <c r="AP2" s="361"/>
      <c r="AQ2" s="361"/>
      <c r="AR2" s="362"/>
      <c r="AT2" s="14" t="s">
        <v>481</v>
      </c>
      <c r="AU2" s="357">
        <v>45845</v>
      </c>
      <c r="AV2" s="358"/>
      <c r="AW2" s="358"/>
      <c r="AX2" s="358"/>
      <c r="AY2" s="359"/>
      <c r="AZ2" s="360" t="s">
        <v>562</v>
      </c>
      <c r="BA2" s="361"/>
      <c r="BB2" s="361"/>
      <c r="BC2" s="361"/>
      <c r="BD2" s="362"/>
      <c r="BF2" s="14" t="s">
        <v>481</v>
      </c>
      <c r="BG2" s="357">
        <v>45846</v>
      </c>
      <c r="BH2" s="358"/>
      <c r="BI2" s="358"/>
      <c r="BJ2" s="358"/>
      <c r="BK2" s="359"/>
      <c r="BL2" s="360" t="s">
        <v>562</v>
      </c>
      <c r="BM2" s="361"/>
      <c r="BN2" s="361"/>
      <c r="BO2" s="361"/>
      <c r="BP2" s="362"/>
      <c r="BR2" s="14" t="s">
        <v>481</v>
      </c>
      <c r="BS2" s="357">
        <v>45847</v>
      </c>
      <c r="BT2" s="358"/>
      <c r="BU2" s="358"/>
      <c r="BV2" s="358"/>
      <c r="BW2" s="359"/>
      <c r="BX2" s="360" t="s">
        <v>562</v>
      </c>
      <c r="BY2" s="361"/>
      <c r="BZ2" s="361"/>
      <c r="CA2" s="361"/>
      <c r="CB2" s="362"/>
      <c r="CD2" s="14" t="s">
        <v>481</v>
      </c>
      <c r="CE2" s="357">
        <v>45848</v>
      </c>
      <c r="CF2" s="358"/>
      <c r="CG2" s="358"/>
      <c r="CH2" s="358"/>
      <c r="CI2" s="359"/>
      <c r="CJ2" s="360" t="s">
        <v>562</v>
      </c>
      <c r="CK2" s="361"/>
      <c r="CL2" s="361"/>
      <c r="CM2" s="361"/>
      <c r="CN2" s="362"/>
      <c r="CP2" s="14" t="s">
        <v>481</v>
      </c>
      <c r="CQ2" s="357">
        <v>45849</v>
      </c>
      <c r="CR2" s="358"/>
      <c r="CS2" s="358"/>
      <c r="CT2" s="358"/>
      <c r="CU2" s="359"/>
      <c r="CV2" s="360" t="s">
        <v>562</v>
      </c>
      <c r="CW2" s="361"/>
      <c r="CX2" s="361"/>
      <c r="CY2" s="361"/>
      <c r="CZ2" s="362"/>
      <c r="DB2" s="14" t="s">
        <v>481</v>
      </c>
      <c r="DC2" s="357">
        <v>45851</v>
      </c>
      <c r="DD2" s="358"/>
      <c r="DE2" s="358"/>
      <c r="DF2" s="358"/>
      <c r="DG2" s="359"/>
      <c r="DH2" s="360" t="s">
        <v>562</v>
      </c>
      <c r="DI2" s="361"/>
      <c r="DJ2" s="361"/>
      <c r="DK2" s="361"/>
      <c r="DL2" s="362"/>
      <c r="DN2" s="14" t="s">
        <v>481</v>
      </c>
      <c r="DO2" s="357">
        <v>45852</v>
      </c>
      <c r="DP2" s="358"/>
      <c r="DQ2" s="358"/>
      <c r="DR2" s="358"/>
      <c r="DS2" s="359"/>
      <c r="DT2" s="360" t="s">
        <v>562</v>
      </c>
      <c r="DU2" s="361"/>
      <c r="DV2" s="361"/>
      <c r="DW2" s="361"/>
      <c r="DX2" s="362"/>
      <c r="DZ2" s="14" t="s">
        <v>481</v>
      </c>
      <c r="EA2" s="357">
        <v>45853</v>
      </c>
      <c r="EB2" s="358"/>
      <c r="EC2" s="358"/>
      <c r="ED2" s="358"/>
      <c r="EE2" s="359"/>
      <c r="EF2" s="360" t="s">
        <v>562</v>
      </c>
      <c r="EG2" s="361"/>
      <c r="EH2" s="361"/>
      <c r="EI2" s="361"/>
      <c r="EJ2" s="362"/>
      <c r="EL2" s="14" t="s">
        <v>481</v>
      </c>
      <c r="EM2" s="357">
        <v>45854</v>
      </c>
      <c r="EN2" s="358"/>
      <c r="EO2" s="358"/>
      <c r="EP2" s="358"/>
      <c r="EQ2" s="359"/>
      <c r="ER2" s="360" t="s">
        <v>562</v>
      </c>
      <c r="ES2" s="361"/>
      <c r="ET2" s="361"/>
      <c r="EU2" s="361"/>
      <c r="EV2" s="362"/>
      <c r="EX2" s="14" t="s">
        <v>481</v>
      </c>
      <c r="EY2" s="357">
        <v>45855</v>
      </c>
      <c r="EZ2" s="358"/>
      <c r="FA2" s="358"/>
      <c r="FB2" s="358"/>
      <c r="FC2" s="358"/>
      <c r="FD2" s="359"/>
      <c r="FE2" s="360" t="s">
        <v>562</v>
      </c>
      <c r="FF2" s="361"/>
      <c r="FG2" s="361"/>
      <c r="FH2" s="361"/>
      <c r="FI2" s="361"/>
      <c r="FJ2" s="362"/>
      <c r="FL2" s="14" t="s">
        <v>481</v>
      </c>
      <c r="FM2" s="357">
        <v>45856</v>
      </c>
      <c r="FN2" s="358"/>
      <c r="FO2" s="358"/>
      <c r="FP2" s="358"/>
      <c r="FQ2" s="358"/>
      <c r="FR2" s="359"/>
      <c r="FS2" s="360" t="s">
        <v>562</v>
      </c>
      <c r="FT2" s="361"/>
      <c r="FU2" s="361"/>
      <c r="FV2" s="361"/>
      <c r="FW2" s="361"/>
      <c r="FX2" s="362"/>
      <c r="FZ2" s="14" t="s">
        <v>481</v>
      </c>
      <c r="GA2" s="357">
        <v>45858</v>
      </c>
      <c r="GB2" s="358"/>
      <c r="GC2" s="358"/>
      <c r="GD2" s="358"/>
      <c r="GE2" s="358"/>
      <c r="GF2" s="359"/>
      <c r="GG2" s="360" t="s">
        <v>562</v>
      </c>
      <c r="GH2" s="361"/>
      <c r="GI2" s="361"/>
      <c r="GJ2" s="361"/>
      <c r="GK2" s="361"/>
      <c r="GL2" s="362"/>
      <c r="GN2" s="14" t="s">
        <v>481</v>
      </c>
      <c r="GO2" s="357">
        <v>45859</v>
      </c>
      <c r="GP2" s="358"/>
      <c r="GQ2" s="358"/>
      <c r="GR2" s="358"/>
      <c r="GS2" s="358"/>
      <c r="GT2" s="359"/>
      <c r="GU2" s="360" t="s">
        <v>562</v>
      </c>
      <c r="GV2" s="361"/>
      <c r="GW2" s="361"/>
      <c r="GX2" s="361"/>
      <c r="GY2" s="361"/>
      <c r="GZ2" s="362"/>
      <c r="HB2" s="14" t="s">
        <v>481</v>
      </c>
      <c r="HC2" s="357">
        <v>45860</v>
      </c>
      <c r="HD2" s="358"/>
      <c r="HE2" s="358"/>
      <c r="HF2" s="358"/>
      <c r="HG2" s="358"/>
      <c r="HH2" s="359"/>
      <c r="HI2" s="360" t="s">
        <v>562</v>
      </c>
      <c r="HJ2" s="361"/>
      <c r="HK2" s="361"/>
      <c r="HL2" s="361"/>
      <c r="HM2" s="361"/>
      <c r="HN2" s="362"/>
      <c r="HP2" s="14" t="s">
        <v>481</v>
      </c>
      <c r="HQ2" s="357">
        <v>45861</v>
      </c>
      <c r="HR2" s="358"/>
      <c r="HS2" s="358"/>
      <c r="HT2" s="358"/>
      <c r="HU2" s="358"/>
      <c r="HV2" s="359"/>
      <c r="HW2" s="360" t="s">
        <v>562</v>
      </c>
      <c r="HX2" s="361"/>
      <c r="HY2" s="361"/>
      <c r="HZ2" s="361"/>
      <c r="IA2" s="361"/>
      <c r="IB2" s="362"/>
      <c r="ID2" s="14" t="s">
        <v>481</v>
      </c>
      <c r="IE2" s="357">
        <v>45862</v>
      </c>
      <c r="IF2" s="358"/>
      <c r="IG2" s="358"/>
      <c r="IH2" s="358"/>
      <c r="II2" s="358"/>
      <c r="IJ2" s="359"/>
      <c r="IK2" s="360" t="s">
        <v>562</v>
      </c>
      <c r="IL2" s="361"/>
      <c r="IM2" s="361"/>
      <c r="IN2" s="361"/>
      <c r="IO2" s="361"/>
      <c r="IP2" s="362"/>
      <c r="IR2" s="14" t="s">
        <v>481</v>
      </c>
      <c r="IS2" s="357">
        <v>45863</v>
      </c>
      <c r="IT2" s="358"/>
      <c r="IU2" s="358"/>
      <c r="IV2" s="358"/>
      <c r="IW2" s="358"/>
      <c r="IX2" s="359"/>
      <c r="IY2" s="360" t="s">
        <v>562</v>
      </c>
      <c r="IZ2" s="361"/>
      <c r="JA2" s="361"/>
      <c r="JB2" s="361"/>
      <c r="JC2" s="361"/>
      <c r="JD2" s="362"/>
      <c r="JF2" s="14" t="s">
        <v>481</v>
      </c>
      <c r="JG2" s="357">
        <v>45865</v>
      </c>
      <c r="JH2" s="358"/>
      <c r="JI2" s="358"/>
      <c r="JJ2" s="358"/>
      <c r="JK2" s="358"/>
      <c r="JL2" s="359"/>
      <c r="JM2" s="360" t="s">
        <v>562</v>
      </c>
      <c r="JN2" s="361"/>
      <c r="JO2" s="361"/>
      <c r="JP2" s="361"/>
      <c r="JQ2" s="361"/>
      <c r="JR2" s="362"/>
      <c r="JT2" s="14" t="s">
        <v>481</v>
      </c>
      <c r="JU2" s="357">
        <v>45866</v>
      </c>
      <c r="JV2" s="358"/>
      <c r="JW2" s="358"/>
      <c r="JX2" s="358"/>
      <c r="JY2" s="358"/>
      <c r="JZ2" s="359"/>
      <c r="KA2" s="360" t="s">
        <v>562</v>
      </c>
      <c r="KB2" s="361"/>
      <c r="KC2" s="361"/>
      <c r="KD2" s="361"/>
      <c r="KE2" s="361"/>
      <c r="KF2" s="362"/>
      <c r="KH2" s="14" t="s">
        <v>481</v>
      </c>
      <c r="KI2" s="357">
        <v>45867</v>
      </c>
      <c r="KJ2" s="358"/>
      <c r="KK2" s="358"/>
      <c r="KL2" s="358"/>
      <c r="KM2" s="358"/>
      <c r="KN2" s="359"/>
      <c r="KO2" s="360" t="s">
        <v>700</v>
      </c>
      <c r="KP2" s="361"/>
      <c r="KQ2" s="361"/>
      <c r="KR2" s="361"/>
      <c r="KS2" s="361"/>
      <c r="KT2" s="362"/>
      <c r="KV2" s="14" t="s">
        <v>481</v>
      </c>
      <c r="KW2" s="357">
        <v>45868</v>
      </c>
      <c r="KX2" s="358"/>
      <c r="KY2" s="358"/>
      <c r="KZ2" s="358"/>
      <c r="LA2" s="358"/>
      <c r="LB2" s="359"/>
      <c r="LC2" s="360" t="s">
        <v>700</v>
      </c>
      <c r="LD2" s="361"/>
      <c r="LE2" s="361"/>
      <c r="LF2" s="361"/>
      <c r="LG2" s="361"/>
      <c r="LH2" s="362"/>
      <c r="LJ2" s="14" t="s">
        <v>481</v>
      </c>
      <c r="LK2" s="357">
        <v>45869</v>
      </c>
      <c r="LL2" s="358"/>
      <c r="LM2" s="358"/>
      <c r="LN2" s="358"/>
      <c r="LO2" s="358"/>
      <c r="LP2" s="359"/>
      <c r="LQ2" s="360" t="s">
        <v>700</v>
      </c>
      <c r="LR2" s="361"/>
      <c r="LS2" s="361"/>
      <c r="LT2" s="361"/>
      <c r="LU2" s="361"/>
      <c r="LV2" s="362"/>
    </row>
    <row r="3" spans="2:340" ht="43.2" x14ac:dyDescent="0.3">
      <c r="B3" s="112" t="s">
        <v>551</v>
      </c>
      <c r="C3" s="107" t="s">
        <v>544</v>
      </c>
      <c r="D3" s="108" t="s">
        <v>548</v>
      </c>
      <c r="E3" s="108" t="s">
        <v>549</v>
      </c>
      <c r="F3" s="109" t="s">
        <v>546</v>
      </c>
      <c r="G3" s="109" t="s">
        <v>593</v>
      </c>
      <c r="H3" s="110" t="s">
        <v>462</v>
      </c>
      <c r="J3" s="112" t="s">
        <v>551</v>
      </c>
      <c r="K3" s="107" t="s">
        <v>544</v>
      </c>
      <c r="L3" s="108" t="s">
        <v>548</v>
      </c>
      <c r="M3" s="108" t="s">
        <v>549</v>
      </c>
      <c r="N3" s="109" t="s">
        <v>546</v>
      </c>
      <c r="O3" s="110" t="s">
        <v>462</v>
      </c>
      <c r="P3" s="107" t="s">
        <v>544</v>
      </c>
      <c r="Q3" s="108" t="s">
        <v>548</v>
      </c>
      <c r="R3" s="108" t="s">
        <v>549</v>
      </c>
      <c r="S3" s="109" t="s">
        <v>546</v>
      </c>
      <c r="T3" s="110" t="s">
        <v>462</v>
      </c>
      <c r="V3" s="112" t="s">
        <v>551</v>
      </c>
      <c r="W3" s="107" t="s">
        <v>544</v>
      </c>
      <c r="X3" s="108" t="s">
        <v>548</v>
      </c>
      <c r="Y3" s="108" t="s">
        <v>549</v>
      </c>
      <c r="Z3" s="109" t="s">
        <v>546</v>
      </c>
      <c r="AA3" s="110" t="s">
        <v>462</v>
      </c>
      <c r="AB3" s="107" t="s">
        <v>544</v>
      </c>
      <c r="AC3" s="108" t="s">
        <v>548</v>
      </c>
      <c r="AD3" s="108" t="s">
        <v>549</v>
      </c>
      <c r="AE3" s="109" t="s">
        <v>546</v>
      </c>
      <c r="AF3" s="110" t="s">
        <v>462</v>
      </c>
      <c r="AH3" s="112" t="s">
        <v>551</v>
      </c>
      <c r="AI3" s="107" t="s">
        <v>544</v>
      </c>
      <c r="AJ3" s="108" t="s">
        <v>548</v>
      </c>
      <c r="AK3" s="108" t="s">
        <v>549</v>
      </c>
      <c r="AL3" s="109" t="s">
        <v>546</v>
      </c>
      <c r="AM3" s="110" t="s">
        <v>462</v>
      </c>
      <c r="AN3" s="107" t="s">
        <v>544</v>
      </c>
      <c r="AO3" s="108" t="s">
        <v>548</v>
      </c>
      <c r="AP3" s="108" t="s">
        <v>549</v>
      </c>
      <c r="AQ3" s="109" t="s">
        <v>546</v>
      </c>
      <c r="AR3" s="110" t="s">
        <v>462</v>
      </c>
      <c r="AT3" s="112" t="s">
        <v>551</v>
      </c>
      <c r="AU3" s="107" t="s">
        <v>544</v>
      </c>
      <c r="AV3" s="108" t="s">
        <v>548</v>
      </c>
      <c r="AW3" s="108" t="s">
        <v>549</v>
      </c>
      <c r="AX3" s="109" t="s">
        <v>546</v>
      </c>
      <c r="AY3" s="110" t="s">
        <v>462</v>
      </c>
      <c r="AZ3" s="107" t="s">
        <v>544</v>
      </c>
      <c r="BA3" s="108" t="s">
        <v>548</v>
      </c>
      <c r="BB3" s="108" t="s">
        <v>549</v>
      </c>
      <c r="BC3" s="109" t="s">
        <v>546</v>
      </c>
      <c r="BD3" s="110" t="s">
        <v>462</v>
      </c>
      <c r="BF3" s="112" t="s">
        <v>551</v>
      </c>
      <c r="BG3" s="107" t="s">
        <v>544</v>
      </c>
      <c r="BH3" s="108" t="s">
        <v>548</v>
      </c>
      <c r="BI3" s="108" t="s">
        <v>549</v>
      </c>
      <c r="BJ3" s="109" t="s">
        <v>546</v>
      </c>
      <c r="BK3" s="110" t="s">
        <v>462</v>
      </c>
      <c r="BL3" s="107" t="s">
        <v>544</v>
      </c>
      <c r="BM3" s="108" t="s">
        <v>548</v>
      </c>
      <c r="BN3" s="108" t="s">
        <v>549</v>
      </c>
      <c r="BO3" s="109" t="s">
        <v>546</v>
      </c>
      <c r="BP3" s="110" t="s">
        <v>462</v>
      </c>
      <c r="BR3" s="112" t="s">
        <v>551</v>
      </c>
      <c r="BS3" s="107" t="s">
        <v>544</v>
      </c>
      <c r="BT3" s="108" t="s">
        <v>548</v>
      </c>
      <c r="BU3" s="108" t="s">
        <v>549</v>
      </c>
      <c r="BV3" s="109" t="s">
        <v>546</v>
      </c>
      <c r="BW3" s="110" t="s">
        <v>462</v>
      </c>
      <c r="BX3" s="107" t="s">
        <v>544</v>
      </c>
      <c r="BY3" s="108" t="s">
        <v>548</v>
      </c>
      <c r="BZ3" s="108" t="s">
        <v>549</v>
      </c>
      <c r="CA3" s="109" t="s">
        <v>546</v>
      </c>
      <c r="CB3" s="110" t="s">
        <v>462</v>
      </c>
      <c r="CD3" s="112" t="s">
        <v>551</v>
      </c>
      <c r="CE3" s="107" t="s">
        <v>544</v>
      </c>
      <c r="CF3" s="108" t="s">
        <v>548</v>
      </c>
      <c r="CG3" s="108" t="s">
        <v>549</v>
      </c>
      <c r="CH3" s="109" t="s">
        <v>546</v>
      </c>
      <c r="CI3" s="110" t="s">
        <v>462</v>
      </c>
      <c r="CJ3" s="107" t="s">
        <v>544</v>
      </c>
      <c r="CK3" s="108" t="s">
        <v>548</v>
      </c>
      <c r="CL3" s="108" t="s">
        <v>549</v>
      </c>
      <c r="CM3" s="109" t="s">
        <v>546</v>
      </c>
      <c r="CN3" s="110" t="s">
        <v>462</v>
      </c>
      <c r="CP3" s="112" t="s">
        <v>551</v>
      </c>
      <c r="CQ3" s="107" t="s">
        <v>544</v>
      </c>
      <c r="CR3" s="108" t="s">
        <v>548</v>
      </c>
      <c r="CS3" s="108" t="s">
        <v>549</v>
      </c>
      <c r="CT3" s="109" t="s">
        <v>546</v>
      </c>
      <c r="CU3" s="110" t="s">
        <v>462</v>
      </c>
      <c r="CV3" s="107" t="s">
        <v>544</v>
      </c>
      <c r="CW3" s="108" t="s">
        <v>548</v>
      </c>
      <c r="CX3" s="108" t="s">
        <v>549</v>
      </c>
      <c r="CY3" s="109" t="s">
        <v>546</v>
      </c>
      <c r="CZ3" s="110" t="s">
        <v>462</v>
      </c>
      <c r="DB3" s="112" t="s">
        <v>551</v>
      </c>
      <c r="DC3" s="107" t="s">
        <v>544</v>
      </c>
      <c r="DD3" s="108" t="s">
        <v>548</v>
      </c>
      <c r="DE3" s="108" t="s">
        <v>549</v>
      </c>
      <c r="DF3" s="109" t="s">
        <v>546</v>
      </c>
      <c r="DG3" s="110" t="s">
        <v>462</v>
      </c>
      <c r="DH3" s="107" t="s">
        <v>544</v>
      </c>
      <c r="DI3" s="108" t="s">
        <v>548</v>
      </c>
      <c r="DJ3" s="108" t="s">
        <v>549</v>
      </c>
      <c r="DK3" s="109" t="s">
        <v>546</v>
      </c>
      <c r="DL3" s="110" t="s">
        <v>462</v>
      </c>
      <c r="DN3" s="112" t="s">
        <v>551</v>
      </c>
      <c r="DO3" s="107" t="s">
        <v>544</v>
      </c>
      <c r="DP3" s="108" t="s">
        <v>548</v>
      </c>
      <c r="DQ3" s="108" t="s">
        <v>549</v>
      </c>
      <c r="DR3" s="109" t="s">
        <v>546</v>
      </c>
      <c r="DS3" s="110" t="s">
        <v>462</v>
      </c>
      <c r="DT3" s="107" t="s">
        <v>544</v>
      </c>
      <c r="DU3" s="108" t="s">
        <v>548</v>
      </c>
      <c r="DV3" s="108" t="s">
        <v>549</v>
      </c>
      <c r="DW3" s="109" t="s">
        <v>546</v>
      </c>
      <c r="DX3" s="110" t="s">
        <v>462</v>
      </c>
      <c r="DZ3" s="112" t="s">
        <v>551</v>
      </c>
      <c r="EA3" s="107" t="s">
        <v>544</v>
      </c>
      <c r="EB3" s="108" t="s">
        <v>548</v>
      </c>
      <c r="EC3" s="108" t="s">
        <v>549</v>
      </c>
      <c r="ED3" s="109" t="s">
        <v>546</v>
      </c>
      <c r="EE3" s="110" t="s">
        <v>462</v>
      </c>
      <c r="EF3" s="107" t="s">
        <v>544</v>
      </c>
      <c r="EG3" s="108" t="s">
        <v>548</v>
      </c>
      <c r="EH3" s="108" t="s">
        <v>549</v>
      </c>
      <c r="EI3" s="109" t="s">
        <v>546</v>
      </c>
      <c r="EJ3" s="110" t="s">
        <v>462</v>
      </c>
      <c r="EL3" s="112" t="s">
        <v>551</v>
      </c>
      <c r="EM3" s="107" t="s">
        <v>544</v>
      </c>
      <c r="EN3" s="108" t="s">
        <v>548</v>
      </c>
      <c r="EO3" s="108" t="s">
        <v>549</v>
      </c>
      <c r="EP3" s="109" t="s">
        <v>546</v>
      </c>
      <c r="EQ3" s="110" t="s">
        <v>462</v>
      </c>
      <c r="ER3" s="107" t="s">
        <v>544</v>
      </c>
      <c r="ES3" s="108" t="s">
        <v>548</v>
      </c>
      <c r="ET3" s="108" t="s">
        <v>549</v>
      </c>
      <c r="EU3" s="109" t="s">
        <v>546</v>
      </c>
      <c r="EV3" s="110" t="s">
        <v>462</v>
      </c>
      <c r="EX3" s="112" t="s">
        <v>551</v>
      </c>
      <c r="EY3" s="107" t="s">
        <v>544</v>
      </c>
      <c r="EZ3" s="108" t="s">
        <v>548</v>
      </c>
      <c r="FA3" s="108" t="s">
        <v>549</v>
      </c>
      <c r="FB3" s="108" t="s">
        <v>693</v>
      </c>
      <c r="FC3" s="109" t="s">
        <v>546</v>
      </c>
      <c r="FD3" s="110" t="s">
        <v>462</v>
      </c>
      <c r="FE3" s="107" t="s">
        <v>544</v>
      </c>
      <c r="FF3" s="108" t="s">
        <v>548</v>
      </c>
      <c r="FG3" s="108" t="s">
        <v>549</v>
      </c>
      <c r="FH3" s="108" t="s">
        <v>693</v>
      </c>
      <c r="FI3" s="109" t="s">
        <v>546</v>
      </c>
      <c r="FJ3" s="110" t="s">
        <v>462</v>
      </c>
      <c r="FL3" s="112" t="s">
        <v>551</v>
      </c>
      <c r="FM3" s="107" t="s">
        <v>544</v>
      </c>
      <c r="FN3" s="108" t="s">
        <v>548</v>
      </c>
      <c r="FO3" s="108" t="s">
        <v>549</v>
      </c>
      <c r="FP3" s="108" t="s">
        <v>693</v>
      </c>
      <c r="FQ3" s="109" t="s">
        <v>546</v>
      </c>
      <c r="FR3" s="110" t="s">
        <v>462</v>
      </c>
      <c r="FS3" s="107" t="s">
        <v>544</v>
      </c>
      <c r="FT3" s="108" t="s">
        <v>548</v>
      </c>
      <c r="FU3" s="108" t="s">
        <v>549</v>
      </c>
      <c r="FV3" s="108" t="s">
        <v>693</v>
      </c>
      <c r="FW3" s="109" t="s">
        <v>546</v>
      </c>
      <c r="FX3" s="110" t="s">
        <v>462</v>
      </c>
      <c r="FZ3" s="112" t="s">
        <v>551</v>
      </c>
      <c r="GA3" s="107" t="s">
        <v>544</v>
      </c>
      <c r="GB3" s="108" t="s">
        <v>548</v>
      </c>
      <c r="GC3" s="108" t="s">
        <v>549</v>
      </c>
      <c r="GD3" s="108" t="s">
        <v>693</v>
      </c>
      <c r="GE3" s="109" t="s">
        <v>546</v>
      </c>
      <c r="GF3" s="110" t="s">
        <v>462</v>
      </c>
      <c r="GG3" s="107" t="s">
        <v>544</v>
      </c>
      <c r="GH3" s="108" t="s">
        <v>548</v>
      </c>
      <c r="GI3" s="108" t="s">
        <v>549</v>
      </c>
      <c r="GJ3" s="108" t="s">
        <v>693</v>
      </c>
      <c r="GK3" s="109" t="s">
        <v>546</v>
      </c>
      <c r="GL3" s="110" t="s">
        <v>462</v>
      </c>
      <c r="GN3" s="112" t="s">
        <v>551</v>
      </c>
      <c r="GO3" s="107" t="s">
        <v>544</v>
      </c>
      <c r="GP3" s="108" t="s">
        <v>548</v>
      </c>
      <c r="GQ3" s="108" t="s">
        <v>549</v>
      </c>
      <c r="GR3" s="108" t="s">
        <v>693</v>
      </c>
      <c r="GS3" s="109" t="s">
        <v>546</v>
      </c>
      <c r="GT3" s="110" t="s">
        <v>462</v>
      </c>
      <c r="GU3" s="107" t="s">
        <v>544</v>
      </c>
      <c r="GV3" s="108" t="s">
        <v>548</v>
      </c>
      <c r="GW3" s="108" t="s">
        <v>549</v>
      </c>
      <c r="GX3" s="108" t="s">
        <v>693</v>
      </c>
      <c r="GY3" s="109" t="s">
        <v>546</v>
      </c>
      <c r="GZ3" s="110" t="s">
        <v>462</v>
      </c>
      <c r="HB3" s="112" t="s">
        <v>551</v>
      </c>
      <c r="HC3" s="107" t="s">
        <v>544</v>
      </c>
      <c r="HD3" s="108" t="s">
        <v>548</v>
      </c>
      <c r="HE3" s="108" t="s">
        <v>549</v>
      </c>
      <c r="HF3" s="108" t="s">
        <v>693</v>
      </c>
      <c r="HG3" s="109" t="s">
        <v>546</v>
      </c>
      <c r="HH3" s="110" t="s">
        <v>462</v>
      </c>
      <c r="HI3" s="107" t="s">
        <v>544</v>
      </c>
      <c r="HJ3" s="108" t="s">
        <v>548</v>
      </c>
      <c r="HK3" s="108" t="s">
        <v>549</v>
      </c>
      <c r="HL3" s="108" t="s">
        <v>693</v>
      </c>
      <c r="HM3" s="109" t="s">
        <v>546</v>
      </c>
      <c r="HN3" s="110" t="s">
        <v>462</v>
      </c>
      <c r="HP3" s="112" t="s">
        <v>551</v>
      </c>
      <c r="HQ3" s="107" t="s">
        <v>544</v>
      </c>
      <c r="HR3" s="108" t="s">
        <v>548</v>
      </c>
      <c r="HS3" s="108" t="s">
        <v>549</v>
      </c>
      <c r="HT3" s="108" t="s">
        <v>693</v>
      </c>
      <c r="HU3" s="109" t="s">
        <v>546</v>
      </c>
      <c r="HV3" s="110" t="s">
        <v>462</v>
      </c>
      <c r="HW3" s="107" t="s">
        <v>544</v>
      </c>
      <c r="HX3" s="108" t="s">
        <v>548</v>
      </c>
      <c r="HY3" s="108" t="s">
        <v>549</v>
      </c>
      <c r="HZ3" s="108" t="s">
        <v>693</v>
      </c>
      <c r="IA3" s="109" t="s">
        <v>546</v>
      </c>
      <c r="IB3" s="110" t="s">
        <v>462</v>
      </c>
      <c r="ID3" s="112" t="s">
        <v>551</v>
      </c>
      <c r="IE3" s="107" t="s">
        <v>544</v>
      </c>
      <c r="IF3" s="108" t="s">
        <v>548</v>
      </c>
      <c r="IG3" s="108" t="s">
        <v>549</v>
      </c>
      <c r="IH3" s="108" t="s">
        <v>693</v>
      </c>
      <c r="II3" s="109" t="s">
        <v>546</v>
      </c>
      <c r="IJ3" s="110" t="s">
        <v>462</v>
      </c>
      <c r="IK3" s="107" t="s">
        <v>544</v>
      </c>
      <c r="IL3" s="108" t="s">
        <v>548</v>
      </c>
      <c r="IM3" s="108" t="s">
        <v>549</v>
      </c>
      <c r="IN3" s="108" t="s">
        <v>693</v>
      </c>
      <c r="IO3" s="109" t="s">
        <v>546</v>
      </c>
      <c r="IP3" s="110" t="s">
        <v>462</v>
      </c>
      <c r="IR3" s="112" t="s">
        <v>551</v>
      </c>
      <c r="IS3" s="107" t="s">
        <v>544</v>
      </c>
      <c r="IT3" s="108" t="s">
        <v>548</v>
      </c>
      <c r="IU3" s="108" t="s">
        <v>549</v>
      </c>
      <c r="IV3" s="108" t="s">
        <v>693</v>
      </c>
      <c r="IW3" s="109" t="s">
        <v>546</v>
      </c>
      <c r="IX3" s="110" t="s">
        <v>462</v>
      </c>
      <c r="IY3" s="107" t="s">
        <v>544</v>
      </c>
      <c r="IZ3" s="108" t="s">
        <v>548</v>
      </c>
      <c r="JA3" s="108" t="s">
        <v>549</v>
      </c>
      <c r="JB3" s="108" t="s">
        <v>693</v>
      </c>
      <c r="JC3" s="109" t="s">
        <v>546</v>
      </c>
      <c r="JD3" s="110" t="s">
        <v>462</v>
      </c>
      <c r="JF3" s="112" t="s">
        <v>551</v>
      </c>
      <c r="JG3" s="107" t="s">
        <v>544</v>
      </c>
      <c r="JH3" s="108" t="s">
        <v>548</v>
      </c>
      <c r="JI3" s="108" t="s">
        <v>549</v>
      </c>
      <c r="JJ3" s="108" t="s">
        <v>693</v>
      </c>
      <c r="JK3" s="109" t="s">
        <v>546</v>
      </c>
      <c r="JL3" s="110" t="s">
        <v>462</v>
      </c>
      <c r="JM3" s="107" t="s">
        <v>544</v>
      </c>
      <c r="JN3" s="108" t="s">
        <v>548</v>
      </c>
      <c r="JO3" s="108" t="s">
        <v>549</v>
      </c>
      <c r="JP3" s="108" t="s">
        <v>693</v>
      </c>
      <c r="JQ3" s="109" t="s">
        <v>546</v>
      </c>
      <c r="JR3" s="110" t="s">
        <v>462</v>
      </c>
      <c r="JT3" s="112" t="s">
        <v>551</v>
      </c>
      <c r="JU3" s="107" t="s">
        <v>544</v>
      </c>
      <c r="JV3" s="108" t="s">
        <v>548</v>
      </c>
      <c r="JW3" s="108" t="s">
        <v>549</v>
      </c>
      <c r="JX3" s="108" t="s">
        <v>693</v>
      </c>
      <c r="JY3" s="109" t="s">
        <v>546</v>
      </c>
      <c r="JZ3" s="110" t="s">
        <v>462</v>
      </c>
      <c r="KA3" s="107" t="s">
        <v>544</v>
      </c>
      <c r="KB3" s="108" t="s">
        <v>548</v>
      </c>
      <c r="KC3" s="108" t="s">
        <v>549</v>
      </c>
      <c r="KD3" s="108" t="s">
        <v>693</v>
      </c>
      <c r="KE3" s="109" t="s">
        <v>546</v>
      </c>
      <c r="KF3" s="110" t="s">
        <v>462</v>
      </c>
      <c r="KH3" s="112" t="s">
        <v>551</v>
      </c>
      <c r="KI3" s="107" t="s">
        <v>544</v>
      </c>
      <c r="KJ3" s="108" t="s">
        <v>548</v>
      </c>
      <c r="KK3" s="108" t="s">
        <v>549</v>
      </c>
      <c r="KL3" s="108" t="s">
        <v>693</v>
      </c>
      <c r="KM3" s="109" t="s">
        <v>546</v>
      </c>
      <c r="KN3" s="110" t="s">
        <v>462</v>
      </c>
      <c r="KO3" s="107" t="s">
        <v>544</v>
      </c>
      <c r="KP3" s="108" t="s">
        <v>548</v>
      </c>
      <c r="KQ3" s="108" t="s">
        <v>549</v>
      </c>
      <c r="KR3" s="108" t="s">
        <v>693</v>
      </c>
      <c r="KS3" s="109" t="s">
        <v>546</v>
      </c>
      <c r="KT3" s="110" t="s">
        <v>462</v>
      </c>
      <c r="KV3" s="112" t="s">
        <v>551</v>
      </c>
      <c r="KW3" s="107" t="s">
        <v>544</v>
      </c>
      <c r="KX3" s="108" t="s">
        <v>548</v>
      </c>
      <c r="KY3" s="108" t="s">
        <v>549</v>
      </c>
      <c r="KZ3" s="108" t="s">
        <v>693</v>
      </c>
      <c r="LA3" s="109" t="s">
        <v>546</v>
      </c>
      <c r="LB3" s="110" t="s">
        <v>462</v>
      </c>
      <c r="LC3" s="107" t="s">
        <v>544</v>
      </c>
      <c r="LD3" s="108" t="s">
        <v>548</v>
      </c>
      <c r="LE3" s="108" t="s">
        <v>549</v>
      </c>
      <c r="LF3" s="108" t="s">
        <v>693</v>
      </c>
      <c r="LG3" s="109" t="s">
        <v>546</v>
      </c>
      <c r="LH3" s="110" t="s">
        <v>462</v>
      </c>
      <c r="LJ3" s="112" t="s">
        <v>551</v>
      </c>
      <c r="LK3" s="107" t="s">
        <v>544</v>
      </c>
      <c r="LL3" s="108" t="s">
        <v>548</v>
      </c>
      <c r="LM3" s="108" t="s">
        <v>549</v>
      </c>
      <c r="LN3" s="108" t="s">
        <v>693</v>
      </c>
      <c r="LO3" s="109" t="s">
        <v>546</v>
      </c>
      <c r="LP3" s="110" t="s">
        <v>462</v>
      </c>
      <c r="LQ3" s="107" t="s">
        <v>544</v>
      </c>
      <c r="LR3" s="108" t="s">
        <v>548</v>
      </c>
      <c r="LS3" s="108" t="s">
        <v>549</v>
      </c>
      <c r="LT3" s="108" t="s">
        <v>693</v>
      </c>
      <c r="LU3" s="109" t="s">
        <v>546</v>
      </c>
      <c r="LV3" s="110" t="s">
        <v>462</v>
      </c>
    </row>
    <row r="4" spans="2:340" x14ac:dyDescent="0.3">
      <c r="B4" s="113" t="s">
        <v>550</v>
      </c>
      <c r="C4" s="80">
        <v>0</v>
      </c>
      <c r="D4" s="80">
        <v>16555</v>
      </c>
      <c r="E4" s="80">
        <v>350</v>
      </c>
      <c r="F4" s="78">
        <v>6207</v>
      </c>
      <c r="G4" s="81">
        <v>0</v>
      </c>
      <c r="H4" s="79">
        <v>23112</v>
      </c>
      <c r="J4" s="113" t="s">
        <v>550</v>
      </c>
      <c r="K4" s="77">
        <v>0</v>
      </c>
      <c r="L4" s="78">
        <v>7245</v>
      </c>
      <c r="M4" s="78">
        <v>216</v>
      </c>
      <c r="N4" s="78">
        <v>2277</v>
      </c>
      <c r="O4" s="79">
        <v>9738</v>
      </c>
      <c r="P4" s="80">
        <v>0</v>
      </c>
      <c r="Q4" s="80">
        <v>23800</v>
      </c>
      <c r="R4" s="80">
        <v>566</v>
      </c>
      <c r="S4" s="78">
        <v>8484</v>
      </c>
      <c r="T4" s="79">
        <v>32850</v>
      </c>
      <c r="V4" s="113" t="s">
        <v>550</v>
      </c>
      <c r="W4" s="77">
        <v>0</v>
      </c>
      <c r="X4" s="78">
        <v>525</v>
      </c>
      <c r="Y4" s="78">
        <v>719</v>
      </c>
      <c r="Z4" s="78">
        <v>2016</v>
      </c>
      <c r="AA4" s="79">
        <v>3260</v>
      </c>
      <c r="AB4" s="80">
        <v>0</v>
      </c>
      <c r="AC4" s="80">
        <v>24325</v>
      </c>
      <c r="AD4" s="80">
        <v>1285</v>
      </c>
      <c r="AE4" s="78">
        <v>10500</v>
      </c>
      <c r="AF4" s="79">
        <v>36110</v>
      </c>
      <c r="AG4" s="17"/>
      <c r="AH4" s="113" t="s">
        <v>550</v>
      </c>
      <c r="AI4" s="77">
        <v>0</v>
      </c>
      <c r="AJ4" s="78">
        <v>0</v>
      </c>
      <c r="AK4" s="78">
        <v>665</v>
      </c>
      <c r="AL4" s="78">
        <v>0</v>
      </c>
      <c r="AM4" s="79">
        <v>665</v>
      </c>
      <c r="AN4" s="80">
        <v>0</v>
      </c>
      <c r="AO4" s="80">
        <v>24325</v>
      </c>
      <c r="AP4" s="80">
        <v>1950</v>
      </c>
      <c r="AQ4" s="78">
        <v>10500</v>
      </c>
      <c r="AR4" s="79">
        <v>36775</v>
      </c>
      <c r="AS4" s="17"/>
      <c r="AT4" s="113" t="s">
        <v>550</v>
      </c>
      <c r="AU4" s="77">
        <v>0</v>
      </c>
      <c r="AV4" s="78">
        <v>11452</v>
      </c>
      <c r="AW4" s="78">
        <v>661</v>
      </c>
      <c r="AX4" s="78">
        <v>3024</v>
      </c>
      <c r="AY4" s="79">
        <v>15137</v>
      </c>
      <c r="AZ4" s="80">
        <v>0</v>
      </c>
      <c r="BA4" s="80">
        <v>35777</v>
      </c>
      <c r="BB4" s="80">
        <v>2611</v>
      </c>
      <c r="BC4" s="78">
        <v>13524</v>
      </c>
      <c r="BD4" s="79">
        <v>51912</v>
      </c>
      <c r="BE4" s="17"/>
      <c r="BF4" s="113" t="s">
        <v>550</v>
      </c>
      <c r="BG4" s="77">
        <v>0</v>
      </c>
      <c r="BH4" s="78">
        <v>9905</v>
      </c>
      <c r="BI4" s="78">
        <v>700</v>
      </c>
      <c r="BJ4" s="78">
        <v>720</v>
      </c>
      <c r="BK4" s="79">
        <v>11325</v>
      </c>
      <c r="BL4" s="80">
        <v>0</v>
      </c>
      <c r="BM4" s="80">
        <v>45682</v>
      </c>
      <c r="BN4" s="80">
        <v>3311</v>
      </c>
      <c r="BO4" s="78">
        <v>14244</v>
      </c>
      <c r="BP4" s="79">
        <v>63237</v>
      </c>
      <c r="BQ4" s="17"/>
      <c r="BR4" s="113" t="s">
        <v>550</v>
      </c>
      <c r="BS4" s="77">
        <v>0</v>
      </c>
      <c r="BT4" s="78">
        <v>5530</v>
      </c>
      <c r="BU4" s="78">
        <v>875</v>
      </c>
      <c r="BV4" s="78">
        <v>2006</v>
      </c>
      <c r="BW4" s="79">
        <v>8411</v>
      </c>
      <c r="BX4" s="80">
        <v>0</v>
      </c>
      <c r="BY4" s="80">
        <v>51212</v>
      </c>
      <c r="BZ4" s="80">
        <v>4186</v>
      </c>
      <c r="CA4" s="78">
        <v>16250</v>
      </c>
      <c r="CB4" s="79">
        <v>71648</v>
      </c>
      <c r="CC4" s="17"/>
      <c r="CD4" s="113" t="s">
        <v>550</v>
      </c>
      <c r="CE4" s="77">
        <v>4000</v>
      </c>
      <c r="CF4" s="78">
        <v>9204</v>
      </c>
      <c r="CG4" s="78">
        <v>490</v>
      </c>
      <c r="CH4" s="78">
        <v>1116</v>
      </c>
      <c r="CI4" s="79">
        <v>14810</v>
      </c>
      <c r="CJ4" s="80">
        <v>4000</v>
      </c>
      <c r="CK4" s="80">
        <v>60416</v>
      </c>
      <c r="CL4" s="80">
        <v>4676</v>
      </c>
      <c r="CM4" s="78">
        <v>17366</v>
      </c>
      <c r="CN4" s="79">
        <v>86458</v>
      </c>
      <c r="CO4" s="17"/>
      <c r="CP4" s="113" t="s">
        <v>550</v>
      </c>
      <c r="CQ4" s="77">
        <v>0</v>
      </c>
      <c r="CR4" s="78">
        <v>10080</v>
      </c>
      <c r="CS4" s="78">
        <v>245</v>
      </c>
      <c r="CT4" s="78">
        <v>952</v>
      </c>
      <c r="CU4" s="79">
        <v>11277</v>
      </c>
      <c r="CV4" s="80">
        <v>4000</v>
      </c>
      <c r="CW4" s="80">
        <v>70496</v>
      </c>
      <c r="CX4" s="80">
        <v>4921</v>
      </c>
      <c r="CY4" s="78">
        <v>18318</v>
      </c>
      <c r="CZ4" s="79">
        <v>97735</v>
      </c>
      <c r="DA4" s="17"/>
      <c r="DB4" s="113" t="s">
        <v>550</v>
      </c>
      <c r="DC4" s="77">
        <v>0</v>
      </c>
      <c r="DD4" s="78">
        <v>2205</v>
      </c>
      <c r="DE4" s="78">
        <v>875</v>
      </c>
      <c r="DF4" s="78">
        <v>1116</v>
      </c>
      <c r="DG4" s="79">
        <v>4196</v>
      </c>
      <c r="DH4" s="80">
        <v>4000</v>
      </c>
      <c r="DI4" s="80">
        <v>72701</v>
      </c>
      <c r="DJ4" s="80">
        <v>5796</v>
      </c>
      <c r="DK4" s="78">
        <v>19434</v>
      </c>
      <c r="DL4" s="79">
        <v>101931</v>
      </c>
      <c r="DM4" s="17"/>
      <c r="DN4" s="113" t="s">
        <v>550</v>
      </c>
      <c r="DO4" s="77">
        <v>0</v>
      </c>
      <c r="DP4" s="78">
        <v>15519</v>
      </c>
      <c r="DQ4" s="78">
        <v>764</v>
      </c>
      <c r="DR4" s="78">
        <v>1444</v>
      </c>
      <c r="DS4" s="79">
        <v>17727</v>
      </c>
      <c r="DT4" s="80">
        <v>4000</v>
      </c>
      <c r="DU4" s="80">
        <v>88220</v>
      </c>
      <c r="DV4" s="80">
        <v>6560</v>
      </c>
      <c r="DW4" s="78">
        <v>20878</v>
      </c>
      <c r="DX4" s="79">
        <v>119658</v>
      </c>
      <c r="DY4" s="17"/>
      <c r="DZ4" s="113" t="s">
        <v>550</v>
      </c>
      <c r="EA4" s="77">
        <v>0</v>
      </c>
      <c r="EB4" s="78">
        <v>13650</v>
      </c>
      <c r="EC4" s="78">
        <v>490</v>
      </c>
      <c r="ED4" s="78">
        <v>4116</v>
      </c>
      <c r="EE4" s="79">
        <v>18256</v>
      </c>
      <c r="EF4" s="80">
        <v>4000</v>
      </c>
      <c r="EG4" s="80">
        <v>101870</v>
      </c>
      <c r="EH4" s="80">
        <v>7050</v>
      </c>
      <c r="EI4" s="78">
        <v>24994</v>
      </c>
      <c r="EJ4" s="79">
        <v>137914</v>
      </c>
      <c r="EK4" s="17"/>
      <c r="EL4" s="113" t="s">
        <v>550</v>
      </c>
      <c r="EM4" s="77">
        <v>0</v>
      </c>
      <c r="EN4" s="78">
        <v>8995</v>
      </c>
      <c r="EO4" s="78">
        <v>455</v>
      </c>
      <c r="EP4" s="78">
        <v>1260</v>
      </c>
      <c r="EQ4" s="79">
        <v>10710</v>
      </c>
      <c r="ER4" s="80">
        <v>4000</v>
      </c>
      <c r="ES4" s="80">
        <v>110865</v>
      </c>
      <c r="ET4" s="80">
        <v>7505</v>
      </c>
      <c r="EU4" s="78">
        <v>26254</v>
      </c>
      <c r="EV4" s="79">
        <v>148624</v>
      </c>
      <c r="EW4" s="17"/>
      <c r="EX4" s="113" t="s">
        <v>550</v>
      </c>
      <c r="EY4" s="77">
        <v>0</v>
      </c>
      <c r="EZ4" s="78">
        <v>8929</v>
      </c>
      <c r="FA4" s="78">
        <v>862</v>
      </c>
      <c r="FB4" s="78">
        <v>81</v>
      </c>
      <c r="FC4" s="78">
        <v>779</v>
      </c>
      <c r="FD4" s="79">
        <v>10651</v>
      </c>
      <c r="FE4" s="80">
        <v>4000</v>
      </c>
      <c r="FF4" s="80">
        <v>119794</v>
      </c>
      <c r="FG4" s="80">
        <v>8367</v>
      </c>
      <c r="FH4" s="80">
        <v>81</v>
      </c>
      <c r="FI4" s="78">
        <v>27033</v>
      </c>
      <c r="FJ4" s="79">
        <v>159275</v>
      </c>
      <c r="FK4" s="17"/>
      <c r="FL4" s="113" t="s">
        <v>550</v>
      </c>
      <c r="FM4" s="77">
        <v>1700</v>
      </c>
      <c r="FN4" s="78">
        <v>8225</v>
      </c>
      <c r="FO4" s="78">
        <v>595</v>
      </c>
      <c r="FP4" s="78">
        <v>105</v>
      </c>
      <c r="FQ4" s="78">
        <v>1456</v>
      </c>
      <c r="FR4" s="79">
        <v>12081</v>
      </c>
      <c r="FS4" s="80">
        <v>5700</v>
      </c>
      <c r="FT4" s="80">
        <v>128019</v>
      </c>
      <c r="FU4" s="80">
        <v>8962</v>
      </c>
      <c r="FV4" s="80">
        <v>186</v>
      </c>
      <c r="FW4" s="78">
        <v>28489</v>
      </c>
      <c r="FX4" s="79">
        <v>171356</v>
      </c>
      <c r="FY4" s="17"/>
      <c r="FZ4" s="113" t="s">
        <v>550</v>
      </c>
      <c r="GA4" s="77">
        <v>0</v>
      </c>
      <c r="GB4" s="78">
        <v>6825</v>
      </c>
      <c r="GC4" s="78">
        <v>1361</v>
      </c>
      <c r="GD4" s="78">
        <v>0</v>
      </c>
      <c r="GE4" s="78">
        <v>1184</v>
      </c>
      <c r="GF4" s="79">
        <v>9370</v>
      </c>
      <c r="GG4" s="80">
        <v>5700</v>
      </c>
      <c r="GH4" s="80">
        <v>134844</v>
      </c>
      <c r="GI4" s="80">
        <v>10323</v>
      </c>
      <c r="GJ4" s="80">
        <v>186</v>
      </c>
      <c r="GK4" s="78">
        <v>29673</v>
      </c>
      <c r="GL4" s="79">
        <v>180726</v>
      </c>
      <c r="GM4" s="17"/>
      <c r="GN4" s="113" t="s">
        <v>550</v>
      </c>
      <c r="GO4" s="77">
        <v>0</v>
      </c>
      <c r="GP4" s="78">
        <v>8085</v>
      </c>
      <c r="GQ4" s="78">
        <v>1400</v>
      </c>
      <c r="GR4" s="78">
        <v>0</v>
      </c>
      <c r="GS4" s="78">
        <v>705</v>
      </c>
      <c r="GT4" s="79">
        <v>10190</v>
      </c>
      <c r="GU4" s="80">
        <v>5700</v>
      </c>
      <c r="GV4" s="80">
        <v>142929</v>
      </c>
      <c r="GW4" s="80">
        <v>11723</v>
      </c>
      <c r="GX4" s="80">
        <v>186</v>
      </c>
      <c r="GY4" s="78">
        <v>30378</v>
      </c>
      <c r="GZ4" s="79">
        <v>190916</v>
      </c>
      <c r="HA4" s="17"/>
      <c r="HB4" s="113" t="s">
        <v>550</v>
      </c>
      <c r="HC4" s="77">
        <v>0</v>
      </c>
      <c r="HD4" s="78">
        <v>8960</v>
      </c>
      <c r="HE4" s="78">
        <v>630</v>
      </c>
      <c r="HF4" s="78">
        <v>0</v>
      </c>
      <c r="HG4" s="78">
        <v>714</v>
      </c>
      <c r="HH4" s="79">
        <v>10304</v>
      </c>
      <c r="HI4" s="80">
        <v>5700</v>
      </c>
      <c r="HJ4" s="80">
        <v>151889</v>
      </c>
      <c r="HK4" s="80">
        <v>12353</v>
      </c>
      <c r="HL4" s="80">
        <v>186</v>
      </c>
      <c r="HM4" s="78">
        <v>31092</v>
      </c>
      <c r="HN4" s="79">
        <v>201220</v>
      </c>
      <c r="HO4" s="17"/>
      <c r="HP4" s="113" t="s">
        <v>550</v>
      </c>
      <c r="HQ4" s="77">
        <v>0</v>
      </c>
      <c r="HR4" s="78">
        <v>11815</v>
      </c>
      <c r="HS4" s="78">
        <v>350</v>
      </c>
      <c r="HT4" s="78">
        <v>0</v>
      </c>
      <c r="HU4" s="78">
        <v>1202</v>
      </c>
      <c r="HV4" s="79">
        <v>13367</v>
      </c>
      <c r="HW4" s="80">
        <v>5700</v>
      </c>
      <c r="HX4" s="80">
        <v>163704</v>
      </c>
      <c r="HY4" s="80">
        <v>12703</v>
      </c>
      <c r="HZ4" s="80">
        <v>186</v>
      </c>
      <c r="IA4" s="78">
        <v>32294</v>
      </c>
      <c r="IB4" s="79">
        <v>214587</v>
      </c>
      <c r="IC4" s="17"/>
      <c r="ID4" s="113" t="s">
        <v>550</v>
      </c>
      <c r="IE4" s="77">
        <v>3000</v>
      </c>
      <c r="IF4" s="78">
        <v>10325</v>
      </c>
      <c r="IG4" s="78">
        <v>210</v>
      </c>
      <c r="IH4" s="78">
        <v>43</v>
      </c>
      <c r="II4" s="78">
        <v>1701</v>
      </c>
      <c r="IJ4" s="79">
        <v>15279</v>
      </c>
      <c r="IK4" s="80">
        <v>8700</v>
      </c>
      <c r="IL4" s="80">
        <v>174110</v>
      </c>
      <c r="IM4" s="80">
        <v>12913</v>
      </c>
      <c r="IN4" s="80">
        <v>148</v>
      </c>
      <c r="IO4" s="78">
        <v>33995</v>
      </c>
      <c r="IP4" s="79">
        <v>229866</v>
      </c>
      <c r="IQ4" s="17"/>
      <c r="IR4" s="113" t="s">
        <v>550</v>
      </c>
      <c r="IS4" s="77">
        <v>0</v>
      </c>
      <c r="IT4" s="78">
        <v>11508</v>
      </c>
      <c r="IU4" s="78">
        <v>560</v>
      </c>
      <c r="IV4" s="78">
        <v>0</v>
      </c>
      <c r="IW4" s="78">
        <v>1876</v>
      </c>
      <c r="IX4" s="79">
        <v>13944</v>
      </c>
      <c r="IY4" s="80">
        <v>8700</v>
      </c>
      <c r="IZ4" s="80">
        <v>185618</v>
      </c>
      <c r="JA4" s="80">
        <v>13473</v>
      </c>
      <c r="JB4" s="80">
        <v>148</v>
      </c>
      <c r="JC4" s="78">
        <v>35871</v>
      </c>
      <c r="JD4" s="79">
        <v>243810</v>
      </c>
      <c r="JE4" s="17"/>
      <c r="JF4" s="113" t="s">
        <v>550</v>
      </c>
      <c r="JG4" s="77">
        <v>0</v>
      </c>
      <c r="JH4" s="78">
        <v>5880</v>
      </c>
      <c r="JI4" s="78">
        <v>770</v>
      </c>
      <c r="JJ4" s="78">
        <v>0</v>
      </c>
      <c r="JK4" s="78">
        <v>2303</v>
      </c>
      <c r="JL4" s="79">
        <v>8953</v>
      </c>
      <c r="JM4" s="80">
        <v>8700</v>
      </c>
      <c r="JN4" s="80">
        <v>191498</v>
      </c>
      <c r="JO4" s="80">
        <v>14243</v>
      </c>
      <c r="JP4" s="80">
        <v>148</v>
      </c>
      <c r="JQ4" s="78">
        <v>38174</v>
      </c>
      <c r="JR4" s="79">
        <v>252763</v>
      </c>
      <c r="JS4" s="17"/>
      <c r="JT4" s="113" t="s">
        <v>550</v>
      </c>
      <c r="JU4" s="77">
        <v>0</v>
      </c>
      <c r="JV4" s="78">
        <v>8960</v>
      </c>
      <c r="JW4" s="78">
        <v>280</v>
      </c>
      <c r="JX4" s="78">
        <v>0</v>
      </c>
      <c r="JY4" s="78">
        <v>1764</v>
      </c>
      <c r="JZ4" s="79">
        <v>11004</v>
      </c>
      <c r="KA4" s="80">
        <v>8700</v>
      </c>
      <c r="KB4" s="80">
        <v>200458</v>
      </c>
      <c r="KC4" s="80">
        <v>14523</v>
      </c>
      <c r="KD4" s="80">
        <v>148</v>
      </c>
      <c r="KE4" s="78">
        <v>39938</v>
      </c>
      <c r="KF4" s="79">
        <v>263767</v>
      </c>
      <c r="KG4" s="17"/>
      <c r="KH4" s="113" t="s">
        <v>550</v>
      </c>
      <c r="KI4" s="77">
        <v>3000</v>
      </c>
      <c r="KJ4" s="78">
        <v>7210</v>
      </c>
      <c r="KK4" s="78">
        <v>350</v>
      </c>
      <c r="KL4" s="78">
        <v>0</v>
      </c>
      <c r="KM4" s="78">
        <v>2745</v>
      </c>
      <c r="KN4" s="79">
        <v>13305</v>
      </c>
      <c r="KO4" s="80">
        <v>11700</v>
      </c>
      <c r="KP4" s="80">
        <v>207668</v>
      </c>
      <c r="KQ4" s="80">
        <v>14873</v>
      </c>
      <c r="KR4" s="80">
        <v>148</v>
      </c>
      <c r="KS4" s="78">
        <v>42683</v>
      </c>
      <c r="KT4" s="79">
        <v>277072</v>
      </c>
      <c r="KU4" s="17"/>
      <c r="KV4" s="113" t="s">
        <v>550</v>
      </c>
      <c r="KW4" s="77">
        <v>2099</v>
      </c>
      <c r="KX4" s="78">
        <v>5455</v>
      </c>
      <c r="KY4" s="78">
        <v>595</v>
      </c>
      <c r="KZ4" s="78">
        <v>0</v>
      </c>
      <c r="LA4" s="78">
        <v>1936</v>
      </c>
      <c r="LB4" s="79">
        <v>10085</v>
      </c>
      <c r="LC4" s="80">
        <v>13799</v>
      </c>
      <c r="LD4" s="80">
        <v>213123</v>
      </c>
      <c r="LE4" s="80">
        <v>15468</v>
      </c>
      <c r="LF4" s="80">
        <v>148</v>
      </c>
      <c r="LG4" s="78">
        <v>44619</v>
      </c>
      <c r="LH4" s="79">
        <v>287157</v>
      </c>
      <c r="LI4" s="17"/>
      <c r="LJ4" s="113" t="s">
        <v>550</v>
      </c>
      <c r="LK4" s="77">
        <v>2000</v>
      </c>
      <c r="LL4" s="78">
        <v>4945</v>
      </c>
      <c r="LM4" s="78">
        <v>140</v>
      </c>
      <c r="LN4" s="78">
        <v>0</v>
      </c>
      <c r="LO4" s="78">
        <v>2240</v>
      </c>
      <c r="LP4" s="79">
        <v>9325</v>
      </c>
      <c r="LQ4" s="80">
        <v>15799</v>
      </c>
      <c r="LR4" s="80">
        <v>218068</v>
      </c>
      <c r="LS4" s="80">
        <v>15608</v>
      </c>
      <c r="LT4" s="80">
        <v>148</v>
      </c>
      <c r="LU4" s="78">
        <v>46859</v>
      </c>
      <c r="LV4" s="79">
        <v>296482</v>
      </c>
      <c r="LW4" s="17">
        <f>LQ4-LK4-LC4</f>
        <v>0</v>
      </c>
      <c r="LX4" s="17">
        <f t="shared" ref="LX4:MB10" si="0">LR4-LL4-LD4</f>
        <v>0</v>
      </c>
      <c r="LY4" s="17">
        <f t="shared" si="0"/>
        <v>0</v>
      </c>
      <c r="LZ4" s="17">
        <f t="shared" si="0"/>
        <v>0</v>
      </c>
      <c r="MA4" s="17">
        <f t="shared" si="0"/>
        <v>0</v>
      </c>
      <c r="MB4" s="17">
        <f t="shared" si="0"/>
        <v>0</v>
      </c>
    </row>
    <row r="5" spans="2:340" x14ac:dyDescent="0.3">
      <c r="B5" s="114" t="s">
        <v>499</v>
      </c>
      <c r="C5" s="28">
        <v>0</v>
      </c>
      <c r="D5" s="18">
        <v>6003.1286000000009</v>
      </c>
      <c r="E5" s="18">
        <v>108.2795</v>
      </c>
      <c r="F5" s="51">
        <v>973.69064999999989</v>
      </c>
      <c r="G5" s="51">
        <v>0</v>
      </c>
      <c r="H5" s="19">
        <v>7085.0987500000001</v>
      </c>
      <c r="J5" s="114" t="s">
        <v>499</v>
      </c>
      <c r="K5" s="31">
        <v>0</v>
      </c>
      <c r="L5" s="18">
        <v>2663.1822000000002</v>
      </c>
      <c r="M5" s="18">
        <v>204.99786999999998</v>
      </c>
      <c r="N5" s="18">
        <v>350.14104999999995</v>
      </c>
      <c r="O5" s="19">
        <v>3218.3211200000005</v>
      </c>
      <c r="P5" s="28">
        <v>0</v>
      </c>
      <c r="Q5" s="18">
        <v>8666.3108000000011</v>
      </c>
      <c r="R5" s="18">
        <v>529.32677000000001</v>
      </c>
      <c r="S5" s="51">
        <v>1323.8317</v>
      </c>
      <c r="T5" s="19">
        <v>10519.469270000001</v>
      </c>
      <c r="V5" s="114" t="s">
        <v>499</v>
      </c>
      <c r="W5" s="31">
        <v>0</v>
      </c>
      <c r="X5" s="18">
        <v>253.65899999999999</v>
      </c>
      <c r="Y5" s="18">
        <v>458.76320999999996</v>
      </c>
      <c r="Z5" s="18">
        <v>342.87119999999993</v>
      </c>
      <c r="AA5" s="19">
        <v>1055.2934099999998</v>
      </c>
      <c r="AB5" s="28">
        <v>0</v>
      </c>
      <c r="AC5" s="18">
        <v>8919.9698000000008</v>
      </c>
      <c r="AD5" s="18">
        <v>988.08997999999997</v>
      </c>
      <c r="AE5" s="51">
        <v>1666.7029</v>
      </c>
      <c r="AF5" s="19">
        <v>11574.762680000002</v>
      </c>
      <c r="AG5" s="17"/>
      <c r="AH5" s="114" t="s">
        <v>499</v>
      </c>
      <c r="AI5" s="31">
        <v>0</v>
      </c>
      <c r="AJ5" s="18">
        <v>0</v>
      </c>
      <c r="AK5" s="18">
        <v>617.65794999999991</v>
      </c>
      <c r="AL5" s="18">
        <v>0</v>
      </c>
      <c r="AM5" s="19">
        <v>617.65794999999991</v>
      </c>
      <c r="AN5" s="28">
        <v>0</v>
      </c>
      <c r="AO5" s="18">
        <v>8919.9698000000008</v>
      </c>
      <c r="AP5" s="18">
        <v>1605.7479300000002</v>
      </c>
      <c r="AQ5" s="51">
        <v>1666.7029000000002</v>
      </c>
      <c r="AR5" s="19">
        <v>12192.420630000001</v>
      </c>
      <c r="AS5" s="17"/>
      <c r="AT5" s="114" t="s">
        <v>499</v>
      </c>
      <c r="AU5" s="31">
        <v>0</v>
      </c>
      <c r="AV5" s="18">
        <v>4227.0502399999996</v>
      </c>
      <c r="AW5" s="18">
        <v>583.19654000000003</v>
      </c>
      <c r="AX5" s="18">
        <v>476.32031999999992</v>
      </c>
      <c r="AY5" s="19">
        <v>5286.5670999999993</v>
      </c>
      <c r="AZ5" s="28">
        <v>0</v>
      </c>
      <c r="BA5" s="18">
        <v>13147.020039999999</v>
      </c>
      <c r="BB5" s="18">
        <v>2188.9444699999999</v>
      </c>
      <c r="BC5" s="51">
        <v>2143.0232199999996</v>
      </c>
      <c r="BD5" s="19">
        <v>17478.987730000001</v>
      </c>
      <c r="BE5" s="17"/>
      <c r="BF5" s="114" t="s">
        <v>499</v>
      </c>
      <c r="BG5" s="31">
        <v>0</v>
      </c>
      <c r="BH5" s="18">
        <v>3565.6697999999997</v>
      </c>
      <c r="BI5" s="18">
        <v>648.0313000000001</v>
      </c>
      <c r="BJ5" s="18">
        <v>114.18480000000001</v>
      </c>
      <c r="BK5" s="19">
        <v>4327.8859000000002</v>
      </c>
      <c r="BL5" s="28">
        <v>0</v>
      </c>
      <c r="BM5" s="18">
        <v>16712.689839999999</v>
      </c>
      <c r="BN5" s="18">
        <v>2836.9757699999996</v>
      </c>
      <c r="BO5" s="51">
        <v>2257.20802</v>
      </c>
      <c r="BP5" s="19">
        <v>21806.873630000002</v>
      </c>
      <c r="BQ5" s="17"/>
      <c r="BR5" s="114" t="s">
        <v>499</v>
      </c>
      <c r="BS5" s="31">
        <v>0</v>
      </c>
      <c r="BT5" s="18">
        <v>2031.7947999999999</v>
      </c>
      <c r="BU5" s="18">
        <v>811.63512000000003</v>
      </c>
      <c r="BV5" s="18">
        <v>385.11115999999998</v>
      </c>
      <c r="BW5" s="19">
        <v>3228.54108</v>
      </c>
      <c r="BX5" s="28">
        <v>0</v>
      </c>
      <c r="BY5" s="18">
        <v>18744.484639999995</v>
      </c>
      <c r="BZ5" s="18">
        <v>3648.6108899999986</v>
      </c>
      <c r="CA5" s="51">
        <v>2642.3191800000004</v>
      </c>
      <c r="CB5" s="19">
        <v>25035.414709999997</v>
      </c>
      <c r="CC5" s="17"/>
      <c r="CD5" s="114" t="s">
        <v>499</v>
      </c>
      <c r="CE5" s="31">
        <v>2637.24</v>
      </c>
      <c r="CF5" s="18">
        <v>3375.4231299999997</v>
      </c>
      <c r="CG5" s="18">
        <v>519.19419999999991</v>
      </c>
      <c r="CH5" s="18">
        <v>208.65191999999999</v>
      </c>
      <c r="CI5" s="19">
        <v>6740.5092499999992</v>
      </c>
      <c r="CJ5" s="28">
        <v>2637.24</v>
      </c>
      <c r="CK5" s="18">
        <v>22119.907770000002</v>
      </c>
      <c r="CL5" s="18">
        <v>4167.805089999998</v>
      </c>
      <c r="CM5" s="51">
        <v>2850.9711000000002</v>
      </c>
      <c r="CN5" s="19">
        <v>31775.92396</v>
      </c>
      <c r="CO5" s="17"/>
      <c r="CP5" s="114" t="s">
        <v>499</v>
      </c>
      <c r="CQ5" s="31">
        <v>0</v>
      </c>
      <c r="CR5" s="18">
        <v>3697.799</v>
      </c>
      <c r="CS5" s="18">
        <v>245.08189999999999</v>
      </c>
      <c r="CT5" s="18">
        <v>126.03528</v>
      </c>
      <c r="CU5" s="19">
        <v>4068.9161800000002</v>
      </c>
      <c r="CV5" s="28">
        <v>2637.24</v>
      </c>
      <c r="CW5" s="18">
        <v>25817.706770000004</v>
      </c>
      <c r="CX5" s="18">
        <v>4412.8869899999991</v>
      </c>
      <c r="CY5" s="51">
        <v>2977.0063800000003</v>
      </c>
      <c r="CZ5" s="19">
        <v>35844.84014</v>
      </c>
      <c r="DA5" s="17"/>
      <c r="DB5" s="114" t="s">
        <v>499</v>
      </c>
      <c r="DC5" s="31">
        <v>0</v>
      </c>
      <c r="DD5" s="18">
        <v>958.68780000000004</v>
      </c>
      <c r="DE5" s="18">
        <v>820.92325000000005</v>
      </c>
      <c r="DF5" s="18">
        <v>186.93964000000003</v>
      </c>
      <c r="DG5" s="19">
        <v>1966.55069</v>
      </c>
      <c r="DH5" s="28">
        <v>2637.24</v>
      </c>
      <c r="DI5" s="18">
        <v>26776.394570000004</v>
      </c>
      <c r="DJ5" s="18">
        <v>5233.8102399999971</v>
      </c>
      <c r="DK5" s="51">
        <v>3163.9460200000003</v>
      </c>
      <c r="DL5" s="19">
        <v>37811.390830000004</v>
      </c>
      <c r="DM5" s="17"/>
      <c r="DN5" s="114" t="s">
        <v>499</v>
      </c>
      <c r="DO5" s="31">
        <v>0</v>
      </c>
      <c r="DP5" s="18">
        <v>5572.4334399999998</v>
      </c>
      <c r="DQ5" s="18">
        <v>610.52809000000002</v>
      </c>
      <c r="DR5" s="18">
        <v>203.74716000000001</v>
      </c>
      <c r="DS5" s="19">
        <v>6386.7086899999995</v>
      </c>
      <c r="DT5" s="28">
        <v>2637.24</v>
      </c>
      <c r="DU5" s="18">
        <v>32348.828010000005</v>
      </c>
      <c r="DV5" s="18">
        <v>5844.3383299999978</v>
      </c>
      <c r="DW5" s="51">
        <v>3367.6931800000011</v>
      </c>
      <c r="DX5" s="19">
        <v>44198.099520000003</v>
      </c>
      <c r="DY5" s="17"/>
      <c r="DZ5" s="114" t="s">
        <v>499</v>
      </c>
      <c r="EA5" s="31">
        <v>0</v>
      </c>
      <c r="EB5" s="18">
        <v>4877.9444000000003</v>
      </c>
      <c r="EC5" s="18">
        <v>465.01839999999999</v>
      </c>
      <c r="ED5" s="18">
        <v>733.82356000000004</v>
      </c>
      <c r="EE5" s="19">
        <v>6076.7863600000001</v>
      </c>
      <c r="EF5" s="28">
        <v>2637.24</v>
      </c>
      <c r="EG5" s="18">
        <v>37226.772410000005</v>
      </c>
      <c r="EH5" s="18">
        <v>6309.3567299999977</v>
      </c>
      <c r="EI5" s="51">
        <v>4101.5167400000009</v>
      </c>
      <c r="EJ5" s="19">
        <v>50274.885880000002</v>
      </c>
      <c r="EK5" s="17"/>
      <c r="EL5" s="114" t="s">
        <v>499</v>
      </c>
      <c r="EM5" s="31">
        <v>0</v>
      </c>
      <c r="EN5" s="18">
        <v>3285.6754000000001</v>
      </c>
      <c r="EO5" s="18">
        <v>425.4796</v>
      </c>
      <c r="EP5" s="18">
        <v>212.71172999999999</v>
      </c>
      <c r="EQ5" s="19">
        <v>3923.8667300000002</v>
      </c>
      <c r="ER5" s="28">
        <v>2637.24</v>
      </c>
      <c r="ES5" s="18">
        <v>40512.447810000012</v>
      </c>
      <c r="ET5" s="18">
        <v>6734.8363299999974</v>
      </c>
      <c r="EU5" s="51">
        <v>4314.2284700000009</v>
      </c>
      <c r="EV5" s="19">
        <v>54198.75261000001</v>
      </c>
      <c r="EW5" s="17"/>
      <c r="EX5" s="114" t="s">
        <v>499</v>
      </c>
      <c r="EY5" s="31">
        <v>0</v>
      </c>
      <c r="EZ5" s="18">
        <v>3346.2655999999997</v>
      </c>
      <c r="FA5" s="18">
        <v>778.67193000000009</v>
      </c>
      <c r="FB5" s="18">
        <v>58.801949999999998</v>
      </c>
      <c r="FC5" s="18">
        <v>144.05771999999999</v>
      </c>
      <c r="FD5" s="19">
        <v>4327.7972</v>
      </c>
      <c r="FE5" s="28">
        <v>2637.24</v>
      </c>
      <c r="FF5" s="18">
        <v>43858.713410000004</v>
      </c>
      <c r="FG5" s="18">
        <v>7513.508259999996</v>
      </c>
      <c r="FH5" s="18">
        <v>58.801949999999998</v>
      </c>
      <c r="FI5" s="51">
        <v>4458.2861900000007</v>
      </c>
      <c r="FJ5" s="19">
        <v>58526.549809999997</v>
      </c>
      <c r="FK5" s="17"/>
      <c r="FL5" s="114" t="s">
        <v>499</v>
      </c>
      <c r="FM5" s="31">
        <v>1120.81</v>
      </c>
      <c r="FN5" s="18">
        <v>3023.5477999999998</v>
      </c>
      <c r="FO5" s="18">
        <v>525.38717000000008</v>
      </c>
      <c r="FP5" s="18">
        <v>70.753690000000006</v>
      </c>
      <c r="FQ5" s="18">
        <v>252.93520000000001</v>
      </c>
      <c r="FR5" s="19">
        <v>4993.4338599999992</v>
      </c>
      <c r="FS5" s="28">
        <v>3758.05</v>
      </c>
      <c r="FT5" s="18">
        <v>46882.261209999997</v>
      </c>
      <c r="FU5" s="18">
        <v>8038.8954299999959</v>
      </c>
      <c r="FV5" s="18">
        <v>129.55564000000001</v>
      </c>
      <c r="FW5" s="51">
        <v>4711.2213900000006</v>
      </c>
      <c r="FX5" s="19">
        <v>63519.983669999994</v>
      </c>
      <c r="FY5" s="17"/>
      <c r="FZ5" s="114" t="s">
        <v>499</v>
      </c>
      <c r="GA5" s="31">
        <v>0</v>
      </c>
      <c r="GB5" s="18">
        <v>2657.4870000000001</v>
      </c>
      <c r="GC5" s="18">
        <v>1000.54288</v>
      </c>
      <c r="GD5" s="18">
        <v>0</v>
      </c>
      <c r="GE5" s="18">
        <v>210.38876000000002</v>
      </c>
      <c r="GF5" s="19">
        <v>3868.4186399999999</v>
      </c>
      <c r="GG5" s="28">
        <v>3758.05</v>
      </c>
      <c r="GH5" s="18">
        <v>49539.748209999991</v>
      </c>
      <c r="GI5" s="18">
        <v>9039.4383100000014</v>
      </c>
      <c r="GJ5" s="18">
        <v>129.55564000000001</v>
      </c>
      <c r="GK5" s="51">
        <v>4921.6101500000004</v>
      </c>
      <c r="GL5" s="19">
        <v>67388.40230999999</v>
      </c>
      <c r="GM5" s="17"/>
      <c r="GN5" s="114" t="s">
        <v>499</v>
      </c>
      <c r="GO5" s="31">
        <v>0</v>
      </c>
      <c r="GP5" s="18">
        <v>2952.6797999999999</v>
      </c>
      <c r="GQ5" s="18">
        <v>1171.7994500000002</v>
      </c>
      <c r="GR5" s="18">
        <v>0</v>
      </c>
      <c r="GS5" s="18">
        <v>125.81939999999999</v>
      </c>
      <c r="GT5" s="19">
        <v>4250.2986500000006</v>
      </c>
      <c r="GU5" s="28">
        <v>3758.05</v>
      </c>
      <c r="GV5" s="18">
        <v>52492.428009999989</v>
      </c>
      <c r="GW5" s="18">
        <v>10211.237760000005</v>
      </c>
      <c r="GX5" s="18">
        <v>129.55564000000001</v>
      </c>
      <c r="GY5" s="51">
        <v>5047.4295499999998</v>
      </c>
      <c r="GZ5" s="19">
        <v>71638.700960000002</v>
      </c>
      <c r="HA5" s="17"/>
      <c r="HB5" s="114" t="s">
        <v>499</v>
      </c>
      <c r="HC5" s="31">
        <v>0</v>
      </c>
      <c r="HD5" s="18">
        <v>3304.3247999999999</v>
      </c>
      <c r="HE5" s="18">
        <v>520.2568</v>
      </c>
      <c r="HF5" s="18">
        <v>0</v>
      </c>
      <c r="HG5" s="18">
        <v>136.63818000000001</v>
      </c>
      <c r="HH5" s="19">
        <v>3961.2197799999999</v>
      </c>
      <c r="HI5" s="28">
        <v>3758.05</v>
      </c>
      <c r="HJ5" s="18">
        <v>55796.752809999991</v>
      </c>
      <c r="HK5" s="18">
        <v>10731.494560000006</v>
      </c>
      <c r="HL5" s="18">
        <v>129.55564000000001</v>
      </c>
      <c r="HM5" s="51">
        <v>5184.0677300000007</v>
      </c>
      <c r="HN5" s="19">
        <v>75599.920740000001</v>
      </c>
      <c r="HO5" s="17"/>
      <c r="HP5" s="114" t="s">
        <v>499</v>
      </c>
      <c r="HQ5" s="31">
        <v>0</v>
      </c>
      <c r="HR5" s="18">
        <v>4312.4618</v>
      </c>
      <c r="HS5" s="18">
        <v>357.07549999999998</v>
      </c>
      <c r="HT5" s="18">
        <v>0</v>
      </c>
      <c r="HU5" s="18">
        <v>220.22552000000002</v>
      </c>
      <c r="HV5" s="19">
        <v>4889.7628199999999</v>
      </c>
      <c r="HW5" s="28">
        <v>3758.05</v>
      </c>
      <c r="HX5" s="18">
        <v>60109.214609999974</v>
      </c>
      <c r="HY5" s="18">
        <v>11088.570060000005</v>
      </c>
      <c r="HZ5" s="18">
        <v>129.55564000000001</v>
      </c>
      <c r="IA5" s="51">
        <v>5404.2932499999997</v>
      </c>
      <c r="IB5" s="19">
        <v>80489.68355999999</v>
      </c>
      <c r="IC5" s="17"/>
      <c r="ID5" s="114" t="s">
        <v>499</v>
      </c>
      <c r="IE5" s="31">
        <v>1977.93</v>
      </c>
      <c r="IF5" s="18">
        <v>3837.7262000000001</v>
      </c>
      <c r="IG5" s="18">
        <v>314.17225000000002</v>
      </c>
      <c r="IH5" s="18">
        <v>19.832459999999998</v>
      </c>
      <c r="II5" s="18">
        <v>306.49157999999994</v>
      </c>
      <c r="IJ5" s="19">
        <v>6456.1524899999995</v>
      </c>
      <c r="IK5" s="28">
        <v>5735.98</v>
      </c>
      <c r="IL5" s="18">
        <v>64005.742759999979</v>
      </c>
      <c r="IM5" s="18">
        <v>11402.742310000005</v>
      </c>
      <c r="IN5" s="18">
        <v>90.586149999999989</v>
      </c>
      <c r="IO5" s="51">
        <v>5710.7848300000005</v>
      </c>
      <c r="IP5" s="19">
        <v>86945.836049999984</v>
      </c>
      <c r="IQ5" s="17"/>
      <c r="IR5" s="114" t="s">
        <v>499</v>
      </c>
      <c r="IS5" s="31">
        <v>0</v>
      </c>
      <c r="IT5" s="18">
        <v>4336.5470800000003</v>
      </c>
      <c r="IU5" s="18">
        <v>604.03700000000003</v>
      </c>
      <c r="IV5" s="18">
        <v>0</v>
      </c>
      <c r="IW5" s="18">
        <v>347.07819999999998</v>
      </c>
      <c r="IX5" s="19">
        <v>5287.6622800000005</v>
      </c>
      <c r="IY5" s="28">
        <v>5735.98</v>
      </c>
      <c r="IZ5" s="18">
        <v>68342.289839999969</v>
      </c>
      <c r="JA5" s="18">
        <v>12006.779310000005</v>
      </c>
      <c r="JB5" s="18">
        <v>90.586149999999989</v>
      </c>
      <c r="JC5" s="51">
        <v>6057.8630300000004</v>
      </c>
      <c r="JD5" s="19">
        <v>92233.498329999973</v>
      </c>
      <c r="JE5" s="17"/>
      <c r="JF5" s="114" t="s">
        <v>499</v>
      </c>
      <c r="JG5" s="31">
        <v>0</v>
      </c>
      <c r="JH5" s="18">
        <v>2213.8032000000003</v>
      </c>
      <c r="JI5" s="18">
        <v>824.72844999999995</v>
      </c>
      <c r="JJ5" s="18">
        <v>0</v>
      </c>
      <c r="JK5" s="18">
        <v>433.03819999999996</v>
      </c>
      <c r="JL5" s="19">
        <v>3471.5698500000003</v>
      </c>
      <c r="JM5" s="28">
        <v>5735.98</v>
      </c>
      <c r="JN5" s="18">
        <v>70556.093039999963</v>
      </c>
      <c r="JO5" s="18">
        <v>12831.507760000011</v>
      </c>
      <c r="JP5" s="18">
        <v>90.586149999999989</v>
      </c>
      <c r="JQ5" s="51">
        <v>6490.9012300000004</v>
      </c>
      <c r="JR5" s="19">
        <v>95705.068179999973</v>
      </c>
      <c r="JS5" s="17"/>
      <c r="JT5" s="114" t="s">
        <v>499</v>
      </c>
      <c r="JU5" s="31">
        <v>0</v>
      </c>
      <c r="JV5" s="18">
        <v>3392.6578</v>
      </c>
      <c r="JW5" s="18">
        <v>296.41121999999996</v>
      </c>
      <c r="JX5" s="18">
        <v>0</v>
      </c>
      <c r="JY5" s="18">
        <v>366.48864000000003</v>
      </c>
      <c r="JZ5" s="19">
        <v>4055.5576599999999</v>
      </c>
      <c r="KA5" s="28">
        <v>5735.98</v>
      </c>
      <c r="KB5" s="18">
        <v>73948.750839999964</v>
      </c>
      <c r="KC5" s="18">
        <v>13127.918980000009</v>
      </c>
      <c r="KD5" s="18">
        <v>90.586149999999989</v>
      </c>
      <c r="KE5" s="51">
        <v>6857.3898700000018</v>
      </c>
      <c r="KF5" s="19">
        <v>99760.625839999964</v>
      </c>
      <c r="KG5" s="17"/>
      <c r="KH5" s="114" t="s">
        <v>499</v>
      </c>
      <c r="KI5" s="31">
        <v>1977.93</v>
      </c>
      <c r="KJ5" s="18">
        <v>2689.8004000000005</v>
      </c>
      <c r="KK5" s="18">
        <v>473.6823</v>
      </c>
      <c r="KL5" s="18">
        <v>0</v>
      </c>
      <c r="KM5" s="18">
        <v>578.33380999999997</v>
      </c>
      <c r="KN5" s="19">
        <v>5719.7465100000009</v>
      </c>
      <c r="KO5" s="28">
        <v>7713.91</v>
      </c>
      <c r="KP5" s="18">
        <v>76638.551239999972</v>
      </c>
      <c r="KQ5" s="18">
        <v>13601.601280000008</v>
      </c>
      <c r="KR5" s="18">
        <v>90.586149999999989</v>
      </c>
      <c r="KS5" s="51">
        <v>7435.7236800000037</v>
      </c>
      <c r="KT5" s="19">
        <v>105480.37234999999</v>
      </c>
      <c r="KU5" s="17"/>
      <c r="KV5" s="114" t="s">
        <v>499</v>
      </c>
      <c r="KW5" s="31">
        <v>1383.81169</v>
      </c>
      <c r="KX5" s="18">
        <v>2044.6551999999999</v>
      </c>
      <c r="KY5" s="18">
        <v>800.47660000000008</v>
      </c>
      <c r="KZ5" s="18">
        <v>0</v>
      </c>
      <c r="LA5" s="18">
        <v>402.22336000000001</v>
      </c>
      <c r="LB5" s="19">
        <v>4631.1668499999996</v>
      </c>
      <c r="LC5" s="28">
        <v>9097.7216900000003</v>
      </c>
      <c r="LD5" s="18">
        <v>78683.206439999965</v>
      </c>
      <c r="LE5" s="18">
        <v>14402.077880000008</v>
      </c>
      <c r="LF5" s="18">
        <v>90.586149999999989</v>
      </c>
      <c r="LG5" s="51">
        <v>7837.9470400000027</v>
      </c>
      <c r="LH5" s="19">
        <v>110111.53919999998</v>
      </c>
      <c r="LI5" s="17"/>
      <c r="LJ5" s="114" t="s">
        <v>499</v>
      </c>
      <c r="LK5" s="31">
        <v>1318.62</v>
      </c>
      <c r="LL5" s="18">
        <v>1978.2033999999999</v>
      </c>
      <c r="LM5" s="18">
        <v>343.11689999999999</v>
      </c>
      <c r="LN5" s="18">
        <v>0</v>
      </c>
      <c r="LO5" s="18">
        <v>465.38240000000002</v>
      </c>
      <c r="LP5" s="19">
        <v>4105.3226999999997</v>
      </c>
      <c r="LQ5" s="28">
        <v>10416.341689999999</v>
      </c>
      <c r="LR5" s="18">
        <v>80661.409839999978</v>
      </c>
      <c r="LS5" s="18">
        <v>14745.194780000011</v>
      </c>
      <c r="LT5" s="18">
        <v>90.586149999999989</v>
      </c>
      <c r="LU5" s="51">
        <v>8303.329440000005</v>
      </c>
      <c r="LV5" s="19">
        <v>114216.86189999999</v>
      </c>
      <c r="LW5" s="17">
        <f t="shared" ref="LW5:LW10" si="1">LQ5-LK5-LC5</f>
        <v>0</v>
      </c>
      <c r="LX5" s="17">
        <f t="shared" si="0"/>
        <v>0</v>
      </c>
      <c r="LY5" s="17">
        <f t="shared" si="0"/>
        <v>0</v>
      </c>
      <c r="LZ5" s="17">
        <f t="shared" si="0"/>
        <v>0</v>
      </c>
      <c r="MA5" s="17">
        <f t="shared" si="0"/>
        <v>0</v>
      </c>
      <c r="MB5" s="17">
        <f t="shared" si="0"/>
        <v>0</v>
      </c>
    </row>
    <row r="6" spans="2:340" x14ac:dyDescent="0.3">
      <c r="B6" s="115" t="s">
        <v>539</v>
      </c>
      <c r="C6" s="29">
        <v>0</v>
      </c>
      <c r="D6" s="21">
        <v>5984.8519500000011</v>
      </c>
      <c r="E6" s="21">
        <v>126.14700000000001</v>
      </c>
      <c r="F6" s="52">
        <v>941.97470999999996</v>
      </c>
      <c r="G6" s="52">
        <v>0</v>
      </c>
      <c r="H6" s="23">
        <v>7052.9736600000015</v>
      </c>
      <c r="J6" s="115" t="s">
        <v>539</v>
      </c>
      <c r="K6" s="32">
        <v>0</v>
      </c>
      <c r="L6" s="21">
        <v>2647.5351000000001</v>
      </c>
      <c r="M6" s="21">
        <v>197.4266199999999</v>
      </c>
      <c r="N6" s="21">
        <v>340.00691</v>
      </c>
      <c r="O6" s="23">
        <v>3184.9686299999998</v>
      </c>
      <c r="P6" s="29">
        <v>0</v>
      </c>
      <c r="Q6" s="21">
        <v>8632.3870500000012</v>
      </c>
      <c r="R6" s="21">
        <v>566.17261999999982</v>
      </c>
      <c r="S6" s="52">
        <v>1281.9816199999998</v>
      </c>
      <c r="T6" s="23">
        <v>10480.541290000001</v>
      </c>
      <c r="V6" s="115" t="s">
        <v>539</v>
      </c>
      <c r="W6" s="32">
        <v>0</v>
      </c>
      <c r="X6" s="21">
        <v>239.97749999999996</v>
      </c>
      <c r="Y6" s="21">
        <v>442.74546999999995</v>
      </c>
      <c r="Z6" s="21">
        <v>326.90447999999998</v>
      </c>
      <c r="AA6" s="23">
        <v>1009.62745</v>
      </c>
      <c r="AB6" s="29">
        <v>0</v>
      </c>
      <c r="AC6" s="21">
        <v>8805.3402500000011</v>
      </c>
      <c r="AD6" s="21">
        <v>1014.3234899999999</v>
      </c>
      <c r="AE6" s="52">
        <v>1608.8861000000002</v>
      </c>
      <c r="AF6" s="23">
        <v>11428.549840000001</v>
      </c>
      <c r="AG6" s="17"/>
      <c r="AH6" s="115" t="s">
        <v>539</v>
      </c>
      <c r="AI6" s="32">
        <v>0</v>
      </c>
      <c r="AJ6" s="21">
        <v>0</v>
      </c>
      <c r="AK6" s="21">
        <v>568.84484999999995</v>
      </c>
      <c r="AL6" s="21">
        <v>0</v>
      </c>
      <c r="AM6" s="23">
        <v>568.84484999999995</v>
      </c>
      <c r="AN6" s="29">
        <v>0</v>
      </c>
      <c r="AO6" s="21">
        <v>8805.3402500000011</v>
      </c>
      <c r="AP6" s="21">
        <v>1583.1683400000006</v>
      </c>
      <c r="AQ6" s="52">
        <v>1608.8861000000002</v>
      </c>
      <c r="AR6" s="23">
        <v>11997.394690000001</v>
      </c>
      <c r="AS6" s="17"/>
      <c r="AT6" s="115" t="s">
        <v>539</v>
      </c>
      <c r="AU6" s="32">
        <v>0</v>
      </c>
      <c r="AV6" s="21">
        <v>4176.0094600000002</v>
      </c>
      <c r="AW6" s="21">
        <v>525.19484</v>
      </c>
      <c r="AX6" s="21">
        <v>460.45440000000002</v>
      </c>
      <c r="AY6" s="23">
        <v>5161.6587</v>
      </c>
      <c r="AZ6" s="29">
        <v>0</v>
      </c>
      <c r="BA6" s="21">
        <v>12981.349710000002</v>
      </c>
      <c r="BB6" s="21">
        <v>2108.3631800000003</v>
      </c>
      <c r="BC6" s="52">
        <v>2069.3404999999998</v>
      </c>
      <c r="BD6" s="23">
        <v>17159.053390000001</v>
      </c>
      <c r="BE6" s="17"/>
      <c r="BF6" s="115" t="s">
        <v>539</v>
      </c>
      <c r="BG6" s="32">
        <v>0</v>
      </c>
      <c r="BH6" s="21">
        <v>3555.9499500000006</v>
      </c>
      <c r="BI6" s="21">
        <v>587.54570000000012</v>
      </c>
      <c r="BJ6" s="21">
        <v>106.38719999999999</v>
      </c>
      <c r="BK6" s="23">
        <v>4249.8828500000009</v>
      </c>
      <c r="BL6" s="29">
        <v>0</v>
      </c>
      <c r="BM6" s="21">
        <v>16537.299660000001</v>
      </c>
      <c r="BN6" s="21">
        <v>2695.90888</v>
      </c>
      <c r="BO6" s="52">
        <v>2175.7277000000004</v>
      </c>
      <c r="BP6" s="23">
        <v>21408.936239999999</v>
      </c>
      <c r="BQ6" s="17"/>
      <c r="BR6" s="115" t="s">
        <v>539</v>
      </c>
      <c r="BS6" s="32">
        <v>0</v>
      </c>
      <c r="BT6" s="21">
        <v>2015.0942000000005</v>
      </c>
      <c r="BU6" s="21">
        <v>736.40165999999999</v>
      </c>
      <c r="BV6" s="21">
        <v>359.87231999999995</v>
      </c>
      <c r="BW6" s="23">
        <v>3111.3681800000004</v>
      </c>
      <c r="BX6" s="29">
        <v>0</v>
      </c>
      <c r="BY6" s="21">
        <v>18552.39386</v>
      </c>
      <c r="BZ6" s="21">
        <v>3432.3105399999995</v>
      </c>
      <c r="CA6" s="52">
        <v>2535.6000199999999</v>
      </c>
      <c r="CB6" s="23">
        <v>24520.30442</v>
      </c>
      <c r="CC6" s="17"/>
      <c r="CD6" s="115" t="s">
        <v>539</v>
      </c>
      <c r="CE6" s="32">
        <v>1996.0799999999997</v>
      </c>
      <c r="CF6" s="21">
        <v>3358.4974200000011</v>
      </c>
      <c r="CG6" s="21">
        <v>480.46319999999997</v>
      </c>
      <c r="CH6" s="21">
        <v>193.2748</v>
      </c>
      <c r="CI6" s="23">
        <v>6028.3154200000008</v>
      </c>
      <c r="CJ6" s="29">
        <v>1996.0799999999997</v>
      </c>
      <c r="CK6" s="21">
        <v>21910.89128</v>
      </c>
      <c r="CL6" s="21">
        <v>3912.7737399999996</v>
      </c>
      <c r="CM6" s="52">
        <v>2728.8748200000005</v>
      </c>
      <c r="CN6" s="23">
        <v>30548.619839999999</v>
      </c>
      <c r="CO6" s="17"/>
      <c r="CP6" s="115" t="s">
        <v>539</v>
      </c>
      <c r="CQ6" s="32">
        <v>0</v>
      </c>
      <c r="CR6" s="21">
        <v>3677.8482999999997</v>
      </c>
      <c r="CS6" s="21">
        <v>224.82739999999995</v>
      </c>
      <c r="CT6" s="21">
        <v>126.13047999999999</v>
      </c>
      <c r="CU6" s="23">
        <v>4028.8061799999996</v>
      </c>
      <c r="CV6" s="29">
        <v>1996.0799999999997</v>
      </c>
      <c r="CW6" s="21">
        <v>25588.739580000001</v>
      </c>
      <c r="CX6" s="21">
        <v>4137.6011399999998</v>
      </c>
      <c r="CY6" s="52">
        <v>2855.0053000000003</v>
      </c>
      <c r="CZ6" s="23">
        <v>34577.426019999999</v>
      </c>
      <c r="DA6" s="17"/>
      <c r="DB6" s="115" t="s">
        <v>539</v>
      </c>
      <c r="DC6" s="32">
        <v>0</v>
      </c>
      <c r="DD6" s="21">
        <v>922.46070000000009</v>
      </c>
      <c r="DE6" s="21">
        <v>762.83375000000001</v>
      </c>
      <c r="DF6" s="21">
        <v>178.71044000000001</v>
      </c>
      <c r="DG6" s="23">
        <v>1864.0048900000002</v>
      </c>
      <c r="DH6" s="29">
        <v>1996.0799999999997</v>
      </c>
      <c r="DI6" s="21">
        <v>26511.200279999997</v>
      </c>
      <c r="DJ6" s="21">
        <v>4900.4348899999977</v>
      </c>
      <c r="DK6" s="52">
        <v>3033.7157399999996</v>
      </c>
      <c r="DL6" s="23">
        <v>36441.430909999995</v>
      </c>
      <c r="DM6" s="17"/>
      <c r="DN6" s="115" t="s">
        <v>539</v>
      </c>
      <c r="DO6" s="32">
        <v>0</v>
      </c>
      <c r="DP6" s="21">
        <v>5561.9190200000003</v>
      </c>
      <c r="DQ6" s="21">
        <v>568.61424999999997</v>
      </c>
      <c r="DR6" s="21">
        <v>198.64515999999998</v>
      </c>
      <c r="DS6" s="23">
        <v>6329.1784299999999</v>
      </c>
      <c r="DT6" s="29">
        <v>1996.0799999999997</v>
      </c>
      <c r="DU6" s="21">
        <v>32073.119300000002</v>
      </c>
      <c r="DV6" s="21">
        <v>5469.0491399999974</v>
      </c>
      <c r="DW6" s="52">
        <v>3232.3609000000001</v>
      </c>
      <c r="DX6" s="23">
        <v>42770.609339999995</v>
      </c>
      <c r="DY6" s="17"/>
      <c r="DZ6" s="115" t="s">
        <v>539</v>
      </c>
      <c r="EA6" s="32">
        <v>0</v>
      </c>
      <c r="EB6" s="21">
        <v>4869.7236000000003</v>
      </c>
      <c r="EC6" s="21">
        <v>423.12900000000002</v>
      </c>
      <c r="ED6" s="21">
        <v>694.26271999999994</v>
      </c>
      <c r="EE6" s="23">
        <v>5987.1153199999999</v>
      </c>
      <c r="EF6" s="29">
        <v>1996.0799999999997</v>
      </c>
      <c r="EG6" s="21">
        <v>36942.842899999989</v>
      </c>
      <c r="EH6" s="21">
        <v>5892.1781399999982</v>
      </c>
      <c r="EI6" s="52">
        <v>3926.6236200000003</v>
      </c>
      <c r="EJ6" s="23">
        <v>48757.724659999985</v>
      </c>
      <c r="EK6" s="17"/>
      <c r="EL6" s="115" t="s">
        <v>539</v>
      </c>
      <c r="EM6" s="32">
        <v>0</v>
      </c>
      <c r="EN6" s="21">
        <v>3264.2561000000005</v>
      </c>
      <c r="EO6" s="21">
        <v>388.33235000000002</v>
      </c>
      <c r="EP6" s="21">
        <v>203.06936999999999</v>
      </c>
      <c r="EQ6" s="23">
        <v>3855.6578200000008</v>
      </c>
      <c r="ER6" s="29">
        <v>1996.0799999999997</v>
      </c>
      <c r="ES6" s="21">
        <v>40207.098999999995</v>
      </c>
      <c r="ET6" s="21">
        <v>6280.5104899999969</v>
      </c>
      <c r="EU6" s="52">
        <v>4129.6929899999996</v>
      </c>
      <c r="EV6" s="23">
        <v>52613.382479999986</v>
      </c>
      <c r="EW6" s="17"/>
      <c r="EX6" s="115" t="s">
        <v>539</v>
      </c>
      <c r="EY6" s="32">
        <v>0</v>
      </c>
      <c r="EZ6" s="21">
        <v>3296.1929300000006</v>
      </c>
      <c r="FA6" s="21">
        <v>706.82752999999991</v>
      </c>
      <c r="FB6" s="21">
        <v>63.118439999999964</v>
      </c>
      <c r="FC6" s="21">
        <v>135.42590000000001</v>
      </c>
      <c r="FD6" s="23">
        <v>4201.564800000001</v>
      </c>
      <c r="FE6" s="29">
        <v>1996.0799999999997</v>
      </c>
      <c r="FF6" s="21">
        <v>43503.291929999999</v>
      </c>
      <c r="FG6" s="21">
        <v>6987.3380199999965</v>
      </c>
      <c r="FH6" s="21">
        <v>63.118439999999964</v>
      </c>
      <c r="FI6" s="52">
        <v>4265.1188900000006</v>
      </c>
      <c r="FJ6" s="23">
        <v>56814.947279999993</v>
      </c>
      <c r="FK6" s="17"/>
      <c r="FL6" s="115" t="s">
        <v>539</v>
      </c>
      <c r="FM6" s="32">
        <v>854.65800000000013</v>
      </c>
      <c r="FN6" s="21">
        <v>3002.2867000000001</v>
      </c>
      <c r="FO6" s="21">
        <v>495.83627999999999</v>
      </c>
      <c r="FP6" s="21">
        <v>71.804720000000003</v>
      </c>
      <c r="FQ6" s="21">
        <v>234.87744000000001</v>
      </c>
      <c r="FR6" s="23">
        <v>4659.4631399999998</v>
      </c>
      <c r="FS6" s="29">
        <v>2850.7379999999998</v>
      </c>
      <c r="FT6" s="21">
        <v>46505.578629999996</v>
      </c>
      <c r="FU6" s="21">
        <v>7483.1742999999969</v>
      </c>
      <c r="FV6" s="21">
        <v>134.92315999999997</v>
      </c>
      <c r="FW6" s="52">
        <v>4499.9963299999999</v>
      </c>
      <c r="FX6" s="23">
        <v>61474.410419999993</v>
      </c>
      <c r="FY6" s="17"/>
      <c r="FZ6" s="115" t="s">
        <v>539</v>
      </c>
      <c r="GA6" s="32">
        <v>0</v>
      </c>
      <c r="GB6" s="21">
        <v>2607.0387000000001</v>
      </c>
      <c r="GC6" s="21">
        <v>955.39836000000003</v>
      </c>
      <c r="GD6" s="21">
        <v>0</v>
      </c>
      <c r="GE6" s="21">
        <v>195.21544</v>
      </c>
      <c r="GF6" s="23">
        <v>3757.6525000000001</v>
      </c>
      <c r="GG6" s="29">
        <v>2850.7379999999998</v>
      </c>
      <c r="GH6" s="21">
        <v>49112.617330000001</v>
      </c>
      <c r="GI6" s="21">
        <v>8438.5726599999962</v>
      </c>
      <c r="GJ6" s="21">
        <v>134.92315999999997</v>
      </c>
      <c r="GK6" s="52">
        <v>4695.2117700000008</v>
      </c>
      <c r="GL6" s="23">
        <v>65232.062919999997</v>
      </c>
      <c r="GM6" s="17"/>
      <c r="GN6" s="115" t="s">
        <v>539</v>
      </c>
      <c r="GO6" s="32">
        <v>0</v>
      </c>
      <c r="GP6" s="21">
        <v>2934.0759000000003</v>
      </c>
      <c r="GQ6" s="21">
        <v>1115.1305199999997</v>
      </c>
      <c r="GR6" s="21">
        <v>0</v>
      </c>
      <c r="GS6" s="21">
        <v>116.72789999999999</v>
      </c>
      <c r="GT6" s="23">
        <v>4165.9343200000003</v>
      </c>
      <c r="GU6" s="29">
        <v>2850.7379999999998</v>
      </c>
      <c r="GV6" s="21">
        <v>52046.693229999997</v>
      </c>
      <c r="GW6" s="21">
        <v>9553.7031800000022</v>
      </c>
      <c r="GX6" s="21">
        <v>134.92315999999997</v>
      </c>
      <c r="GY6" s="52">
        <v>4811.9396699999998</v>
      </c>
      <c r="GZ6" s="23">
        <v>69397.997239999997</v>
      </c>
      <c r="HA6" s="17"/>
      <c r="HB6" s="115" t="s">
        <v>539</v>
      </c>
      <c r="HC6" s="32">
        <v>0</v>
      </c>
      <c r="HD6" s="21">
        <v>3277.3103999999998</v>
      </c>
      <c r="HE6" s="21">
        <v>488.26609999999999</v>
      </c>
      <c r="HF6" s="21">
        <v>0</v>
      </c>
      <c r="HG6" s="21">
        <v>126.47320000000001</v>
      </c>
      <c r="HH6" s="23">
        <v>3892.0496999999996</v>
      </c>
      <c r="HI6" s="29">
        <v>2850.7379999999998</v>
      </c>
      <c r="HJ6" s="21">
        <v>55324.003629999992</v>
      </c>
      <c r="HK6" s="21">
        <v>10041.969279999999</v>
      </c>
      <c r="HL6" s="21">
        <v>134.92315999999997</v>
      </c>
      <c r="HM6" s="52">
        <v>4938.412870000001</v>
      </c>
      <c r="HN6" s="23">
        <v>73290.04694</v>
      </c>
      <c r="HO6" s="17"/>
      <c r="HP6" s="115" t="s">
        <v>539</v>
      </c>
      <c r="HQ6" s="32">
        <v>0</v>
      </c>
      <c r="HR6" s="21">
        <v>4291.2257</v>
      </c>
      <c r="HS6" s="21">
        <v>335.15574999999995</v>
      </c>
      <c r="HT6" s="21">
        <v>0</v>
      </c>
      <c r="HU6" s="21">
        <v>204.13163999999998</v>
      </c>
      <c r="HV6" s="23">
        <v>4830.5130899999995</v>
      </c>
      <c r="HW6" s="29">
        <v>2850.7379999999998</v>
      </c>
      <c r="HX6" s="21">
        <v>59615.229329999987</v>
      </c>
      <c r="HY6" s="21">
        <v>10377.125029999999</v>
      </c>
      <c r="HZ6" s="21">
        <v>134.92315999999997</v>
      </c>
      <c r="IA6" s="52">
        <v>5142.5445099999997</v>
      </c>
      <c r="IB6" s="23">
        <v>78120.560029999993</v>
      </c>
      <c r="IC6" s="17"/>
      <c r="ID6" s="115" t="s">
        <v>539</v>
      </c>
      <c r="IE6" s="32">
        <v>1497.0599999999997</v>
      </c>
      <c r="IF6" s="21">
        <v>3806.8302999999996</v>
      </c>
      <c r="IG6" s="21">
        <v>302.23865000000001</v>
      </c>
      <c r="IH6" s="21">
        <v>22.791720000000002</v>
      </c>
      <c r="II6" s="21">
        <v>284.25257999999997</v>
      </c>
      <c r="IJ6" s="23">
        <v>5913.1732499999998</v>
      </c>
      <c r="IK6" s="29">
        <v>4347.7979999999998</v>
      </c>
      <c r="IL6" s="21">
        <v>63485.178069999994</v>
      </c>
      <c r="IM6" s="21">
        <v>10679.363680000002</v>
      </c>
      <c r="IN6" s="21">
        <v>94.596440000000001</v>
      </c>
      <c r="IO6" s="52">
        <v>5426.7970899999982</v>
      </c>
      <c r="IP6" s="23">
        <v>84033.733279999971</v>
      </c>
      <c r="IQ6" s="17"/>
      <c r="IR6" s="115" t="s">
        <v>539</v>
      </c>
      <c r="IS6" s="32">
        <v>0</v>
      </c>
      <c r="IT6" s="21">
        <v>4289.9959399999998</v>
      </c>
      <c r="IU6" s="21">
        <v>564.41419999999994</v>
      </c>
      <c r="IV6" s="21">
        <v>0</v>
      </c>
      <c r="IW6" s="21">
        <v>321.61023999999998</v>
      </c>
      <c r="IX6" s="23">
        <v>5176.0203799999999</v>
      </c>
      <c r="IY6" s="29">
        <v>4347.7979999999998</v>
      </c>
      <c r="IZ6" s="21">
        <v>67775.174010000017</v>
      </c>
      <c r="JA6" s="21">
        <v>11243.777880000001</v>
      </c>
      <c r="JB6" s="21">
        <v>94.596440000000001</v>
      </c>
      <c r="JC6" s="52">
        <v>5748.4073299999982</v>
      </c>
      <c r="JD6" s="23">
        <v>89209.753660000002</v>
      </c>
      <c r="JE6" s="17"/>
      <c r="JF6" s="115" t="s">
        <v>539</v>
      </c>
      <c r="JG6" s="32">
        <v>0</v>
      </c>
      <c r="JH6" s="21">
        <v>2190.6023999999998</v>
      </c>
      <c r="JI6" s="21">
        <v>771.13785000000007</v>
      </c>
      <c r="JJ6" s="21">
        <v>0</v>
      </c>
      <c r="JK6" s="21">
        <v>401.05001999999996</v>
      </c>
      <c r="JL6" s="23">
        <v>3362.79027</v>
      </c>
      <c r="JM6" s="29">
        <v>4347.7979999999998</v>
      </c>
      <c r="JN6" s="21">
        <v>69965.77641000002</v>
      </c>
      <c r="JO6" s="21">
        <v>12014.915730000001</v>
      </c>
      <c r="JP6" s="21">
        <v>94.596440000000001</v>
      </c>
      <c r="JQ6" s="52">
        <v>6149.4573499999988</v>
      </c>
      <c r="JR6" s="23">
        <v>92572.54393</v>
      </c>
      <c r="JS6" s="17"/>
      <c r="JT6" s="115" t="s">
        <v>539</v>
      </c>
      <c r="JU6" s="32">
        <v>0</v>
      </c>
      <c r="JV6" s="21">
        <v>3352.9600999999998</v>
      </c>
      <c r="JW6" s="21">
        <v>278.80757999999997</v>
      </c>
      <c r="JX6" s="21">
        <v>0</v>
      </c>
      <c r="JY6" s="21">
        <v>338.37048000000004</v>
      </c>
      <c r="JZ6" s="23">
        <v>3970.13816</v>
      </c>
      <c r="KA6" s="29">
        <v>4347.7979999999998</v>
      </c>
      <c r="KB6" s="21">
        <v>73318.736510000032</v>
      </c>
      <c r="KC6" s="21">
        <v>12293.723310000003</v>
      </c>
      <c r="KD6" s="21">
        <v>94.596440000000001</v>
      </c>
      <c r="KE6" s="52">
        <v>6487.8278299999984</v>
      </c>
      <c r="KF6" s="23">
        <v>96542.682090000017</v>
      </c>
      <c r="KG6" s="17"/>
      <c r="KH6" s="115" t="s">
        <v>539</v>
      </c>
      <c r="KI6" s="32">
        <v>1497.0599999999997</v>
      </c>
      <c r="KJ6" s="21">
        <v>2669.1854000000003</v>
      </c>
      <c r="KK6" s="21">
        <v>452.59269999999998</v>
      </c>
      <c r="KL6" s="21">
        <v>0</v>
      </c>
      <c r="KM6" s="21">
        <v>532.34388000000001</v>
      </c>
      <c r="KN6" s="23">
        <v>5151.1819800000003</v>
      </c>
      <c r="KO6" s="29">
        <v>5844.8579999999993</v>
      </c>
      <c r="KP6" s="21">
        <v>75987.921910000019</v>
      </c>
      <c r="KQ6" s="21">
        <v>12746.316010000006</v>
      </c>
      <c r="KR6" s="21">
        <v>94.596440000000001</v>
      </c>
      <c r="KS6" s="52">
        <v>7020.1717099999978</v>
      </c>
      <c r="KT6" s="23">
        <v>101693.86407000001</v>
      </c>
      <c r="KU6" s="17"/>
      <c r="KV6" s="115" t="s">
        <v>539</v>
      </c>
      <c r="KW6" s="32">
        <v>1047.4429799999998</v>
      </c>
      <c r="KX6" s="21">
        <v>2024.9891</v>
      </c>
      <c r="KY6" s="21">
        <v>765.3078999999999</v>
      </c>
      <c r="KZ6" s="21">
        <v>0</v>
      </c>
      <c r="LA6" s="21">
        <v>371.36351999999994</v>
      </c>
      <c r="LB6" s="23">
        <v>4209.1034999999993</v>
      </c>
      <c r="LC6" s="29">
        <v>6892.3009799999991</v>
      </c>
      <c r="LD6" s="21">
        <v>78012.91101000004</v>
      </c>
      <c r="LE6" s="21">
        <v>13511.623910000002</v>
      </c>
      <c r="LF6" s="21">
        <v>94.596440000000001</v>
      </c>
      <c r="LG6" s="52">
        <v>7391.5352299999986</v>
      </c>
      <c r="LH6" s="23">
        <v>105902.96757000002</v>
      </c>
      <c r="LI6" s="17"/>
      <c r="LJ6" s="115" t="s">
        <v>539</v>
      </c>
      <c r="LK6" s="32">
        <v>998.03999999999985</v>
      </c>
      <c r="LL6" s="21">
        <v>1932.9364</v>
      </c>
      <c r="LM6" s="21">
        <v>345.99110000000002</v>
      </c>
      <c r="LN6" s="21">
        <v>0</v>
      </c>
      <c r="LO6" s="21">
        <v>429.67680000000001</v>
      </c>
      <c r="LP6" s="23">
        <v>3706.6443000000004</v>
      </c>
      <c r="LQ6" s="29">
        <v>7890.3409799999999</v>
      </c>
      <c r="LR6" s="21">
        <v>79945.847410000046</v>
      </c>
      <c r="LS6" s="21">
        <v>13857.615010000001</v>
      </c>
      <c r="LT6" s="21">
        <v>94.596440000000001</v>
      </c>
      <c r="LU6" s="52">
        <v>7821.2120299999988</v>
      </c>
      <c r="LV6" s="23">
        <v>109609.61187000002</v>
      </c>
      <c r="LW6" s="17">
        <f t="shared" si="1"/>
        <v>0</v>
      </c>
      <c r="LX6" s="17">
        <f t="shared" si="0"/>
        <v>0</v>
      </c>
      <c r="LY6" s="17">
        <f t="shared" si="0"/>
        <v>0</v>
      </c>
      <c r="LZ6" s="17">
        <f t="shared" si="0"/>
        <v>0</v>
      </c>
      <c r="MA6" s="17">
        <f t="shared" si="0"/>
        <v>0</v>
      </c>
      <c r="MB6" s="17">
        <f t="shared" si="0"/>
        <v>0</v>
      </c>
    </row>
    <row r="7" spans="2:340" x14ac:dyDescent="0.3">
      <c r="B7" s="114" t="s">
        <v>540</v>
      </c>
      <c r="C7" s="28">
        <v>0</v>
      </c>
      <c r="D7" s="18">
        <v>4914.8295000000007</v>
      </c>
      <c r="E7" s="18">
        <v>86.117500000000021</v>
      </c>
      <c r="F7" s="51">
        <v>902.18784000000005</v>
      </c>
      <c r="G7" s="51">
        <v>0</v>
      </c>
      <c r="H7" s="19">
        <v>5903.1348400000006</v>
      </c>
      <c r="J7" s="114" t="s">
        <v>540</v>
      </c>
      <c r="K7" s="31">
        <v>0</v>
      </c>
      <c r="L7" s="18">
        <v>2179.3243499999999</v>
      </c>
      <c r="M7" s="18">
        <v>154.71309999999994</v>
      </c>
      <c r="N7" s="18">
        <v>325.41134</v>
      </c>
      <c r="O7" s="19">
        <v>2659.4487899999999</v>
      </c>
      <c r="P7" s="28">
        <v>0</v>
      </c>
      <c r="Q7" s="18">
        <v>7094.1538499999997</v>
      </c>
      <c r="R7" s="18">
        <v>405.12549999999999</v>
      </c>
      <c r="S7" s="51">
        <v>1227.5991799999999</v>
      </c>
      <c r="T7" s="19">
        <v>8726.87853</v>
      </c>
      <c r="V7" s="114" t="s">
        <v>540</v>
      </c>
      <c r="W7" s="31">
        <v>0</v>
      </c>
      <c r="X7" s="18">
        <v>201.51074999999997</v>
      </c>
      <c r="Y7" s="18">
        <v>357.56592000000006</v>
      </c>
      <c r="Z7" s="18">
        <v>313.98192</v>
      </c>
      <c r="AA7" s="19">
        <v>873.05859000000009</v>
      </c>
      <c r="AB7" s="28">
        <v>0</v>
      </c>
      <c r="AC7" s="18">
        <v>7230.6685499999994</v>
      </c>
      <c r="AD7" s="18">
        <v>762.93712000000016</v>
      </c>
      <c r="AE7" s="51">
        <v>1541.5810999999999</v>
      </c>
      <c r="AF7" s="19">
        <v>9535.1867700000003</v>
      </c>
      <c r="AG7" s="17"/>
      <c r="AH7" s="114" t="s">
        <v>540</v>
      </c>
      <c r="AI7" s="31">
        <v>0</v>
      </c>
      <c r="AJ7" s="18">
        <v>0</v>
      </c>
      <c r="AK7" s="18">
        <v>479.76564999999988</v>
      </c>
      <c r="AL7" s="18">
        <v>0</v>
      </c>
      <c r="AM7" s="19">
        <v>479.76564999999988</v>
      </c>
      <c r="AN7" s="28">
        <v>0</v>
      </c>
      <c r="AO7" s="18">
        <v>7230.6685499999994</v>
      </c>
      <c r="AP7" s="18">
        <v>1242.7027699999996</v>
      </c>
      <c r="AQ7" s="51">
        <v>1541.5810999999999</v>
      </c>
      <c r="AR7" s="19">
        <v>10014.952419999998</v>
      </c>
      <c r="AS7" s="17"/>
      <c r="AT7" s="114" t="s">
        <v>540</v>
      </c>
      <c r="AU7" s="31">
        <v>0</v>
      </c>
      <c r="AV7" s="18">
        <v>3434.1290200000003</v>
      </c>
      <c r="AW7" s="18">
        <v>456.12873999999999</v>
      </c>
      <c r="AX7" s="18">
        <v>441.07056</v>
      </c>
      <c r="AY7" s="19">
        <v>4331.3283200000005</v>
      </c>
      <c r="AZ7" s="28">
        <v>0</v>
      </c>
      <c r="BA7" s="18">
        <v>10664.797570000001</v>
      </c>
      <c r="BB7" s="18">
        <v>1698.8315099999993</v>
      </c>
      <c r="BC7" s="51">
        <v>1982.6516600000002</v>
      </c>
      <c r="BD7" s="19">
        <v>14346.28074</v>
      </c>
      <c r="BE7" s="17"/>
      <c r="BF7" s="114" t="s">
        <v>540</v>
      </c>
      <c r="BG7" s="31">
        <v>0</v>
      </c>
      <c r="BH7" s="18">
        <v>2916.3816500000003</v>
      </c>
      <c r="BI7" s="18">
        <v>507.82129999999995</v>
      </c>
      <c r="BJ7" s="18">
        <v>101.77200000000001</v>
      </c>
      <c r="BK7" s="19">
        <v>3525.9749500000003</v>
      </c>
      <c r="BL7" s="28">
        <v>0</v>
      </c>
      <c r="BM7" s="18">
        <v>13581.179220000002</v>
      </c>
      <c r="BN7" s="18">
        <v>2206.6528099999996</v>
      </c>
      <c r="BO7" s="51">
        <v>2084.4236599999999</v>
      </c>
      <c r="BP7" s="19">
        <v>17872.255690000002</v>
      </c>
      <c r="BQ7" s="17"/>
      <c r="BR7" s="114" t="s">
        <v>540</v>
      </c>
      <c r="BS7" s="31">
        <v>0</v>
      </c>
      <c r="BT7" s="18">
        <v>1656.8839000000003</v>
      </c>
      <c r="BU7" s="18">
        <v>635.34239000000002</v>
      </c>
      <c r="BV7" s="18">
        <v>347.01385999999997</v>
      </c>
      <c r="BW7" s="19">
        <v>2639.2401500000005</v>
      </c>
      <c r="BX7" s="28">
        <v>0</v>
      </c>
      <c r="BY7" s="18">
        <v>15238.063120000001</v>
      </c>
      <c r="BZ7" s="18">
        <v>2841.9951999999998</v>
      </c>
      <c r="CA7" s="51">
        <v>2431.4375199999995</v>
      </c>
      <c r="CB7" s="19">
        <v>20511.49584</v>
      </c>
      <c r="CC7" s="17"/>
      <c r="CD7" s="114" t="s">
        <v>540</v>
      </c>
      <c r="CE7" s="31">
        <v>1679.4799999999998</v>
      </c>
      <c r="CF7" s="18">
        <v>2763.2416200000002</v>
      </c>
      <c r="CG7" s="18">
        <v>405.28949999999998</v>
      </c>
      <c r="CH7" s="18">
        <v>186.12124</v>
      </c>
      <c r="CI7" s="19">
        <v>5034.1323600000005</v>
      </c>
      <c r="CJ7" s="28">
        <v>1679.4799999999998</v>
      </c>
      <c r="CK7" s="18">
        <v>18001.304740000007</v>
      </c>
      <c r="CL7" s="18">
        <v>3247.2846999999997</v>
      </c>
      <c r="CM7" s="51">
        <v>2617.5587599999994</v>
      </c>
      <c r="CN7" s="19">
        <v>25545.628200000006</v>
      </c>
      <c r="CO7" s="17"/>
      <c r="CP7" s="114" t="s">
        <v>540</v>
      </c>
      <c r="CQ7" s="31">
        <v>0</v>
      </c>
      <c r="CR7" s="18">
        <v>3027.0345000000002</v>
      </c>
      <c r="CS7" s="18">
        <v>191.82170000000002</v>
      </c>
      <c r="CT7" s="18">
        <v>120.02816</v>
      </c>
      <c r="CU7" s="19">
        <v>3338.88436</v>
      </c>
      <c r="CV7" s="28">
        <v>1679.4799999999998</v>
      </c>
      <c r="CW7" s="18">
        <v>21028.339240000005</v>
      </c>
      <c r="CX7" s="18">
        <v>3439.1064000000001</v>
      </c>
      <c r="CY7" s="51">
        <v>2737.5869199999997</v>
      </c>
      <c r="CZ7" s="19">
        <v>28884.512560000003</v>
      </c>
      <c r="DA7" s="17"/>
      <c r="DB7" s="114" t="s">
        <v>540</v>
      </c>
      <c r="DC7" s="31">
        <v>0</v>
      </c>
      <c r="DD7" s="18">
        <v>768.72915</v>
      </c>
      <c r="DE7" s="18">
        <v>643.49565000000007</v>
      </c>
      <c r="DF7" s="18">
        <v>171.55688000000001</v>
      </c>
      <c r="DG7" s="19">
        <v>1583.7816800000001</v>
      </c>
      <c r="DH7" s="28">
        <v>1679.4799999999998</v>
      </c>
      <c r="DI7" s="18">
        <v>21797.068390000008</v>
      </c>
      <c r="DJ7" s="18">
        <v>4082.6020499999995</v>
      </c>
      <c r="DK7" s="51">
        <v>2909.1437999999994</v>
      </c>
      <c r="DL7" s="19">
        <v>30468.294240000003</v>
      </c>
      <c r="DM7" s="17"/>
      <c r="DN7" s="114" t="s">
        <v>540</v>
      </c>
      <c r="DO7" s="31">
        <v>0</v>
      </c>
      <c r="DP7" s="18">
        <v>4561.86528</v>
      </c>
      <c r="DQ7" s="18">
        <v>478.71737000000002</v>
      </c>
      <c r="DR7" s="18">
        <v>189.38911999999999</v>
      </c>
      <c r="DS7" s="19">
        <v>5229.9717700000001</v>
      </c>
      <c r="DT7" s="28">
        <v>1679.4799999999998</v>
      </c>
      <c r="DU7" s="18">
        <v>26358.933670000006</v>
      </c>
      <c r="DV7" s="18">
        <v>4561.3194200000007</v>
      </c>
      <c r="DW7" s="51">
        <v>3098.5329199999996</v>
      </c>
      <c r="DX7" s="19">
        <v>35698.266010000007</v>
      </c>
      <c r="DY7" s="17"/>
      <c r="DZ7" s="114" t="s">
        <v>540</v>
      </c>
      <c r="EA7" s="31">
        <v>0</v>
      </c>
      <c r="EB7" s="18">
        <v>3994.0152000000003</v>
      </c>
      <c r="EC7" s="18">
        <v>364.53269999999998</v>
      </c>
      <c r="ED7" s="18">
        <v>667.87916000000007</v>
      </c>
      <c r="EE7" s="19">
        <v>5026.4270600000009</v>
      </c>
      <c r="EF7" s="28">
        <v>1679.4799999999998</v>
      </c>
      <c r="EG7" s="18">
        <v>30352.948870000007</v>
      </c>
      <c r="EH7" s="18">
        <v>4925.8521200000014</v>
      </c>
      <c r="EI7" s="51">
        <v>3766.4120799999987</v>
      </c>
      <c r="EJ7" s="19">
        <v>40724.693070000008</v>
      </c>
      <c r="EK7" s="17"/>
      <c r="EL7" s="114" t="s">
        <v>540</v>
      </c>
      <c r="EM7" s="31">
        <v>0</v>
      </c>
      <c r="EN7" s="18">
        <v>2683.48045</v>
      </c>
      <c r="EO7" s="18">
        <v>330.59354999999999</v>
      </c>
      <c r="EP7" s="18">
        <v>194.99277000000001</v>
      </c>
      <c r="EQ7" s="19">
        <v>3209.0667699999999</v>
      </c>
      <c r="ER7" s="28">
        <v>1679.4799999999998</v>
      </c>
      <c r="ES7" s="18">
        <v>33036.42932000001</v>
      </c>
      <c r="ET7" s="18">
        <v>5256.4456700000001</v>
      </c>
      <c r="EU7" s="51">
        <v>3961.404849999999</v>
      </c>
      <c r="EV7" s="19">
        <v>43933.759840000013</v>
      </c>
      <c r="EW7" s="17"/>
      <c r="EX7" s="114" t="s">
        <v>540</v>
      </c>
      <c r="EY7" s="31">
        <v>0</v>
      </c>
      <c r="EZ7" s="18">
        <v>2713.3231000000005</v>
      </c>
      <c r="FA7" s="18">
        <v>608.6890800000001</v>
      </c>
      <c r="FB7" s="18">
        <v>57.897989999999972</v>
      </c>
      <c r="FC7" s="18">
        <v>130.43251000000001</v>
      </c>
      <c r="FD7" s="19">
        <v>3510.3426800000007</v>
      </c>
      <c r="FE7" s="28">
        <v>1679.4799999999998</v>
      </c>
      <c r="FF7" s="18">
        <v>35749.752419999997</v>
      </c>
      <c r="FG7" s="18">
        <v>5865.1347500000011</v>
      </c>
      <c r="FH7" s="18">
        <v>57.897989999999972</v>
      </c>
      <c r="FI7" s="51">
        <v>4091.8373599999995</v>
      </c>
      <c r="FJ7" s="19">
        <v>47444.102519999993</v>
      </c>
      <c r="FK7" s="17"/>
      <c r="FL7" s="114" t="s">
        <v>540</v>
      </c>
      <c r="FM7" s="31">
        <v>720.10300000000007</v>
      </c>
      <c r="FN7" s="18">
        <v>2470.1001500000002</v>
      </c>
      <c r="FO7" s="18">
        <v>405.97967</v>
      </c>
      <c r="FP7" s="18">
        <v>68.201229999999995</v>
      </c>
      <c r="FQ7" s="18">
        <v>225.54447999999999</v>
      </c>
      <c r="FR7" s="19">
        <v>3889.9285300000006</v>
      </c>
      <c r="FS7" s="28">
        <v>2399.5830000000001</v>
      </c>
      <c r="FT7" s="18">
        <v>38219.852569999988</v>
      </c>
      <c r="FU7" s="18">
        <v>6271.1144200000008</v>
      </c>
      <c r="FV7" s="18">
        <v>126.09921999999997</v>
      </c>
      <c r="FW7" s="51">
        <v>4317.3818399999991</v>
      </c>
      <c r="FX7" s="19">
        <v>51334.031049999983</v>
      </c>
      <c r="FY7" s="17"/>
      <c r="FZ7" s="114" t="s">
        <v>540</v>
      </c>
      <c r="GA7" s="31">
        <v>0</v>
      </c>
      <c r="GB7" s="18">
        <v>2153.9437499999999</v>
      </c>
      <c r="GC7" s="18">
        <v>778.69271000000003</v>
      </c>
      <c r="GD7" s="18">
        <v>0</v>
      </c>
      <c r="GE7" s="18">
        <v>187.626</v>
      </c>
      <c r="GF7" s="19">
        <v>3120.2624599999999</v>
      </c>
      <c r="GG7" s="28">
        <v>2399.5830000000001</v>
      </c>
      <c r="GH7" s="18">
        <v>40373.796319999987</v>
      </c>
      <c r="GI7" s="18">
        <v>7049.8071300000011</v>
      </c>
      <c r="GJ7" s="18">
        <v>126.09921999999997</v>
      </c>
      <c r="GK7" s="51">
        <v>4505.0078399999993</v>
      </c>
      <c r="GL7" s="19">
        <v>54454.293509999981</v>
      </c>
      <c r="GM7" s="17"/>
      <c r="GN7" s="114" t="s">
        <v>540</v>
      </c>
      <c r="GO7" s="31">
        <v>0</v>
      </c>
      <c r="GP7" s="18">
        <v>2412.1471500000002</v>
      </c>
      <c r="GQ7" s="18">
        <v>911.87897999999984</v>
      </c>
      <c r="GR7" s="18">
        <v>0</v>
      </c>
      <c r="GS7" s="18">
        <v>112.20885000000001</v>
      </c>
      <c r="GT7" s="19">
        <v>3436.2349800000002</v>
      </c>
      <c r="GU7" s="28">
        <v>2399.5830000000001</v>
      </c>
      <c r="GV7" s="18">
        <v>42785.943469999991</v>
      </c>
      <c r="GW7" s="18">
        <v>7961.6861099999996</v>
      </c>
      <c r="GX7" s="18">
        <v>126.09921999999997</v>
      </c>
      <c r="GY7" s="51">
        <v>4617.2166899999984</v>
      </c>
      <c r="GZ7" s="19">
        <v>57890.52848999999</v>
      </c>
      <c r="HA7" s="17"/>
      <c r="HB7" s="114" t="s">
        <v>540</v>
      </c>
      <c r="HC7" s="31">
        <v>0</v>
      </c>
      <c r="HD7" s="18">
        <v>2696.4895999999994</v>
      </c>
      <c r="HE7" s="18">
        <v>407.15744999999993</v>
      </c>
      <c r="HF7" s="18">
        <v>0</v>
      </c>
      <c r="HG7" s="18">
        <v>121.89645999999999</v>
      </c>
      <c r="HH7" s="19">
        <v>3225.5435099999995</v>
      </c>
      <c r="HI7" s="28">
        <v>2399.5830000000001</v>
      </c>
      <c r="HJ7" s="18">
        <v>45482.433069999985</v>
      </c>
      <c r="HK7" s="18">
        <v>8368.8435599999993</v>
      </c>
      <c r="HL7" s="18">
        <v>126.09921999999997</v>
      </c>
      <c r="HM7" s="51">
        <v>4739.1131499999992</v>
      </c>
      <c r="HN7" s="19">
        <v>61116.071999999978</v>
      </c>
      <c r="HO7" s="17"/>
      <c r="HP7" s="114" t="s">
        <v>540</v>
      </c>
      <c r="HQ7" s="31">
        <v>0</v>
      </c>
      <c r="HR7" s="18">
        <v>3518.3550500000001</v>
      </c>
      <c r="HS7" s="18">
        <v>277.49239999999998</v>
      </c>
      <c r="HT7" s="18">
        <v>0</v>
      </c>
      <c r="HU7" s="18">
        <v>196.42682000000002</v>
      </c>
      <c r="HV7" s="19">
        <v>3992.2742700000003</v>
      </c>
      <c r="HW7" s="28">
        <v>2399.5830000000001</v>
      </c>
      <c r="HX7" s="18">
        <v>49000.78811999999</v>
      </c>
      <c r="HY7" s="18">
        <v>8646.3359600000003</v>
      </c>
      <c r="HZ7" s="18">
        <v>126.09921999999997</v>
      </c>
      <c r="IA7" s="51">
        <v>4935.5399700000007</v>
      </c>
      <c r="IB7" s="19">
        <v>65108.346269999987</v>
      </c>
      <c r="IC7" s="17"/>
      <c r="ID7" s="114" t="s">
        <v>540</v>
      </c>
      <c r="IE7" s="31">
        <v>1259.6099999999997</v>
      </c>
      <c r="IF7" s="18">
        <v>3136.43435</v>
      </c>
      <c r="IG7" s="18">
        <v>244.18764999999999</v>
      </c>
      <c r="IH7" s="18">
        <v>20.041870000000003</v>
      </c>
      <c r="II7" s="18">
        <v>273.34916999999996</v>
      </c>
      <c r="IJ7" s="19">
        <v>4933.6230400000004</v>
      </c>
      <c r="IK7" s="28">
        <v>3659.1930000000002</v>
      </c>
      <c r="IL7" s="18">
        <v>52195.120459999984</v>
      </c>
      <c r="IM7" s="18">
        <v>8890.523610000002</v>
      </c>
      <c r="IN7" s="18">
        <v>88.243100000000013</v>
      </c>
      <c r="IO7" s="51">
        <v>5208.8891400000002</v>
      </c>
      <c r="IP7" s="19">
        <v>70041.969309999986</v>
      </c>
      <c r="IQ7" s="17"/>
      <c r="IR7" s="114" t="s">
        <v>540</v>
      </c>
      <c r="IS7" s="31">
        <v>0</v>
      </c>
      <c r="IT7" s="18">
        <v>3538.4483399999995</v>
      </c>
      <c r="IU7" s="18">
        <v>473.13034999999996</v>
      </c>
      <c r="IV7" s="18">
        <v>0</v>
      </c>
      <c r="IW7" s="18">
        <v>309.58507999999995</v>
      </c>
      <c r="IX7" s="19">
        <v>4321.1637699999992</v>
      </c>
      <c r="IY7" s="28">
        <v>3659.1930000000002</v>
      </c>
      <c r="IZ7" s="18">
        <v>55733.568799999986</v>
      </c>
      <c r="JA7" s="18">
        <v>9363.6539600000015</v>
      </c>
      <c r="JB7" s="18">
        <v>88.243100000000013</v>
      </c>
      <c r="JC7" s="51">
        <v>5518.4742200000001</v>
      </c>
      <c r="JD7" s="19">
        <v>74363.13308</v>
      </c>
      <c r="JE7" s="17"/>
      <c r="JF7" s="114" t="s">
        <v>540</v>
      </c>
      <c r="JG7" s="31">
        <v>0</v>
      </c>
      <c r="JH7" s="18">
        <v>1806.7475999999999</v>
      </c>
      <c r="JI7" s="18">
        <v>641.46249999999986</v>
      </c>
      <c r="JJ7" s="18">
        <v>0</v>
      </c>
      <c r="JK7" s="18">
        <v>386.28778999999997</v>
      </c>
      <c r="JL7" s="19">
        <v>2834.4978899999996</v>
      </c>
      <c r="JM7" s="28">
        <v>3659.1930000000002</v>
      </c>
      <c r="JN7" s="18">
        <v>57540.316399999989</v>
      </c>
      <c r="JO7" s="18">
        <v>10005.116459999999</v>
      </c>
      <c r="JP7" s="18">
        <v>88.243100000000013</v>
      </c>
      <c r="JQ7" s="51">
        <v>5904.7620100000004</v>
      </c>
      <c r="JR7" s="19">
        <v>77197.630969999998</v>
      </c>
      <c r="JS7" s="17"/>
      <c r="JT7" s="114" t="s">
        <v>540</v>
      </c>
      <c r="JU7" s="31">
        <v>0</v>
      </c>
      <c r="JV7" s="18">
        <v>2766.5938999999994</v>
      </c>
      <c r="JW7" s="18">
        <v>231.42276999999999</v>
      </c>
      <c r="JX7" s="18">
        <v>0</v>
      </c>
      <c r="JY7" s="18">
        <v>327.06324000000001</v>
      </c>
      <c r="JZ7" s="19">
        <v>3325.0799099999995</v>
      </c>
      <c r="KA7" s="28">
        <v>3659.1930000000002</v>
      </c>
      <c r="KB7" s="18">
        <v>60306.910299999996</v>
      </c>
      <c r="KC7" s="18">
        <v>10236.539229999998</v>
      </c>
      <c r="KD7" s="18">
        <v>88.243100000000013</v>
      </c>
      <c r="KE7" s="51">
        <v>6231.8252499999999</v>
      </c>
      <c r="KF7" s="19">
        <v>80522.710879999999</v>
      </c>
      <c r="KG7" s="17"/>
      <c r="KH7" s="114" t="s">
        <v>540</v>
      </c>
      <c r="KI7" s="31">
        <v>1259.6099999999997</v>
      </c>
      <c r="KJ7" s="18">
        <v>2194.4922999999999</v>
      </c>
      <c r="KK7" s="18">
        <v>365.53755000000007</v>
      </c>
      <c r="KL7" s="18">
        <v>0</v>
      </c>
      <c r="KM7" s="18">
        <v>514.74842999999998</v>
      </c>
      <c r="KN7" s="19">
        <v>4334.3882799999992</v>
      </c>
      <c r="KO7" s="28">
        <v>4918.802999999999</v>
      </c>
      <c r="KP7" s="18">
        <v>62501.402599999994</v>
      </c>
      <c r="KQ7" s="18">
        <v>10602.076779999999</v>
      </c>
      <c r="KR7" s="18">
        <v>88.243100000000013</v>
      </c>
      <c r="KS7" s="51">
        <v>6746.5736799999986</v>
      </c>
      <c r="KT7" s="19">
        <v>84857.099159999998</v>
      </c>
      <c r="KU7" s="17"/>
      <c r="KV7" s="114" t="s">
        <v>540</v>
      </c>
      <c r="KW7" s="31">
        <v>881.30712999999992</v>
      </c>
      <c r="KX7" s="18">
        <v>1669.6178499999996</v>
      </c>
      <c r="KY7" s="18">
        <v>615.63669999999991</v>
      </c>
      <c r="KZ7" s="18">
        <v>0</v>
      </c>
      <c r="LA7" s="18">
        <v>358.95375999999999</v>
      </c>
      <c r="LB7" s="19">
        <v>3525.5154399999997</v>
      </c>
      <c r="LC7" s="28">
        <v>5800.11013</v>
      </c>
      <c r="LD7" s="18">
        <v>64171.020450000011</v>
      </c>
      <c r="LE7" s="18">
        <v>11217.713480000002</v>
      </c>
      <c r="LF7" s="18">
        <v>88.243100000000013</v>
      </c>
      <c r="LG7" s="51">
        <v>7105.5274399999989</v>
      </c>
      <c r="LH7" s="19">
        <v>88382.61460000003</v>
      </c>
      <c r="LI7" s="17"/>
      <c r="LJ7" s="114" t="s">
        <v>540</v>
      </c>
      <c r="LK7" s="31">
        <v>839.7399999999999</v>
      </c>
      <c r="LL7" s="18">
        <v>1601.93145</v>
      </c>
      <c r="LM7" s="18">
        <v>256.47685000000001</v>
      </c>
      <c r="LN7" s="18">
        <v>0</v>
      </c>
      <c r="LO7" s="18">
        <v>415.31839999999994</v>
      </c>
      <c r="LP7" s="19">
        <v>3113.4666999999999</v>
      </c>
      <c r="LQ7" s="28">
        <v>6639.8501299999989</v>
      </c>
      <c r="LR7" s="18">
        <v>65772.951900000015</v>
      </c>
      <c r="LS7" s="18">
        <v>11474.190330000001</v>
      </c>
      <c r="LT7" s="18">
        <v>88.243100000000013</v>
      </c>
      <c r="LU7" s="51">
        <v>7520.8458399999981</v>
      </c>
      <c r="LV7" s="19">
        <v>91496.08130000002</v>
      </c>
      <c r="LW7" s="17">
        <f t="shared" si="1"/>
        <v>0</v>
      </c>
      <c r="LX7" s="17">
        <f t="shared" si="0"/>
        <v>0</v>
      </c>
      <c r="LY7" s="17">
        <f t="shared" si="0"/>
        <v>0</v>
      </c>
      <c r="LZ7" s="17">
        <f t="shared" si="0"/>
        <v>0</v>
      </c>
      <c r="MA7" s="17">
        <f t="shared" si="0"/>
        <v>0</v>
      </c>
      <c r="MB7" s="17">
        <f t="shared" si="0"/>
        <v>0</v>
      </c>
    </row>
    <row r="8" spans="2:340" x14ac:dyDescent="0.3">
      <c r="B8" s="114" t="s">
        <v>541</v>
      </c>
      <c r="C8" s="28">
        <v>0</v>
      </c>
      <c r="D8" s="18">
        <v>457.02265000000006</v>
      </c>
      <c r="E8" s="18">
        <v>19.9815</v>
      </c>
      <c r="F8" s="51">
        <v>28.552199999999996</v>
      </c>
      <c r="G8" s="51">
        <v>0</v>
      </c>
      <c r="H8" s="19">
        <v>505.55635000000001</v>
      </c>
      <c r="J8" s="114" t="s">
        <v>541</v>
      </c>
      <c r="K8" s="31">
        <v>0</v>
      </c>
      <c r="L8" s="18">
        <v>199.96725000000004</v>
      </c>
      <c r="M8" s="18">
        <v>30.117540000000002</v>
      </c>
      <c r="N8" s="18">
        <v>10.4742</v>
      </c>
      <c r="O8" s="19">
        <v>240.55899000000002</v>
      </c>
      <c r="P8" s="28">
        <v>0</v>
      </c>
      <c r="Q8" s="18">
        <v>656.98990000000003</v>
      </c>
      <c r="R8" s="18">
        <v>123.09224</v>
      </c>
      <c r="S8" s="51">
        <v>39.026399999999995</v>
      </c>
      <c r="T8" s="19">
        <v>819.10853999999995</v>
      </c>
      <c r="V8" s="114" t="s">
        <v>541</v>
      </c>
      <c r="W8" s="31">
        <v>0</v>
      </c>
      <c r="X8" s="18">
        <v>17.183250000000005</v>
      </c>
      <c r="Y8" s="18">
        <v>46.135080000000009</v>
      </c>
      <c r="Z8" s="18">
        <v>9.2735999999999983</v>
      </c>
      <c r="AA8" s="19">
        <v>72.591930000000019</v>
      </c>
      <c r="AB8" s="28">
        <v>0</v>
      </c>
      <c r="AC8" s="18">
        <v>716.86720000000003</v>
      </c>
      <c r="AD8" s="18">
        <v>163.95842000000002</v>
      </c>
      <c r="AE8" s="51">
        <v>48.3</v>
      </c>
      <c r="AF8" s="19">
        <v>929.12562000000003</v>
      </c>
      <c r="AG8" s="17"/>
      <c r="AH8" s="114" t="s">
        <v>541</v>
      </c>
      <c r="AI8" s="31">
        <v>0</v>
      </c>
      <c r="AJ8" s="18">
        <v>0</v>
      </c>
      <c r="AK8" s="18">
        <v>53.935700000000004</v>
      </c>
      <c r="AL8" s="18">
        <v>0</v>
      </c>
      <c r="AM8" s="19">
        <v>53.935700000000004</v>
      </c>
      <c r="AN8" s="28">
        <v>0</v>
      </c>
      <c r="AO8" s="18">
        <v>716.86720000000003</v>
      </c>
      <c r="AP8" s="18">
        <v>217.89412000000002</v>
      </c>
      <c r="AQ8" s="51">
        <v>48.3</v>
      </c>
      <c r="AR8" s="19">
        <v>983.06132000000002</v>
      </c>
      <c r="AS8" s="17"/>
      <c r="AT8" s="114" t="s">
        <v>541</v>
      </c>
      <c r="AU8" s="31">
        <v>0</v>
      </c>
      <c r="AV8" s="18">
        <v>317.14605999999998</v>
      </c>
      <c r="AW8" s="18">
        <v>35.668120000000002</v>
      </c>
      <c r="AX8" s="18">
        <v>13.910399999999997</v>
      </c>
      <c r="AY8" s="19">
        <v>366.72457999999995</v>
      </c>
      <c r="AZ8" s="28">
        <v>0</v>
      </c>
      <c r="BA8" s="18">
        <v>1034.0132600000002</v>
      </c>
      <c r="BB8" s="18">
        <v>253.56224000000003</v>
      </c>
      <c r="BC8" s="51">
        <v>62.210399999999993</v>
      </c>
      <c r="BD8" s="19">
        <v>1349.7859000000001</v>
      </c>
      <c r="BE8" s="17"/>
      <c r="BF8" s="114" t="s">
        <v>541</v>
      </c>
      <c r="BG8" s="31">
        <v>0</v>
      </c>
      <c r="BH8" s="18">
        <v>273.06370000000004</v>
      </c>
      <c r="BI8" s="18">
        <v>43.914500000000004</v>
      </c>
      <c r="BJ8" s="18">
        <v>3.3119999999999994</v>
      </c>
      <c r="BK8" s="19">
        <v>320.29020000000003</v>
      </c>
      <c r="BL8" s="28">
        <v>0</v>
      </c>
      <c r="BM8" s="18">
        <v>1307.0769599999999</v>
      </c>
      <c r="BN8" s="18">
        <v>297.47674000000006</v>
      </c>
      <c r="BO8" s="51">
        <v>65.52239999999999</v>
      </c>
      <c r="BP8" s="19">
        <v>1670.0761</v>
      </c>
      <c r="BQ8" s="17"/>
      <c r="BR8" s="114" t="s">
        <v>541</v>
      </c>
      <c r="BS8" s="31">
        <v>0</v>
      </c>
      <c r="BT8" s="18">
        <v>153.12570000000002</v>
      </c>
      <c r="BU8" s="18">
        <v>56.200610000000005</v>
      </c>
      <c r="BV8" s="18">
        <v>9.2275999999999989</v>
      </c>
      <c r="BW8" s="19">
        <v>218.55391000000003</v>
      </c>
      <c r="BX8" s="28">
        <v>0</v>
      </c>
      <c r="BY8" s="18">
        <v>1460.2026600000004</v>
      </c>
      <c r="BZ8" s="18">
        <v>353.67735000000005</v>
      </c>
      <c r="CA8" s="51">
        <v>74.749999999999986</v>
      </c>
      <c r="CB8" s="19">
        <v>1888.6300100000003</v>
      </c>
      <c r="CC8" s="17"/>
      <c r="CD8" s="114" t="s">
        <v>541</v>
      </c>
      <c r="CE8" s="31">
        <v>144.88</v>
      </c>
      <c r="CF8" s="18">
        <v>254.30105000000006</v>
      </c>
      <c r="CG8" s="18">
        <v>48.797700000000006</v>
      </c>
      <c r="CH8" s="18">
        <v>5.1335999999999995</v>
      </c>
      <c r="CI8" s="19">
        <v>453.11235000000005</v>
      </c>
      <c r="CJ8" s="28">
        <v>144.88</v>
      </c>
      <c r="CK8" s="18">
        <v>1714.5037100000004</v>
      </c>
      <c r="CL8" s="18">
        <v>402.47505000000007</v>
      </c>
      <c r="CM8" s="51">
        <v>79.883599999999987</v>
      </c>
      <c r="CN8" s="19">
        <v>2341.7423600000006</v>
      </c>
      <c r="CO8" s="17"/>
      <c r="CP8" s="114" t="s">
        <v>541</v>
      </c>
      <c r="CQ8" s="31">
        <v>0</v>
      </c>
      <c r="CR8" s="18">
        <v>277.85345000000001</v>
      </c>
      <c r="CS8" s="18">
        <v>20.127800000000004</v>
      </c>
      <c r="CT8" s="18">
        <v>4.3792</v>
      </c>
      <c r="CU8" s="19">
        <v>302.36045000000001</v>
      </c>
      <c r="CV8" s="28">
        <v>144.88</v>
      </c>
      <c r="CW8" s="18">
        <v>1992.3571600000002</v>
      </c>
      <c r="CX8" s="18">
        <v>422.60285000000005</v>
      </c>
      <c r="CY8" s="51">
        <v>84.262799999999984</v>
      </c>
      <c r="CZ8" s="19">
        <v>2644.1028100000003</v>
      </c>
      <c r="DA8" s="17"/>
      <c r="DB8" s="114" t="s">
        <v>541</v>
      </c>
      <c r="DC8" s="31">
        <v>0</v>
      </c>
      <c r="DD8" s="18">
        <v>67.524450000000016</v>
      </c>
      <c r="DE8" s="18">
        <v>72.6096</v>
      </c>
      <c r="DF8" s="18">
        <v>5.1336000000000004</v>
      </c>
      <c r="DG8" s="19">
        <v>145.26765</v>
      </c>
      <c r="DH8" s="28">
        <v>144.88</v>
      </c>
      <c r="DI8" s="18">
        <v>2059.8816099999999</v>
      </c>
      <c r="DJ8" s="18">
        <v>495.21245000000005</v>
      </c>
      <c r="DK8" s="51">
        <v>89.3964</v>
      </c>
      <c r="DL8" s="19">
        <v>2789.3704600000001</v>
      </c>
      <c r="DM8" s="17"/>
      <c r="DN8" s="114" t="s">
        <v>541</v>
      </c>
      <c r="DO8" s="31">
        <v>0</v>
      </c>
      <c r="DP8" s="18">
        <v>426.63817000000006</v>
      </c>
      <c r="DQ8" s="18">
        <v>49.552519999999994</v>
      </c>
      <c r="DR8" s="18">
        <v>6.6423999999999994</v>
      </c>
      <c r="DS8" s="19">
        <v>482.83309000000008</v>
      </c>
      <c r="DT8" s="28">
        <v>144.88</v>
      </c>
      <c r="DU8" s="18">
        <v>2486.5197799999996</v>
      </c>
      <c r="DV8" s="18">
        <v>544.76496999999995</v>
      </c>
      <c r="DW8" s="51">
        <v>96.038800000000009</v>
      </c>
      <c r="DX8" s="19">
        <v>3272.2035499999997</v>
      </c>
      <c r="DY8" s="17"/>
      <c r="DZ8" s="114" t="s">
        <v>541</v>
      </c>
      <c r="EA8" s="31">
        <v>0</v>
      </c>
      <c r="EB8" s="18">
        <v>372.93759999999997</v>
      </c>
      <c r="EC8" s="18">
        <v>33.341700000000003</v>
      </c>
      <c r="ED8" s="18">
        <v>18.933599999999998</v>
      </c>
      <c r="EE8" s="19">
        <v>425.21289999999999</v>
      </c>
      <c r="EF8" s="28">
        <v>144.88</v>
      </c>
      <c r="EG8" s="18">
        <v>2859.4573799999998</v>
      </c>
      <c r="EH8" s="18">
        <v>578.10666999999989</v>
      </c>
      <c r="EI8" s="51">
        <v>114.97240000000001</v>
      </c>
      <c r="EJ8" s="19">
        <v>3697.4164500000002</v>
      </c>
      <c r="EK8" s="17"/>
      <c r="EL8" s="114" t="s">
        <v>541</v>
      </c>
      <c r="EM8" s="31">
        <v>0</v>
      </c>
      <c r="EN8" s="18">
        <v>247.95435000000001</v>
      </c>
      <c r="EO8" s="18">
        <v>34.055700000000002</v>
      </c>
      <c r="EP8" s="18">
        <v>5.7960000000000003</v>
      </c>
      <c r="EQ8" s="19">
        <v>287.80604999999997</v>
      </c>
      <c r="ER8" s="28">
        <v>144.88</v>
      </c>
      <c r="ES8" s="18">
        <v>3107.4117299999994</v>
      </c>
      <c r="ET8" s="18">
        <v>612.16237000000012</v>
      </c>
      <c r="EU8" s="51">
        <v>120.76840000000001</v>
      </c>
      <c r="EV8" s="19">
        <v>3985.2224999999994</v>
      </c>
      <c r="EW8" s="17"/>
      <c r="EX8" s="114" t="s">
        <v>541</v>
      </c>
      <c r="EY8" s="31">
        <v>0</v>
      </c>
      <c r="EZ8" s="18">
        <v>249.90737000000001</v>
      </c>
      <c r="FA8" s="18">
        <v>54.035789999999992</v>
      </c>
      <c r="FB8" s="18">
        <v>2.2275</v>
      </c>
      <c r="FC8" s="18">
        <v>3.5833999999999997</v>
      </c>
      <c r="FD8" s="19">
        <v>309.75406000000004</v>
      </c>
      <c r="FE8" s="28">
        <v>144.88</v>
      </c>
      <c r="FF8" s="18">
        <v>3357.3191000000002</v>
      </c>
      <c r="FG8" s="18">
        <v>666.19816000000014</v>
      </c>
      <c r="FH8" s="18">
        <v>2.2275</v>
      </c>
      <c r="FI8" s="51">
        <v>124.3518</v>
      </c>
      <c r="FJ8" s="19">
        <v>4294.976560000001</v>
      </c>
      <c r="FK8" s="17"/>
      <c r="FL8" s="114" t="s">
        <v>541</v>
      </c>
      <c r="FM8" s="31">
        <v>61.573999999999998</v>
      </c>
      <c r="FN8" s="18">
        <v>227.39745000000002</v>
      </c>
      <c r="FO8" s="18">
        <v>57.271149999999999</v>
      </c>
      <c r="FP8" s="18">
        <v>1.8449500000000001</v>
      </c>
      <c r="FQ8" s="18">
        <v>6.6975999999999987</v>
      </c>
      <c r="FR8" s="19">
        <v>354.78514999999999</v>
      </c>
      <c r="FS8" s="28">
        <v>206.45400000000001</v>
      </c>
      <c r="FT8" s="18">
        <v>3584.7165499999996</v>
      </c>
      <c r="FU8" s="18">
        <v>723.46931000000029</v>
      </c>
      <c r="FV8" s="18">
        <v>4.0724499999999999</v>
      </c>
      <c r="FW8" s="51">
        <v>131.04940000000002</v>
      </c>
      <c r="FX8" s="19">
        <v>4649.7617099999998</v>
      </c>
      <c r="FY8" s="17"/>
      <c r="FZ8" s="114" t="s">
        <v>541</v>
      </c>
      <c r="GA8" s="31">
        <v>0</v>
      </c>
      <c r="GB8" s="18">
        <v>195.51105000000001</v>
      </c>
      <c r="GC8" s="18">
        <v>102.64009</v>
      </c>
      <c r="GD8" s="18">
        <v>0</v>
      </c>
      <c r="GE8" s="18">
        <v>5.4463999999999997</v>
      </c>
      <c r="GF8" s="19">
        <v>303.59753999999998</v>
      </c>
      <c r="GG8" s="28">
        <v>206.45400000000001</v>
      </c>
      <c r="GH8" s="18">
        <v>3780.2275999999997</v>
      </c>
      <c r="GI8" s="18">
        <v>826.10940000000051</v>
      </c>
      <c r="GJ8" s="18">
        <v>4.0724499999999999</v>
      </c>
      <c r="GK8" s="51">
        <v>136.49580000000003</v>
      </c>
      <c r="GL8" s="19">
        <v>4953.3592499999995</v>
      </c>
      <c r="GM8" s="17"/>
      <c r="GN8" s="114" t="s">
        <v>541</v>
      </c>
      <c r="GO8" s="31">
        <v>0</v>
      </c>
      <c r="GP8" s="18">
        <v>222.81524999999999</v>
      </c>
      <c r="GQ8" s="18">
        <v>126.31204000000001</v>
      </c>
      <c r="GR8" s="18">
        <v>0</v>
      </c>
      <c r="GS8" s="18">
        <v>3.2429999999999999</v>
      </c>
      <c r="GT8" s="19">
        <v>352.37029000000001</v>
      </c>
      <c r="GU8" s="28">
        <v>206.45400000000001</v>
      </c>
      <c r="GV8" s="18">
        <v>4003.0428499999994</v>
      </c>
      <c r="GW8" s="18">
        <v>952.42144000000076</v>
      </c>
      <c r="GX8" s="18">
        <v>4.0724499999999999</v>
      </c>
      <c r="GY8" s="51">
        <v>139.73880000000003</v>
      </c>
      <c r="GZ8" s="19">
        <v>5305.7295400000003</v>
      </c>
      <c r="HA8" s="17"/>
      <c r="HB8" s="114" t="s">
        <v>541</v>
      </c>
      <c r="HC8" s="31">
        <v>0</v>
      </c>
      <c r="HD8" s="18">
        <v>248.35720000000001</v>
      </c>
      <c r="HE8" s="18">
        <v>47.391750000000002</v>
      </c>
      <c r="HF8" s="18">
        <v>0</v>
      </c>
      <c r="HG8" s="18">
        <v>3.2843999999999998</v>
      </c>
      <c r="HH8" s="19">
        <v>299.03335000000004</v>
      </c>
      <c r="HI8" s="28">
        <v>206.45400000000001</v>
      </c>
      <c r="HJ8" s="18">
        <v>4251.4000500000002</v>
      </c>
      <c r="HK8" s="18">
        <v>999.81319000000065</v>
      </c>
      <c r="HL8" s="18">
        <v>4.0724499999999999</v>
      </c>
      <c r="HM8" s="51">
        <v>143.0232</v>
      </c>
      <c r="HN8" s="19">
        <v>5604.76289</v>
      </c>
      <c r="HO8" s="17"/>
      <c r="HP8" s="114" t="s">
        <v>541</v>
      </c>
      <c r="HQ8" s="31">
        <v>0</v>
      </c>
      <c r="HR8" s="18">
        <v>331.64155</v>
      </c>
      <c r="HS8" s="18">
        <v>38.339500000000001</v>
      </c>
      <c r="HT8" s="18">
        <v>0</v>
      </c>
      <c r="HU8" s="18">
        <v>5.5291999999999994</v>
      </c>
      <c r="HV8" s="19">
        <v>375.51024999999998</v>
      </c>
      <c r="HW8" s="28">
        <v>206.45400000000001</v>
      </c>
      <c r="HX8" s="18">
        <v>4583.0415999999996</v>
      </c>
      <c r="HY8" s="18">
        <v>1038.1526900000006</v>
      </c>
      <c r="HZ8" s="18">
        <v>4.0724499999999999</v>
      </c>
      <c r="IA8" s="51">
        <v>148.55240000000001</v>
      </c>
      <c r="IB8" s="19">
        <v>5980.2731399999993</v>
      </c>
      <c r="IC8" s="17"/>
      <c r="ID8" s="114" t="s">
        <v>541</v>
      </c>
      <c r="IE8" s="31">
        <v>108.66</v>
      </c>
      <c r="IF8" s="18">
        <v>286.84004999999996</v>
      </c>
      <c r="IG8" s="18">
        <v>45.002650000000003</v>
      </c>
      <c r="IH8" s="18">
        <v>1.1696000000000002</v>
      </c>
      <c r="II8" s="18">
        <v>7.8245999999999993</v>
      </c>
      <c r="IJ8" s="19">
        <v>449.49689999999998</v>
      </c>
      <c r="IK8" s="28">
        <v>315.11399999999998</v>
      </c>
      <c r="IL8" s="18">
        <v>4872.1091499999993</v>
      </c>
      <c r="IM8" s="18">
        <v>1083.15534</v>
      </c>
      <c r="IN8" s="18">
        <v>3.0145500000000003</v>
      </c>
      <c r="IO8" s="51">
        <v>156.37700000000004</v>
      </c>
      <c r="IP8" s="19">
        <v>6429.7700399999994</v>
      </c>
      <c r="IQ8" s="17"/>
      <c r="IR8" s="114" t="s">
        <v>541</v>
      </c>
      <c r="IS8" s="31">
        <v>0</v>
      </c>
      <c r="IT8" s="18">
        <v>322.28035</v>
      </c>
      <c r="IU8" s="18">
        <v>60.775750000000002</v>
      </c>
      <c r="IV8" s="18">
        <v>0</v>
      </c>
      <c r="IW8" s="18">
        <v>8.6295999999999982</v>
      </c>
      <c r="IX8" s="19">
        <v>391.6857</v>
      </c>
      <c r="IY8" s="28">
        <v>315.11399999999998</v>
      </c>
      <c r="IZ8" s="18">
        <v>5194.3895000000002</v>
      </c>
      <c r="JA8" s="18">
        <v>1143.93109</v>
      </c>
      <c r="JB8" s="18">
        <v>3.0145500000000003</v>
      </c>
      <c r="JC8" s="51">
        <v>165.00659999999996</v>
      </c>
      <c r="JD8" s="19">
        <v>6821.4557399999994</v>
      </c>
      <c r="JE8" s="17"/>
      <c r="JF8" s="114" t="s">
        <v>541</v>
      </c>
      <c r="JG8" s="31">
        <v>0</v>
      </c>
      <c r="JH8" s="18">
        <v>164.58120000000002</v>
      </c>
      <c r="JI8" s="18">
        <v>87.436300000000003</v>
      </c>
      <c r="JJ8" s="18">
        <v>0</v>
      </c>
      <c r="JK8" s="18">
        <v>10.5938</v>
      </c>
      <c r="JL8" s="19">
        <v>262.61130000000003</v>
      </c>
      <c r="JM8" s="28">
        <v>315.11399999999998</v>
      </c>
      <c r="JN8" s="18">
        <v>5358.9706999999999</v>
      </c>
      <c r="JO8" s="18">
        <v>1231.3673899999997</v>
      </c>
      <c r="JP8" s="18">
        <v>3.0145500000000003</v>
      </c>
      <c r="JQ8" s="51">
        <v>175.60039999999998</v>
      </c>
      <c r="JR8" s="19">
        <v>7084.067039999999</v>
      </c>
      <c r="JS8" s="17"/>
      <c r="JT8" s="114" t="s">
        <v>541</v>
      </c>
      <c r="JU8" s="31">
        <v>0</v>
      </c>
      <c r="JV8" s="18">
        <v>251.64755000000002</v>
      </c>
      <c r="JW8" s="18">
        <v>32.008849999999995</v>
      </c>
      <c r="JX8" s="18">
        <v>0</v>
      </c>
      <c r="JY8" s="18">
        <v>8.1143999999999998</v>
      </c>
      <c r="JZ8" s="19">
        <v>291.77080000000001</v>
      </c>
      <c r="KA8" s="28">
        <v>315.11399999999998</v>
      </c>
      <c r="KB8" s="18">
        <v>5610.6182499999986</v>
      </c>
      <c r="KC8" s="18">
        <v>1263.3762400000001</v>
      </c>
      <c r="KD8" s="18">
        <v>3.0145500000000003</v>
      </c>
      <c r="KE8" s="51">
        <v>183.71479999999994</v>
      </c>
      <c r="KF8" s="19">
        <v>7375.8378399999983</v>
      </c>
      <c r="KG8" s="17"/>
      <c r="KH8" s="114" t="s">
        <v>541</v>
      </c>
      <c r="KI8" s="31">
        <v>108.66</v>
      </c>
      <c r="KJ8" s="18">
        <v>204.1935</v>
      </c>
      <c r="KK8" s="18">
        <v>65.955749999999995</v>
      </c>
      <c r="KL8" s="18">
        <v>0</v>
      </c>
      <c r="KM8" s="18">
        <v>12.627000000000001</v>
      </c>
      <c r="KN8" s="19">
        <v>391.43625000000003</v>
      </c>
      <c r="KO8" s="28">
        <v>423.774</v>
      </c>
      <c r="KP8" s="18">
        <v>5814.8117500000008</v>
      </c>
      <c r="KQ8" s="18">
        <v>1329.3319899999995</v>
      </c>
      <c r="KR8" s="18">
        <v>3.0145500000000003</v>
      </c>
      <c r="KS8" s="51">
        <v>196.34179999999989</v>
      </c>
      <c r="KT8" s="19">
        <v>7767.2740900000008</v>
      </c>
      <c r="KU8" s="17"/>
      <c r="KV8" s="114" t="s">
        <v>541</v>
      </c>
      <c r="KW8" s="31">
        <v>76.025779999999997</v>
      </c>
      <c r="KX8" s="18">
        <v>152.24700000000004</v>
      </c>
      <c r="KY8" s="18">
        <v>113.6842</v>
      </c>
      <c r="KZ8" s="18">
        <v>0</v>
      </c>
      <c r="LA8" s="18">
        <v>8.905599999999998</v>
      </c>
      <c r="LB8" s="19">
        <v>350.86258000000004</v>
      </c>
      <c r="LC8" s="28">
        <v>499.79978000000006</v>
      </c>
      <c r="LD8" s="18">
        <v>5967.0587500000011</v>
      </c>
      <c r="LE8" s="18">
        <v>1443.0161899999987</v>
      </c>
      <c r="LF8" s="18">
        <v>3.0145500000000003</v>
      </c>
      <c r="LG8" s="51">
        <v>205.24739999999991</v>
      </c>
      <c r="LH8" s="19">
        <v>8118.1366699999999</v>
      </c>
      <c r="LI8" s="17"/>
      <c r="LJ8" s="114" t="s">
        <v>541</v>
      </c>
      <c r="LK8" s="31">
        <v>72.44</v>
      </c>
      <c r="LL8" s="18">
        <v>143.26905000000002</v>
      </c>
      <c r="LM8" s="18">
        <v>77.363649999999993</v>
      </c>
      <c r="LN8" s="18">
        <v>0</v>
      </c>
      <c r="LO8" s="18">
        <v>10.304</v>
      </c>
      <c r="LP8" s="19">
        <v>303.37669999999997</v>
      </c>
      <c r="LQ8" s="28">
        <v>572.23978</v>
      </c>
      <c r="LR8" s="18">
        <v>6110.3278</v>
      </c>
      <c r="LS8" s="18">
        <v>1520.3798399999989</v>
      </c>
      <c r="LT8" s="18">
        <v>3.0145500000000003</v>
      </c>
      <c r="LU8" s="51">
        <v>215.55139999999994</v>
      </c>
      <c r="LV8" s="19">
        <v>8421.5133699999988</v>
      </c>
      <c r="LW8" s="17">
        <f t="shared" si="1"/>
        <v>0</v>
      </c>
      <c r="LX8" s="17">
        <f t="shared" si="0"/>
        <v>0</v>
      </c>
      <c r="LY8" s="17">
        <f t="shared" si="0"/>
        <v>0</v>
      </c>
      <c r="LZ8" s="17">
        <f t="shared" si="0"/>
        <v>0</v>
      </c>
      <c r="MA8" s="17">
        <f t="shared" si="0"/>
        <v>0</v>
      </c>
      <c r="MB8" s="17">
        <f t="shared" si="0"/>
        <v>0</v>
      </c>
    </row>
    <row r="9" spans="2:340" x14ac:dyDescent="0.3">
      <c r="B9" s="114" t="s">
        <v>542</v>
      </c>
      <c r="C9" s="28">
        <v>0</v>
      </c>
      <c r="D9" s="18">
        <v>612.99980000000005</v>
      </c>
      <c r="E9" s="18">
        <v>20.047999999999998</v>
      </c>
      <c r="F9" s="51">
        <v>11.234669999999998</v>
      </c>
      <c r="G9" s="51">
        <v>0</v>
      </c>
      <c r="H9" s="19">
        <v>644.2824700000001</v>
      </c>
      <c r="J9" s="114" t="s">
        <v>542</v>
      </c>
      <c r="K9" s="31">
        <v>0</v>
      </c>
      <c r="L9" s="18">
        <v>268.24349999999998</v>
      </c>
      <c r="M9" s="18">
        <v>12.595979999999999</v>
      </c>
      <c r="N9" s="18">
        <v>4.1213699999999998</v>
      </c>
      <c r="O9" s="19">
        <v>284.96084999999999</v>
      </c>
      <c r="P9" s="28">
        <v>0</v>
      </c>
      <c r="Q9" s="18">
        <v>881.24330000000009</v>
      </c>
      <c r="R9" s="18">
        <v>37.954879999999996</v>
      </c>
      <c r="S9" s="51">
        <v>15.356039999999997</v>
      </c>
      <c r="T9" s="19">
        <v>934.5542200000001</v>
      </c>
      <c r="V9" s="114" t="s">
        <v>542</v>
      </c>
      <c r="W9" s="31">
        <v>0</v>
      </c>
      <c r="X9" s="18">
        <v>21.2835</v>
      </c>
      <c r="Y9" s="18">
        <v>39.044470000000004</v>
      </c>
      <c r="Z9" s="18">
        <v>3.6489599999999998</v>
      </c>
      <c r="AA9" s="19">
        <v>63.97693000000001</v>
      </c>
      <c r="AB9" s="28">
        <v>0</v>
      </c>
      <c r="AC9" s="18">
        <v>857.80450000000008</v>
      </c>
      <c r="AD9" s="18">
        <v>87.427949999999996</v>
      </c>
      <c r="AE9" s="51">
        <v>19.004999999999999</v>
      </c>
      <c r="AF9" s="19">
        <v>964.23745000000008</v>
      </c>
      <c r="AG9" s="17"/>
      <c r="AH9" s="114" t="s">
        <v>542</v>
      </c>
      <c r="AI9" s="31">
        <v>0</v>
      </c>
      <c r="AJ9" s="18">
        <v>0</v>
      </c>
      <c r="AK9" s="18">
        <v>35.143500000000003</v>
      </c>
      <c r="AL9" s="18">
        <v>0</v>
      </c>
      <c r="AM9" s="19">
        <v>35.143500000000003</v>
      </c>
      <c r="AN9" s="28">
        <v>0</v>
      </c>
      <c r="AO9" s="18">
        <v>857.80450000000008</v>
      </c>
      <c r="AP9" s="18">
        <v>122.57144999999998</v>
      </c>
      <c r="AQ9" s="51">
        <v>19.004999999999999</v>
      </c>
      <c r="AR9" s="19">
        <v>999.3809500000001</v>
      </c>
      <c r="AS9" s="17"/>
      <c r="AT9" s="114" t="s">
        <v>542</v>
      </c>
      <c r="AU9" s="31">
        <v>0</v>
      </c>
      <c r="AV9" s="18">
        <v>424.73437999999999</v>
      </c>
      <c r="AW9" s="18">
        <v>33.397979999999997</v>
      </c>
      <c r="AX9" s="18">
        <v>5.4734399999999992</v>
      </c>
      <c r="AY9" s="19">
        <v>463.60579999999999</v>
      </c>
      <c r="AZ9" s="28">
        <v>0</v>
      </c>
      <c r="BA9" s="18">
        <v>1282.5388799999998</v>
      </c>
      <c r="BB9" s="18">
        <v>155.96942999999996</v>
      </c>
      <c r="BC9" s="51">
        <v>24.478439999999996</v>
      </c>
      <c r="BD9" s="19">
        <v>1462.9867499999998</v>
      </c>
      <c r="BE9" s="17"/>
      <c r="BF9" s="114" t="s">
        <v>542</v>
      </c>
      <c r="BG9" s="31">
        <v>0</v>
      </c>
      <c r="BH9" s="18">
        <v>366.50459999999998</v>
      </c>
      <c r="BI9" s="18">
        <v>35.809899999999999</v>
      </c>
      <c r="BJ9" s="18">
        <v>1.3031999999999999</v>
      </c>
      <c r="BK9" s="19">
        <v>403.61769999999996</v>
      </c>
      <c r="BL9" s="28">
        <v>0</v>
      </c>
      <c r="BM9" s="18">
        <v>1649.0434799999998</v>
      </c>
      <c r="BN9" s="18">
        <v>191.77932999999996</v>
      </c>
      <c r="BO9" s="51">
        <v>25.781639999999992</v>
      </c>
      <c r="BP9" s="19">
        <v>1866.6044499999996</v>
      </c>
      <c r="BQ9" s="17"/>
      <c r="BR9" s="114" t="s">
        <v>542</v>
      </c>
      <c r="BS9" s="31">
        <v>0</v>
      </c>
      <c r="BT9" s="18">
        <v>205.08459999999999</v>
      </c>
      <c r="BU9" s="18">
        <v>44.85866</v>
      </c>
      <c r="BV9" s="18">
        <v>3.6308599999999998</v>
      </c>
      <c r="BW9" s="19">
        <v>253.57412000000002</v>
      </c>
      <c r="BX9" s="28">
        <v>0</v>
      </c>
      <c r="BY9" s="18">
        <v>1854.12808</v>
      </c>
      <c r="BZ9" s="18">
        <v>236.63799</v>
      </c>
      <c r="CA9" s="51">
        <v>29.412499999999998</v>
      </c>
      <c r="CB9" s="19">
        <v>2120.17857</v>
      </c>
      <c r="CC9" s="17"/>
      <c r="CD9" s="114" t="s">
        <v>542</v>
      </c>
      <c r="CE9" s="31">
        <v>171.72</v>
      </c>
      <c r="CF9" s="18">
        <v>340.95474999999999</v>
      </c>
      <c r="CG9" s="18">
        <v>26.375999999999998</v>
      </c>
      <c r="CH9" s="18">
        <v>2.0199599999999998</v>
      </c>
      <c r="CI9" s="19">
        <v>541.07070999999996</v>
      </c>
      <c r="CJ9" s="28">
        <v>171.72</v>
      </c>
      <c r="CK9" s="18">
        <v>2195.0828300000003</v>
      </c>
      <c r="CL9" s="18">
        <v>263.01398999999998</v>
      </c>
      <c r="CM9" s="51">
        <v>31.432459999999995</v>
      </c>
      <c r="CN9" s="19">
        <v>2661.24928</v>
      </c>
      <c r="CO9" s="17"/>
      <c r="CP9" s="114" t="s">
        <v>542</v>
      </c>
      <c r="CQ9" s="31">
        <v>0</v>
      </c>
      <c r="CR9" s="18">
        <v>372.96034999999995</v>
      </c>
      <c r="CS9" s="18">
        <v>12.877899999999999</v>
      </c>
      <c r="CT9" s="18">
        <v>1.72312</v>
      </c>
      <c r="CU9" s="19">
        <v>387.56136999999995</v>
      </c>
      <c r="CV9" s="28">
        <v>171.72</v>
      </c>
      <c r="CW9" s="18">
        <v>2568.0431799999992</v>
      </c>
      <c r="CX9" s="18">
        <v>275.89188999999999</v>
      </c>
      <c r="CY9" s="51">
        <v>33.155579999999993</v>
      </c>
      <c r="CZ9" s="19">
        <v>3048.810649999999</v>
      </c>
      <c r="DA9" s="17"/>
      <c r="DB9" s="114" t="s">
        <v>542</v>
      </c>
      <c r="DC9" s="31">
        <v>0</v>
      </c>
      <c r="DD9" s="18">
        <v>86.207100000000011</v>
      </c>
      <c r="DE9" s="18">
        <v>46.728499999999997</v>
      </c>
      <c r="DF9" s="18">
        <v>2.0199600000000002</v>
      </c>
      <c r="DG9" s="19">
        <v>134.95556000000002</v>
      </c>
      <c r="DH9" s="28">
        <v>171.72</v>
      </c>
      <c r="DI9" s="18">
        <v>2654.2502799999997</v>
      </c>
      <c r="DJ9" s="18">
        <v>322.62038999999999</v>
      </c>
      <c r="DK9" s="51">
        <v>35.175539999999991</v>
      </c>
      <c r="DL9" s="19">
        <v>3183.7662099999998</v>
      </c>
      <c r="DM9" s="17"/>
      <c r="DN9" s="114" t="s">
        <v>542</v>
      </c>
      <c r="DO9" s="31">
        <v>0</v>
      </c>
      <c r="DP9" s="18">
        <v>573.41557000000012</v>
      </c>
      <c r="DQ9" s="18">
        <v>40.344360000000002</v>
      </c>
      <c r="DR9" s="18">
        <v>2.6136399999999997</v>
      </c>
      <c r="DS9" s="19">
        <v>616.3735700000002</v>
      </c>
      <c r="DT9" s="28">
        <v>171.72</v>
      </c>
      <c r="DU9" s="18">
        <v>3227.6658499999994</v>
      </c>
      <c r="DV9" s="18">
        <v>362.96474999999992</v>
      </c>
      <c r="DW9" s="51">
        <v>37.789179999999995</v>
      </c>
      <c r="DX9" s="19">
        <v>3800.1397799999995</v>
      </c>
      <c r="DY9" s="17"/>
      <c r="DZ9" s="114" t="s">
        <v>542</v>
      </c>
      <c r="EA9" s="31">
        <v>0</v>
      </c>
      <c r="EB9" s="18">
        <v>502.77080000000001</v>
      </c>
      <c r="EC9" s="18">
        <v>25.254600000000003</v>
      </c>
      <c r="ED9" s="18">
        <v>7.449959999999999</v>
      </c>
      <c r="EE9" s="19">
        <v>535.47536000000002</v>
      </c>
      <c r="EF9" s="28">
        <v>171.72</v>
      </c>
      <c r="EG9" s="18">
        <v>3730.4366500000001</v>
      </c>
      <c r="EH9" s="18">
        <v>388.21934999999996</v>
      </c>
      <c r="EI9" s="51">
        <v>45.239139999999999</v>
      </c>
      <c r="EJ9" s="19">
        <v>4335.6151399999999</v>
      </c>
      <c r="EK9" s="17"/>
      <c r="EL9" s="114" t="s">
        <v>542</v>
      </c>
      <c r="EM9" s="31">
        <v>0</v>
      </c>
      <c r="EN9" s="18">
        <v>332.82130000000001</v>
      </c>
      <c r="EO9" s="18">
        <v>23.6831</v>
      </c>
      <c r="EP9" s="18">
        <v>2.2805999999999997</v>
      </c>
      <c r="EQ9" s="19">
        <v>358.78500000000003</v>
      </c>
      <c r="ER9" s="28">
        <v>171.72</v>
      </c>
      <c r="ES9" s="18">
        <v>4063.2579499999997</v>
      </c>
      <c r="ET9" s="18">
        <v>411.90244999999993</v>
      </c>
      <c r="EU9" s="51">
        <v>47.519740000000006</v>
      </c>
      <c r="EV9" s="19">
        <v>4694.4001399999988</v>
      </c>
      <c r="EW9" s="17"/>
      <c r="EX9" s="114" t="s">
        <v>542</v>
      </c>
      <c r="EY9" s="31">
        <v>0</v>
      </c>
      <c r="EZ9" s="18">
        <v>332.96246000000002</v>
      </c>
      <c r="FA9" s="18">
        <v>44.102659999999986</v>
      </c>
      <c r="FB9" s="18">
        <v>2.99295</v>
      </c>
      <c r="FC9" s="18">
        <v>1.4099899999999999</v>
      </c>
      <c r="FD9" s="19">
        <v>381.46805999999998</v>
      </c>
      <c r="FE9" s="28">
        <v>171.72</v>
      </c>
      <c r="FF9" s="18">
        <v>4396.2204100000008</v>
      </c>
      <c r="FG9" s="18">
        <v>456.00511</v>
      </c>
      <c r="FH9" s="18">
        <v>2.99295</v>
      </c>
      <c r="FI9" s="51">
        <v>48.929730000000013</v>
      </c>
      <c r="FJ9" s="19">
        <v>5075.8682000000008</v>
      </c>
      <c r="FK9" s="17"/>
      <c r="FL9" s="114" t="s">
        <v>542</v>
      </c>
      <c r="FM9" s="31">
        <v>72.980999999999995</v>
      </c>
      <c r="FN9" s="18">
        <v>304.78909999999996</v>
      </c>
      <c r="FO9" s="18">
        <v>32.585459999999998</v>
      </c>
      <c r="FP9" s="18">
        <v>1.75854</v>
      </c>
      <c r="FQ9" s="18">
        <v>2.6353599999999995</v>
      </c>
      <c r="FR9" s="19">
        <v>414.74945999999994</v>
      </c>
      <c r="FS9" s="28">
        <v>244.70099999999999</v>
      </c>
      <c r="FT9" s="18">
        <v>4701.0095100000017</v>
      </c>
      <c r="FU9" s="18">
        <v>488.59056999999996</v>
      </c>
      <c r="FV9" s="18">
        <v>4.7514899999999995</v>
      </c>
      <c r="FW9" s="51">
        <v>51.565090000000012</v>
      </c>
      <c r="FX9" s="19">
        <v>5490.6176600000017</v>
      </c>
      <c r="FY9" s="17"/>
      <c r="FZ9" s="114" t="s">
        <v>542</v>
      </c>
      <c r="GA9" s="31">
        <v>0</v>
      </c>
      <c r="GB9" s="18">
        <v>257.58389999999997</v>
      </c>
      <c r="GC9" s="18">
        <v>74.065559999999991</v>
      </c>
      <c r="GD9" s="18">
        <v>0</v>
      </c>
      <c r="GE9" s="18">
        <v>2.1430400000000001</v>
      </c>
      <c r="GF9" s="19">
        <v>333.79249999999996</v>
      </c>
      <c r="GG9" s="28">
        <v>244.70099999999999</v>
      </c>
      <c r="GH9" s="18">
        <v>4958.5934100000013</v>
      </c>
      <c r="GI9" s="18">
        <v>562.65612999999996</v>
      </c>
      <c r="GJ9" s="18">
        <v>4.7514899999999995</v>
      </c>
      <c r="GK9" s="51">
        <v>53.708130000000011</v>
      </c>
      <c r="GL9" s="19">
        <v>5824.4101600000013</v>
      </c>
      <c r="GM9" s="17"/>
      <c r="GN9" s="114" t="s">
        <v>542</v>
      </c>
      <c r="GO9" s="31">
        <v>0</v>
      </c>
      <c r="GP9" s="18">
        <v>299.11349999999999</v>
      </c>
      <c r="GQ9" s="18">
        <v>76.939499999999995</v>
      </c>
      <c r="GR9" s="18">
        <v>0</v>
      </c>
      <c r="GS9" s="18">
        <v>1.2760499999999997</v>
      </c>
      <c r="GT9" s="19">
        <v>377.32905</v>
      </c>
      <c r="GU9" s="28">
        <v>244.70099999999999</v>
      </c>
      <c r="GV9" s="18">
        <v>5257.7069100000008</v>
      </c>
      <c r="GW9" s="18">
        <v>639.59563000000003</v>
      </c>
      <c r="GX9" s="18">
        <v>4.7514899999999995</v>
      </c>
      <c r="GY9" s="51">
        <v>54.984180000000016</v>
      </c>
      <c r="GZ9" s="19">
        <v>6201.7392100000006</v>
      </c>
      <c r="HA9" s="17"/>
      <c r="HB9" s="114" t="s">
        <v>542</v>
      </c>
      <c r="HC9" s="31">
        <v>0</v>
      </c>
      <c r="HD9" s="18">
        <v>332.46359999999999</v>
      </c>
      <c r="HE9" s="18">
        <v>33.716899999999995</v>
      </c>
      <c r="HF9" s="18">
        <v>0</v>
      </c>
      <c r="HG9" s="18">
        <v>1.2923399999999998</v>
      </c>
      <c r="HH9" s="19">
        <v>367.47284000000002</v>
      </c>
      <c r="HI9" s="28">
        <v>244.70099999999999</v>
      </c>
      <c r="HJ9" s="18">
        <v>5590.1705100000017</v>
      </c>
      <c r="HK9" s="18">
        <v>673.31253000000004</v>
      </c>
      <c r="HL9" s="18">
        <v>4.7514899999999995</v>
      </c>
      <c r="HM9" s="51">
        <v>56.276520000000019</v>
      </c>
      <c r="HN9" s="19">
        <v>6569.2120500000019</v>
      </c>
      <c r="HO9" s="17"/>
      <c r="HP9" s="114" t="s">
        <v>542</v>
      </c>
      <c r="HQ9" s="31">
        <v>0</v>
      </c>
      <c r="HR9" s="18">
        <v>441.22909999999996</v>
      </c>
      <c r="HS9" s="18">
        <v>19.32385</v>
      </c>
      <c r="HT9" s="18">
        <v>0</v>
      </c>
      <c r="HU9" s="18">
        <v>2.1756199999999999</v>
      </c>
      <c r="HV9" s="19">
        <v>462.72856999999993</v>
      </c>
      <c r="HW9" s="28">
        <v>244.70099999999999</v>
      </c>
      <c r="HX9" s="18">
        <v>6031.3996100000004</v>
      </c>
      <c r="HY9" s="18">
        <v>692.63638000000014</v>
      </c>
      <c r="HZ9" s="18">
        <v>4.7514899999999995</v>
      </c>
      <c r="IA9" s="51">
        <v>58.452140000000021</v>
      </c>
      <c r="IB9" s="19">
        <v>7031.9406200000003</v>
      </c>
      <c r="IC9" s="17"/>
      <c r="ID9" s="114" t="s">
        <v>542</v>
      </c>
      <c r="IE9" s="31">
        <v>128.79</v>
      </c>
      <c r="IF9" s="18">
        <v>383.55590000000001</v>
      </c>
      <c r="IG9" s="18">
        <v>13.048349999999999</v>
      </c>
      <c r="IH9" s="18">
        <v>1.5802499999999999</v>
      </c>
      <c r="II9" s="18">
        <v>3.0788099999999994</v>
      </c>
      <c r="IJ9" s="19">
        <v>530.05331000000001</v>
      </c>
      <c r="IK9" s="28">
        <v>373.49099999999999</v>
      </c>
      <c r="IL9" s="18">
        <v>6417.9484600000014</v>
      </c>
      <c r="IM9" s="18">
        <v>705.68472999999994</v>
      </c>
      <c r="IN9" s="18">
        <v>3.3387899999999999</v>
      </c>
      <c r="IO9" s="51">
        <v>61.530950000000018</v>
      </c>
      <c r="IP9" s="19">
        <v>7561.9939300000015</v>
      </c>
      <c r="IQ9" s="17"/>
      <c r="IR9" s="114" t="s">
        <v>542</v>
      </c>
      <c r="IS9" s="31">
        <v>0</v>
      </c>
      <c r="IT9" s="18">
        <v>429.26724999999999</v>
      </c>
      <c r="IU9" s="18">
        <v>30.508099999999999</v>
      </c>
      <c r="IV9" s="18">
        <v>0</v>
      </c>
      <c r="IW9" s="18">
        <v>3.3955599999999997</v>
      </c>
      <c r="IX9" s="19">
        <v>463.17090999999999</v>
      </c>
      <c r="IY9" s="28">
        <v>373.49099999999999</v>
      </c>
      <c r="IZ9" s="18">
        <v>6847.2157100000013</v>
      </c>
      <c r="JA9" s="18">
        <v>736.19283000000007</v>
      </c>
      <c r="JB9" s="18">
        <v>3.3387899999999999</v>
      </c>
      <c r="JC9" s="51">
        <v>64.926510000000022</v>
      </c>
      <c r="JD9" s="19">
        <v>8025.1648400000013</v>
      </c>
      <c r="JE9" s="17"/>
      <c r="JF9" s="114" t="s">
        <v>542</v>
      </c>
      <c r="JG9" s="31">
        <v>0</v>
      </c>
      <c r="JH9" s="18">
        <v>219.27360000000002</v>
      </c>
      <c r="JI9" s="18">
        <v>42.239050000000006</v>
      </c>
      <c r="JJ9" s="18">
        <v>0</v>
      </c>
      <c r="JK9" s="18">
        <v>4.168429999999999</v>
      </c>
      <c r="JL9" s="19">
        <v>265.68108000000001</v>
      </c>
      <c r="JM9" s="28">
        <v>373.49099999999999</v>
      </c>
      <c r="JN9" s="18">
        <v>7066.4893100000018</v>
      </c>
      <c r="JO9" s="18">
        <v>778.43188000000021</v>
      </c>
      <c r="JP9" s="18">
        <v>3.3387899999999999</v>
      </c>
      <c r="JQ9" s="51">
        <v>69.094940000000022</v>
      </c>
      <c r="JR9" s="19">
        <v>8290.8459200000034</v>
      </c>
      <c r="JS9" s="17"/>
      <c r="JT9" s="114" t="s">
        <v>542</v>
      </c>
      <c r="JU9" s="31">
        <v>0</v>
      </c>
      <c r="JV9" s="18">
        <v>334.71865000000003</v>
      </c>
      <c r="JW9" s="18">
        <v>15.375959999999999</v>
      </c>
      <c r="JX9" s="18">
        <v>0</v>
      </c>
      <c r="JY9" s="18">
        <v>3.1928399999999999</v>
      </c>
      <c r="JZ9" s="19">
        <v>353.28745000000004</v>
      </c>
      <c r="KA9" s="28">
        <v>373.49099999999999</v>
      </c>
      <c r="KB9" s="18">
        <v>7401.2079600000006</v>
      </c>
      <c r="KC9" s="18">
        <v>793.80784000000028</v>
      </c>
      <c r="KD9" s="18">
        <v>3.3387899999999999</v>
      </c>
      <c r="KE9" s="51">
        <v>72.287780000000012</v>
      </c>
      <c r="KF9" s="19">
        <v>8644.1333700000014</v>
      </c>
      <c r="KG9" s="17"/>
      <c r="KH9" s="114" t="s">
        <v>542</v>
      </c>
      <c r="KI9" s="31">
        <v>128.79</v>
      </c>
      <c r="KJ9" s="18">
        <v>270.49959999999999</v>
      </c>
      <c r="KK9" s="18">
        <v>21.099400000000003</v>
      </c>
      <c r="KL9" s="18">
        <v>0</v>
      </c>
      <c r="KM9" s="18">
        <v>4.9684499999999989</v>
      </c>
      <c r="KN9" s="19">
        <v>425.35744999999997</v>
      </c>
      <c r="KO9" s="28">
        <v>502.28100000000001</v>
      </c>
      <c r="KP9" s="18">
        <v>7671.7075600000016</v>
      </c>
      <c r="KQ9" s="18">
        <v>814.90724000000034</v>
      </c>
      <c r="KR9" s="18">
        <v>3.3387899999999999</v>
      </c>
      <c r="KS9" s="51">
        <v>77.256230000000002</v>
      </c>
      <c r="KT9" s="19">
        <v>9069.4908200000027</v>
      </c>
      <c r="KU9" s="17"/>
      <c r="KV9" s="114" t="s">
        <v>542</v>
      </c>
      <c r="KW9" s="31">
        <v>90.110070000000007</v>
      </c>
      <c r="KX9" s="18">
        <v>203.12424999999999</v>
      </c>
      <c r="KY9" s="18">
        <v>35.986999999999995</v>
      </c>
      <c r="KZ9" s="18">
        <v>0</v>
      </c>
      <c r="LA9" s="18">
        <v>3.5041599999999997</v>
      </c>
      <c r="LB9" s="19">
        <v>332.72548</v>
      </c>
      <c r="LC9" s="28">
        <v>592.39107000000001</v>
      </c>
      <c r="LD9" s="18">
        <v>7874.8318100000006</v>
      </c>
      <c r="LE9" s="18">
        <v>850.89424000000031</v>
      </c>
      <c r="LF9" s="18">
        <v>3.3387899999999999</v>
      </c>
      <c r="LG9" s="51">
        <v>80.760390000000001</v>
      </c>
      <c r="LH9" s="19">
        <v>9402.2163</v>
      </c>
      <c r="LI9" s="17"/>
      <c r="LJ9" s="114" t="s">
        <v>542</v>
      </c>
      <c r="LK9" s="31">
        <v>85.86</v>
      </c>
      <c r="LL9" s="18">
        <v>187.73589999999999</v>
      </c>
      <c r="LM9" s="18">
        <v>12.150600000000001</v>
      </c>
      <c r="LN9" s="18">
        <v>0</v>
      </c>
      <c r="LO9" s="18">
        <v>4.0543999999999993</v>
      </c>
      <c r="LP9" s="19">
        <v>289.80089999999996</v>
      </c>
      <c r="LQ9" s="28">
        <v>678.25107000000003</v>
      </c>
      <c r="LR9" s="18">
        <v>8062.5677100000012</v>
      </c>
      <c r="LS9" s="18">
        <v>863.04484000000036</v>
      </c>
      <c r="LT9" s="18">
        <v>3.3387899999999999</v>
      </c>
      <c r="LU9" s="51">
        <v>84.814789999999988</v>
      </c>
      <c r="LV9" s="19">
        <v>9692.017200000002</v>
      </c>
      <c r="LW9" s="17">
        <f t="shared" si="1"/>
        <v>0</v>
      </c>
      <c r="LX9" s="17">
        <f t="shared" si="0"/>
        <v>0</v>
      </c>
      <c r="LY9" s="17">
        <f t="shared" si="0"/>
        <v>0</v>
      </c>
      <c r="LZ9" s="17">
        <f t="shared" si="0"/>
        <v>0</v>
      </c>
      <c r="MA9" s="17">
        <f t="shared" si="0"/>
        <v>0</v>
      </c>
      <c r="MB9" s="17">
        <f t="shared" si="0"/>
        <v>0</v>
      </c>
    </row>
    <row r="10" spans="2:340" ht="15" thickBot="1" x14ac:dyDescent="0.35">
      <c r="B10" s="118" t="s">
        <v>543</v>
      </c>
      <c r="C10" s="28">
        <v>0</v>
      </c>
      <c r="D10" s="28">
        <v>18.27664999999979</v>
      </c>
      <c r="E10" s="28">
        <v>-17.867500000000007</v>
      </c>
      <c r="F10" s="82">
        <v>31.715939999999932</v>
      </c>
      <c r="G10" s="55">
        <v>0</v>
      </c>
      <c r="H10" s="19">
        <v>32.125089999999716</v>
      </c>
      <c r="J10" s="118" t="s">
        <v>543</v>
      </c>
      <c r="K10" s="31">
        <v>0</v>
      </c>
      <c r="L10" s="18">
        <v>15.647100000000137</v>
      </c>
      <c r="M10" s="18">
        <v>7.5712500000000773</v>
      </c>
      <c r="N10" s="18">
        <v>10.134139999999945</v>
      </c>
      <c r="O10" s="19">
        <v>33.352490000000671</v>
      </c>
      <c r="P10" s="28">
        <v>0</v>
      </c>
      <c r="Q10" s="28">
        <v>33.923749999999927</v>
      </c>
      <c r="R10" s="28">
        <v>-36.845849999999814</v>
      </c>
      <c r="S10" s="82">
        <v>41.850080000000162</v>
      </c>
      <c r="T10" s="19">
        <v>38.927980000000275</v>
      </c>
      <c r="V10" s="118" t="s">
        <v>543</v>
      </c>
      <c r="W10" s="31">
        <v>0</v>
      </c>
      <c r="X10" s="18">
        <v>13.681500000000028</v>
      </c>
      <c r="Y10" s="18">
        <v>16.017740000000003</v>
      </c>
      <c r="Z10" s="18">
        <v>15.966719999999953</v>
      </c>
      <c r="AA10" s="19">
        <v>45.665959999999814</v>
      </c>
      <c r="AB10" s="28">
        <v>0</v>
      </c>
      <c r="AC10" s="28">
        <v>114.62954999999965</v>
      </c>
      <c r="AD10" s="28">
        <v>-26.23350999999991</v>
      </c>
      <c r="AE10" s="82">
        <v>57.81679999999983</v>
      </c>
      <c r="AF10" s="19">
        <v>146.21283999999957</v>
      </c>
      <c r="AG10" s="17"/>
      <c r="AH10" s="118" t="s">
        <v>543</v>
      </c>
      <c r="AI10" s="31">
        <v>0</v>
      </c>
      <c r="AJ10" s="18">
        <v>0</v>
      </c>
      <c r="AK10" s="18">
        <v>48.813099999999963</v>
      </c>
      <c r="AL10" s="18">
        <v>0</v>
      </c>
      <c r="AM10" s="19">
        <v>48.813099999999963</v>
      </c>
      <c r="AN10" s="28">
        <v>0</v>
      </c>
      <c r="AO10" s="28">
        <v>114.62954999999965</v>
      </c>
      <c r="AP10" s="28">
        <v>22.579589999999598</v>
      </c>
      <c r="AQ10" s="82">
        <v>57.816800000000057</v>
      </c>
      <c r="AR10" s="19">
        <v>195.02593999999931</v>
      </c>
      <c r="AS10" s="17"/>
      <c r="AT10" s="118" t="s">
        <v>543</v>
      </c>
      <c r="AU10" s="31">
        <v>0</v>
      </c>
      <c r="AV10" s="18">
        <v>51.040779999999359</v>
      </c>
      <c r="AW10" s="18">
        <v>58.001700000000028</v>
      </c>
      <c r="AX10" s="18">
        <v>15.865919999999903</v>
      </c>
      <c r="AY10" s="19">
        <v>124.90839999999935</v>
      </c>
      <c r="AZ10" s="28">
        <v>0</v>
      </c>
      <c r="BA10" s="28">
        <v>165.67032999999719</v>
      </c>
      <c r="BB10" s="28">
        <v>80.581289999999626</v>
      </c>
      <c r="BC10" s="82">
        <v>73.68271999999979</v>
      </c>
      <c r="BD10" s="19">
        <v>319.93433999999661</v>
      </c>
      <c r="BE10" s="17"/>
      <c r="BF10" s="118" t="s">
        <v>543</v>
      </c>
      <c r="BG10" s="31">
        <v>0</v>
      </c>
      <c r="BH10" s="18">
        <v>9.7198499999990418</v>
      </c>
      <c r="BI10" s="18">
        <v>60.485599999999977</v>
      </c>
      <c r="BJ10" s="18">
        <v>7.797600000000017</v>
      </c>
      <c r="BK10" s="19">
        <v>78.003049999999348</v>
      </c>
      <c r="BL10" s="28">
        <v>0</v>
      </c>
      <c r="BM10" s="28">
        <v>175.39017999999851</v>
      </c>
      <c r="BN10" s="28">
        <v>141.0668899999996</v>
      </c>
      <c r="BO10" s="82">
        <v>81.480319999999665</v>
      </c>
      <c r="BP10" s="19">
        <v>397.93738999999778</v>
      </c>
      <c r="BQ10" s="17"/>
      <c r="BR10" s="118" t="s">
        <v>543</v>
      </c>
      <c r="BS10" s="31">
        <v>0</v>
      </c>
      <c r="BT10" s="18">
        <v>16.70059999999944</v>
      </c>
      <c r="BU10" s="18">
        <v>75.233460000000036</v>
      </c>
      <c r="BV10" s="18">
        <v>25.238840000000039</v>
      </c>
      <c r="BW10" s="19">
        <v>117.17289999999957</v>
      </c>
      <c r="BX10" s="28">
        <v>0</v>
      </c>
      <c r="BY10" s="28">
        <v>192.09077999999499</v>
      </c>
      <c r="BZ10" s="28">
        <v>216.30034999999907</v>
      </c>
      <c r="CA10" s="82">
        <v>106.71916000000056</v>
      </c>
      <c r="CB10" s="19">
        <v>515.11028999999462</v>
      </c>
      <c r="CC10" s="17"/>
      <c r="CD10" s="118" t="s">
        <v>543</v>
      </c>
      <c r="CE10" s="31">
        <v>641.16000000000008</v>
      </c>
      <c r="CF10" s="18">
        <v>16.925709999998617</v>
      </c>
      <c r="CG10" s="18">
        <v>38.730999999999938</v>
      </c>
      <c r="CH10" s="18">
        <v>15.377119999999991</v>
      </c>
      <c r="CI10" s="19">
        <v>712.19382999999834</v>
      </c>
      <c r="CJ10" s="28">
        <v>641.16000000000008</v>
      </c>
      <c r="CK10" s="28">
        <v>209.0164900000018</v>
      </c>
      <c r="CL10" s="28">
        <v>255.03134999999838</v>
      </c>
      <c r="CM10" s="82">
        <v>122.09627999999975</v>
      </c>
      <c r="CN10" s="19">
        <v>1227.30412</v>
      </c>
      <c r="CO10" s="17"/>
      <c r="CP10" s="118" t="s">
        <v>543</v>
      </c>
      <c r="CQ10" s="31">
        <v>0</v>
      </c>
      <c r="CR10" s="18">
        <v>19.950700000000325</v>
      </c>
      <c r="CS10" s="18">
        <v>20.254500000000036</v>
      </c>
      <c r="CT10" s="18">
        <v>-9.5199999999991292E-2</v>
      </c>
      <c r="CU10" s="19">
        <v>40.110000000000582</v>
      </c>
      <c r="CV10" s="28">
        <v>641.16000000000008</v>
      </c>
      <c r="CW10" s="28">
        <v>228.96719000000303</v>
      </c>
      <c r="CX10" s="28">
        <v>275.2858499999993</v>
      </c>
      <c r="CY10" s="82">
        <v>122.00108</v>
      </c>
      <c r="CZ10" s="19">
        <v>1267.4141200000024</v>
      </c>
      <c r="DA10" s="17"/>
      <c r="DB10" s="118" t="s">
        <v>543</v>
      </c>
      <c r="DC10" s="31">
        <v>0</v>
      </c>
      <c r="DD10" s="18">
        <v>36.22709999999995</v>
      </c>
      <c r="DE10" s="18">
        <v>58.089500000000044</v>
      </c>
      <c r="DF10" s="18">
        <v>8.2292000000000201</v>
      </c>
      <c r="DG10" s="19">
        <v>102.54579999999987</v>
      </c>
      <c r="DH10" s="28">
        <v>641.16000000000008</v>
      </c>
      <c r="DI10" s="28">
        <v>265.19429000000673</v>
      </c>
      <c r="DJ10" s="28">
        <v>333.37534999999934</v>
      </c>
      <c r="DK10" s="82">
        <v>130.23028000000068</v>
      </c>
      <c r="DL10" s="19">
        <v>1369.9599200000068</v>
      </c>
      <c r="DM10" s="17"/>
      <c r="DN10" s="118" t="s">
        <v>543</v>
      </c>
      <c r="DO10" s="31">
        <v>0</v>
      </c>
      <c r="DP10" s="18">
        <v>10.514419999999518</v>
      </c>
      <c r="DQ10" s="18">
        <v>41.91384000000005</v>
      </c>
      <c r="DR10" s="18">
        <v>5.1020000000000323</v>
      </c>
      <c r="DS10" s="19">
        <v>57.530259999999544</v>
      </c>
      <c r="DT10" s="28">
        <v>641.16000000000008</v>
      </c>
      <c r="DU10" s="28">
        <v>275.70871000000261</v>
      </c>
      <c r="DV10" s="28">
        <v>375.28919000000042</v>
      </c>
      <c r="DW10" s="82">
        <v>135.33228000000099</v>
      </c>
      <c r="DX10" s="19">
        <v>1427.4901800000041</v>
      </c>
      <c r="DY10" s="17"/>
      <c r="DZ10" s="118" t="s">
        <v>543</v>
      </c>
      <c r="EA10" s="31">
        <v>0</v>
      </c>
      <c r="EB10" s="18">
        <v>8.2208000000000538</v>
      </c>
      <c r="EC10" s="18">
        <v>41.889399999999966</v>
      </c>
      <c r="ED10" s="18">
        <v>39.560840000000098</v>
      </c>
      <c r="EE10" s="19">
        <v>89.671040000000175</v>
      </c>
      <c r="EF10" s="28">
        <v>641.16000000000008</v>
      </c>
      <c r="EG10" s="28">
        <v>283.92951000001631</v>
      </c>
      <c r="EH10" s="28">
        <v>417.17858999999953</v>
      </c>
      <c r="EI10" s="82">
        <v>174.89312000000064</v>
      </c>
      <c r="EJ10" s="19">
        <v>1517.1612200000166</v>
      </c>
      <c r="EK10" s="17"/>
      <c r="EL10" s="118" t="s">
        <v>543</v>
      </c>
      <c r="EM10" s="31">
        <v>0</v>
      </c>
      <c r="EN10" s="18">
        <v>21.419299999999566</v>
      </c>
      <c r="EO10" s="18">
        <v>37.147249999999985</v>
      </c>
      <c r="EP10" s="18">
        <v>9.6423599999999965</v>
      </c>
      <c r="EQ10" s="19">
        <v>68.208909999999378</v>
      </c>
      <c r="ER10" s="28">
        <v>641.16000000000008</v>
      </c>
      <c r="ES10" s="28">
        <v>305.34881000001769</v>
      </c>
      <c r="ET10" s="28">
        <v>454.32584000000043</v>
      </c>
      <c r="EU10" s="82">
        <v>184.53548000000137</v>
      </c>
      <c r="EV10" s="19">
        <v>1585.3701300000196</v>
      </c>
      <c r="EW10" s="17"/>
      <c r="EX10" s="118" t="s">
        <v>543</v>
      </c>
      <c r="EY10" s="31">
        <v>0</v>
      </c>
      <c r="EZ10" s="18">
        <v>50.072669999999107</v>
      </c>
      <c r="FA10" s="18">
        <v>71.844400000000178</v>
      </c>
      <c r="FB10" s="18">
        <v>-4.3164899999999662</v>
      </c>
      <c r="FC10" s="18">
        <v>8.6318199999999763</v>
      </c>
      <c r="FD10" s="19">
        <v>126.23239999999896</v>
      </c>
      <c r="FE10" s="28">
        <v>641.16000000000008</v>
      </c>
      <c r="FF10" s="28">
        <v>355.42148000000452</v>
      </c>
      <c r="FG10" s="28">
        <v>526.17023999999947</v>
      </c>
      <c r="FH10" s="28">
        <v>-4.3164899999999662</v>
      </c>
      <c r="FI10" s="82">
        <v>193.16730000000007</v>
      </c>
      <c r="FJ10" s="19">
        <v>1711.6025300000042</v>
      </c>
      <c r="FK10" s="17"/>
      <c r="FL10" s="118" t="s">
        <v>543</v>
      </c>
      <c r="FM10" s="31">
        <v>266.15199999999982</v>
      </c>
      <c r="FN10" s="18">
        <v>21.261099999999715</v>
      </c>
      <c r="FO10" s="18">
        <v>29.550890000000095</v>
      </c>
      <c r="FP10" s="18">
        <v>-1.0510299999999972</v>
      </c>
      <c r="FQ10" s="18">
        <v>18.057760000000002</v>
      </c>
      <c r="FR10" s="19">
        <v>333.97071999999935</v>
      </c>
      <c r="FS10" s="28">
        <v>907.31200000000035</v>
      </c>
      <c r="FT10" s="28">
        <v>376.6825800000006</v>
      </c>
      <c r="FU10" s="28">
        <v>555.72112999999899</v>
      </c>
      <c r="FV10" s="28">
        <v>-5.3675199999999563</v>
      </c>
      <c r="FW10" s="82">
        <v>211.22506000000067</v>
      </c>
      <c r="FX10" s="19">
        <v>2045.5732500000006</v>
      </c>
      <c r="FY10" s="17"/>
      <c r="FZ10" s="118" t="s">
        <v>543</v>
      </c>
      <c r="GA10" s="31">
        <v>0</v>
      </c>
      <c r="GB10" s="18">
        <v>50.448300000000017</v>
      </c>
      <c r="GC10" s="18">
        <v>45.144519999999943</v>
      </c>
      <c r="GD10" s="18">
        <v>0</v>
      </c>
      <c r="GE10" s="18">
        <v>15.173320000000018</v>
      </c>
      <c r="GF10" s="19">
        <v>110.76613999999972</v>
      </c>
      <c r="GG10" s="28">
        <v>907.31200000000035</v>
      </c>
      <c r="GH10" s="28">
        <v>427.1308799999897</v>
      </c>
      <c r="GI10" s="28">
        <v>600.86565000000519</v>
      </c>
      <c r="GJ10" s="28">
        <v>-5.3675199999999563</v>
      </c>
      <c r="GK10" s="82">
        <v>226.39837999999963</v>
      </c>
      <c r="GL10" s="19">
        <v>2156.3393899999946</v>
      </c>
      <c r="GM10" s="17"/>
      <c r="GN10" s="118" t="s">
        <v>543</v>
      </c>
      <c r="GO10" s="31">
        <v>0</v>
      </c>
      <c r="GP10" s="18">
        <v>18.603899999999612</v>
      </c>
      <c r="GQ10" s="18">
        <v>56.668930000000501</v>
      </c>
      <c r="GR10" s="18">
        <v>0</v>
      </c>
      <c r="GS10" s="18">
        <v>9.0914999999999964</v>
      </c>
      <c r="GT10" s="19">
        <v>84.364330000000336</v>
      </c>
      <c r="GU10" s="28">
        <v>907.31200000000035</v>
      </c>
      <c r="GV10" s="28">
        <v>445.73477999999159</v>
      </c>
      <c r="GW10" s="28">
        <v>657.53458000000319</v>
      </c>
      <c r="GX10" s="28">
        <v>-5.3675199999999563</v>
      </c>
      <c r="GY10" s="82">
        <v>235.48988000000008</v>
      </c>
      <c r="GZ10" s="19">
        <v>2240.703719999995</v>
      </c>
      <c r="HA10" s="17"/>
      <c r="HB10" s="118" t="s">
        <v>543</v>
      </c>
      <c r="HC10" s="31">
        <v>0</v>
      </c>
      <c r="HD10" s="18">
        <v>27.014400000000023</v>
      </c>
      <c r="HE10" s="18">
        <v>31.990700000000004</v>
      </c>
      <c r="HF10" s="18">
        <v>0</v>
      </c>
      <c r="HG10" s="18">
        <v>10.16498</v>
      </c>
      <c r="HH10" s="19">
        <v>69.170080000000326</v>
      </c>
      <c r="HI10" s="28">
        <v>907.31200000000035</v>
      </c>
      <c r="HJ10" s="28">
        <v>472.74917999999889</v>
      </c>
      <c r="HK10" s="28">
        <v>689.52528000000711</v>
      </c>
      <c r="HL10" s="28">
        <v>-5.3675199999999563</v>
      </c>
      <c r="HM10" s="82">
        <v>245.65485999999964</v>
      </c>
      <c r="HN10" s="19">
        <v>2309.8738000000062</v>
      </c>
      <c r="HO10" s="17"/>
      <c r="HP10" s="118" t="s">
        <v>543</v>
      </c>
      <c r="HQ10" s="31">
        <v>0</v>
      </c>
      <c r="HR10" s="18">
        <v>21.236100000000079</v>
      </c>
      <c r="HS10" s="18">
        <v>21.919750000000022</v>
      </c>
      <c r="HT10" s="18">
        <v>0</v>
      </c>
      <c r="HU10" s="18">
        <v>16.093880000000041</v>
      </c>
      <c r="HV10" s="19">
        <v>59.249730000000454</v>
      </c>
      <c r="HW10" s="28">
        <v>907.31200000000035</v>
      </c>
      <c r="HX10" s="28">
        <v>493.98527999998623</v>
      </c>
      <c r="HY10" s="28">
        <v>711.44503000000623</v>
      </c>
      <c r="HZ10" s="28">
        <v>-5.3675199999999563</v>
      </c>
      <c r="IA10" s="82">
        <v>261.74874</v>
      </c>
      <c r="IB10" s="19">
        <v>2369.123529999993</v>
      </c>
      <c r="IC10" s="17"/>
      <c r="ID10" s="118" t="s">
        <v>543</v>
      </c>
      <c r="IE10" s="31">
        <v>480.87000000000035</v>
      </c>
      <c r="IF10" s="18">
        <v>30.895900000000438</v>
      </c>
      <c r="IG10" s="18">
        <v>11.933600000000013</v>
      </c>
      <c r="IH10" s="18">
        <v>-2.959260000000004</v>
      </c>
      <c r="II10" s="18">
        <v>22.238999999999976</v>
      </c>
      <c r="IJ10" s="19">
        <v>542.97923999999966</v>
      </c>
      <c r="IK10" s="28">
        <v>1388.1819999999998</v>
      </c>
      <c r="IL10" s="28">
        <v>520.56468999998469</v>
      </c>
      <c r="IM10" s="28">
        <v>723.37863000000289</v>
      </c>
      <c r="IN10" s="28">
        <v>-4.0102900000000119</v>
      </c>
      <c r="IO10" s="82">
        <v>283.9877400000023</v>
      </c>
      <c r="IP10" s="19">
        <v>2912.1027699999895</v>
      </c>
      <c r="IQ10" s="17"/>
      <c r="IR10" s="118" t="s">
        <v>543</v>
      </c>
      <c r="IS10" s="31">
        <v>0</v>
      </c>
      <c r="IT10" s="18">
        <v>46.551140000000487</v>
      </c>
      <c r="IU10" s="18">
        <v>39.622800000000097</v>
      </c>
      <c r="IV10" s="18">
        <v>0</v>
      </c>
      <c r="IW10" s="18">
        <v>25.467960000000005</v>
      </c>
      <c r="IX10" s="19">
        <v>111.64190000000053</v>
      </c>
      <c r="IY10" s="28">
        <v>1388.1819999999998</v>
      </c>
      <c r="IZ10" s="28">
        <v>567.11582999995153</v>
      </c>
      <c r="JA10" s="28">
        <v>763.00143000000389</v>
      </c>
      <c r="JB10" s="28">
        <v>-4.0102900000000119</v>
      </c>
      <c r="JC10" s="82">
        <v>309.45570000000225</v>
      </c>
      <c r="JD10" s="19">
        <v>3023.7446699999573</v>
      </c>
      <c r="JE10" s="17"/>
      <c r="JF10" s="118" t="s">
        <v>543</v>
      </c>
      <c r="JG10" s="31">
        <v>0</v>
      </c>
      <c r="JH10" s="18">
        <v>23.200800000000527</v>
      </c>
      <c r="JI10" s="18">
        <v>53.590599999999881</v>
      </c>
      <c r="JJ10" s="18">
        <v>0</v>
      </c>
      <c r="JK10" s="18">
        <v>31.98818</v>
      </c>
      <c r="JL10" s="19">
        <v>108.77958000000035</v>
      </c>
      <c r="JM10" s="28">
        <v>1388.1819999999998</v>
      </c>
      <c r="JN10" s="28">
        <v>590.31662999994296</v>
      </c>
      <c r="JO10" s="28">
        <v>816.59203000001071</v>
      </c>
      <c r="JP10" s="28">
        <v>-4.0102900000000119</v>
      </c>
      <c r="JQ10" s="82">
        <v>341.44388000000163</v>
      </c>
      <c r="JR10" s="19">
        <v>3132.5242499999549</v>
      </c>
      <c r="JS10" s="17"/>
      <c r="JT10" s="118" t="s">
        <v>543</v>
      </c>
      <c r="JU10" s="31">
        <v>0</v>
      </c>
      <c r="JV10" s="18">
        <v>39.697700000000168</v>
      </c>
      <c r="JW10" s="18">
        <v>17.603639999999984</v>
      </c>
      <c r="JX10" s="18">
        <v>0</v>
      </c>
      <c r="JY10" s="18">
        <v>28.118159999999989</v>
      </c>
      <c r="JZ10" s="19">
        <v>85.419499999999971</v>
      </c>
      <c r="KA10" s="28">
        <v>1388.1819999999998</v>
      </c>
      <c r="KB10" s="28">
        <v>630.01432999993267</v>
      </c>
      <c r="KC10" s="28">
        <v>834.19567000000643</v>
      </c>
      <c r="KD10" s="28">
        <v>-4.0102900000000119</v>
      </c>
      <c r="KE10" s="82">
        <v>369.56204000000344</v>
      </c>
      <c r="KF10" s="19">
        <v>3217.9437499999422</v>
      </c>
      <c r="KG10" s="17"/>
      <c r="KH10" s="118" t="s">
        <v>543</v>
      </c>
      <c r="KI10" s="31">
        <v>480.87000000000035</v>
      </c>
      <c r="KJ10" s="18">
        <v>20.615000000000236</v>
      </c>
      <c r="KK10" s="18">
        <v>21.089600000000019</v>
      </c>
      <c r="KL10" s="18">
        <v>0</v>
      </c>
      <c r="KM10" s="18">
        <v>45.989929999999958</v>
      </c>
      <c r="KN10" s="19">
        <v>568.56453000000056</v>
      </c>
      <c r="KO10" s="28">
        <v>1869.0520000000006</v>
      </c>
      <c r="KP10" s="28">
        <v>650.62932999995246</v>
      </c>
      <c r="KQ10" s="28">
        <v>855.28527000000213</v>
      </c>
      <c r="KR10" s="28">
        <v>-4.0102900000000119</v>
      </c>
      <c r="KS10" s="82">
        <v>415.55197000000589</v>
      </c>
      <c r="KT10" s="19">
        <v>3786.50827999998</v>
      </c>
      <c r="KU10" s="17"/>
      <c r="KV10" s="118" t="s">
        <v>543</v>
      </c>
      <c r="KW10" s="31">
        <v>336.36871000000019</v>
      </c>
      <c r="KX10" s="18">
        <v>19.666099999999915</v>
      </c>
      <c r="KY10" s="18">
        <v>35.168700000000172</v>
      </c>
      <c r="KZ10" s="18">
        <v>0</v>
      </c>
      <c r="LA10" s="18">
        <v>30.859840000000077</v>
      </c>
      <c r="LB10" s="19">
        <v>422.06335000000036</v>
      </c>
      <c r="LC10" s="28">
        <v>2205.4207100000012</v>
      </c>
      <c r="LD10" s="28">
        <v>670.29542999992555</v>
      </c>
      <c r="LE10" s="28">
        <v>890.45397000000594</v>
      </c>
      <c r="LF10" s="28">
        <v>-4.0102900000000119</v>
      </c>
      <c r="LG10" s="82">
        <v>446.41181000000415</v>
      </c>
      <c r="LH10" s="19">
        <v>4208.5716299999622</v>
      </c>
      <c r="LI10" s="17"/>
      <c r="LJ10" s="118" t="s">
        <v>543</v>
      </c>
      <c r="LK10" s="31">
        <v>320.58000000000004</v>
      </c>
      <c r="LL10" s="18">
        <v>45.266999999999825</v>
      </c>
      <c r="LM10" s="18">
        <v>-2.8742000000000303</v>
      </c>
      <c r="LN10" s="18">
        <v>0</v>
      </c>
      <c r="LO10" s="18">
        <v>35.705600000000004</v>
      </c>
      <c r="LP10" s="19">
        <v>398.67839999999933</v>
      </c>
      <c r="LQ10" s="28">
        <v>2526.0007099999993</v>
      </c>
      <c r="LR10" s="28">
        <v>715.56242999993265</v>
      </c>
      <c r="LS10" s="28">
        <v>887.57977000000938</v>
      </c>
      <c r="LT10" s="28">
        <v>-4.0102900000000119</v>
      </c>
      <c r="LU10" s="82">
        <v>482.1174100000062</v>
      </c>
      <c r="LV10" s="19">
        <v>4607.2500299999665</v>
      </c>
      <c r="LW10" s="17">
        <f t="shared" si="1"/>
        <v>0</v>
      </c>
      <c r="LX10" s="17">
        <f t="shared" si="0"/>
        <v>7.2759576141834259E-12</v>
      </c>
      <c r="LY10" s="17">
        <f t="shared" si="0"/>
        <v>3.4106051316484809E-12</v>
      </c>
      <c r="LZ10" s="17">
        <f t="shared" si="0"/>
        <v>0</v>
      </c>
      <c r="MA10" s="17">
        <f t="shared" si="0"/>
        <v>2.0463630789890885E-12</v>
      </c>
      <c r="MB10" s="17">
        <f t="shared" si="0"/>
        <v>0</v>
      </c>
    </row>
    <row r="11" spans="2:340" ht="15" thickBot="1" x14ac:dyDescent="0.35">
      <c r="B11" s="116" t="s">
        <v>460</v>
      </c>
      <c r="C11" s="60" t="s">
        <v>478</v>
      </c>
      <c r="D11" s="58">
        <v>3.0445208186944033E-3</v>
      </c>
      <c r="E11" s="58">
        <v>-0.16501276788311736</v>
      </c>
      <c r="F11" s="61">
        <v>3.2572912146172847E-2</v>
      </c>
      <c r="G11" s="61" t="s">
        <v>478</v>
      </c>
      <c r="H11" s="59">
        <v>4.5341767466543382E-3</v>
      </c>
      <c r="J11" s="116" t="s">
        <v>460</v>
      </c>
      <c r="K11" s="57" t="s">
        <v>478</v>
      </c>
      <c r="L11" s="58">
        <v>5.8753396594495621E-3</v>
      </c>
      <c r="M11" s="58">
        <v>3.6933310575373676E-2</v>
      </c>
      <c r="N11" s="58">
        <v>2.8943021676549913E-2</v>
      </c>
      <c r="O11" s="59">
        <v>1.0363319493736742E-2</v>
      </c>
      <c r="P11" s="60" t="s">
        <v>478</v>
      </c>
      <c r="Q11" s="58">
        <v>3.9144395790651687E-3</v>
      </c>
      <c r="R11" s="58">
        <v>-6.9608892064914482E-2</v>
      </c>
      <c r="S11" s="61">
        <v>3.1612840212241602E-2</v>
      </c>
      <c r="T11" s="59">
        <v>3.7005650190943778E-3</v>
      </c>
      <c r="V11" s="116" t="s">
        <v>460</v>
      </c>
      <c r="W11" s="57" t="s">
        <v>478</v>
      </c>
      <c r="X11" s="58">
        <v>5.3936584154317527E-2</v>
      </c>
      <c r="Y11" s="58">
        <v>3.4915049094717085E-2</v>
      </c>
      <c r="Z11" s="58">
        <v>4.6567690724680158E-2</v>
      </c>
      <c r="AA11" s="59">
        <v>4.3273235260703299E-2</v>
      </c>
      <c r="AB11" s="60" t="s">
        <v>478</v>
      </c>
      <c r="AC11" s="58">
        <v>1.2850889921174356E-2</v>
      </c>
      <c r="AD11" s="58">
        <v>-2.6549717668425208E-2</v>
      </c>
      <c r="AE11" s="61">
        <v>3.4689325854055833E-2</v>
      </c>
      <c r="AF11" s="59">
        <v>1.2632037825936622E-2</v>
      </c>
      <c r="AH11" s="116" t="s">
        <v>460</v>
      </c>
      <c r="AI11" s="57" t="s">
        <v>478</v>
      </c>
      <c r="AJ11" s="58" t="s">
        <v>478</v>
      </c>
      <c r="AK11" s="58">
        <v>7.9029339782641789E-2</v>
      </c>
      <c r="AL11" s="58" t="s">
        <v>478</v>
      </c>
      <c r="AM11" s="59">
        <v>7.9029339782641789E-2</v>
      </c>
      <c r="AN11" s="60" t="s">
        <v>478</v>
      </c>
      <c r="AO11" s="58">
        <v>1.2850889921174356E-2</v>
      </c>
      <c r="AP11" s="58">
        <v>1.4061727608765838E-2</v>
      </c>
      <c r="AQ11" s="61">
        <v>3.4689325854055965E-2</v>
      </c>
      <c r="AR11" s="59">
        <v>1.5995670254365175E-2</v>
      </c>
      <c r="AT11" s="116" t="s">
        <v>460</v>
      </c>
      <c r="AU11" s="57" t="s">
        <v>478</v>
      </c>
      <c r="AV11" s="58">
        <v>1.2074798524277621E-2</v>
      </c>
      <c r="AW11" s="58">
        <v>9.9454808150953755E-2</v>
      </c>
      <c r="AX11" s="58">
        <v>3.330934947306028E-2</v>
      </c>
      <c r="AY11" s="59">
        <v>2.3627506780345107E-2</v>
      </c>
      <c r="AZ11" s="60" t="s">
        <v>478</v>
      </c>
      <c r="BA11" s="58">
        <v>1.2601359813550357E-2</v>
      </c>
      <c r="BB11" s="58">
        <v>3.6812852543490801E-2</v>
      </c>
      <c r="BC11" s="61">
        <v>3.4382604589790589E-2</v>
      </c>
      <c r="BD11" s="59">
        <v>1.8303939847207421E-2</v>
      </c>
      <c r="BF11" s="116" t="s">
        <v>460</v>
      </c>
      <c r="BG11" s="57" t="s">
        <v>478</v>
      </c>
      <c r="BH11" s="58">
        <v>2.7259534800443503E-3</v>
      </c>
      <c r="BI11" s="58">
        <v>9.3337466878528813E-2</v>
      </c>
      <c r="BJ11" s="58">
        <v>6.8289299451415736E-2</v>
      </c>
      <c r="BK11" s="59">
        <v>1.8023361013283494E-2</v>
      </c>
      <c r="BL11" s="60" t="s">
        <v>478</v>
      </c>
      <c r="BM11" s="58">
        <v>1.0494431577388653E-2</v>
      </c>
      <c r="BN11" s="58">
        <v>4.9724390138164494E-2</v>
      </c>
      <c r="BO11" s="61">
        <v>3.6097833818612632E-2</v>
      </c>
      <c r="BP11" s="59">
        <v>1.8248254965468783E-2</v>
      </c>
      <c r="BR11" s="116" t="s">
        <v>460</v>
      </c>
      <c r="BS11" s="57" t="s">
        <v>478</v>
      </c>
      <c r="BT11" s="58">
        <v>8.2196292657110061E-3</v>
      </c>
      <c r="BU11" s="58">
        <v>9.2693697138191894E-2</v>
      </c>
      <c r="BV11" s="58">
        <v>6.5536506394673261E-2</v>
      </c>
      <c r="BW11" s="59">
        <v>3.6292832303065993E-2</v>
      </c>
      <c r="BX11" s="60" t="s">
        <v>478</v>
      </c>
      <c r="BY11" s="58">
        <v>1.0247856032813023E-2</v>
      </c>
      <c r="BZ11" s="58">
        <v>5.9282931647446559E-2</v>
      </c>
      <c r="CA11" s="61">
        <v>4.0388443912366616E-2</v>
      </c>
      <c r="CB11" s="59">
        <v>2.0575264918389468E-2</v>
      </c>
      <c r="CD11" s="116" t="s">
        <v>460</v>
      </c>
      <c r="CE11" s="57">
        <v>0.24311780497793153</v>
      </c>
      <c r="CF11" s="58">
        <v>5.0143965210070179E-3</v>
      </c>
      <c r="CG11" s="58">
        <v>7.4598290967040737E-2</v>
      </c>
      <c r="CH11" s="58">
        <v>7.3697476639563109E-2</v>
      </c>
      <c r="CI11" s="59">
        <v>0.10565875716289513</v>
      </c>
      <c r="CJ11" s="60">
        <v>0.24311780497793153</v>
      </c>
      <c r="CK11" s="58">
        <v>9.4492478076006817E-3</v>
      </c>
      <c r="CL11" s="58">
        <v>6.1190805350256554E-2</v>
      </c>
      <c r="CM11" s="61">
        <v>4.2826207533285671E-2</v>
      </c>
      <c r="CN11" s="59">
        <v>3.8623711510165637E-2</v>
      </c>
      <c r="CP11" s="116" t="s">
        <v>460</v>
      </c>
      <c r="CQ11" s="57" t="s">
        <v>478</v>
      </c>
      <c r="CR11" s="58">
        <v>5.3952905498650212E-3</v>
      </c>
      <c r="CS11" s="58">
        <v>8.2643801929069574E-2</v>
      </c>
      <c r="CT11" s="58">
        <v>-7.5534405921890519E-4</v>
      </c>
      <c r="CU11" s="59">
        <v>9.857661899538215E-3</v>
      </c>
      <c r="CV11" s="60">
        <v>0.24311780497793153</v>
      </c>
      <c r="CW11" s="58">
        <v>8.8686106802507072E-3</v>
      </c>
      <c r="CX11" s="58">
        <v>6.2382256927000834E-2</v>
      </c>
      <c r="CY11" s="61">
        <v>4.0981128162714917E-2</v>
      </c>
      <c r="CZ11" s="59">
        <v>3.5358342094701345E-2</v>
      </c>
      <c r="DB11" s="116" t="s">
        <v>460</v>
      </c>
      <c r="DC11" s="57" t="s">
        <v>478</v>
      </c>
      <c r="DD11" s="58">
        <v>3.7788214265373932E-2</v>
      </c>
      <c r="DE11" s="58">
        <v>7.076118260750934E-2</v>
      </c>
      <c r="DF11" s="58">
        <v>4.4020626122956152E-2</v>
      </c>
      <c r="DG11" s="59">
        <v>5.2145007256334627E-2</v>
      </c>
      <c r="DH11" s="60">
        <v>0.24311780497793153</v>
      </c>
      <c r="DI11" s="58">
        <v>9.9040327967503013E-3</v>
      </c>
      <c r="DJ11" s="58">
        <v>6.3696491602263275E-2</v>
      </c>
      <c r="DK11" s="61">
        <v>4.1160714872120564E-2</v>
      </c>
      <c r="DL11" s="59">
        <v>3.6231407782891301E-2</v>
      </c>
      <c r="DN11" s="116" t="s">
        <v>460</v>
      </c>
      <c r="DO11" s="57" t="s">
        <v>478</v>
      </c>
      <c r="DP11" s="58">
        <v>1.886863273148314E-3</v>
      </c>
      <c r="DQ11" s="58">
        <v>6.8651779805905491E-2</v>
      </c>
      <c r="DR11" s="58">
        <v>2.5040839833055991E-2</v>
      </c>
      <c r="DS11" s="59">
        <v>9.0078102497578531E-3</v>
      </c>
      <c r="DT11" s="60">
        <v>0.24311780497793153</v>
      </c>
      <c r="DU11" s="58">
        <v>8.522989145534815E-3</v>
      </c>
      <c r="DV11" s="58">
        <v>6.4214145179374058E-2</v>
      </c>
      <c r="DW11" s="61">
        <v>4.0185454186773911E-2</v>
      </c>
      <c r="DX11" s="59">
        <v>3.2297546625371369E-2</v>
      </c>
      <c r="DZ11" s="116" t="s">
        <v>460</v>
      </c>
      <c r="EA11" s="57" t="s">
        <v>478</v>
      </c>
      <c r="EB11" s="58">
        <v>1.6853000620507387E-3</v>
      </c>
      <c r="EC11" s="58">
        <v>9.0081166680716224E-2</v>
      </c>
      <c r="ED11" s="58">
        <v>5.3910561279880545E-2</v>
      </c>
      <c r="EE11" s="59">
        <v>1.4756325907761578E-2</v>
      </c>
      <c r="EF11" s="60">
        <v>0.24311780497793153</v>
      </c>
      <c r="EG11" s="58">
        <v>7.6270246282147741E-3</v>
      </c>
      <c r="EH11" s="58">
        <v>6.6120621776920782E-2</v>
      </c>
      <c r="EI11" s="61">
        <v>4.2641084039559615E-2</v>
      </c>
      <c r="EJ11" s="59">
        <v>3.0177318027559418E-2</v>
      </c>
      <c r="EL11" s="116" t="s">
        <v>460</v>
      </c>
      <c r="EM11" s="57" t="s">
        <v>478</v>
      </c>
      <c r="EN11" s="58">
        <v>6.5189945421874496E-3</v>
      </c>
      <c r="EO11" s="58">
        <v>8.730677099442602E-2</v>
      </c>
      <c r="EP11" s="58">
        <v>4.533064537625639E-2</v>
      </c>
      <c r="EQ11" s="59">
        <v>1.738308528128818E-2</v>
      </c>
      <c r="ER11" s="60">
        <v>0.24311780497793153</v>
      </c>
      <c r="ES11" s="58">
        <v>7.5371602188067733E-3</v>
      </c>
      <c r="ET11" s="58">
        <v>6.745907661871875E-2</v>
      </c>
      <c r="EU11" s="61">
        <v>4.2773692047885753E-2</v>
      </c>
      <c r="EV11" s="59">
        <v>2.9251044602593101E-2</v>
      </c>
      <c r="EX11" s="116" t="s">
        <v>460</v>
      </c>
      <c r="EY11" s="57" t="s">
        <v>478</v>
      </c>
      <c r="EZ11" s="58">
        <v>1.49637464521642E-2</v>
      </c>
      <c r="FA11" s="58">
        <v>9.2265300997815825E-2</v>
      </c>
      <c r="FB11" s="58">
        <v>-7.3407259453129814E-2</v>
      </c>
      <c r="FC11" s="58">
        <v>5.991917684106049E-2</v>
      </c>
      <c r="FD11" s="59">
        <v>2.9167817752643068E-2</v>
      </c>
      <c r="FE11" s="60">
        <v>0.24311780497793153</v>
      </c>
      <c r="FF11" s="58">
        <v>8.1037826321409302E-3</v>
      </c>
      <c r="FG11" s="58">
        <v>7.0029901051842286E-2</v>
      </c>
      <c r="FH11" s="58">
        <v>-7.3407259453129814E-2</v>
      </c>
      <c r="FI11" s="61">
        <v>4.3327703015853279E-2</v>
      </c>
      <c r="FJ11" s="59">
        <v>2.9244890319975011E-2</v>
      </c>
      <c r="FL11" s="116" t="s">
        <v>460</v>
      </c>
      <c r="FM11" s="57">
        <v>0.23746397694524479</v>
      </c>
      <c r="FN11" s="58">
        <v>7.0318385573397302E-3</v>
      </c>
      <c r="FO11" s="58">
        <v>5.6245930025280388E-2</v>
      </c>
      <c r="FP11" s="58">
        <v>-1.4854772945411005E-2</v>
      </c>
      <c r="FQ11" s="58">
        <v>7.1392831049217356E-2</v>
      </c>
      <c r="FR11" s="59">
        <v>6.6881975282636341E-2</v>
      </c>
      <c r="FS11" s="60">
        <v>0.24143159351259305</v>
      </c>
      <c r="FT11" s="58">
        <v>8.0346504259409344E-3</v>
      </c>
      <c r="FU11" s="58">
        <v>6.9129040779175713E-2</v>
      </c>
      <c r="FV11" s="58">
        <v>-4.1430230285612851E-2</v>
      </c>
      <c r="FW11" s="61">
        <v>4.4834458522442867E-2</v>
      </c>
      <c r="FX11" s="59">
        <v>3.2203617378543332E-2</v>
      </c>
      <c r="FZ11" s="116" t="s">
        <v>460</v>
      </c>
      <c r="GA11" s="57" t="s">
        <v>478</v>
      </c>
      <c r="GB11" s="58">
        <v>1.8983460690494447E-2</v>
      </c>
      <c r="GC11" s="58">
        <v>4.5120025240697276E-2</v>
      </c>
      <c r="GD11" s="58" t="s">
        <v>478</v>
      </c>
      <c r="GE11" s="58">
        <v>7.2120392743414696E-2</v>
      </c>
      <c r="GF11" s="59">
        <v>2.8633441803496151E-2</v>
      </c>
      <c r="GG11" s="60">
        <v>0.24143159351259305</v>
      </c>
      <c r="GH11" s="58">
        <v>8.6219832646176019E-3</v>
      </c>
      <c r="GI11" s="58">
        <v>6.6471569293778954E-2</v>
      </c>
      <c r="GJ11" s="58">
        <v>-4.1430230285612851E-2</v>
      </c>
      <c r="GK11" s="61">
        <v>4.6000876359538478E-2</v>
      </c>
      <c r="GL11" s="59">
        <v>3.1998672116908287E-2</v>
      </c>
      <c r="GN11" s="116" t="s">
        <v>460</v>
      </c>
      <c r="GO11" s="57" t="s">
        <v>478</v>
      </c>
      <c r="GP11" s="58">
        <v>6.3006831963288443E-3</v>
      </c>
      <c r="GQ11" s="58">
        <v>4.8360604709278956E-2</v>
      </c>
      <c r="GR11" s="58" t="s">
        <v>478</v>
      </c>
      <c r="GS11" s="58">
        <v>7.2258332180887827E-2</v>
      </c>
      <c r="GT11" s="59">
        <v>1.9849035784814867E-2</v>
      </c>
      <c r="GU11" s="60">
        <v>0.24143159351259305</v>
      </c>
      <c r="GV11" s="58">
        <v>8.4914109881729528E-3</v>
      </c>
      <c r="GW11" s="58">
        <v>6.4393229837006835E-2</v>
      </c>
      <c r="GX11" s="58">
        <v>-4.1430230285612851E-2</v>
      </c>
      <c r="GY11" s="61">
        <v>4.665540700810774E-2</v>
      </c>
      <c r="GZ11" s="59">
        <v>3.1277838514284458E-2</v>
      </c>
      <c r="HB11" s="116" t="s">
        <v>460</v>
      </c>
      <c r="HC11" s="57" t="s">
        <v>478</v>
      </c>
      <c r="HD11" s="58">
        <v>8.175467496415614E-3</v>
      </c>
      <c r="HE11" s="58">
        <v>6.149021021926096E-2</v>
      </c>
      <c r="HF11" s="58" t="s">
        <v>478</v>
      </c>
      <c r="HG11" s="58">
        <v>7.4393408928602522E-2</v>
      </c>
      <c r="HH11" s="59">
        <v>1.7461813239759275E-2</v>
      </c>
      <c r="HI11" s="60">
        <v>0.24143159351259305</v>
      </c>
      <c r="HJ11" s="58">
        <v>8.4727005818745777E-3</v>
      </c>
      <c r="HK11" s="58">
        <v>6.4252493084244425E-2</v>
      </c>
      <c r="HL11" s="58">
        <v>-4.1430230285612851E-2</v>
      </c>
      <c r="HM11" s="61">
        <v>4.7386506657388833E-2</v>
      </c>
      <c r="HN11" s="59">
        <v>3.0553918276502234E-2</v>
      </c>
      <c r="HP11" s="116" t="s">
        <v>460</v>
      </c>
      <c r="HQ11" s="57" t="s">
        <v>478</v>
      </c>
      <c r="HR11" s="58">
        <v>4.9243566632868677E-3</v>
      </c>
      <c r="HS11" s="58">
        <v>6.1386877565108848E-2</v>
      </c>
      <c r="HT11" s="58" t="s">
        <v>478</v>
      </c>
      <c r="HU11" s="58">
        <v>7.3079087291972517E-2</v>
      </c>
      <c r="HV11" s="59">
        <v>1.2117096918823653E-2</v>
      </c>
      <c r="HW11" s="60">
        <v>0.24143159351259305</v>
      </c>
      <c r="HX11" s="58">
        <v>8.2181290040979037E-3</v>
      </c>
      <c r="HY11" s="58">
        <v>6.4160214180042419E-2</v>
      </c>
      <c r="HZ11" s="58">
        <v>-4.1430230285612851E-2</v>
      </c>
      <c r="IA11" s="61">
        <v>4.8433482028385488E-2</v>
      </c>
      <c r="IB11" s="59">
        <v>2.94338780476626E-2</v>
      </c>
      <c r="ID11" s="116" t="s">
        <v>460</v>
      </c>
      <c r="IE11" s="57">
        <v>0.24311780497793165</v>
      </c>
      <c r="IF11" s="58">
        <v>8.0505743218472533E-3</v>
      </c>
      <c r="IG11" s="58">
        <v>3.7984258635191399E-2</v>
      </c>
      <c r="IH11" s="58">
        <v>-0.14921295694028902</v>
      </c>
      <c r="II11" s="58">
        <v>7.2559905234590716E-2</v>
      </c>
      <c r="IJ11" s="59">
        <v>8.4102604583926072E-2</v>
      </c>
      <c r="IK11" s="60">
        <v>0.24201304746529798</v>
      </c>
      <c r="IL11" s="58">
        <v>8.1330934936873923E-3</v>
      </c>
      <c r="IM11" s="58">
        <v>6.3439005314152586E-2</v>
      </c>
      <c r="IN11" s="58">
        <v>-4.4270454147792043E-2</v>
      </c>
      <c r="IO11" s="61">
        <v>4.9728320791943108E-2</v>
      </c>
      <c r="IP11" s="59">
        <v>3.3493297693121558E-2</v>
      </c>
      <c r="IR11" s="116" t="s">
        <v>460</v>
      </c>
      <c r="IS11" s="57" t="s">
        <v>478</v>
      </c>
      <c r="IT11" s="58">
        <v>1.0734609619411877E-2</v>
      </c>
      <c r="IU11" s="58">
        <v>6.5596643914197464E-2</v>
      </c>
      <c r="IV11" s="58" t="s">
        <v>478</v>
      </c>
      <c r="IW11" s="58">
        <v>7.3378160887085403E-2</v>
      </c>
      <c r="IX11" s="59">
        <v>2.1113659323946182E-2</v>
      </c>
      <c r="IY11" s="60">
        <v>0.24201304746529798</v>
      </c>
      <c r="IZ11" s="58">
        <v>8.2981684009660606E-3</v>
      </c>
      <c r="JA11" s="58">
        <v>6.3547551787224738E-2</v>
      </c>
      <c r="JB11" s="58">
        <v>-4.4270454147792043E-2</v>
      </c>
      <c r="JC11" s="61">
        <v>5.10833108090267E-2</v>
      </c>
      <c r="JD11" s="59">
        <v>3.278358432400965E-2</v>
      </c>
      <c r="JF11" s="116" t="s">
        <v>460</v>
      </c>
      <c r="JG11" s="57" t="s">
        <v>478</v>
      </c>
      <c r="JH11" s="58">
        <v>1.0480064352603936E-2</v>
      </c>
      <c r="JI11" s="58">
        <v>6.4979691194113509E-2</v>
      </c>
      <c r="JJ11" s="58" t="s">
        <v>478</v>
      </c>
      <c r="JK11" s="58">
        <v>7.3869187522024621E-2</v>
      </c>
      <c r="JL11" s="59">
        <v>3.1334406248516168E-2</v>
      </c>
      <c r="JM11" s="60">
        <v>0.24201304746529798</v>
      </c>
      <c r="JN11" s="58">
        <v>8.3666286576451754E-3</v>
      </c>
      <c r="JO11" s="58">
        <v>6.363960068243843E-2</v>
      </c>
      <c r="JP11" s="58">
        <v>-4.4270454147792043E-2</v>
      </c>
      <c r="JQ11" s="61">
        <v>5.2603462585734277E-2</v>
      </c>
      <c r="JR11" s="59">
        <v>3.273101738048368E-2</v>
      </c>
      <c r="JT11" s="116" t="s">
        <v>460</v>
      </c>
      <c r="JU11" s="57" t="s">
        <v>478</v>
      </c>
      <c r="JV11" s="58">
        <v>1.1701062217356601E-2</v>
      </c>
      <c r="JW11" s="58">
        <v>5.938924984013759E-2</v>
      </c>
      <c r="JX11" s="58" t="s">
        <v>478</v>
      </c>
      <c r="JY11" s="58">
        <v>7.6723142087023452E-2</v>
      </c>
      <c r="JZ11" s="59">
        <v>2.1062331536423028E-2</v>
      </c>
      <c r="KA11" s="60">
        <v>0.24201304746529798</v>
      </c>
      <c r="KB11" s="58">
        <v>8.5196074692738249E-3</v>
      </c>
      <c r="KC11" s="58">
        <v>6.3543633326110446E-2</v>
      </c>
      <c r="KD11" s="58">
        <v>-4.4270454147792043E-2</v>
      </c>
      <c r="KE11" s="61">
        <v>5.3892522812036547E-2</v>
      </c>
      <c r="KF11" s="59">
        <v>3.2256651588784213E-2</v>
      </c>
      <c r="KH11" s="116" t="s">
        <v>460</v>
      </c>
      <c r="KI11" s="57">
        <v>0.24311780497793165</v>
      </c>
      <c r="KJ11" s="58">
        <v>7.6641374579319091E-3</v>
      </c>
      <c r="KK11" s="58">
        <v>4.4522668463651729E-2</v>
      </c>
      <c r="KL11" s="58" t="s">
        <v>478</v>
      </c>
      <c r="KM11" s="58">
        <v>7.9521427253232801E-2</v>
      </c>
      <c r="KN11" s="59">
        <v>9.9403798578479391E-2</v>
      </c>
      <c r="KO11" s="60">
        <v>0.24229631924665967</v>
      </c>
      <c r="KP11" s="58">
        <v>8.4895828466596771E-3</v>
      </c>
      <c r="KQ11" s="58">
        <v>6.2881219085404741E-2</v>
      </c>
      <c r="KR11" s="58">
        <v>-4.4270454147792043E-2</v>
      </c>
      <c r="KS11" s="61">
        <v>5.5885881170883653E-2</v>
      </c>
      <c r="KT11" s="59">
        <v>3.5897752308228177E-2</v>
      </c>
      <c r="KV11" s="116" t="s">
        <v>460</v>
      </c>
      <c r="KW11" s="57">
        <v>0.24307404860844917</v>
      </c>
      <c r="KX11" s="58">
        <v>9.6182965225627848E-3</v>
      </c>
      <c r="KY11" s="58">
        <v>4.3934700901937879E-2</v>
      </c>
      <c r="KZ11" s="58" t="s">
        <v>478</v>
      </c>
      <c r="LA11" s="58">
        <v>7.6723142087023674E-2</v>
      </c>
      <c r="LB11" s="59">
        <v>9.1135423030591176E-2</v>
      </c>
      <c r="LC11" s="60">
        <v>0.24241461600481221</v>
      </c>
      <c r="LD11" s="58">
        <v>8.5189135055275186E-3</v>
      </c>
      <c r="LE11" s="58">
        <v>6.1828159618312346E-2</v>
      </c>
      <c r="LF11" s="58">
        <v>-4.4270454147792043E-2</v>
      </c>
      <c r="LG11" s="61">
        <v>5.6955196012654356E-2</v>
      </c>
      <c r="LH11" s="59">
        <v>3.8220986288782739E-2</v>
      </c>
      <c r="LJ11" s="116" t="s">
        <v>460</v>
      </c>
      <c r="LK11" s="57">
        <v>0.24311780497793153</v>
      </c>
      <c r="LL11" s="58">
        <v>2.2882884540588611E-2</v>
      </c>
      <c r="LM11" s="58">
        <v>-8.3767369080334723E-3</v>
      </c>
      <c r="LN11" s="58" t="s">
        <v>478</v>
      </c>
      <c r="LO11" s="58">
        <v>7.6723142087023494E-2</v>
      </c>
      <c r="LP11" s="59">
        <v>9.7112560725128708E-2</v>
      </c>
      <c r="LQ11" s="60">
        <v>0.2425036337301642</v>
      </c>
      <c r="LR11" s="58">
        <v>8.8711867474089868E-3</v>
      </c>
      <c r="LS11" s="58">
        <v>6.0194509685548472E-2</v>
      </c>
      <c r="LT11" s="58">
        <v>-4.4270454147792043E-2</v>
      </c>
      <c r="LU11" s="61">
        <v>5.8063143644220612E-2</v>
      </c>
      <c r="LV11" s="59">
        <v>4.0337739571533152E-2</v>
      </c>
    </row>
    <row r="12" spans="2:340" ht="15" thickBot="1" x14ac:dyDescent="0.35">
      <c r="B12" s="363" t="s">
        <v>482</v>
      </c>
      <c r="C12" s="364"/>
      <c r="D12" s="364"/>
      <c r="E12" s="364"/>
      <c r="F12" s="364"/>
      <c r="G12" s="364"/>
      <c r="H12" s="365"/>
      <c r="J12" s="377" t="s">
        <v>482</v>
      </c>
      <c r="K12" s="369"/>
      <c r="L12" s="369"/>
      <c r="M12" s="369"/>
      <c r="N12" s="369"/>
      <c r="O12" s="369"/>
      <c r="P12" s="369"/>
      <c r="Q12" s="369"/>
      <c r="R12" s="369"/>
      <c r="S12" s="369"/>
      <c r="T12" s="370"/>
      <c r="V12" s="377" t="s">
        <v>482</v>
      </c>
      <c r="W12" s="369"/>
      <c r="X12" s="369"/>
      <c r="Y12" s="369"/>
      <c r="Z12" s="369"/>
      <c r="AA12" s="369"/>
      <c r="AB12" s="369"/>
      <c r="AC12" s="369"/>
      <c r="AD12" s="369"/>
      <c r="AE12" s="369"/>
      <c r="AF12" s="370"/>
      <c r="AH12" s="377" t="s">
        <v>482</v>
      </c>
      <c r="AI12" s="369"/>
      <c r="AJ12" s="369"/>
      <c r="AK12" s="369"/>
      <c r="AL12" s="369"/>
      <c r="AM12" s="369"/>
      <c r="AN12" s="369"/>
      <c r="AO12" s="369"/>
      <c r="AP12" s="369"/>
      <c r="AQ12" s="369"/>
      <c r="AR12" s="370"/>
      <c r="AT12" s="377" t="s">
        <v>482</v>
      </c>
      <c r="AU12" s="369"/>
      <c r="AV12" s="369"/>
      <c r="AW12" s="369"/>
      <c r="AX12" s="369"/>
      <c r="AY12" s="369"/>
      <c r="AZ12" s="369"/>
      <c r="BA12" s="369"/>
      <c r="BB12" s="369"/>
      <c r="BC12" s="369"/>
      <c r="BD12" s="370"/>
      <c r="BF12" s="377" t="s">
        <v>482</v>
      </c>
      <c r="BG12" s="369"/>
      <c r="BH12" s="369"/>
      <c r="BI12" s="369"/>
      <c r="BJ12" s="369"/>
      <c r="BK12" s="369"/>
      <c r="BL12" s="369"/>
      <c r="BM12" s="369"/>
      <c r="BN12" s="369"/>
      <c r="BO12" s="369"/>
      <c r="BP12" s="370"/>
      <c r="BR12" s="377" t="s">
        <v>482</v>
      </c>
      <c r="BS12" s="369"/>
      <c r="BT12" s="369"/>
      <c r="BU12" s="369"/>
      <c r="BV12" s="369"/>
      <c r="BW12" s="369"/>
      <c r="BX12" s="369"/>
      <c r="BY12" s="369"/>
      <c r="BZ12" s="369"/>
      <c r="CA12" s="369"/>
      <c r="CB12" s="370"/>
      <c r="CD12" s="377" t="s">
        <v>482</v>
      </c>
      <c r="CE12" s="369"/>
      <c r="CF12" s="369"/>
      <c r="CG12" s="369"/>
      <c r="CH12" s="369"/>
      <c r="CI12" s="369"/>
      <c r="CJ12" s="369"/>
      <c r="CK12" s="369"/>
      <c r="CL12" s="369"/>
      <c r="CM12" s="369"/>
      <c r="CN12" s="370"/>
      <c r="CP12" s="377" t="s">
        <v>482</v>
      </c>
      <c r="CQ12" s="369"/>
      <c r="CR12" s="369"/>
      <c r="CS12" s="369"/>
      <c r="CT12" s="369"/>
      <c r="CU12" s="369"/>
      <c r="CV12" s="369"/>
      <c r="CW12" s="369"/>
      <c r="CX12" s="369"/>
      <c r="CY12" s="369"/>
      <c r="CZ12" s="370"/>
      <c r="DB12" s="377" t="s">
        <v>482</v>
      </c>
      <c r="DC12" s="369"/>
      <c r="DD12" s="369"/>
      <c r="DE12" s="369"/>
      <c r="DF12" s="369"/>
      <c r="DG12" s="369"/>
      <c r="DH12" s="369"/>
      <c r="DI12" s="369"/>
      <c r="DJ12" s="369"/>
      <c r="DK12" s="369"/>
      <c r="DL12" s="370"/>
      <c r="DN12" s="377" t="s">
        <v>482</v>
      </c>
      <c r="DO12" s="369"/>
      <c r="DP12" s="369"/>
      <c r="DQ12" s="369"/>
      <c r="DR12" s="369"/>
      <c r="DS12" s="369"/>
      <c r="DT12" s="369"/>
      <c r="DU12" s="369"/>
      <c r="DV12" s="369"/>
      <c r="DW12" s="369"/>
      <c r="DX12" s="370"/>
      <c r="DZ12" s="377" t="s">
        <v>482</v>
      </c>
      <c r="EA12" s="369"/>
      <c r="EB12" s="369"/>
      <c r="EC12" s="369"/>
      <c r="ED12" s="369"/>
      <c r="EE12" s="369"/>
      <c r="EF12" s="369"/>
      <c r="EG12" s="369"/>
      <c r="EH12" s="369"/>
      <c r="EI12" s="369"/>
      <c r="EJ12" s="370"/>
      <c r="EL12" s="377" t="s">
        <v>482</v>
      </c>
      <c r="EM12" s="369"/>
      <c r="EN12" s="369"/>
      <c r="EO12" s="369"/>
      <c r="EP12" s="369"/>
      <c r="EQ12" s="369"/>
      <c r="ER12" s="369"/>
      <c r="ES12" s="369"/>
      <c r="ET12" s="369"/>
      <c r="EU12" s="369"/>
      <c r="EV12" s="370"/>
      <c r="EX12" s="377" t="s">
        <v>482</v>
      </c>
      <c r="EY12" s="369"/>
      <c r="EZ12" s="369"/>
      <c r="FA12" s="369"/>
      <c r="FB12" s="369"/>
      <c r="FC12" s="369"/>
      <c r="FD12" s="369"/>
      <c r="FE12" s="369"/>
      <c r="FF12" s="369"/>
      <c r="FG12" s="369"/>
      <c r="FH12" s="369"/>
      <c r="FI12" s="369"/>
      <c r="FJ12" s="370"/>
      <c r="FL12" s="377" t="s">
        <v>482</v>
      </c>
      <c r="FM12" s="369"/>
      <c r="FN12" s="369"/>
      <c r="FO12" s="369"/>
      <c r="FP12" s="369"/>
      <c r="FQ12" s="369"/>
      <c r="FR12" s="369"/>
      <c r="FS12" s="369"/>
      <c r="FT12" s="369"/>
      <c r="FU12" s="369"/>
      <c r="FV12" s="369"/>
      <c r="FW12" s="369"/>
      <c r="FX12" s="370"/>
      <c r="FZ12" s="377" t="s">
        <v>482</v>
      </c>
      <c r="GA12" s="369"/>
      <c r="GB12" s="369"/>
      <c r="GC12" s="369"/>
      <c r="GD12" s="369"/>
      <c r="GE12" s="369"/>
      <c r="GF12" s="369"/>
      <c r="GG12" s="369"/>
      <c r="GH12" s="369"/>
      <c r="GI12" s="369"/>
      <c r="GJ12" s="369"/>
      <c r="GK12" s="369"/>
      <c r="GL12" s="370"/>
      <c r="GN12" s="377" t="s">
        <v>482</v>
      </c>
      <c r="GO12" s="369"/>
      <c r="GP12" s="369"/>
      <c r="GQ12" s="369"/>
      <c r="GR12" s="369"/>
      <c r="GS12" s="369"/>
      <c r="GT12" s="369"/>
      <c r="GU12" s="369"/>
      <c r="GV12" s="369"/>
      <c r="GW12" s="369"/>
      <c r="GX12" s="369"/>
      <c r="GY12" s="369"/>
      <c r="GZ12" s="370"/>
      <c r="HB12" s="377" t="s">
        <v>482</v>
      </c>
      <c r="HC12" s="369"/>
      <c r="HD12" s="369"/>
      <c r="HE12" s="369"/>
      <c r="HF12" s="369"/>
      <c r="HG12" s="369"/>
      <c r="HH12" s="369"/>
      <c r="HI12" s="369"/>
      <c r="HJ12" s="369"/>
      <c r="HK12" s="369"/>
      <c r="HL12" s="369"/>
      <c r="HM12" s="369"/>
      <c r="HN12" s="370"/>
      <c r="HP12" s="377" t="s">
        <v>482</v>
      </c>
      <c r="HQ12" s="369"/>
      <c r="HR12" s="369"/>
      <c r="HS12" s="369"/>
      <c r="HT12" s="369"/>
      <c r="HU12" s="369"/>
      <c r="HV12" s="369"/>
      <c r="HW12" s="369"/>
      <c r="HX12" s="369"/>
      <c r="HY12" s="369"/>
      <c r="HZ12" s="369"/>
      <c r="IA12" s="369"/>
      <c r="IB12" s="370"/>
      <c r="ID12" s="377" t="s">
        <v>482</v>
      </c>
      <c r="IE12" s="369"/>
      <c r="IF12" s="369"/>
      <c r="IG12" s="369"/>
      <c r="IH12" s="369"/>
      <c r="II12" s="369"/>
      <c r="IJ12" s="369"/>
      <c r="IK12" s="369"/>
      <c r="IL12" s="369"/>
      <c r="IM12" s="369"/>
      <c r="IN12" s="369"/>
      <c r="IO12" s="369"/>
      <c r="IP12" s="370"/>
      <c r="IR12" s="377" t="s">
        <v>482</v>
      </c>
      <c r="IS12" s="369"/>
      <c r="IT12" s="369"/>
      <c r="IU12" s="369"/>
      <c r="IV12" s="369"/>
      <c r="IW12" s="369"/>
      <c r="IX12" s="369"/>
      <c r="IY12" s="369"/>
      <c r="IZ12" s="369"/>
      <c r="JA12" s="369"/>
      <c r="JB12" s="369"/>
      <c r="JC12" s="369"/>
      <c r="JD12" s="370"/>
      <c r="JF12" s="377" t="s">
        <v>482</v>
      </c>
      <c r="JG12" s="369"/>
      <c r="JH12" s="369"/>
      <c r="JI12" s="369"/>
      <c r="JJ12" s="369"/>
      <c r="JK12" s="369"/>
      <c r="JL12" s="369"/>
      <c r="JM12" s="369"/>
      <c r="JN12" s="369"/>
      <c r="JO12" s="369"/>
      <c r="JP12" s="369"/>
      <c r="JQ12" s="369"/>
      <c r="JR12" s="370"/>
      <c r="JT12" s="377" t="s">
        <v>482</v>
      </c>
      <c r="JU12" s="369"/>
      <c r="JV12" s="369"/>
      <c r="JW12" s="369"/>
      <c r="JX12" s="369"/>
      <c r="JY12" s="369"/>
      <c r="JZ12" s="369"/>
      <c r="KA12" s="369"/>
      <c r="KB12" s="369"/>
      <c r="KC12" s="369"/>
      <c r="KD12" s="369"/>
      <c r="KE12" s="369"/>
      <c r="KF12" s="370"/>
      <c r="KH12" s="377" t="s">
        <v>482</v>
      </c>
      <c r="KI12" s="369"/>
      <c r="KJ12" s="369"/>
      <c r="KK12" s="369"/>
      <c r="KL12" s="369"/>
      <c r="KM12" s="369"/>
      <c r="KN12" s="369"/>
      <c r="KO12" s="369"/>
      <c r="KP12" s="369"/>
      <c r="KQ12" s="369"/>
      <c r="KR12" s="369"/>
      <c r="KS12" s="369"/>
      <c r="KT12" s="370"/>
      <c r="KV12" s="377" t="s">
        <v>482</v>
      </c>
      <c r="KW12" s="369"/>
      <c r="KX12" s="369"/>
      <c r="KY12" s="369"/>
      <c r="KZ12" s="369"/>
      <c r="LA12" s="369"/>
      <c r="LB12" s="369"/>
      <c r="LC12" s="369"/>
      <c r="LD12" s="369"/>
      <c r="LE12" s="369"/>
      <c r="LF12" s="369"/>
      <c r="LG12" s="369"/>
      <c r="LH12" s="370"/>
      <c r="LJ12" s="377" t="s">
        <v>482</v>
      </c>
      <c r="LK12" s="369"/>
      <c r="LL12" s="369"/>
      <c r="LM12" s="369"/>
      <c r="LN12" s="369"/>
      <c r="LO12" s="369"/>
      <c r="LP12" s="369"/>
      <c r="LQ12" s="369"/>
      <c r="LR12" s="369"/>
      <c r="LS12" s="369"/>
      <c r="LT12" s="369"/>
      <c r="LU12" s="369"/>
      <c r="LV12" s="370"/>
    </row>
    <row r="14" spans="2:340" x14ac:dyDescent="0.3">
      <c r="J14" s="113" t="s">
        <v>550</v>
      </c>
      <c r="K14" s="17">
        <f t="shared" ref="K14:N14" si="2">K4</f>
        <v>0</v>
      </c>
      <c r="L14" s="17">
        <f t="shared" si="2"/>
        <v>7245</v>
      </c>
      <c r="M14" s="17">
        <f t="shared" si="2"/>
        <v>216</v>
      </c>
      <c r="N14" s="17">
        <f t="shared" si="2"/>
        <v>2277</v>
      </c>
      <c r="P14" s="17">
        <f>P4</f>
        <v>0</v>
      </c>
      <c r="Q14" s="17">
        <f t="shared" ref="Q14:S14" si="3">Q4</f>
        <v>23800</v>
      </c>
      <c r="R14" s="17">
        <f t="shared" si="3"/>
        <v>566</v>
      </c>
      <c r="S14" s="17">
        <f t="shared" si="3"/>
        <v>8484</v>
      </c>
      <c r="V14" s="113" t="s">
        <v>550</v>
      </c>
      <c r="W14" s="17">
        <f t="shared" ref="W14:Z14" si="4">W4</f>
        <v>0</v>
      </c>
      <c r="X14" s="17">
        <f t="shared" si="4"/>
        <v>525</v>
      </c>
      <c r="Y14" s="17">
        <f t="shared" si="4"/>
        <v>719</v>
      </c>
      <c r="Z14" s="17">
        <f t="shared" si="4"/>
        <v>2016</v>
      </c>
      <c r="AB14" s="17">
        <f>AB4</f>
        <v>0</v>
      </c>
      <c r="AC14" s="17">
        <f t="shared" ref="AC14:AE14" si="5">AC4</f>
        <v>24325</v>
      </c>
      <c r="AD14" s="17">
        <f t="shared" si="5"/>
        <v>1285</v>
      </c>
      <c r="AE14" s="17">
        <f t="shared" si="5"/>
        <v>10500</v>
      </c>
      <c r="AH14" s="113" t="s">
        <v>550</v>
      </c>
      <c r="AI14" s="17">
        <f t="shared" ref="AI14:AL14" si="6">AI4</f>
        <v>0</v>
      </c>
      <c r="AJ14" s="17">
        <f t="shared" si="6"/>
        <v>0</v>
      </c>
      <c r="AK14" s="17">
        <f t="shared" si="6"/>
        <v>665</v>
      </c>
      <c r="AL14" s="17">
        <f t="shared" si="6"/>
        <v>0</v>
      </c>
      <c r="AN14" s="17">
        <f>AN4</f>
        <v>0</v>
      </c>
      <c r="AO14" s="17">
        <f t="shared" ref="AO14:AQ14" si="7">AO4</f>
        <v>24325</v>
      </c>
      <c r="AP14" s="17">
        <f t="shared" si="7"/>
        <v>1950</v>
      </c>
      <c r="AQ14" s="17">
        <f t="shared" si="7"/>
        <v>10500</v>
      </c>
      <c r="AT14" s="113" t="s">
        <v>550</v>
      </c>
      <c r="AU14" s="17">
        <f t="shared" ref="AU14:AX14" si="8">AU4</f>
        <v>0</v>
      </c>
      <c r="AV14" s="17">
        <f t="shared" si="8"/>
        <v>11452</v>
      </c>
      <c r="AW14" s="17">
        <f t="shared" si="8"/>
        <v>661</v>
      </c>
      <c r="AX14" s="17">
        <f t="shared" si="8"/>
        <v>3024</v>
      </c>
      <c r="AZ14" s="17">
        <f>AZ4</f>
        <v>0</v>
      </c>
      <c r="BA14" s="17">
        <f t="shared" ref="BA14:BC14" si="9">BA4</f>
        <v>35777</v>
      </c>
      <c r="BB14" s="17">
        <f t="shared" si="9"/>
        <v>2611</v>
      </c>
      <c r="BC14" s="17">
        <f t="shared" si="9"/>
        <v>13524</v>
      </c>
      <c r="BF14" s="113" t="s">
        <v>550</v>
      </c>
      <c r="BG14" s="17">
        <f t="shared" ref="BG14:BJ14" si="10">BG4</f>
        <v>0</v>
      </c>
      <c r="BH14" s="17">
        <f t="shared" si="10"/>
        <v>9905</v>
      </c>
      <c r="BI14" s="17">
        <f t="shared" si="10"/>
        <v>700</v>
      </c>
      <c r="BJ14" s="17">
        <f t="shared" si="10"/>
        <v>720</v>
      </c>
      <c r="BL14" s="17">
        <f>BL4</f>
        <v>0</v>
      </c>
      <c r="BM14" s="17">
        <f t="shared" ref="BM14:BO14" si="11">BM4</f>
        <v>45682</v>
      </c>
      <c r="BN14" s="17">
        <f t="shared" si="11"/>
        <v>3311</v>
      </c>
      <c r="BO14" s="17">
        <f t="shared" si="11"/>
        <v>14244</v>
      </c>
      <c r="BR14" s="113" t="s">
        <v>550</v>
      </c>
      <c r="BS14" s="17">
        <f t="shared" ref="BS14:BV14" si="12">BS4</f>
        <v>0</v>
      </c>
      <c r="BT14" s="17">
        <f t="shared" si="12"/>
        <v>5530</v>
      </c>
      <c r="BU14" s="17">
        <f t="shared" si="12"/>
        <v>875</v>
      </c>
      <c r="BV14" s="17">
        <f t="shared" si="12"/>
        <v>2006</v>
      </c>
      <c r="BX14" s="17">
        <f>BX4</f>
        <v>0</v>
      </c>
      <c r="BY14" s="17">
        <f t="shared" ref="BY14:CA14" si="13">BY4</f>
        <v>51212</v>
      </c>
      <c r="BZ14" s="17">
        <f t="shared" si="13"/>
        <v>4186</v>
      </c>
      <c r="CA14" s="17">
        <f t="shared" si="13"/>
        <v>16250</v>
      </c>
      <c r="CD14" s="113" t="s">
        <v>550</v>
      </c>
      <c r="CE14" s="17">
        <f t="shared" ref="CE14:CH14" si="14">CE4</f>
        <v>4000</v>
      </c>
      <c r="CF14" s="17">
        <f t="shared" si="14"/>
        <v>9204</v>
      </c>
      <c r="CG14" s="17">
        <f t="shared" si="14"/>
        <v>490</v>
      </c>
      <c r="CH14" s="17">
        <f t="shared" si="14"/>
        <v>1116</v>
      </c>
      <c r="CJ14" s="17">
        <f>CJ4</f>
        <v>4000</v>
      </c>
      <c r="CK14" s="17">
        <f t="shared" ref="CK14:CM14" si="15">CK4</f>
        <v>60416</v>
      </c>
      <c r="CL14" s="17">
        <f t="shared" si="15"/>
        <v>4676</v>
      </c>
      <c r="CM14" s="17">
        <f t="shared" si="15"/>
        <v>17366</v>
      </c>
      <c r="CP14" s="113" t="s">
        <v>550</v>
      </c>
      <c r="CQ14" s="17">
        <f t="shared" ref="CQ14:CT14" si="16">CQ4</f>
        <v>0</v>
      </c>
      <c r="CR14" s="17">
        <f t="shared" si="16"/>
        <v>10080</v>
      </c>
      <c r="CS14" s="17">
        <f t="shared" si="16"/>
        <v>245</v>
      </c>
      <c r="CT14" s="17">
        <f t="shared" si="16"/>
        <v>952</v>
      </c>
      <c r="CV14" s="17">
        <f>CV4</f>
        <v>4000</v>
      </c>
      <c r="CW14" s="17">
        <f t="shared" ref="CW14:CY14" si="17">CW4</f>
        <v>70496</v>
      </c>
      <c r="CX14" s="17">
        <f t="shared" si="17"/>
        <v>4921</v>
      </c>
      <c r="CY14" s="17">
        <f t="shared" si="17"/>
        <v>18318</v>
      </c>
      <c r="DB14" s="113" t="s">
        <v>550</v>
      </c>
      <c r="DC14" s="17">
        <f t="shared" ref="DC14:DF14" si="18">DC4</f>
        <v>0</v>
      </c>
      <c r="DD14" s="17">
        <f t="shared" si="18"/>
        <v>2205</v>
      </c>
      <c r="DE14" s="17">
        <f t="shared" si="18"/>
        <v>875</v>
      </c>
      <c r="DF14" s="17">
        <f t="shared" si="18"/>
        <v>1116</v>
      </c>
      <c r="DH14" s="17">
        <f>DH4</f>
        <v>4000</v>
      </c>
      <c r="DI14" s="17">
        <f t="shared" ref="DI14:DK14" si="19">DI4</f>
        <v>72701</v>
      </c>
      <c r="DJ14" s="17">
        <f t="shared" si="19"/>
        <v>5796</v>
      </c>
      <c r="DK14" s="17">
        <f t="shared" si="19"/>
        <v>19434</v>
      </c>
      <c r="DN14" s="113" t="s">
        <v>550</v>
      </c>
      <c r="DO14" s="17">
        <f t="shared" ref="DO14:DR14" si="20">DO4</f>
        <v>0</v>
      </c>
      <c r="DP14" s="17">
        <f t="shared" si="20"/>
        <v>15519</v>
      </c>
      <c r="DQ14" s="17">
        <f t="shared" si="20"/>
        <v>764</v>
      </c>
      <c r="DR14" s="17">
        <f t="shared" si="20"/>
        <v>1444</v>
      </c>
      <c r="DT14" s="17">
        <f>DT4</f>
        <v>4000</v>
      </c>
      <c r="DU14" s="17">
        <f t="shared" ref="DU14:DW14" si="21">DU4</f>
        <v>88220</v>
      </c>
      <c r="DV14" s="17">
        <f t="shared" si="21"/>
        <v>6560</v>
      </c>
      <c r="DW14" s="17">
        <f t="shared" si="21"/>
        <v>20878</v>
      </c>
      <c r="DZ14" s="113" t="s">
        <v>550</v>
      </c>
      <c r="EA14" s="17">
        <f t="shared" ref="EA14:ED14" si="22">EA4</f>
        <v>0</v>
      </c>
      <c r="EB14" s="17">
        <f t="shared" si="22"/>
        <v>13650</v>
      </c>
      <c r="EC14" s="17">
        <f t="shared" si="22"/>
        <v>490</v>
      </c>
      <c r="ED14" s="17">
        <f t="shared" si="22"/>
        <v>4116</v>
      </c>
      <c r="EF14" s="17">
        <f>EF4</f>
        <v>4000</v>
      </c>
      <c r="EG14" s="17">
        <f t="shared" ref="EG14:EI14" si="23">EG4</f>
        <v>101870</v>
      </c>
      <c r="EH14" s="17">
        <f t="shared" si="23"/>
        <v>7050</v>
      </c>
      <c r="EI14" s="17">
        <f t="shared" si="23"/>
        <v>24994</v>
      </c>
      <c r="EL14" s="113" t="s">
        <v>550</v>
      </c>
      <c r="EM14" s="17">
        <f t="shared" ref="EM14:EP14" si="24">EM4</f>
        <v>0</v>
      </c>
      <c r="EN14" s="17">
        <f t="shared" si="24"/>
        <v>8995</v>
      </c>
      <c r="EO14" s="17">
        <f t="shared" si="24"/>
        <v>455</v>
      </c>
      <c r="EP14" s="17">
        <f t="shared" si="24"/>
        <v>1260</v>
      </c>
      <c r="ER14" s="17">
        <f>ER4</f>
        <v>4000</v>
      </c>
      <c r="ES14" s="17">
        <f t="shared" ref="ES14:EU14" si="25">ES4</f>
        <v>110865</v>
      </c>
      <c r="ET14" s="17">
        <f t="shared" si="25"/>
        <v>7505</v>
      </c>
      <c r="EU14" s="17">
        <f t="shared" si="25"/>
        <v>26254</v>
      </c>
      <c r="EX14" s="113" t="s">
        <v>550</v>
      </c>
      <c r="EY14" s="17">
        <f t="shared" ref="EY14:FB14" si="26">EY4</f>
        <v>0</v>
      </c>
      <c r="EZ14" s="17">
        <f t="shared" si="26"/>
        <v>8929</v>
      </c>
      <c r="FA14" s="17">
        <f t="shared" si="26"/>
        <v>862</v>
      </c>
      <c r="FB14" s="17">
        <f t="shared" si="26"/>
        <v>81</v>
      </c>
      <c r="FC14" s="17">
        <f t="shared" ref="FC14" si="27">FC4</f>
        <v>779</v>
      </c>
      <c r="FD14" s="17"/>
      <c r="FE14" s="17">
        <f t="shared" ref="FE14:FG14" si="28">FE4</f>
        <v>4000</v>
      </c>
      <c r="FF14" s="17">
        <f t="shared" si="28"/>
        <v>119794</v>
      </c>
      <c r="FG14" s="17">
        <f t="shared" si="28"/>
        <v>8367</v>
      </c>
      <c r="FH14" s="17">
        <f t="shared" ref="FH14:FI14" si="29">FH4</f>
        <v>81</v>
      </c>
      <c r="FI14" s="17">
        <f t="shared" si="29"/>
        <v>27033</v>
      </c>
      <c r="FL14" s="113" t="s">
        <v>550</v>
      </c>
      <c r="FM14" s="17">
        <f t="shared" ref="FM14:FQ14" si="30">FM4</f>
        <v>1700</v>
      </c>
      <c r="FN14" s="17">
        <f t="shared" si="30"/>
        <v>8225</v>
      </c>
      <c r="FO14" s="17">
        <f t="shared" si="30"/>
        <v>595</v>
      </c>
      <c r="FP14" s="17">
        <f t="shared" si="30"/>
        <v>105</v>
      </c>
      <c r="FQ14" s="17">
        <f t="shared" si="30"/>
        <v>1456</v>
      </c>
      <c r="FR14" s="17"/>
      <c r="FS14" s="17">
        <f t="shared" ref="FS14:FW14" si="31">FS4</f>
        <v>5700</v>
      </c>
      <c r="FT14" s="17">
        <f t="shared" si="31"/>
        <v>128019</v>
      </c>
      <c r="FU14" s="17">
        <f t="shared" si="31"/>
        <v>8962</v>
      </c>
      <c r="FV14" s="17">
        <f t="shared" si="31"/>
        <v>186</v>
      </c>
      <c r="FW14" s="17">
        <f t="shared" si="31"/>
        <v>28489</v>
      </c>
      <c r="FZ14" s="113" t="s">
        <v>550</v>
      </c>
      <c r="GA14" s="17">
        <f t="shared" ref="GA14:GE14" si="32">GA4</f>
        <v>0</v>
      </c>
      <c r="GB14" s="17">
        <f t="shared" si="32"/>
        <v>6825</v>
      </c>
      <c r="GC14" s="17">
        <f t="shared" si="32"/>
        <v>1361</v>
      </c>
      <c r="GD14" s="17">
        <f t="shared" si="32"/>
        <v>0</v>
      </c>
      <c r="GE14" s="17">
        <f t="shared" si="32"/>
        <v>1184</v>
      </c>
      <c r="GF14" s="17"/>
      <c r="GG14" s="17">
        <f t="shared" ref="GG14:GK14" si="33">GG4</f>
        <v>5700</v>
      </c>
      <c r="GH14" s="17">
        <f t="shared" si="33"/>
        <v>134844</v>
      </c>
      <c r="GI14" s="17">
        <f t="shared" si="33"/>
        <v>10323</v>
      </c>
      <c r="GJ14" s="17">
        <f t="shared" si="33"/>
        <v>186</v>
      </c>
      <c r="GK14" s="17">
        <f t="shared" si="33"/>
        <v>29673</v>
      </c>
      <c r="GN14" s="113" t="s">
        <v>550</v>
      </c>
      <c r="GO14" s="17">
        <f t="shared" ref="GO14:GS14" si="34">GO4</f>
        <v>0</v>
      </c>
      <c r="GP14" s="17">
        <f t="shared" si="34"/>
        <v>8085</v>
      </c>
      <c r="GQ14" s="17">
        <f t="shared" si="34"/>
        <v>1400</v>
      </c>
      <c r="GR14" s="17">
        <f t="shared" si="34"/>
        <v>0</v>
      </c>
      <c r="GS14" s="17">
        <f t="shared" si="34"/>
        <v>705</v>
      </c>
      <c r="GT14" s="17"/>
      <c r="GU14" s="17">
        <f t="shared" ref="GU14:GY14" si="35">GU4</f>
        <v>5700</v>
      </c>
      <c r="GV14" s="17">
        <f t="shared" si="35"/>
        <v>142929</v>
      </c>
      <c r="GW14" s="17">
        <f t="shared" si="35"/>
        <v>11723</v>
      </c>
      <c r="GX14" s="17">
        <f t="shared" si="35"/>
        <v>186</v>
      </c>
      <c r="GY14" s="17">
        <f t="shared" si="35"/>
        <v>30378</v>
      </c>
      <c r="HB14" s="113" t="s">
        <v>550</v>
      </c>
      <c r="HC14" s="17">
        <f t="shared" ref="HC14:HG14" si="36">HC4</f>
        <v>0</v>
      </c>
      <c r="HD14" s="17">
        <f t="shared" si="36"/>
        <v>8960</v>
      </c>
      <c r="HE14" s="17">
        <f t="shared" si="36"/>
        <v>630</v>
      </c>
      <c r="HF14" s="17">
        <f t="shared" si="36"/>
        <v>0</v>
      </c>
      <c r="HG14" s="17">
        <f t="shared" si="36"/>
        <v>714</v>
      </c>
      <c r="HH14" s="17"/>
      <c r="HI14" s="17">
        <f t="shared" ref="HI14:HM14" si="37">HI4</f>
        <v>5700</v>
      </c>
      <c r="HJ14" s="17">
        <f t="shared" si="37"/>
        <v>151889</v>
      </c>
      <c r="HK14" s="17">
        <f t="shared" si="37"/>
        <v>12353</v>
      </c>
      <c r="HL14" s="17">
        <f t="shared" si="37"/>
        <v>186</v>
      </c>
      <c r="HM14" s="17">
        <f t="shared" si="37"/>
        <v>31092</v>
      </c>
      <c r="HP14" s="113" t="s">
        <v>550</v>
      </c>
      <c r="HQ14" s="17">
        <f t="shared" ref="HQ14:HU14" si="38">HQ4</f>
        <v>0</v>
      </c>
      <c r="HR14" s="17">
        <f t="shared" si="38"/>
        <v>11815</v>
      </c>
      <c r="HS14" s="17">
        <f t="shared" si="38"/>
        <v>350</v>
      </c>
      <c r="HT14" s="17">
        <f t="shared" si="38"/>
        <v>0</v>
      </c>
      <c r="HU14" s="17">
        <f t="shared" si="38"/>
        <v>1202</v>
      </c>
      <c r="HV14" s="17"/>
      <c r="HW14" s="17">
        <f t="shared" ref="HW14:IA14" si="39">HW4</f>
        <v>5700</v>
      </c>
      <c r="HX14" s="17">
        <f t="shared" si="39"/>
        <v>163704</v>
      </c>
      <c r="HY14" s="17">
        <f t="shared" si="39"/>
        <v>12703</v>
      </c>
      <c r="HZ14" s="17">
        <f t="shared" si="39"/>
        <v>186</v>
      </c>
      <c r="IA14" s="17">
        <f t="shared" si="39"/>
        <v>32294</v>
      </c>
      <c r="ID14" s="113" t="s">
        <v>550</v>
      </c>
      <c r="IE14" s="17">
        <f t="shared" ref="IE14:II14" si="40">IE4</f>
        <v>3000</v>
      </c>
      <c r="IF14" s="17">
        <f t="shared" si="40"/>
        <v>10325</v>
      </c>
      <c r="IG14" s="17">
        <f t="shared" si="40"/>
        <v>210</v>
      </c>
      <c r="IH14" s="17">
        <f t="shared" si="40"/>
        <v>43</v>
      </c>
      <c r="II14" s="17">
        <f t="shared" si="40"/>
        <v>1701</v>
      </c>
      <c r="IJ14" s="17"/>
      <c r="IK14" s="17">
        <f t="shared" ref="IK14:IO14" si="41">IK4</f>
        <v>8700</v>
      </c>
      <c r="IL14" s="17">
        <f t="shared" si="41"/>
        <v>174110</v>
      </c>
      <c r="IM14" s="17">
        <f t="shared" si="41"/>
        <v>12913</v>
      </c>
      <c r="IN14" s="17">
        <f t="shared" si="41"/>
        <v>148</v>
      </c>
      <c r="IO14" s="17">
        <f t="shared" si="41"/>
        <v>33995</v>
      </c>
      <c r="IR14" s="113" t="s">
        <v>550</v>
      </c>
      <c r="IS14" s="17">
        <f t="shared" ref="IS14:IW14" si="42">IS4</f>
        <v>0</v>
      </c>
      <c r="IT14" s="17">
        <f t="shared" si="42"/>
        <v>11508</v>
      </c>
      <c r="IU14" s="17">
        <f t="shared" si="42"/>
        <v>560</v>
      </c>
      <c r="IV14" s="17">
        <f t="shared" si="42"/>
        <v>0</v>
      </c>
      <c r="IW14" s="17">
        <f t="shared" si="42"/>
        <v>1876</v>
      </c>
      <c r="IX14" s="17"/>
      <c r="IY14" s="17">
        <f t="shared" ref="IY14:JC14" si="43">IY4</f>
        <v>8700</v>
      </c>
      <c r="IZ14" s="17">
        <f t="shared" si="43"/>
        <v>185618</v>
      </c>
      <c r="JA14" s="17">
        <f t="shared" si="43"/>
        <v>13473</v>
      </c>
      <c r="JB14" s="17">
        <f t="shared" si="43"/>
        <v>148</v>
      </c>
      <c r="JC14" s="17">
        <f t="shared" si="43"/>
        <v>35871</v>
      </c>
      <c r="JF14" s="113" t="s">
        <v>550</v>
      </c>
      <c r="JG14" s="17">
        <f t="shared" ref="JG14:JK14" si="44">JG4</f>
        <v>0</v>
      </c>
      <c r="JH14" s="17">
        <f t="shared" si="44"/>
        <v>5880</v>
      </c>
      <c r="JI14" s="17">
        <f t="shared" si="44"/>
        <v>770</v>
      </c>
      <c r="JJ14" s="17">
        <f t="shared" si="44"/>
        <v>0</v>
      </c>
      <c r="JK14" s="17">
        <f t="shared" si="44"/>
        <v>2303</v>
      </c>
      <c r="JL14" s="17"/>
      <c r="JM14" s="17">
        <f t="shared" ref="JM14:JQ14" si="45">JM4</f>
        <v>8700</v>
      </c>
      <c r="JN14" s="17">
        <f t="shared" si="45"/>
        <v>191498</v>
      </c>
      <c r="JO14" s="17">
        <f t="shared" si="45"/>
        <v>14243</v>
      </c>
      <c r="JP14" s="17">
        <f t="shared" si="45"/>
        <v>148</v>
      </c>
      <c r="JQ14" s="17">
        <f t="shared" si="45"/>
        <v>38174</v>
      </c>
      <c r="JT14" s="113" t="s">
        <v>550</v>
      </c>
      <c r="JU14" s="17">
        <f t="shared" ref="JU14:JY14" si="46">JU4</f>
        <v>0</v>
      </c>
      <c r="JV14" s="17">
        <f t="shared" si="46"/>
        <v>8960</v>
      </c>
      <c r="JW14" s="17">
        <f t="shared" si="46"/>
        <v>280</v>
      </c>
      <c r="JX14" s="17">
        <f t="shared" si="46"/>
        <v>0</v>
      </c>
      <c r="JY14" s="17">
        <f t="shared" si="46"/>
        <v>1764</v>
      </c>
      <c r="JZ14" s="17"/>
      <c r="KA14" s="17">
        <f>KA4</f>
        <v>8700</v>
      </c>
      <c r="KB14" s="17">
        <f t="shared" ref="KB14:KE14" si="47">KB4</f>
        <v>200458</v>
      </c>
      <c r="KC14" s="17">
        <f t="shared" si="47"/>
        <v>14523</v>
      </c>
      <c r="KD14" s="17">
        <f t="shared" si="47"/>
        <v>148</v>
      </c>
      <c r="KE14" s="17">
        <f t="shared" si="47"/>
        <v>39938</v>
      </c>
      <c r="KH14" s="113" t="s">
        <v>550</v>
      </c>
      <c r="KI14" s="17">
        <f t="shared" ref="KI14:KM14" si="48">KI4</f>
        <v>3000</v>
      </c>
      <c r="KJ14" s="17">
        <f t="shared" si="48"/>
        <v>7210</v>
      </c>
      <c r="KK14" s="17">
        <f t="shared" si="48"/>
        <v>350</v>
      </c>
      <c r="KL14" s="17">
        <f t="shared" si="48"/>
        <v>0</v>
      </c>
      <c r="KM14" s="17">
        <f t="shared" si="48"/>
        <v>2745</v>
      </c>
      <c r="KN14" s="17"/>
      <c r="KO14" s="17">
        <f>KO4</f>
        <v>11700</v>
      </c>
      <c r="KP14" s="17">
        <f t="shared" ref="KP14:KS14" si="49">KP4</f>
        <v>207668</v>
      </c>
      <c r="KQ14" s="17">
        <f t="shared" si="49"/>
        <v>14873</v>
      </c>
      <c r="KR14" s="17">
        <f t="shared" si="49"/>
        <v>148</v>
      </c>
      <c r="KS14" s="17">
        <f t="shared" si="49"/>
        <v>42683</v>
      </c>
      <c r="KV14" s="113" t="s">
        <v>550</v>
      </c>
      <c r="KW14" s="17">
        <f t="shared" ref="KW14:LA14" si="50">KW4</f>
        <v>2099</v>
      </c>
      <c r="KX14" s="17">
        <f t="shared" si="50"/>
        <v>5455</v>
      </c>
      <c r="KY14" s="17">
        <f t="shared" si="50"/>
        <v>595</v>
      </c>
      <c r="KZ14" s="17">
        <f t="shared" si="50"/>
        <v>0</v>
      </c>
      <c r="LA14" s="17">
        <f t="shared" si="50"/>
        <v>1936</v>
      </c>
      <c r="LB14" s="17"/>
      <c r="LC14" s="17">
        <f>LC4</f>
        <v>13799</v>
      </c>
      <c r="LD14" s="17">
        <f t="shared" ref="LD14:LG14" si="51">LD4</f>
        <v>213123</v>
      </c>
      <c r="LE14" s="17">
        <f t="shared" si="51"/>
        <v>15468</v>
      </c>
      <c r="LF14" s="17">
        <f t="shared" si="51"/>
        <v>148</v>
      </c>
      <c r="LG14" s="17">
        <f t="shared" si="51"/>
        <v>44619</v>
      </c>
      <c r="LJ14" s="113" t="s">
        <v>550</v>
      </c>
      <c r="LK14" s="17">
        <f t="shared" ref="LK14:LO14" si="52">LK4</f>
        <v>2000</v>
      </c>
      <c r="LL14" s="17">
        <f t="shared" si="52"/>
        <v>4945</v>
      </c>
      <c r="LM14" s="17">
        <f t="shared" si="52"/>
        <v>140</v>
      </c>
      <c r="LN14" s="17">
        <f t="shared" si="52"/>
        <v>0</v>
      </c>
      <c r="LO14" s="17">
        <f t="shared" si="52"/>
        <v>2240</v>
      </c>
      <c r="LP14" s="17"/>
      <c r="LQ14" s="17">
        <f>LQ4</f>
        <v>15799</v>
      </c>
      <c r="LR14" s="17">
        <f t="shared" ref="LR14:LU14" si="53">LR4</f>
        <v>218068</v>
      </c>
      <c r="LS14" s="17">
        <f t="shared" si="53"/>
        <v>15608</v>
      </c>
      <c r="LT14" s="17">
        <f t="shared" si="53"/>
        <v>148</v>
      </c>
      <c r="LU14" s="17">
        <f t="shared" si="53"/>
        <v>46859</v>
      </c>
    </row>
    <row r="15" spans="2:340" x14ac:dyDescent="0.3">
      <c r="J15" s="114" t="s">
        <v>499</v>
      </c>
      <c r="K15" t="e">
        <f t="shared" ref="K15:N20" si="54">K5*1000/K$4</f>
        <v>#DIV/0!</v>
      </c>
      <c r="L15">
        <f t="shared" si="54"/>
        <v>367.58898550724638</v>
      </c>
      <c r="M15">
        <f t="shared" si="54"/>
        <v>949.06421296296276</v>
      </c>
      <c r="N15">
        <f t="shared" si="54"/>
        <v>153.77296881862097</v>
      </c>
      <c r="P15" t="e">
        <f>P5*1000/P$4</f>
        <v>#DIV/0!</v>
      </c>
      <c r="Q15">
        <f t="shared" ref="Q15:S15" si="55">Q5*1000/Q$4</f>
        <v>364.13070588235297</v>
      </c>
      <c r="R15">
        <f t="shared" si="55"/>
        <v>935.20630742049468</v>
      </c>
      <c r="S15">
        <f t="shared" si="55"/>
        <v>156.03862564827909</v>
      </c>
      <c r="V15" s="114" t="s">
        <v>499</v>
      </c>
      <c r="W15" t="e">
        <f t="shared" ref="W15:Z15" si="56">W5*1000/W$4</f>
        <v>#DIV/0!</v>
      </c>
      <c r="X15">
        <f t="shared" si="56"/>
        <v>483.16</v>
      </c>
      <c r="Y15">
        <f t="shared" si="56"/>
        <v>638.05731571627257</v>
      </c>
      <c r="Z15">
        <f t="shared" si="56"/>
        <v>170.07499999999999</v>
      </c>
      <c r="AB15" t="e">
        <f>AB5*1000/AB$4</f>
        <v>#DIV/0!</v>
      </c>
      <c r="AC15">
        <f t="shared" ref="AC15:AE15" si="57">AC5*1000/AC$4</f>
        <v>366.69968345323741</v>
      </c>
      <c r="AD15">
        <f t="shared" si="57"/>
        <v>768.94161867704281</v>
      </c>
      <c r="AE15">
        <f t="shared" si="57"/>
        <v>158.73360952380952</v>
      </c>
      <c r="AH15" s="114" t="s">
        <v>499</v>
      </c>
      <c r="AI15" t="e">
        <f t="shared" ref="AI15:AL15" si="58">AI5*1000/AI$4</f>
        <v>#DIV/0!</v>
      </c>
      <c r="AJ15" t="e">
        <f t="shared" si="58"/>
        <v>#DIV/0!</v>
      </c>
      <c r="AK15">
        <f t="shared" si="58"/>
        <v>928.80894736842095</v>
      </c>
      <c r="AL15" t="e">
        <f t="shared" si="58"/>
        <v>#DIV/0!</v>
      </c>
      <c r="AN15" t="e">
        <f>AN5*1000/AN$4</f>
        <v>#DIV/0!</v>
      </c>
      <c r="AO15">
        <f t="shared" ref="AO15:AQ15" si="59">AO5*1000/AO$4</f>
        <v>366.69968345323741</v>
      </c>
      <c r="AP15">
        <f t="shared" si="59"/>
        <v>823.46047692307695</v>
      </c>
      <c r="AQ15">
        <f t="shared" si="59"/>
        <v>158.73360952380955</v>
      </c>
      <c r="AT15" s="114" t="s">
        <v>499</v>
      </c>
      <c r="AU15" t="e">
        <f t="shared" ref="AU15:AX15" si="60">AU5*1000/AU$4</f>
        <v>#DIV/0!</v>
      </c>
      <c r="AV15">
        <f t="shared" si="60"/>
        <v>369.11022004889969</v>
      </c>
      <c r="AW15">
        <f t="shared" si="60"/>
        <v>882.29431164901666</v>
      </c>
      <c r="AX15">
        <f t="shared" si="60"/>
        <v>157.51333333333332</v>
      </c>
      <c r="AZ15" t="e">
        <f>AZ5*1000/AZ$4</f>
        <v>#DIV/0!</v>
      </c>
      <c r="BA15">
        <f t="shared" ref="BA15:BC15" si="61">BA5*1000/BA$4</f>
        <v>367.47128154959887</v>
      </c>
      <c r="BB15">
        <f t="shared" si="61"/>
        <v>838.35483339716575</v>
      </c>
      <c r="BC15">
        <f t="shared" si="61"/>
        <v>158.46075273587695</v>
      </c>
      <c r="BF15" s="114" t="s">
        <v>499</v>
      </c>
      <c r="BG15" t="e">
        <f t="shared" ref="BG15:BJ15" si="62">BG5*1000/BG$4</f>
        <v>#DIV/0!</v>
      </c>
      <c r="BH15">
        <f t="shared" si="62"/>
        <v>359.9868551236749</v>
      </c>
      <c r="BI15">
        <f t="shared" si="62"/>
        <v>925.75900000000001</v>
      </c>
      <c r="BJ15">
        <f t="shared" si="62"/>
        <v>158.59</v>
      </c>
      <c r="BL15" t="e">
        <f>BL5*1000/BL$4</f>
        <v>#DIV/0!</v>
      </c>
      <c r="BM15">
        <f t="shared" ref="BM15:BO15" si="63">BM5*1000/BM$4</f>
        <v>365.84847073245481</v>
      </c>
      <c r="BN15">
        <f t="shared" si="63"/>
        <v>856.83351555421314</v>
      </c>
      <c r="BO15">
        <f t="shared" si="63"/>
        <v>158.46728587475428</v>
      </c>
      <c r="BR15" s="114" t="s">
        <v>499</v>
      </c>
      <c r="BS15" t="e">
        <f t="shared" ref="BS15:BV15" si="64">BS5*1000/BS$4</f>
        <v>#DIV/0!</v>
      </c>
      <c r="BT15">
        <f t="shared" si="64"/>
        <v>367.41316455696199</v>
      </c>
      <c r="BU15">
        <f t="shared" si="64"/>
        <v>927.58299428571434</v>
      </c>
      <c r="BV15">
        <f t="shared" si="64"/>
        <v>191.97964107676967</v>
      </c>
      <c r="BX15" t="e">
        <f>BX5*1000/BX$4</f>
        <v>#DIV/0!</v>
      </c>
      <c r="BY15">
        <f t="shared" ref="BY15:CA15" si="65">BY5*1000/BY$4</f>
        <v>366.01743028977575</v>
      </c>
      <c r="BZ15">
        <f t="shared" si="65"/>
        <v>871.62228619206849</v>
      </c>
      <c r="CA15">
        <f t="shared" si="65"/>
        <v>162.60425723076926</v>
      </c>
      <c r="CD15" s="114" t="s">
        <v>499</v>
      </c>
      <c r="CE15">
        <f t="shared" ref="CE15:CH15" si="66">CE5*1000/CE$4</f>
        <v>659.31</v>
      </c>
      <c r="CF15">
        <f t="shared" si="66"/>
        <v>366.73436875271619</v>
      </c>
      <c r="CG15">
        <f t="shared" si="66"/>
        <v>1059.5799999999997</v>
      </c>
      <c r="CH15">
        <f t="shared" si="66"/>
        <v>186.96408602150535</v>
      </c>
      <c r="CJ15">
        <f>CJ5*1000/CJ$4</f>
        <v>659.31</v>
      </c>
      <c r="CK15">
        <f t="shared" ref="CK15:CM15" si="67">CK5*1000/CK$4</f>
        <v>366.12665138373944</v>
      </c>
      <c r="CL15">
        <f t="shared" si="67"/>
        <v>891.31845380667198</v>
      </c>
      <c r="CM15">
        <f t="shared" si="67"/>
        <v>164.16970517102385</v>
      </c>
      <c r="CP15" s="114" t="s">
        <v>499</v>
      </c>
      <c r="CQ15" t="e">
        <f t="shared" ref="CQ15:CT15" si="68">CQ5*1000/CQ$4</f>
        <v>#DIV/0!</v>
      </c>
      <c r="CR15">
        <f t="shared" si="68"/>
        <v>366.84513888888887</v>
      </c>
      <c r="CS15">
        <f t="shared" si="68"/>
        <v>1000.3342857142857</v>
      </c>
      <c r="CT15">
        <f t="shared" si="68"/>
        <v>132.38999999999999</v>
      </c>
      <c r="CV15">
        <f>CV5*1000/CV$4</f>
        <v>659.31</v>
      </c>
      <c r="CW15">
        <f t="shared" ref="CW15:CY15" si="69">CW5*1000/CW$4</f>
        <v>366.22938563890153</v>
      </c>
      <c r="CX15">
        <f t="shared" si="69"/>
        <v>896.74598455598436</v>
      </c>
      <c r="CY15">
        <f t="shared" si="69"/>
        <v>162.51809040288242</v>
      </c>
      <c r="DB15" s="114" t="s">
        <v>499</v>
      </c>
      <c r="DC15" t="e">
        <f t="shared" ref="DC15:DF15" si="70">DC5*1000/DC$4</f>
        <v>#DIV/0!</v>
      </c>
      <c r="DD15">
        <f t="shared" si="70"/>
        <v>434.77904761904762</v>
      </c>
      <c r="DE15">
        <f t="shared" si="70"/>
        <v>938.19799999999998</v>
      </c>
      <c r="DF15">
        <f t="shared" si="70"/>
        <v>167.50863799283155</v>
      </c>
      <c r="DH15">
        <f>DH5*1000/DH$4</f>
        <v>659.31</v>
      </c>
      <c r="DI15">
        <f t="shared" ref="DI15:DK15" si="71">DI5*1000/DI$4</f>
        <v>368.30847677473491</v>
      </c>
      <c r="DJ15">
        <f t="shared" si="71"/>
        <v>903.00383712905409</v>
      </c>
      <c r="DK15">
        <f t="shared" si="71"/>
        <v>162.80467325306168</v>
      </c>
      <c r="DN15" s="114" t="s">
        <v>499</v>
      </c>
      <c r="DO15" t="e">
        <f t="shared" ref="DO15:DR15" si="72">DO5*1000/DO$4</f>
        <v>#DIV/0!</v>
      </c>
      <c r="DP15">
        <f t="shared" si="72"/>
        <v>359.0716824537663</v>
      </c>
      <c r="DQ15">
        <f t="shared" si="72"/>
        <v>799.12053664921461</v>
      </c>
      <c r="DR15">
        <f t="shared" si="72"/>
        <v>141.09914127423824</v>
      </c>
      <c r="DT15">
        <f>DT5*1000/DT$4</f>
        <v>659.31</v>
      </c>
      <c r="DU15">
        <f t="shared" ref="DU15:DW15" si="73">DU5*1000/DU$4</f>
        <v>366.68360927227394</v>
      </c>
      <c r="DV15">
        <f t="shared" si="73"/>
        <v>890.90523323170703</v>
      </c>
      <c r="DW15">
        <f t="shared" si="73"/>
        <v>161.30343806878059</v>
      </c>
      <c r="DZ15" s="114" t="s">
        <v>499</v>
      </c>
      <c r="EA15" t="e">
        <f t="shared" ref="EA15:ED15" si="74">EA5*1000/EA$4</f>
        <v>#DIV/0!</v>
      </c>
      <c r="EB15">
        <f t="shared" si="74"/>
        <v>357.35856410256412</v>
      </c>
      <c r="EC15">
        <f t="shared" si="74"/>
        <v>949.01714285714274</v>
      </c>
      <c r="ED15">
        <f t="shared" si="74"/>
        <v>178.28560738581149</v>
      </c>
      <c r="EF15">
        <f>EF5*1000/EF$4</f>
        <v>659.31</v>
      </c>
      <c r="EG15">
        <f t="shared" ref="EG15:EI15" si="75">EG5*1000/EG$4</f>
        <v>365.43410631196627</v>
      </c>
      <c r="EH15">
        <f t="shared" si="75"/>
        <v>894.94421702127624</v>
      </c>
      <c r="EI15">
        <f t="shared" si="75"/>
        <v>164.10005361286713</v>
      </c>
      <c r="EL15" s="114" t="s">
        <v>499</v>
      </c>
      <c r="EM15" t="e">
        <f t="shared" ref="EM15:EP15" si="76">EM5*1000/EM$4</f>
        <v>#DIV/0!</v>
      </c>
      <c r="EN15">
        <f t="shared" si="76"/>
        <v>365.2779766536965</v>
      </c>
      <c r="EO15">
        <f t="shared" si="76"/>
        <v>935.12</v>
      </c>
      <c r="EP15">
        <f t="shared" si="76"/>
        <v>168.81883333333332</v>
      </c>
      <c r="ER15">
        <f>ER5*1000/ER$4</f>
        <v>659.31</v>
      </c>
      <c r="ES15">
        <f t="shared" ref="ES15:EU15" si="77">ES5*1000/ES$4</f>
        <v>365.42143877689091</v>
      </c>
      <c r="ET15">
        <f t="shared" si="77"/>
        <v>897.37992405063255</v>
      </c>
      <c r="EU15">
        <f t="shared" si="77"/>
        <v>164.32652053020496</v>
      </c>
      <c r="EX15" s="114" t="s">
        <v>499</v>
      </c>
      <c r="EY15" t="e">
        <f t="shared" ref="EY15:FB15" si="78">EY5*1000/EY$4</f>
        <v>#DIV/0!</v>
      </c>
      <c r="EZ15">
        <f t="shared" si="78"/>
        <v>374.76375853959007</v>
      </c>
      <c r="FA15">
        <f t="shared" si="78"/>
        <v>903.33170533642692</v>
      </c>
      <c r="FB15">
        <f t="shared" si="78"/>
        <v>725.94999999999993</v>
      </c>
      <c r="FC15">
        <f t="shared" ref="FC15" si="79">FC5*1000/FC$4</f>
        <v>184.9264698331194</v>
      </c>
      <c r="FE15">
        <f t="shared" ref="FE15:FG15" si="80">FE5*1000/FE$4</f>
        <v>659.31</v>
      </c>
      <c r="FF15">
        <f t="shared" si="80"/>
        <v>366.11778060670821</v>
      </c>
      <c r="FG15">
        <f t="shared" si="80"/>
        <v>897.99309907971747</v>
      </c>
      <c r="FH15">
        <f t="shared" ref="FH15:FI15" si="81">FH5*1000/FH$4</f>
        <v>725.94999999999993</v>
      </c>
      <c r="FI15">
        <f t="shared" si="81"/>
        <v>164.92014167868902</v>
      </c>
      <c r="FL15" s="114" t="s">
        <v>499</v>
      </c>
      <c r="FM15">
        <f t="shared" ref="FM15:FQ20" si="82">FM5*1000/FM$4</f>
        <v>659.3</v>
      </c>
      <c r="FN15">
        <f t="shared" si="82"/>
        <v>367.60459574468081</v>
      </c>
      <c r="FO15">
        <f t="shared" si="82"/>
        <v>883.00364705882362</v>
      </c>
      <c r="FP15">
        <f t="shared" si="82"/>
        <v>673.84466666666674</v>
      </c>
      <c r="FQ15">
        <f t="shared" si="82"/>
        <v>173.71923076923079</v>
      </c>
      <c r="FS15">
        <f t="shared" ref="FS15:FW15" si="83">FS5*1000/FS$4</f>
        <v>659.30701754385962</v>
      </c>
      <c r="FT15">
        <f t="shared" si="83"/>
        <v>366.21330591552811</v>
      </c>
      <c r="FU15">
        <f t="shared" si="83"/>
        <v>896.99792791787502</v>
      </c>
      <c r="FV15">
        <f t="shared" si="83"/>
        <v>696.53569892473126</v>
      </c>
      <c r="FW15">
        <f t="shared" si="83"/>
        <v>165.36984064024713</v>
      </c>
      <c r="FZ15" s="114" t="s">
        <v>499</v>
      </c>
      <c r="GA15" t="e">
        <f t="shared" ref="GA15:GE15" si="84">GA5*1000/GA$4</f>
        <v>#DIV/0!</v>
      </c>
      <c r="GB15">
        <f t="shared" si="84"/>
        <v>389.37538461538463</v>
      </c>
      <c r="GC15">
        <f t="shared" si="84"/>
        <v>735.15274063188826</v>
      </c>
      <c r="GD15" t="e">
        <f t="shared" si="84"/>
        <v>#DIV/0!</v>
      </c>
      <c r="GE15">
        <f t="shared" si="84"/>
        <v>177.69320945945947</v>
      </c>
      <c r="GG15">
        <f t="shared" ref="GG15:GK15" si="85">GG5*1000/GG$4</f>
        <v>659.30701754385962</v>
      </c>
      <c r="GH15">
        <f t="shared" si="85"/>
        <v>367.38563236035708</v>
      </c>
      <c r="GI15">
        <f t="shared" si="85"/>
        <v>875.66001259323843</v>
      </c>
      <c r="GJ15">
        <f t="shared" si="85"/>
        <v>696.53569892473126</v>
      </c>
      <c r="GK15">
        <f t="shared" si="85"/>
        <v>165.86156270009775</v>
      </c>
      <c r="GN15" s="114" t="s">
        <v>499</v>
      </c>
      <c r="GO15" t="e">
        <f t="shared" ref="GO15:GS15" si="86">GO5*1000/GO$4</f>
        <v>#DIV/0!</v>
      </c>
      <c r="GP15">
        <f t="shared" si="86"/>
        <v>365.20467532467529</v>
      </c>
      <c r="GQ15">
        <f t="shared" si="86"/>
        <v>836.99960714285726</v>
      </c>
      <c r="GR15" t="e">
        <f t="shared" si="86"/>
        <v>#DIV/0!</v>
      </c>
      <c r="GS15">
        <f t="shared" si="86"/>
        <v>178.46723404255317</v>
      </c>
      <c r="GU15">
        <f t="shared" ref="GU15:GY15" si="87">GU5*1000/GU$4</f>
        <v>659.30701754385962</v>
      </c>
      <c r="GV15">
        <f t="shared" si="87"/>
        <v>367.26226315163467</v>
      </c>
      <c r="GW15">
        <f t="shared" si="87"/>
        <v>871.0430572379089</v>
      </c>
      <c r="GX15">
        <f t="shared" si="87"/>
        <v>696.53569892473126</v>
      </c>
      <c r="GY15">
        <f t="shared" si="87"/>
        <v>166.15410988215154</v>
      </c>
      <c r="HB15" s="114" t="s">
        <v>499</v>
      </c>
      <c r="HC15" t="e">
        <f t="shared" ref="HC15:HG15" si="88">HC5*1000/HC$4</f>
        <v>#DIV/0!</v>
      </c>
      <c r="HD15">
        <f t="shared" si="88"/>
        <v>368.78625</v>
      </c>
      <c r="HE15">
        <f t="shared" si="88"/>
        <v>825.80444444444447</v>
      </c>
      <c r="HF15" t="e">
        <f t="shared" si="88"/>
        <v>#DIV/0!</v>
      </c>
      <c r="HG15">
        <f t="shared" si="88"/>
        <v>191.36999999999998</v>
      </c>
      <c r="HI15">
        <f t="shared" ref="HI15:HM15" si="89">HI5*1000/HI$4</f>
        <v>659.30701754385962</v>
      </c>
      <c r="HJ15">
        <f t="shared" si="89"/>
        <v>367.35216381699786</v>
      </c>
      <c r="HK15">
        <f t="shared" si="89"/>
        <v>868.73589897191016</v>
      </c>
      <c r="HL15">
        <f t="shared" si="89"/>
        <v>696.53569892473126</v>
      </c>
      <c r="HM15">
        <f t="shared" si="89"/>
        <v>166.73317026887946</v>
      </c>
      <c r="HP15" s="114" t="s">
        <v>499</v>
      </c>
      <c r="HQ15" t="e">
        <f t="shared" ref="HQ15:HU15" si="90">HQ5*1000/HQ$4</f>
        <v>#DIV/0!</v>
      </c>
      <c r="HR15">
        <f t="shared" si="90"/>
        <v>364.99888277613201</v>
      </c>
      <c r="HS15">
        <f t="shared" si="90"/>
        <v>1020.2157142857143</v>
      </c>
      <c r="HT15" t="e">
        <f t="shared" si="90"/>
        <v>#DIV/0!</v>
      </c>
      <c r="HU15">
        <f t="shared" si="90"/>
        <v>183.21590682196342</v>
      </c>
      <c r="HW15">
        <f t="shared" ref="HW15:IA15" si="91">HW5*1000/HW$4</f>
        <v>659.30701754385962</v>
      </c>
      <c r="HX15">
        <f t="shared" si="91"/>
        <v>367.18232059082231</v>
      </c>
      <c r="HY15">
        <f t="shared" si="91"/>
        <v>872.90955364874492</v>
      </c>
      <c r="HZ15">
        <f t="shared" si="91"/>
        <v>696.53569892473126</v>
      </c>
      <c r="IA15">
        <f t="shared" si="91"/>
        <v>167.34666656344831</v>
      </c>
      <c r="ID15" s="114" t="s">
        <v>499</v>
      </c>
      <c r="IE15">
        <f t="shared" ref="IE15:II15" si="92">IE5*1000/IE$4</f>
        <v>659.31</v>
      </c>
      <c r="IF15">
        <f t="shared" si="92"/>
        <v>371.69261016949156</v>
      </c>
      <c r="IG15">
        <f t="shared" si="92"/>
        <v>1496.0583333333334</v>
      </c>
      <c r="IH15">
        <f t="shared" si="92"/>
        <v>461.21999999999997</v>
      </c>
      <c r="II15">
        <f t="shared" si="92"/>
        <v>180.18317460317459</v>
      </c>
      <c r="IK15">
        <f t="shared" ref="IK15:IO15" si="93">IK5*1000/IK$4</f>
        <v>659.30804597701149</v>
      </c>
      <c r="IL15">
        <f t="shared" si="93"/>
        <v>367.61669496295434</v>
      </c>
      <c r="IM15">
        <f t="shared" si="93"/>
        <v>883.04362348021402</v>
      </c>
      <c r="IN15">
        <f t="shared" si="93"/>
        <v>612.06858108108099</v>
      </c>
      <c r="IO15">
        <f t="shared" si="93"/>
        <v>167.988963965289</v>
      </c>
      <c r="IR15" s="114" t="s">
        <v>499</v>
      </c>
      <c r="IS15" t="e">
        <f t="shared" ref="IS15:IW15" si="94">IS5*1000/IS$4</f>
        <v>#DIV/0!</v>
      </c>
      <c r="IT15">
        <f t="shared" si="94"/>
        <v>376.82890858533193</v>
      </c>
      <c r="IU15">
        <f t="shared" si="94"/>
        <v>1078.6375</v>
      </c>
      <c r="IV15" t="e">
        <f t="shared" si="94"/>
        <v>#DIV/0!</v>
      </c>
      <c r="IW15">
        <f t="shared" si="94"/>
        <v>185.00970149253729</v>
      </c>
      <c r="IY15">
        <f t="shared" ref="IY15:JC15" si="95">IY5*1000/IY$4</f>
        <v>659.30804597701149</v>
      </c>
      <c r="IZ15">
        <f t="shared" si="95"/>
        <v>368.18783652447485</v>
      </c>
      <c r="JA15">
        <f t="shared" si="95"/>
        <v>891.17340681362771</v>
      </c>
      <c r="JB15">
        <f t="shared" si="95"/>
        <v>612.06858108108099</v>
      </c>
      <c r="JC15">
        <f t="shared" si="95"/>
        <v>168.87912324719133</v>
      </c>
      <c r="JF15" s="114" t="s">
        <v>499</v>
      </c>
      <c r="JG15" t="e">
        <f t="shared" ref="JG15:JK15" si="96">JG5*1000/JG$4</f>
        <v>#DIV/0!</v>
      </c>
      <c r="JH15">
        <f t="shared" si="96"/>
        <v>376.49714285714288</v>
      </c>
      <c r="JI15">
        <f t="shared" si="96"/>
        <v>1071.0759090909091</v>
      </c>
      <c r="JJ15" t="e">
        <f t="shared" si="96"/>
        <v>#DIV/0!</v>
      </c>
      <c r="JK15">
        <f t="shared" si="96"/>
        <v>188.03221884498478</v>
      </c>
      <c r="JM15">
        <f t="shared" ref="JM15:JQ15" si="97">JM5*1000/JM$4</f>
        <v>659.30804597701149</v>
      </c>
      <c r="JN15">
        <f t="shared" si="97"/>
        <v>368.44297611463287</v>
      </c>
      <c r="JO15">
        <f t="shared" si="97"/>
        <v>900.89923190339186</v>
      </c>
      <c r="JP15">
        <f t="shared" si="97"/>
        <v>612.06858108108099</v>
      </c>
      <c r="JQ15">
        <f t="shared" si="97"/>
        <v>170.03461072981611</v>
      </c>
      <c r="JT15" s="114" t="s">
        <v>499</v>
      </c>
      <c r="JU15" t="e">
        <f t="shared" ref="JU15:JY15" si="98">JU5*1000/JU$4</f>
        <v>#DIV/0!</v>
      </c>
      <c r="JV15">
        <f t="shared" si="98"/>
        <v>378.64484375000001</v>
      </c>
      <c r="JW15">
        <f t="shared" si="98"/>
        <v>1058.6115</v>
      </c>
      <c r="JX15" t="e">
        <f t="shared" si="98"/>
        <v>#DIV/0!</v>
      </c>
      <c r="JY15">
        <f t="shared" si="98"/>
        <v>207.76000000000002</v>
      </c>
      <c r="KA15">
        <f t="shared" ref="KA15:KE15" si="99">KA5*1000/KA$4</f>
        <v>659.30804597701149</v>
      </c>
      <c r="KB15">
        <f t="shared" si="99"/>
        <v>368.89897554599946</v>
      </c>
      <c r="KC15">
        <f t="shared" si="99"/>
        <v>903.93988707567371</v>
      </c>
      <c r="KD15">
        <f t="shared" si="99"/>
        <v>612.06858108108099</v>
      </c>
      <c r="KE15">
        <f t="shared" si="99"/>
        <v>171.70088311883424</v>
      </c>
      <c r="KH15" s="114" t="s">
        <v>499</v>
      </c>
      <c r="KI15">
        <f t="shared" ref="KI15:KM15" si="100">KI5*1000/KI$4</f>
        <v>659.31</v>
      </c>
      <c r="KJ15">
        <f t="shared" si="100"/>
        <v>373.06524271844665</v>
      </c>
      <c r="KK15">
        <f t="shared" si="100"/>
        <v>1353.3779999999999</v>
      </c>
      <c r="KL15" t="e">
        <f t="shared" si="100"/>
        <v>#DIV/0!</v>
      </c>
      <c r="KM15">
        <f t="shared" si="100"/>
        <v>210.68626958105645</v>
      </c>
      <c r="KO15">
        <f t="shared" ref="KO15:KS15" si="101">KO5*1000/KO$4</f>
        <v>659.30854700854695</v>
      </c>
      <c r="KP15">
        <f t="shared" si="101"/>
        <v>369.0436236685477</v>
      </c>
      <c r="KQ15">
        <f t="shared" si="101"/>
        <v>914.51632353929995</v>
      </c>
      <c r="KR15">
        <f t="shared" si="101"/>
        <v>612.06858108108099</v>
      </c>
      <c r="KS15">
        <f t="shared" si="101"/>
        <v>174.20808471756914</v>
      </c>
      <c r="KV15" s="114" t="s">
        <v>499</v>
      </c>
      <c r="KW15">
        <f t="shared" ref="KW15:LA15" si="102">KW5*1000/KW$4</f>
        <v>659.27188661267269</v>
      </c>
      <c r="KX15">
        <f t="shared" si="102"/>
        <v>374.82221814848759</v>
      </c>
      <c r="KY15">
        <f t="shared" si="102"/>
        <v>1345.3388235294119</v>
      </c>
      <c r="KZ15" t="e">
        <f t="shared" si="102"/>
        <v>#DIV/0!</v>
      </c>
      <c r="LA15">
        <f t="shared" si="102"/>
        <v>207.76</v>
      </c>
      <c r="LC15">
        <f t="shared" ref="LC15:LG15" si="103">LC5*1000/LC$4</f>
        <v>659.30297050510899</v>
      </c>
      <c r="LD15">
        <f t="shared" si="103"/>
        <v>369.19152996157135</v>
      </c>
      <c r="LE15">
        <f t="shared" si="103"/>
        <v>931.08856219291499</v>
      </c>
      <c r="LF15">
        <f t="shared" si="103"/>
        <v>612.06858108108099</v>
      </c>
      <c r="LG15">
        <f t="shared" si="103"/>
        <v>175.66388847800272</v>
      </c>
      <c r="LJ15" s="114" t="s">
        <v>499</v>
      </c>
      <c r="LK15">
        <f t="shared" ref="LK15:LO15" si="104">LK5*1000/LK$4</f>
        <v>659.31</v>
      </c>
      <c r="LL15">
        <f t="shared" si="104"/>
        <v>400.04113245702729</v>
      </c>
      <c r="LM15">
        <f t="shared" si="104"/>
        <v>2450.8349999999996</v>
      </c>
      <c r="LN15" t="e">
        <f t="shared" si="104"/>
        <v>#DIV/0!</v>
      </c>
      <c r="LO15">
        <f t="shared" si="104"/>
        <v>207.76000000000002</v>
      </c>
      <c r="LQ15">
        <f t="shared" ref="LQ15:LU15" si="105">LQ5*1000/LQ$4</f>
        <v>659.30386037090955</v>
      </c>
      <c r="LR15">
        <f t="shared" si="105"/>
        <v>369.89108828438822</v>
      </c>
      <c r="LS15">
        <f t="shared" si="105"/>
        <v>944.72032162993401</v>
      </c>
      <c r="LT15">
        <f t="shared" si="105"/>
        <v>612.06858108108099</v>
      </c>
      <c r="LU15">
        <f t="shared" si="105"/>
        <v>177.19817836488198</v>
      </c>
    </row>
    <row r="16" spans="2:340" x14ac:dyDescent="0.3">
      <c r="J16" s="115" t="s">
        <v>539</v>
      </c>
      <c r="K16" t="e">
        <f t="shared" si="54"/>
        <v>#DIV/0!</v>
      </c>
      <c r="L16">
        <f t="shared" si="54"/>
        <v>365.42927536231883</v>
      </c>
      <c r="M16">
        <f t="shared" si="54"/>
        <v>914.01212962962916</v>
      </c>
      <c r="N16">
        <f t="shared" si="54"/>
        <v>149.32231444883621</v>
      </c>
      <c r="P16" t="e">
        <f t="shared" ref="P16:S20" si="106">P6*1000/P$4</f>
        <v>#DIV/0!</v>
      </c>
      <c r="Q16">
        <f t="shared" si="106"/>
        <v>362.70533823529416</v>
      </c>
      <c r="R16">
        <f t="shared" si="106"/>
        <v>1000.3049823321553</v>
      </c>
      <c r="S16">
        <f t="shared" si="106"/>
        <v>151.10580150872229</v>
      </c>
      <c r="V16" s="115" t="s">
        <v>539</v>
      </c>
      <c r="W16" t="e">
        <f t="shared" ref="W16:Z16" si="107">W6*1000/W$4</f>
        <v>#DIV/0!</v>
      </c>
      <c r="X16">
        <f t="shared" si="107"/>
        <v>457.09999999999997</v>
      </c>
      <c r="Y16">
        <f t="shared" si="107"/>
        <v>615.77951321279556</v>
      </c>
      <c r="Z16">
        <f t="shared" si="107"/>
        <v>162.155</v>
      </c>
      <c r="AB16" t="e">
        <f t="shared" ref="AB16:AE16" si="108">AB6*1000/AB$4</f>
        <v>#DIV/0!</v>
      </c>
      <c r="AC16">
        <f t="shared" si="108"/>
        <v>361.98726618705041</v>
      </c>
      <c r="AD16">
        <f t="shared" si="108"/>
        <v>789.35680155642012</v>
      </c>
      <c r="AE16">
        <f t="shared" si="108"/>
        <v>153.22724761904763</v>
      </c>
      <c r="AH16" s="115" t="s">
        <v>539</v>
      </c>
      <c r="AI16" t="e">
        <f t="shared" ref="AI16:AL16" si="109">AI6*1000/AI$4</f>
        <v>#DIV/0!</v>
      </c>
      <c r="AJ16" t="e">
        <f t="shared" si="109"/>
        <v>#DIV/0!</v>
      </c>
      <c r="AK16">
        <f t="shared" si="109"/>
        <v>855.40578947368419</v>
      </c>
      <c r="AL16" t="e">
        <f t="shared" si="109"/>
        <v>#DIV/0!</v>
      </c>
      <c r="AN16" t="e">
        <f t="shared" ref="AN16:AQ16" si="110">AN6*1000/AN$4</f>
        <v>#DIV/0!</v>
      </c>
      <c r="AO16">
        <f t="shared" si="110"/>
        <v>361.98726618705041</v>
      </c>
      <c r="AP16">
        <f t="shared" si="110"/>
        <v>811.88120000000026</v>
      </c>
      <c r="AQ16">
        <f t="shared" si="110"/>
        <v>153.22724761904763</v>
      </c>
      <c r="AT16" s="115" t="s">
        <v>539</v>
      </c>
      <c r="AU16" t="e">
        <f t="shared" ref="AU16:AX16" si="111">AU6*1000/AU$4</f>
        <v>#DIV/0!</v>
      </c>
      <c r="AV16">
        <f t="shared" si="111"/>
        <v>364.65328850855747</v>
      </c>
      <c r="AW16">
        <f t="shared" si="111"/>
        <v>794.54590015128588</v>
      </c>
      <c r="AX16">
        <f t="shared" si="111"/>
        <v>152.26666666666668</v>
      </c>
      <c r="AZ16" t="e">
        <f t="shared" ref="AZ16:BC16" si="112">AZ6*1000/AZ$4</f>
        <v>#DIV/0!</v>
      </c>
      <c r="BA16">
        <f t="shared" si="112"/>
        <v>362.84064370964592</v>
      </c>
      <c r="BB16">
        <f t="shared" si="112"/>
        <v>807.49260053619309</v>
      </c>
      <c r="BC16">
        <f t="shared" si="112"/>
        <v>153.01245933155869</v>
      </c>
      <c r="BF16" s="115" t="s">
        <v>539</v>
      </c>
      <c r="BG16" t="e">
        <f t="shared" ref="BG16:BJ16" si="113">BG6*1000/BG$4</f>
        <v>#DIV/0!</v>
      </c>
      <c r="BH16">
        <f t="shared" si="113"/>
        <v>359.0055477031803</v>
      </c>
      <c r="BI16">
        <f t="shared" si="113"/>
        <v>839.35100000000011</v>
      </c>
      <c r="BJ16">
        <f t="shared" si="113"/>
        <v>147.76</v>
      </c>
      <c r="BL16" t="e">
        <f t="shared" ref="BL16:BO16" si="114">BL6*1000/BL$4</f>
        <v>#DIV/0!</v>
      </c>
      <c r="BM16">
        <f t="shared" si="114"/>
        <v>362.00909898866075</v>
      </c>
      <c r="BN16">
        <f t="shared" si="114"/>
        <v>814.22799154334029</v>
      </c>
      <c r="BO16">
        <f t="shared" si="114"/>
        <v>152.7469601235608</v>
      </c>
      <c r="BR16" s="115" t="s">
        <v>539</v>
      </c>
      <c r="BS16" t="e">
        <f t="shared" ref="BS16:BV16" si="115">BS6*1000/BS$4</f>
        <v>#DIV/0!</v>
      </c>
      <c r="BT16">
        <f t="shared" si="115"/>
        <v>364.39316455696212</v>
      </c>
      <c r="BU16">
        <f t="shared" si="115"/>
        <v>841.60189714285718</v>
      </c>
      <c r="BV16">
        <f t="shared" si="115"/>
        <v>179.39796610169489</v>
      </c>
      <c r="BX16" t="e">
        <f t="shared" ref="BX16:CA16" si="116">BX6*1000/BX$4</f>
        <v>#DIV/0!</v>
      </c>
      <c r="BY16">
        <f t="shared" si="116"/>
        <v>362.26653635866592</v>
      </c>
      <c r="BZ16">
        <f t="shared" si="116"/>
        <v>819.949961777353</v>
      </c>
      <c r="CA16">
        <f t="shared" si="116"/>
        <v>156.03692430769232</v>
      </c>
      <c r="CD16" s="115" t="s">
        <v>539</v>
      </c>
      <c r="CE16">
        <f t="shared" ref="CE16:CH16" si="117">CE6*1000/CE$4</f>
        <v>499.01999999999992</v>
      </c>
      <c r="CF16">
        <f t="shared" si="117"/>
        <v>364.89541720990883</v>
      </c>
      <c r="CG16">
        <f t="shared" si="117"/>
        <v>980.53714285714273</v>
      </c>
      <c r="CH16">
        <f t="shared" si="117"/>
        <v>173.1853046594982</v>
      </c>
      <c r="CJ16">
        <f t="shared" ref="CJ16:CM16" si="118">CJ6*1000/CJ$4</f>
        <v>499.01999999999992</v>
      </c>
      <c r="CK16">
        <f t="shared" si="118"/>
        <v>362.66702992584749</v>
      </c>
      <c r="CL16">
        <f t="shared" si="118"/>
        <v>836.77795979469624</v>
      </c>
      <c r="CM16">
        <f t="shared" si="118"/>
        <v>157.13893930669124</v>
      </c>
      <c r="CP16" s="115" t="s">
        <v>539</v>
      </c>
      <c r="CQ16" t="e">
        <f t="shared" ref="CQ16:CT16" si="119">CQ6*1000/CQ$4</f>
        <v>#DIV/0!</v>
      </c>
      <c r="CR16">
        <f t="shared" si="119"/>
        <v>364.86590277777776</v>
      </c>
      <c r="CS16">
        <f t="shared" si="119"/>
        <v>917.66285714285698</v>
      </c>
      <c r="CT16">
        <f t="shared" si="119"/>
        <v>132.49</v>
      </c>
      <c r="CV16">
        <f t="shared" ref="CV16:CY16" si="120">CV6*1000/CV$4</f>
        <v>499.01999999999992</v>
      </c>
      <c r="CW16">
        <f t="shared" si="120"/>
        <v>362.98143979800273</v>
      </c>
      <c r="CX16">
        <f t="shared" si="120"/>
        <v>840.80494614915665</v>
      </c>
      <c r="CY16">
        <f t="shared" si="120"/>
        <v>155.85791571132222</v>
      </c>
      <c r="DB16" s="115" t="s">
        <v>539</v>
      </c>
      <c r="DC16" t="e">
        <f t="shared" ref="DC16:DF16" si="121">DC6*1000/DC$4</f>
        <v>#DIV/0!</v>
      </c>
      <c r="DD16">
        <f t="shared" si="121"/>
        <v>418.34952380952382</v>
      </c>
      <c r="DE16">
        <f t="shared" si="121"/>
        <v>871.81</v>
      </c>
      <c r="DF16">
        <f t="shared" si="121"/>
        <v>160.13480286738351</v>
      </c>
      <c r="DH16">
        <f t="shared" ref="DH16:DK16" si="122">DH6*1000/DH$4</f>
        <v>499.01999999999992</v>
      </c>
      <c r="DI16">
        <f t="shared" si="122"/>
        <v>364.66073754143679</v>
      </c>
      <c r="DJ16">
        <f t="shared" si="122"/>
        <v>845.48566080055173</v>
      </c>
      <c r="DK16">
        <f t="shared" si="122"/>
        <v>156.10351651744364</v>
      </c>
      <c r="DN16" s="115" t="s">
        <v>539</v>
      </c>
      <c r="DO16" t="e">
        <f t="shared" ref="DO16:DR16" si="123">DO6*1000/DO$4</f>
        <v>#DIV/0!</v>
      </c>
      <c r="DP16">
        <f t="shared" si="123"/>
        <v>358.39416328371675</v>
      </c>
      <c r="DQ16">
        <f t="shared" si="123"/>
        <v>744.25948952879583</v>
      </c>
      <c r="DR16">
        <f t="shared" si="123"/>
        <v>137.5659002770083</v>
      </c>
      <c r="DT16">
        <f t="shared" ref="DT16:DW16" si="124">DT6*1000/DT$4</f>
        <v>499.01999999999992</v>
      </c>
      <c r="DU16">
        <f t="shared" si="124"/>
        <v>363.5583688506008</v>
      </c>
      <c r="DV16">
        <f t="shared" si="124"/>
        <v>833.69651524390213</v>
      </c>
      <c r="DW16">
        <f t="shared" si="124"/>
        <v>154.82138614809847</v>
      </c>
      <c r="DZ16" s="115" t="s">
        <v>539</v>
      </c>
      <c r="EA16" t="e">
        <f t="shared" ref="EA16:ED16" si="125">EA6*1000/EA$4</f>
        <v>#DIV/0!</v>
      </c>
      <c r="EB16">
        <f t="shared" si="125"/>
        <v>356.75630769230776</v>
      </c>
      <c r="EC16">
        <f t="shared" si="125"/>
        <v>863.52857142857147</v>
      </c>
      <c r="ED16">
        <f t="shared" si="125"/>
        <v>168.67413022351798</v>
      </c>
      <c r="EF16">
        <f t="shared" ref="EF16:EI16" si="126">EF6*1000/EF$4</f>
        <v>499.01999999999992</v>
      </c>
      <c r="EG16">
        <f t="shared" si="126"/>
        <v>362.64693138313527</v>
      </c>
      <c r="EH16">
        <f t="shared" si="126"/>
        <v>835.76994893616995</v>
      </c>
      <c r="EI16">
        <f t="shared" si="126"/>
        <v>157.10264943586461</v>
      </c>
      <c r="EL16" s="115" t="s">
        <v>539</v>
      </c>
      <c r="EM16" t="e">
        <f t="shared" ref="EM16:EP16" si="127">EM6*1000/EM$4</f>
        <v>#DIV/0!</v>
      </c>
      <c r="EN16">
        <f t="shared" si="127"/>
        <v>362.89673151750981</v>
      </c>
      <c r="EO16">
        <f t="shared" si="127"/>
        <v>853.47769230769234</v>
      </c>
      <c r="EP16">
        <f t="shared" si="127"/>
        <v>161.16616666666667</v>
      </c>
      <c r="ER16">
        <f t="shared" ref="ER16:EU16" si="128">ER6*1000/ER$4</f>
        <v>499.01999999999992</v>
      </c>
      <c r="ES16">
        <f t="shared" si="128"/>
        <v>362.66719884544261</v>
      </c>
      <c r="ET16">
        <f t="shared" si="128"/>
        <v>836.84350299800087</v>
      </c>
      <c r="EU16">
        <f t="shared" si="128"/>
        <v>157.29766854574541</v>
      </c>
      <c r="EX16" s="115" t="s">
        <v>539</v>
      </c>
      <c r="EY16" t="e">
        <f t="shared" ref="EY16:FB16" si="129">EY6*1000/EY$4</f>
        <v>#DIV/0!</v>
      </c>
      <c r="EZ16">
        <f t="shared" si="129"/>
        <v>369.15588867734357</v>
      </c>
      <c r="FA16">
        <f t="shared" si="129"/>
        <v>819.98553364269128</v>
      </c>
      <c r="FB16">
        <f t="shared" si="129"/>
        <v>779.23999999999955</v>
      </c>
      <c r="FC16">
        <f t="shared" ref="FC16" si="130">FC6*1000/FC$4</f>
        <v>173.84582798459567</v>
      </c>
      <c r="FE16">
        <f t="shared" ref="FE16:FG16" si="131">FE6*1000/FE$4</f>
        <v>499.01999999999992</v>
      </c>
      <c r="FF16">
        <f t="shared" si="131"/>
        <v>363.15084169490962</v>
      </c>
      <c r="FG16">
        <f t="shared" si="131"/>
        <v>835.10673120592764</v>
      </c>
      <c r="FH16">
        <f t="shared" ref="FH16:FI16" si="132">FH6*1000/FH$4</f>
        <v>779.23999999999955</v>
      </c>
      <c r="FI16">
        <f t="shared" si="132"/>
        <v>157.77453075870235</v>
      </c>
      <c r="FL16" s="115" t="s">
        <v>539</v>
      </c>
      <c r="FM16">
        <f t="shared" ref="FM16:FP16" si="133">FM6*1000/FM$4</f>
        <v>502.74000000000007</v>
      </c>
      <c r="FN16">
        <f t="shared" si="133"/>
        <v>365.01965957446811</v>
      </c>
      <c r="FO16">
        <f t="shared" si="133"/>
        <v>833.33828571428569</v>
      </c>
      <c r="FP16">
        <f t="shared" si="133"/>
        <v>683.85447619047625</v>
      </c>
      <c r="FQ16">
        <f t="shared" si="82"/>
        <v>161.31692307692308</v>
      </c>
      <c r="FS16">
        <f t="shared" ref="FS16:FW16" si="134">FS6*1000/FS$4</f>
        <v>500.12947368421055</v>
      </c>
      <c r="FT16">
        <f t="shared" si="134"/>
        <v>363.27091002116867</v>
      </c>
      <c r="FU16">
        <f t="shared" si="134"/>
        <v>834.98932158000412</v>
      </c>
      <c r="FV16">
        <f t="shared" si="134"/>
        <v>725.3933333333332</v>
      </c>
      <c r="FW16">
        <f t="shared" si="134"/>
        <v>157.955573379199</v>
      </c>
      <c r="FZ16" s="115" t="s">
        <v>539</v>
      </c>
      <c r="GA16" t="e">
        <f t="shared" ref="GA16:GE16" si="135">GA6*1000/GA$4</f>
        <v>#DIV/0!</v>
      </c>
      <c r="GB16">
        <f t="shared" si="135"/>
        <v>381.98369230769231</v>
      </c>
      <c r="GC16">
        <f t="shared" si="135"/>
        <v>701.98263041880966</v>
      </c>
      <c r="GD16" t="e">
        <f t="shared" si="135"/>
        <v>#DIV/0!</v>
      </c>
      <c r="GE16">
        <f t="shared" si="135"/>
        <v>164.87790540540541</v>
      </c>
      <c r="GG16">
        <f t="shared" ref="GG16:GK16" si="136">GG6*1000/GG$4</f>
        <v>500.12947368421055</v>
      </c>
      <c r="GH16">
        <f t="shared" si="136"/>
        <v>364.21803958648513</v>
      </c>
      <c r="GI16">
        <f t="shared" si="136"/>
        <v>817.45351738835575</v>
      </c>
      <c r="GJ16">
        <f t="shared" si="136"/>
        <v>725.3933333333332</v>
      </c>
      <c r="GK16">
        <f t="shared" si="136"/>
        <v>158.23178546153071</v>
      </c>
      <c r="GN16" s="115" t="s">
        <v>539</v>
      </c>
      <c r="GO16" t="e">
        <f t="shared" ref="GO16:GS16" si="137">GO6*1000/GO$4</f>
        <v>#DIV/0!</v>
      </c>
      <c r="GP16">
        <f t="shared" si="137"/>
        <v>362.90363636363639</v>
      </c>
      <c r="GQ16">
        <f t="shared" si="137"/>
        <v>796.52179999999987</v>
      </c>
      <c r="GR16" t="e">
        <f t="shared" si="137"/>
        <v>#DIV/0!</v>
      </c>
      <c r="GS16">
        <f t="shared" si="137"/>
        <v>165.57148936170211</v>
      </c>
      <c r="GU16">
        <f t="shared" ref="GU16:GY16" si="138">GU6*1000/GU$4</f>
        <v>500.12947368421055</v>
      </c>
      <c r="GV16">
        <f t="shared" si="138"/>
        <v>364.1436883347676</v>
      </c>
      <c r="GW16">
        <f t="shared" si="138"/>
        <v>814.95378145525899</v>
      </c>
      <c r="GX16">
        <f t="shared" si="138"/>
        <v>725.3933333333332</v>
      </c>
      <c r="GY16">
        <f t="shared" si="138"/>
        <v>158.40212225952993</v>
      </c>
      <c r="HB16" s="115" t="s">
        <v>539</v>
      </c>
      <c r="HC16" t="e">
        <f t="shared" ref="HC16:HG16" si="139">HC6*1000/HC$4</f>
        <v>#DIV/0!</v>
      </c>
      <c r="HD16">
        <f t="shared" si="139"/>
        <v>365.77125000000001</v>
      </c>
      <c r="HE16">
        <f t="shared" si="139"/>
        <v>775.02555555555557</v>
      </c>
      <c r="HF16" t="e">
        <f t="shared" si="139"/>
        <v>#DIV/0!</v>
      </c>
      <c r="HG16">
        <f t="shared" si="139"/>
        <v>177.13333333333335</v>
      </c>
      <c r="HI16">
        <f t="shared" ref="HI16:HM16" si="140">HI6*1000/HI$4</f>
        <v>500.12947368421055</v>
      </c>
      <c r="HJ16">
        <f t="shared" si="140"/>
        <v>364.23969892487276</v>
      </c>
      <c r="HK16">
        <f t="shared" si="140"/>
        <v>812.91745163118264</v>
      </c>
      <c r="HL16">
        <f t="shared" si="140"/>
        <v>725.3933333333332</v>
      </c>
      <c r="HM16">
        <f t="shared" si="140"/>
        <v>158.83226778592567</v>
      </c>
      <c r="HP16" s="115" t="s">
        <v>539</v>
      </c>
      <c r="HQ16" t="e">
        <f t="shared" ref="HQ16:HU16" si="141">HQ6*1000/HQ$4</f>
        <v>#DIV/0!</v>
      </c>
      <c r="HR16">
        <f t="shared" si="141"/>
        <v>363.20149809564117</v>
      </c>
      <c r="HS16">
        <f t="shared" si="141"/>
        <v>957.58785714285693</v>
      </c>
      <c r="HT16" t="e">
        <f t="shared" si="141"/>
        <v>#DIV/0!</v>
      </c>
      <c r="HU16">
        <f t="shared" si="141"/>
        <v>169.82665557404326</v>
      </c>
      <c r="HW16">
        <f t="shared" ref="HW16:IA16" si="142">HW6*1000/HW$4</f>
        <v>500.12947368421055</v>
      </c>
      <c r="HX16">
        <f t="shared" si="142"/>
        <v>364.16476891218292</v>
      </c>
      <c r="HY16">
        <f t="shared" si="142"/>
        <v>816.90348972683614</v>
      </c>
      <c r="HZ16">
        <f t="shared" si="142"/>
        <v>725.3933333333332</v>
      </c>
      <c r="IA16">
        <f t="shared" si="142"/>
        <v>159.24148479593731</v>
      </c>
      <c r="ID16" s="115" t="s">
        <v>539</v>
      </c>
      <c r="IE16">
        <f t="shared" ref="IE16:II16" si="143">IE6*1000/IE$4</f>
        <v>499.01999999999992</v>
      </c>
      <c r="IF16">
        <f t="shared" si="143"/>
        <v>368.70027118644066</v>
      </c>
      <c r="IG16">
        <f t="shared" si="143"/>
        <v>1439.2316666666668</v>
      </c>
      <c r="IH16">
        <f t="shared" si="143"/>
        <v>530.04000000000008</v>
      </c>
      <c r="II16">
        <f t="shared" si="143"/>
        <v>167.10910052910052</v>
      </c>
      <c r="IK16">
        <f t="shared" ref="IK16:IO16" si="144">IK6*1000/IK$4</f>
        <v>499.74689655172415</v>
      </c>
      <c r="IL16">
        <f t="shared" si="144"/>
        <v>364.62683401298028</v>
      </c>
      <c r="IM16">
        <f t="shared" si="144"/>
        <v>827.02421435762426</v>
      </c>
      <c r="IN16">
        <f t="shared" si="144"/>
        <v>639.16513513513519</v>
      </c>
      <c r="IO16">
        <f t="shared" si="144"/>
        <v>159.63515487571695</v>
      </c>
      <c r="IR16" s="115" t="s">
        <v>539</v>
      </c>
      <c r="IS16" t="e">
        <f t="shared" ref="IS16:IW16" si="145">IS6*1000/IS$4</f>
        <v>#DIV/0!</v>
      </c>
      <c r="IT16">
        <f t="shared" si="145"/>
        <v>372.78379735835938</v>
      </c>
      <c r="IU16">
        <f t="shared" si="145"/>
        <v>1007.8824999999999</v>
      </c>
      <c r="IV16" t="e">
        <f t="shared" si="145"/>
        <v>#DIV/0!</v>
      </c>
      <c r="IW16">
        <f t="shared" si="145"/>
        <v>171.43402985074627</v>
      </c>
      <c r="IY16">
        <f t="shared" ref="IY16:JC16" si="146">IY6*1000/IY$4</f>
        <v>499.74689655172415</v>
      </c>
      <c r="IZ16">
        <f t="shared" si="146"/>
        <v>365.1325518538074</v>
      </c>
      <c r="JA16">
        <f t="shared" si="146"/>
        <v>834.54151859274111</v>
      </c>
      <c r="JB16">
        <f t="shared" si="146"/>
        <v>639.16513513513519</v>
      </c>
      <c r="JC16">
        <f t="shared" si="146"/>
        <v>160.25221850519912</v>
      </c>
      <c r="JF16" s="115" t="s">
        <v>539</v>
      </c>
      <c r="JG16" t="e">
        <f t="shared" ref="JG16:JK16" si="147">JG6*1000/JG$4</f>
        <v>#DIV/0!</v>
      </c>
      <c r="JH16">
        <f t="shared" si="147"/>
        <v>372.55142857142857</v>
      </c>
      <c r="JI16">
        <f t="shared" si="147"/>
        <v>1001.4777272727274</v>
      </c>
      <c r="JJ16" t="e">
        <f t="shared" si="147"/>
        <v>#DIV/0!</v>
      </c>
      <c r="JK16">
        <f t="shared" si="147"/>
        <v>174.14243161094223</v>
      </c>
      <c r="JM16">
        <f t="shared" ref="JM16:JQ16" si="148">JM6*1000/JM$4</f>
        <v>499.74689655172415</v>
      </c>
      <c r="JN16">
        <f t="shared" si="148"/>
        <v>365.36035055196413</v>
      </c>
      <c r="JO16">
        <f t="shared" si="148"/>
        <v>843.56636452994462</v>
      </c>
      <c r="JP16">
        <f t="shared" si="148"/>
        <v>639.16513513513519</v>
      </c>
      <c r="JQ16">
        <f t="shared" si="148"/>
        <v>161.09020144601033</v>
      </c>
      <c r="JT16" s="115" t="s">
        <v>539</v>
      </c>
      <c r="JU16" t="e">
        <f t="shared" ref="JU16:JY16" si="149">JU6*1000/JU$4</f>
        <v>#DIV/0!</v>
      </c>
      <c r="JV16">
        <f t="shared" si="149"/>
        <v>374.21429687499995</v>
      </c>
      <c r="JW16">
        <f t="shared" si="149"/>
        <v>995.74135714285694</v>
      </c>
      <c r="JX16" t="e">
        <f t="shared" si="149"/>
        <v>#DIV/0!</v>
      </c>
      <c r="JY16">
        <f t="shared" si="149"/>
        <v>191.82000000000002</v>
      </c>
      <c r="KA16">
        <f t="shared" ref="KA16:KE16" si="150">KA6*1000/KA$4</f>
        <v>499.74689655172415</v>
      </c>
      <c r="KB16">
        <f t="shared" si="150"/>
        <v>365.75610107853032</v>
      </c>
      <c r="KC16">
        <f t="shared" si="150"/>
        <v>846.5002623424914</v>
      </c>
      <c r="KD16">
        <f t="shared" si="150"/>
        <v>639.16513513513519</v>
      </c>
      <c r="KE16">
        <f t="shared" si="150"/>
        <v>162.44748935850563</v>
      </c>
      <c r="KH16" s="115" t="s">
        <v>539</v>
      </c>
      <c r="KI16">
        <f t="shared" ref="KI16:KM16" si="151">KI6*1000/KI$4</f>
        <v>499.01999999999992</v>
      </c>
      <c r="KJ16">
        <f t="shared" si="151"/>
        <v>370.20601941747577</v>
      </c>
      <c r="KK16">
        <f t="shared" si="151"/>
        <v>1293.1219999999998</v>
      </c>
      <c r="KL16" t="e">
        <f t="shared" si="151"/>
        <v>#DIV/0!</v>
      </c>
      <c r="KM16">
        <f t="shared" si="151"/>
        <v>193.93219672131147</v>
      </c>
      <c r="KO16">
        <f t="shared" ref="KO16:KS16" si="152">KO6*1000/KO$4</f>
        <v>499.56051282051271</v>
      </c>
      <c r="KP16">
        <f t="shared" si="152"/>
        <v>365.91059725138211</v>
      </c>
      <c r="KQ16">
        <f t="shared" si="152"/>
        <v>857.01042224164632</v>
      </c>
      <c r="KR16">
        <f t="shared" si="152"/>
        <v>639.16513513513519</v>
      </c>
      <c r="KS16">
        <f t="shared" si="152"/>
        <v>164.47231239603585</v>
      </c>
      <c r="KV16" s="115" t="s">
        <v>539</v>
      </c>
      <c r="KW16">
        <f t="shared" ref="KW16:LA16" si="153">KW6*1000/KW$4</f>
        <v>499.01999999999987</v>
      </c>
      <c r="KX16">
        <f t="shared" si="153"/>
        <v>371.21706691109074</v>
      </c>
      <c r="KY16">
        <f t="shared" si="153"/>
        <v>1286.2317647058821</v>
      </c>
      <c r="KZ16" t="e">
        <f t="shared" si="153"/>
        <v>#DIV/0!</v>
      </c>
      <c r="LA16">
        <f t="shared" si="153"/>
        <v>191.82</v>
      </c>
      <c r="LC16">
        <f t="shared" ref="LC16:LG16" si="154">LC6*1000/LC$4</f>
        <v>499.47829407928106</v>
      </c>
      <c r="LD16">
        <f t="shared" si="154"/>
        <v>366.04641925085531</v>
      </c>
      <c r="LE16">
        <f t="shared" si="154"/>
        <v>873.52106995086649</v>
      </c>
      <c r="LF16">
        <f t="shared" si="154"/>
        <v>639.16513513513519</v>
      </c>
      <c r="LG16">
        <f t="shared" si="154"/>
        <v>165.65891727739302</v>
      </c>
      <c r="LJ16" s="115" t="s">
        <v>539</v>
      </c>
      <c r="LK16">
        <f t="shared" ref="LK16:LO16" si="155">LK6*1000/LK$4</f>
        <v>499.01999999999992</v>
      </c>
      <c r="LL16">
        <f t="shared" si="155"/>
        <v>390.88703741152682</v>
      </c>
      <c r="LM16">
        <f t="shared" si="155"/>
        <v>2471.3650000000002</v>
      </c>
      <c r="LN16" t="e">
        <f t="shared" si="155"/>
        <v>#DIV/0!</v>
      </c>
      <c r="LO16">
        <f t="shared" si="155"/>
        <v>191.82</v>
      </c>
      <c r="LQ16">
        <f t="shared" ref="LQ16:LU16" si="156">LQ6*1000/LQ$4</f>
        <v>499.42027849863911</v>
      </c>
      <c r="LR16">
        <f t="shared" si="156"/>
        <v>366.60971536401507</v>
      </c>
      <c r="LS16">
        <f t="shared" si="156"/>
        <v>887.85334507944651</v>
      </c>
      <c r="LT16">
        <f t="shared" si="156"/>
        <v>639.16513513513519</v>
      </c>
      <c r="LU16">
        <f t="shared" si="156"/>
        <v>166.9094950809876</v>
      </c>
    </row>
    <row r="17" spans="10:333" x14ac:dyDescent="0.3">
      <c r="J17" s="114" t="s">
        <v>540</v>
      </c>
      <c r="K17" t="e">
        <f t="shared" si="54"/>
        <v>#DIV/0!</v>
      </c>
      <c r="L17">
        <f t="shared" si="54"/>
        <v>300.80391304347825</v>
      </c>
      <c r="M17">
        <f t="shared" si="54"/>
        <v>716.26435185185164</v>
      </c>
      <c r="N17">
        <f t="shared" si="54"/>
        <v>142.91231444883618</v>
      </c>
      <c r="P17" t="e">
        <f t="shared" si="106"/>
        <v>#DIV/0!</v>
      </c>
      <c r="Q17">
        <f t="shared" si="106"/>
        <v>298.07369117647056</v>
      </c>
      <c r="R17">
        <f t="shared" si="106"/>
        <v>715.76943462897532</v>
      </c>
      <c r="S17">
        <f t="shared" si="106"/>
        <v>144.6958015087223</v>
      </c>
      <c r="V17" s="114" t="s">
        <v>540</v>
      </c>
      <c r="W17" t="e">
        <f t="shared" ref="W17:Z17" si="157">W7*1000/W$4</f>
        <v>#DIV/0!</v>
      </c>
      <c r="X17">
        <f t="shared" si="157"/>
        <v>383.82999999999993</v>
      </c>
      <c r="Y17">
        <f t="shared" si="157"/>
        <v>497.31004172461758</v>
      </c>
      <c r="Z17">
        <f t="shared" si="157"/>
        <v>155.745</v>
      </c>
      <c r="AB17" t="e">
        <f t="shared" ref="AB17:AE17" si="158">AB7*1000/AB$4</f>
        <v>#DIV/0!</v>
      </c>
      <c r="AC17">
        <f t="shared" si="158"/>
        <v>297.25256115107914</v>
      </c>
      <c r="AD17">
        <f t="shared" si="158"/>
        <v>593.72538521400782</v>
      </c>
      <c r="AE17">
        <f t="shared" si="158"/>
        <v>146.81724761904761</v>
      </c>
      <c r="AH17" s="114" t="s">
        <v>540</v>
      </c>
      <c r="AI17" t="e">
        <f t="shared" ref="AI17:AL17" si="159">AI7*1000/AI$4</f>
        <v>#DIV/0!</v>
      </c>
      <c r="AJ17" t="e">
        <f t="shared" si="159"/>
        <v>#DIV/0!</v>
      </c>
      <c r="AK17">
        <f t="shared" si="159"/>
        <v>721.4521052631577</v>
      </c>
      <c r="AL17" t="e">
        <f t="shared" si="159"/>
        <v>#DIV/0!</v>
      </c>
      <c r="AN17" t="e">
        <f t="shared" ref="AN17:AQ17" si="160">AN7*1000/AN$4</f>
        <v>#DIV/0!</v>
      </c>
      <c r="AO17">
        <f t="shared" si="160"/>
        <v>297.25256115107914</v>
      </c>
      <c r="AP17">
        <f t="shared" si="160"/>
        <v>637.28347179487162</v>
      </c>
      <c r="AQ17">
        <f t="shared" si="160"/>
        <v>146.81724761904761</v>
      </c>
      <c r="AT17" s="114" t="s">
        <v>540</v>
      </c>
      <c r="AU17" t="e">
        <f t="shared" ref="AU17:AX17" si="161">AU7*1000/AU$4</f>
        <v>#DIV/0!</v>
      </c>
      <c r="AV17">
        <f t="shared" si="161"/>
        <v>299.87155256723719</v>
      </c>
      <c r="AW17">
        <f t="shared" si="161"/>
        <v>690.05860816944028</v>
      </c>
      <c r="AX17">
        <f t="shared" si="161"/>
        <v>145.85666666666665</v>
      </c>
      <c r="AZ17" t="e">
        <f t="shared" ref="AZ17:BC17" si="162">AZ7*1000/AZ$4</f>
        <v>#DIV/0!</v>
      </c>
      <c r="BA17">
        <f t="shared" si="162"/>
        <v>298.09088436705144</v>
      </c>
      <c r="BB17">
        <f t="shared" si="162"/>
        <v>650.64400995787025</v>
      </c>
      <c r="BC17">
        <f t="shared" si="162"/>
        <v>146.60245933155872</v>
      </c>
      <c r="BF17" s="114" t="s">
        <v>540</v>
      </c>
      <c r="BG17" t="e">
        <f t="shared" ref="BG17:BJ17" si="163">BG7*1000/BG$4</f>
        <v>#DIV/0!</v>
      </c>
      <c r="BH17">
        <f t="shared" si="163"/>
        <v>294.43530035335692</v>
      </c>
      <c r="BI17">
        <f t="shared" si="163"/>
        <v>725.45899999999995</v>
      </c>
      <c r="BJ17">
        <f t="shared" si="163"/>
        <v>141.35</v>
      </c>
      <c r="BL17" t="e">
        <f t="shared" ref="BL17:BO17" si="164">BL7*1000/BL$4</f>
        <v>#DIV/0!</v>
      </c>
      <c r="BM17">
        <f t="shared" si="164"/>
        <v>297.29826233527433</v>
      </c>
      <c r="BN17">
        <f t="shared" si="164"/>
        <v>666.4611325883418</v>
      </c>
      <c r="BO17">
        <f t="shared" si="164"/>
        <v>146.3369601235608</v>
      </c>
      <c r="BR17" s="114" t="s">
        <v>540</v>
      </c>
      <c r="BS17" t="e">
        <f t="shared" ref="BS17:BV17" si="165">BS7*1000/BS$4</f>
        <v>#DIV/0!</v>
      </c>
      <c r="BT17">
        <f t="shared" si="165"/>
        <v>299.61734177215197</v>
      </c>
      <c r="BU17">
        <f t="shared" si="165"/>
        <v>726.1055885714286</v>
      </c>
      <c r="BV17">
        <f t="shared" si="165"/>
        <v>172.98796610169489</v>
      </c>
      <c r="BX17" t="e">
        <f t="shared" ref="BX17:CA17" si="166">BX7*1000/BX$4</f>
        <v>#DIV/0!</v>
      </c>
      <c r="BY17">
        <f t="shared" si="166"/>
        <v>297.54868234007654</v>
      </c>
      <c r="BZ17">
        <f t="shared" si="166"/>
        <v>678.92861920688006</v>
      </c>
      <c r="CA17">
        <f t="shared" si="166"/>
        <v>149.62692430769229</v>
      </c>
      <c r="CD17" s="114" t="s">
        <v>540</v>
      </c>
      <c r="CE17">
        <f t="shared" ref="CE17:CH17" si="167">CE7*1000/CE$4</f>
        <v>419.86999999999995</v>
      </c>
      <c r="CF17">
        <f t="shared" si="167"/>
        <v>300.22181877444592</v>
      </c>
      <c r="CG17">
        <f t="shared" si="167"/>
        <v>827.12142857142862</v>
      </c>
      <c r="CH17">
        <f t="shared" si="167"/>
        <v>166.7753046594982</v>
      </c>
      <c r="CJ17">
        <f t="shared" ref="CJ17:CM17" si="168">CJ7*1000/CJ$4</f>
        <v>419.86999999999995</v>
      </c>
      <c r="CK17">
        <f t="shared" si="168"/>
        <v>297.9559179687501</v>
      </c>
      <c r="CL17">
        <f t="shared" si="168"/>
        <v>694.45780581693748</v>
      </c>
      <c r="CM17">
        <f t="shared" si="168"/>
        <v>150.72893930669119</v>
      </c>
      <c r="CP17" s="114" t="s">
        <v>540</v>
      </c>
      <c r="CQ17" t="e">
        <f t="shared" ref="CQ17:CT17" si="169">CQ7*1000/CQ$4</f>
        <v>#DIV/0!</v>
      </c>
      <c r="CR17">
        <f t="shared" si="169"/>
        <v>300.30104166666666</v>
      </c>
      <c r="CS17">
        <f t="shared" si="169"/>
        <v>782.9457142857143</v>
      </c>
      <c r="CT17">
        <f t="shared" si="169"/>
        <v>126.08</v>
      </c>
      <c r="CV17">
        <f t="shared" ref="CV17:CY17" si="170">CV7*1000/CV$4</f>
        <v>419.86999999999995</v>
      </c>
      <c r="CW17">
        <f t="shared" si="170"/>
        <v>298.29123978665467</v>
      </c>
      <c r="CX17">
        <f t="shared" si="170"/>
        <v>698.86332046332041</v>
      </c>
      <c r="CY17">
        <f t="shared" si="170"/>
        <v>149.4479157113222</v>
      </c>
      <c r="DB17" s="114" t="s">
        <v>540</v>
      </c>
      <c r="DC17" t="e">
        <f t="shared" ref="DC17:DF17" si="171">DC7*1000/DC$4</f>
        <v>#DIV/0!</v>
      </c>
      <c r="DD17">
        <f t="shared" si="171"/>
        <v>348.63</v>
      </c>
      <c r="DE17">
        <f t="shared" si="171"/>
        <v>735.42360000000008</v>
      </c>
      <c r="DF17">
        <f t="shared" si="171"/>
        <v>153.72480286738352</v>
      </c>
      <c r="DH17">
        <f t="shared" ref="DH17:DK17" si="172">DH7*1000/DH$4</f>
        <v>419.86999999999995</v>
      </c>
      <c r="DI17">
        <f t="shared" si="172"/>
        <v>299.81799961486098</v>
      </c>
      <c r="DJ17">
        <f t="shared" si="172"/>
        <v>704.3826863354036</v>
      </c>
      <c r="DK17">
        <f t="shared" si="172"/>
        <v>149.69351651744361</v>
      </c>
      <c r="DN17" s="114" t="s">
        <v>540</v>
      </c>
      <c r="DO17" t="e">
        <f t="shared" ref="DO17:DR17" si="173">DO7*1000/DO$4</f>
        <v>#DIV/0!</v>
      </c>
      <c r="DP17">
        <f t="shared" si="173"/>
        <v>293.95355886332885</v>
      </c>
      <c r="DQ17">
        <f t="shared" si="173"/>
        <v>626.59341623036653</v>
      </c>
      <c r="DR17">
        <f t="shared" si="173"/>
        <v>131.1559002770083</v>
      </c>
      <c r="DT17">
        <f t="shared" ref="DT17:DW17" si="174">DT7*1000/DT$4</f>
        <v>419.86999999999995</v>
      </c>
      <c r="DU17">
        <f t="shared" si="174"/>
        <v>298.78637123101345</v>
      </c>
      <c r="DV17">
        <f t="shared" si="174"/>
        <v>695.32308231707327</v>
      </c>
      <c r="DW17">
        <f t="shared" si="174"/>
        <v>148.41138614809844</v>
      </c>
      <c r="DZ17" s="114" t="s">
        <v>540</v>
      </c>
      <c r="EA17" t="e">
        <f t="shared" ref="EA17:ED17" si="175">EA7*1000/EA$4</f>
        <v>#DIV/0!</v>
      </c>
      <c r="EB17">
        <f t="shared" si="175"/>
        <v>292.60184615384617</v>
      </c>
      <c r="EC17">
        <f t="shared" si="175"/>
        <v>743.94428571428557</v>
      </c>
      <c r="ED17">
        <f t="shared" si="175"/>
        <v>162.26413022351798</v>
      </c>
      <c r="EF17">
        <f t="shared" ref="EF17:EI17" si="176">EF7*1000/EF$4</f>
        <v>419.86999999999995</v>
      </c>
      <c r="EG17">
        <f t="shared" si="176"/>
        <v>297.95768008245813</v>
      </c>
      <c r="EH17">
        <f t="shared" si="176"/>
        <v>698.70242836879447</v>
      </c>
      <c r="EI17">
        <f t="shared" si="176"/>
        <v>150.69264943586455</v>
      </c>
      <c r="EL17" s="114" t="s">
        <v>540</v>
      </c>
      <c r="EM17" t="e">
        <f t="shared" ref="EM17:EP17" si="177">EM7*1000/EM$4</f>
        <v>#DIV/0!</v>
      </c>
      <c r="EN17">
        <f t="shared" si="177"/>
        <v>298.33023346303503</v>
      </c>
      <c r="EO17">
        <f t="shared" si="177"/>
        <v>726.57923076923078</v>
      </c>
      <c r="EP17">
        <f t="shared" si="177"/>
        <v>154.75616666666667</v>
      </c>
      <c r="ER17">
        <f t="shared" ref="ER17:EU17" si="178">ER7*1000/ER$4</f>
        <v>419.86999999999995</v>
      </c>
      <c r="ES17">
        <f t="shared" si="178"/>
        <v>297.98790709421377</v>
      </c>
      <c r="ET17">
        <f t="shared" si="178"/>
        <v>700.39249433710859</v>
      </c>
      <c r="EU17">
        <f t="shared" si="178"/>
        <v>150.88766854574538</v>
      </c>
      <c r="EX17" s="114" t="s">
        <v>540</v>
      </c>
      <c r="EY17" t="e">
        <f t="shared" ref="EY17:FB17" si="179">EY7*1000/EY$4</f>
        <v>#DIV/0!</v>
      </c>
      <c r="EZ17">
        <f t="shared" si="179"/>
        <v>303.87760107514845</v>
      </c>
      <c r="FA17">
        <f t="shared" si="179"/>
        <v>706.13582366589333</v>
      </c>
      <c r="FB17">
        <f t="shared" si="179"/>
        <v>714.78999999999962</v>
      </c>
      <c r="FC17">
        <f t="shared" ref="FC17" si="180">FC7*1000/FC$4</f>
        <v>167.43582798459565</v>
      </c>
      <c r="FE17">
        <f t="shared" ref="FE17:FG17" si="181">FE7*1000/FE$4</f>
        <v>419.86999999999995</v>
      </c>
      <c r="FF17">
        <f t="shared" si="181"/>
        <v>298.42690301684553</v>
      </c>
      <c r="FG17">
        <f t="shared" si="181"/>
        <v>700.98419385681859</v>
      </c>
      <c r="FH17">
        <f t="shared" ref="FH17:FI17" si="182">FH7*1000/FH$4</f>
        <v>714.78999999999962</v>
      </c>
      <c r="FI17">
        <f t="shared" si="182"/>
        <v>151.3645307587023</v>
      </c>
      <c r="FL17" s="114" t="s">
        <v>540</v>
      </c>
      <c r="FM17">
        <f t="shared" ref="FM17:FP17" si="183">FM7*1000/FM$4</f>
        <v>423.59000000000009</v>
      </c>
      <c r="FN17">
        <f t="shared" si="183"/>
        <v>300.31612765957453</v>
      </c>
      <c r="FO17">
        <f t="shared" si="183"/>
        <v>682.31877310924369</v>
      </c>
      <c r="FP17">
        <f t="shared" si="183"/>
        <v>649.53552380952374</v>
      </c>
      <c r="FQ17">
        <f t="shared" si="82"/>
        <v>154.90692307692305</v>
      </c>
      <c r="FS17">
        <f t="shared" ref="FS17:FW17" si="184">FS7*1000/FS$4</f>
        <v>420.97947368421052</v>
      </c>
      <c r="FT17">
        <f t="shared" si="184"/>
        <v>298.54828244244982</v>
      </c>
      <c r="FU17">
        <f t="shared" si="184"/>
        <v>699.74496987279633</v>
      </c>
      <c r="FV17">
        <f t="shared" si="184"/>
        <v>677.95279569892455</v>
      </c>
      <c r="FW17">
        <f t="shared" si="184"/>
        <v>151.54557337919894</v>
      </c>
      <c r="FZ17" s="114" t="s">
        <v>540</v>
      </c>
      <c r="GA17" t="e">
        <f t="shared" ref="GA17:GE17" si="185">GA7*1000/GA$4</f>
        <v>#DIV/0!</v>
      </c>
      <c r="GB17">
        <f t="shared" si="185"/>
        <v>315.59615384615387</v>
      </c>
      <c r="GC17">
        <f t="shared" si="185"/>
        <v>572.14747244673038</v>
      </c>
      <c r="GD17" t="e">
        <f t="shared" si="185"/>
        <v>#DIV/0!</v>
      </c>
      <c r="GE17">
        <f t="shared" si="185"/>
        <v>158.46790540540542</v>
      </c>
      <c r="GG17">
        <f t="shared" ref="GG17:GK17" si="186">GG7*1000/GG$4</f>
        <v>420.97947368421052</v>
      </c>
      <c r="GH17">
        <f t="shared" si="186"/>
        <v>299.4111441369285</v>
      </c>
      <c r="GI17">
        <f t="shared" si="186"/>
        <v>682.92232199941884</v>
      </c>
      <c r="GJ17">
        <f t="shared" si="186"/>
        <v>677.95279569892455</v>
      </c>
      <c r="GK17">
        <f t="shared" si="186"/>
        <v>151.82178546153065</v>
      </c>
      <c r="GN17" s="114" t="s">
        <v>540</v>
      </c>
      <c r="GO17" t="e">
        <f t="shared" ref="GO17:GS17" si="187">GO7*1000/GO$4</f>
        <v>#DIV/0!</v>
      </c>
      <c r="GP17">
        <f t="shared" si="187"/>
        <v>298.34844155844161</v>
      </c>
      <c r="GQ17">
        <f t="shared" si="187"/>
        <v>651.34212857142847</v>
      </c>
      <c r="GR17" t="e">
        <f t="shared" si="187"/>
        <v>#DIV/0!</v>
      </c>
      <c r="GS17">
        <f t="shared" si="187"/>
        <v>159.16148936170214</v>
      </c>
      <c r="GU17">
        <f t="shared" ref="GU17:GY17" si="188">GU7*1000/GU$4</f>
        <v>420.97947368421052</v>
      </c>
      <c r="GV17">
        <f t="shared" si="188"/>
        <v>299.35103072154698</v>
      </c>
      <c r="GW17">
        <f t="shared" si="188"/>
        <v>679.1509093235519</v>
      </c>
      <c r="GX17">
        <f t="shared" si="188"/>
        <v>677.95279569892455</v>
      </c>
      <c r="GY17">
        <f t="shared" si="188"/>
        <v>151.99212225952988</v>
      </c>
      <c r="HB17" s="114" t="s">
        <v>540</v>
      </c>
      <c r="HC17" t="e">
        <f t="shared" ref="HC17:HG17" si="189">HC7*1000/HC$4</f>
        <v>#DIV/0!</v>
      </c>
      <c r="HD17">
        <f t="shared" si="189"/>
        <v>300.94749999999993</v>
      </c>
      <c r="HE17">
        <f t="shared" si="189"/>
        <v>646.28166666666664</v>
      </c>
      <c r="HF17" t="e">
        <f t="shared" si="189"/>
        <v>#DIV/0!</v>
      </c>
      <c r="HG17">
        <f t="shared" si="189"/>
        <v>170.72333333333333</v>
      </c>
      <c r="HI17">
        <f t="shared" ref="HI17:HM17" si="190">HI7*1000/HI$4</f>
        <v>420.97947368421052</v>
      </c>
      <c r="HJ17">
        <f t="shared" si="190"/>
        <v>299.44520715785859</v>
      </c>
      <c r="HK17">
        <f t="shared" si="190"/>
        <v>677.47458593054318</v>
      </c>
      <c r="HL17">
        <f t="shared" si="190"/>
        <v>677.95279569892455</v>
      </c>
      <c r="HM17">
        <f t="shared" si="190"/>
        <v>152.42226778592561</v>
      </c>
      <c r="HP17" s="114" t="s">
        <v>540</v>
      </c>
      <c r="HQ17" t="e">
        <f t="shared" ref="HQ17:HU17" si="191">HQ7*1000/HQ$4</f>
        <v>#DIV/0!</v>
      </c>
      <c r="HR17">
        <f t="shared" si="191"/>
        <v>297.78713922979267</v>
      </c>
      <c r="HS17">
        <f t="shared" si="191"/>
        <v>792.83542857142845</v>
      </c>
      <c r="HT17" t="e">
        <f t="shared" si="191"/>
        <v>#DIV/0!</v>
      </c>
      <c r="HU17">
        <f t="shared" si="191"/>
        <v>163.41665557404326</v>
      </c>
      <c r="HW17">
        <f t="shared" ref="HW17:IA17" si="192">HW7*1000/HW$4</f>
        <v>420.97947368421052</v>
      </c>
      <c r="HX17">
        <f t="shared" si="192"/>
        <v>299.32553951033566</v>
      </c>
      <c r="HY17">
        <f t="shared" si="192"/>
        <v>680.65307092812725</v>
      </c>
      <c r="HZ17">
        <f t="shared" si="192"/>
        <v>677.95279569892455</v>
      </c>
      <c r="IA17">
        <f t="shared" si="192"/>
        <v>152.83148479593734</v>
      </c>
      <c r="ID17" s="114" t="s">
        <v>540</v>
      </c>
      <c r="IE17">
        <f t="shared" ref="IE17:II17" si="193">IE7*1000/IE$4</f>
        <v>419.86999999999995</v>
      </c>
      <c r="IF17">
        <f t="shared" si="193"/>
        <v>303.7708813559322</v>
      </c>
      <c r="IG17">
        <f t="shared" si="193"/>
        <v>1162.7983333333334</v>
      </c>
      <c r="IH17">
        <f t="shared" si="193"/>
        <v>466.09000000000009</v>
      </c>
      <c r="II17">
        <f t="shared" si="193"/>
        <v>160.69910052910052</v>
      </c>
      <c r="IK17">
        <f t="shared" ref="IK17:IO17" si="194">IK7*1000/IK$4</f>
        <v>420.59689655172411</v>
      </c>
      <c r="IL17">
        <f t="shared" si="194"/>
        <v>299.78243903279525</v>
      </c>
      <c r="IM17">
        <f t="shared" si="194"/>
        <v>688.49404553550698</v>
      </c>
      <c r="IN17">
        <f t="shared" si="194"/>
        <v>596.23716216216224</v>
      </c>
      <c r="IO17">
        <f t="shared" si="194"/>
        <v>153.22515487571704</v>
      </c>
      <c r="IR17" s="114" t="s">
        <v>540</v>
      </c>
      <c r="IS17" t="e">
        <f t="shared" ref="IS17:IW17" si="195">IS7*1000/IS$4</f>
        <v>#DIV/0!</v>
      </c>
      <c r="IT17">
        <f t="shared" si="195"/>
        <v>307.4772627737226</v>
      </c>
      <c r="IU17">
        <f t="shared" si="195"/>
        <v>844.87562500000001</v>
      </c>
      <c r="IV17" t="e">
        <f t="shared" si="195"/>
        <v>#DIV/0!</v>
      </c>
      <c r="IW17">
        <f t="shared" si="195"/>
        <v>165.02402985074625</v>
      </c>
      <c r="IY17">
        <f t="shared" ref="IY17:JC17" si="196">IY7*1000/IY$4</f>
        <v>420.59689655172411</v>
      </c>
      <c r="IZ17">
        <f t="shared" si="196"/>
        <v>300.25950500490251</v>
      </c>
      <c r="JA17">
        <f t="shared" si="196"/>
        <v>694.99398500705115</v>
      </c>
      <c r="JB17">
        <f t="shared" si="196"/>
        <v>596.23716216216224</v>
      </c>
      <c r="JC17">
        <f t="shared" si="196"/>
        <v>153.84221850519918</v>
      </c>
      <c r="JF17" s="114" t="s">
        <v>540</v>
      </c>
      <c r="JG17" t="e">
        <f t="shared" ref="JG17:JK17" si="197">JG7*1000/JG$4</f>
        <v>#DIV/0!</v>
      </c>
      <c r="JH17">
        <f t="shared" si="197"/>
        <v>307.27</v>
      </c>
      <c r="JI17">
        <f t="shared" si="197"/>
        <v>833.06818181818164</v>
      </c>
      <c r="JJ17" t="e">
        <f t="shared" si="197"/>
        <v>#DIV/0!</v>
      </c>
      <c r="JK17">
        <f t="shared" si="197"/>
        <v>167.73243161094223</v>
      </c>
      <c r="JM17">
        <f t="shared" ref="JM17:JQ17" si="198">JM7*1000/JM$4</f>
        <v>420.59689655172411</v>
      </c>
      <c r="JN17">
        <f t="shared" si="198"/>
        <v>300.47476422730261</v>
      </c>
      <c r="JO17">
        <f t="shared" si="198"/>
        <v>702.45850312434175</v>
      </c>
      <c r="JP17">
        <f t="shared" si="198"/>
        <v>596.23716216216224</v>
      </c>
      <c r="JQ17">
        <f t="shared" si="198"/>
        <v>154.68020144601039</v>
      </c>
      <c r="JT17" s="114" t="s">
        <v>540</v>
      </c>
      <c r="JU17" t="e">
        <f t="shared" ref="JU17:JY17" si="199">JU7*1000/JU$4</f>
        <v>#DIV/0!</v>
      </c>
      <c r="JV17">
        <f t="shared" si="199"/>
        <v>308.77164062499992</v>
      </c>
      <c r="JW17">
        <f t="shared" si="199"/>
        <v>826.50989285714286</v>
      </c>
      <c r="JX17" t="e">
        <f t="shared" si="199"/>
        <v>#DIV/0!</v>
      </c>
      <c r="JY17">
        <f t="shared" si="199"/>
        <v>185.41</v>
      </c>
      <c r="KA17">
        <f t="shared" ref="KA17:KE17" si="200">KA7*1000/KA$4</f>
        <v>420.59689655172411</v>
      </c>
      <c r="KB17">
        <f t="shared" si="200"/>
        <v>300.84561504155482</v>
      </c>
      <c r="KC17">
        <f t="shared" si="200"/>
        <v>704.85018453487567</v>
      </c>
      <c r="KD17">
        <f t="shared" si="200"/>
        <v>596.23716216216224</v>
      </c>
      <c r="KE17">
        <f t="shared" si="200"/>
        <v>156.0374893585057</v>
      </c>
      <c r="KH17" s="114" t="s">
        <v>540</v>
      </c>
      <c r="KI17">
        <f t="shared" ref="KI17:KM17" si="201">KI7*1000/KI$4</f>
        <v>419.86999999999995</v>
      </c>
      <c r="KJ17">
        <f t="shared" si="201"/>
        <v>304.36786407766988</v>
      </c>
      <c r="KK17">
        <f t="shared" si="201"/>
        <v>1044.393</v>
      </c>
      <c r="KL17" t="e">
        <f t="shared" si="201"/>
        <v>#DIV/0!</v>
      </c>
      <c r="KM17">
        <f t="shared" si="201"/>
        <v>187.52219672131147</v>
      </c>
      <c r="KO17">
        <f t="shared" ref="KO17:KS17" si="202">KO7*1000/KO$4</f>
        <v>420.41051282051274</v>
      </c>
      <c r="KP17">
        <f t="shared" si="202"/>
        <v>300.96790357686302</v>
      </c>
      <c r="KQ17">
        <f t="shared" si="202"/>
        <v>712.84050158004436</v>
      </c>
      <c r="KR17">
        <f t="shared" si="202"/>
        <v>596.23716216216224</v>
      </c>
      <c r="KS17">
        <f t="shared" si="202"/>
        <v>158.06231239603585</v>
      </c>
      <c r="KV17" s="114" t="s">
        <v>540</v>
      </c>
      <c r="KW17">
        <f t="shared" ref="KW17:LA17" si="203">KW7*1000/KW$4</f>
        <v>419.86999999999995</v>
      </c>
      <c r="KX17">
        <f t="shared" si="203"/>
        <v>306.0710999083409</v>
      </c>
      <c r="KY17">
        <f t="shared" si="203"/>
        <v>1034.6835294117645</v>
      </c>
      <c r="KZ17" t="e">
        <f t="shared" si="203"/>
        <v>#DIV/0!</v>
      </c>
      <c r="LA17">
        <f t="shared" si="203"/>
        <v>185.41</v>
      </c>
      <c r="LC17">
        <f t="shared" ref="LC17:LG17" si="204">LC7*1000/LC$4</f>
        <v>420.32829407928108</v>
      </c>
      <c r="LD17">
        <f t="shared" si="204"/>
        <v>301.09852268408389</v>
      </c>
      <c r="LE17">
        <f t="shared" si="204"/>
        <v>725.22068011378349</v>
      </c>
      <c r="LF17">
        <f t="shared" si="204"/>
        <v>596.23716216216224</v>
      </c>
      <c r="LG17">
        <f t="shared" si="204"/>
        <v>159.24891727739302</v>
      </c>
      <c r="LJ17" s="114" t="s">
        <v>540</v>
      </c>
      <c r="LK17">
        <f t="shared" ref="LK17:LO17" si="205">LK7*1000/LK$4</f>
        <v>419.86999999999995</v>
      </c>
      <c r="LL17">
        <f t="shared" si="205"/>
        <v>323.94973710819011</v>
      </c>
      <c r="LM17">
        <f t="shared" si="205"/>
        <v>1831.9775</v>
      </c>
      <c r="LN17" t="e">
        <f t="shared" si="205"/>
        <v>#DIV/0!</v>
      </c>
      <c r="LO17">
        <f t="shared" si="205"/>
        <v>185.41</v>
      </c>
      <c r="LQ17">
        <f t="shared" ref="LQ17:LU17" si="206">LQ7*1000/LQ$4</f>
        <v>420.27027849863907</v>
      </c>
      <c r="LR17">
        <f t="shared" si="206"/>
        <v>301.61670625676402</v>
      </c>
      <c r="LS17">
        <f t="shared" si="206"/>
        <v>735.14802216811904</v>
      </c>
      <c r="LT17">
        <f t="shared" si="206"/>
        <v>596.23716216216224</v>
      </c>
      <c r="LU17">
        <f t="shared" si="206"/>
        <v>160.4994950809876</v>
      </c>
    </row>
    <row r="18" spans="10:333" x14ac:dyDescent="0.3">
      <c r="J18" s="114" t="s">
        <v>541</v>
      </c>
      <c r="K18" t="e">
        <f t="shared" si="54"/>
        <v>#DIV/0!</v>
      </c>
      <c r="L18">
        <f t="shared" si="54"/>
        <v>27.600724637681164</v>
      </c>
      <c r="M18">
        <f t="shared" si="54"/>
        <v>139.43305555555557</v>
      </c>
      <c r="N18">
        <f t="shared" si="54"/>
        <v>4.5999999999999996</v>
      </c>
      <c r="P18" t="e">
        <f t="shared" si="106"/>
        <v>#DIV/0!</v>
      </c>
      <c r="Q18">
        <f t="shared" si="106"/>
        <v>27.604617647058824</v>
      </c>
      <c r="R18">
        <f t="shared" si="106"/>
        <v>217.47745583038869</v>
      </c>
      <c r="S18">
        <f t="shared" si="106"/>
        <v>4.5999999999999996</v>
      </c>
      <c r="V18" s="114" t="s">
        <v>541</v>
      </c>
      <c r="W18" t="e">
        <f t="shared" ref="W18:Z18" si="207">W8*1000/W$4</f>
        <v>#DIV/0!</v>
      </c>
      <c r="X18">
        <f t="shared" si="207"/>
        <v>32.730000000000004</v>
      </c>
      <c r="Y18">
        <f t="shared" si="207"/>
        <v>64.165618915159953</v>
      </c>
      <c r="Z18">
        <f t="shared" si="207"/>
        <v>4.5999999999999996</v>
      </c>
      <c r="AB18" t="e">
        <f t="shared" ref="AB18:AE18" si="208">AB8*1000/AB$4</f>
        <v>#DIV/0!</v>
      </c>
      <c r="AC18">
        <f t="shared" si="208"/>
        <v>29.470388489208634</v>
      </c>
      <c r="AD18">
        <f t="shared" si="208"/>
        <v>127.59410116731519</v>
      </c>
      <c r="AE18">
        <f t="shared" si="208"/>
        <v>4.5999999999999996</v>
      </c>
      <c r="AH18" s="114" t="s">
        <v>541</v>
      </c>
      <c r="AI18" t="e">
        <f t="shared" ref="AI18:AL18" si="209">AI8*1000/AI$4</f>
        <v>#DIV/0!</v>
      </c>
      <c r="AJ18" t="e">
        <f t="shared" si="209"/>
        <v>#DIV/0!</v>
      </c>
      <c r="AK18">
        <f t="shared" si="209"/>
        <v>81.106315789473697</v>
      </c>
      <c r="AL18" t="e">
        <f t="shared" si="209"/>
        <v>#DIV/0!</v>
      </c>
      <c r="AN18" t="e">
        <f t="shared" ref="AN18:AQ18" si="210">AN8*1000/AN$4</f>
        <v>#DIV/0!</v>
      </c>
      <c r="AO18">
        <f t="shared" si="210"/>
        <v>29.470388489208634</v>
      </c>
      <c r="AP18">
        <f t="shared" si="210"/>
        <v>111.74057435897437</v>
      </c>
      <c r="AQ18">
        <f t="shared" si="210"/>
        <v>4.5999999999999996</v>
      </c>
      <c r="AT18" s="114" t="s">
        <v>541</v>
      </c>
      <c r="AU18" t="e">
        <f t="shared" ref="AU18:AX18" si="211">AU8*1000/AU$4</f>
        <v>#DIV/0!</v>
      </c>
      <c r="AV18">
        <f t="shared" si="211"/>
        <v>27.693508557457214</v>
      </c>
      <c r="AW18">
        <f t="shared" si="211"/>
        <v>53.960847201210292</v>
      </c>
      <c r="AX18">
        <f t="shared" si="211"/>
        <v>4.5999999999999996</v>
      </c>
      <c r="AZ18" t="e">
        <f t="shared" ref="AZ18:BC18" si="212">AZ8*1000/AZ$4</f>
        <v>#DIV/0!</v>
      </c>
      <c r="BA18">
        <f t="shared" si="212"/>
        <v>28.901620035218162</v>
      </c>
      <c r="BB18">
        <f t="shared" si="212"/>
        <v>97.113075450019153</v>
      </c>
      <c r="BC18">
        <f t="shared" si="212"/>
        <v>4.5999999999999996</v>
      </c>
      <c r="BF18" s="114" t="s">
        <v>541</v>
      </c>
      <c r="BG18" t="e">
        <f t="shared" ref="BG18:BJ18" si="213">BG8*1000/BG$4</f>
        <v>#DIV/0!</v>
      </c>
      <c r="BH18">
        <f t="shared" si="213"/>
        <v>27.568268551236752</v>
      </c>
      <c r="BI18">
        <f t="shared" si="213"/>
        <v>62.735000000000014</v>
      </c>
      <c r="BJ18">
        <f t="shared" si="213"/>
        <v>4.5999999999999996</v>
      </c>
      <c r="BL18" t="e">
        <f t="shared" ref="BL18:BO18" si="214">BL8*1000/BL$4</f>
        <v>#DIV/0!</v>
      </c>
      <c r="BM18">
        <f t="shared" si="214"/>
        <v>28.612516089488199</v>
      </c>
      <c r="BN18">
        <f t="shared" si="214"/>
        <v>89.844983388704335</v>
      </c>
      <c r="BO18">
        <f t="shared" si="214"/>
        <v>4.5999999999999988</v>
      </c>
      <c r="BR18" s="114" t="s">
        <v>541</v>
      </c>
      <c r="BS18" t="e">
        <f t="shared" ref="BS18:BV18" si="215">BS8*1000/BS$4</f>
        <v>#DIV/0!</v>
      </c>
      <c r="BT18">
        <f t="shared" si="215"/>
        <v>27.69</v>
      </c>
      <c r="BU18">
        <f t="shared" si="215"/>
        <v>64.229268571428577</v>
      </c>
      <c r="BV18">
        <f t="shared" si="215"/>
        <v>4.5999999999999996</v>
      </c>
      <c r="BX18" t="e">
        <f t="shared" ref="BX18:CA18" si="216">BX8*1000/BX$4</f>
        <v>#DIV/0!</v>
      </c>
      <c r="BY18">
        <f t="shared" si="216"/>
        <v>28.512900492072177</v>
      </c>
      <c r="BZ18">
        <f t="shared" si="216"/>
        <v>84.490527950310565</v>
      </c>
      <c r="CA18">
        <f t="shared" si="216"/>
        <v>4.5999999999999988</v>
      </c>
      <c r="CD18" s="114" t="s">
        <v>541</v>
      </c>
      <c r="CE18">
        <f t="shared" ref="CE18:CH18" si="217">CE8*1000/CE$4</f>
        <v>36.22</v>
      </c>
      <c r="CF18">
        <f t="shared" si="217"/>
        <v>27.629405693176885</v>
      </c>
      <c r="CG18">
        <f t="shared" si="217"/>
        <v>99.587142857142865</v>
      </c>
      <c r="CH18">
        <f t="shared" si="217"/>
        <v>4.5999999999999996</v>
      </c>
      <c r="CJ18">
        <f t="shared" ref="CJ18:CM18" si="218">CJ8*1000/CJ$4</f>
        <v>36.22</v>
      </c>
      <c r="CK18">
        <f t="shared" si="218"/>
        <v>28.378305581302975</v>
      </c>
      <c r="CL18">
        <f t="shared" si="218"/>
        <v>86.072508554319938</v>
      </c>
      <c r="CM18">
        <f t="shared" si="218"/>
        <v>4.5999999999999996</v>
      </c>
      <c r="CP18" s="114" t="s">
        <v>541</v>
      </c>
      <c r="CQ18" t="e">
        <f t="shared" ref="CQ18:CT18" si="219">CQ8*1000/CQ$4</f>
        <v>#DIV/0!</v>
      </c>
      <c r="CR18">
        <f t="shared" si="219"/>
        <v>27.564826388888889</v>
      </c>
      <c r="CS18">
        <f t="shared" si="219"/>
        <v>82.15428571428572</v>
      </c>
      <c r="CT18">
        <f t="shared" si="219"/>
        <v>4.5999999999999996</v>
      </c>
      <c r="CV18">
        <f t="shared" ref="CV18:CY18" si="220">CV8*1000/CV$4</f>
        <v>36.22</v>
      </c>
      <c r="CW18">
        <f t="shared" si="220"/>
        <v>28.261988765320019</v>
      </c>
      <c r="CX18">
        <f t="shared" si="220"/>
        <v>85.877433448486087</v>
      </c>
      <c r="CY18">
        <f t="shared" si="220"/>
        <v>4.5999999999999996</v>
      </c>
      <c r="DB18" s="114" t="s">
        <v>541</v>
      </c>
      <c r="DC18" t="e">
        <f t="shared" ref="DC18:DF18" si="221">DC8*1000/DC$4</f>
        <v>#DIV/0!</v>
      </c>
      <c r="DD18">
        <f t="shared" si="221"/>
        <v>30.623333333333338</v>
      </c>
      <c r="DE18">
        <f t="shared" si="221"/>
        <v>82.982400000000013</v>
      </c>
      <c r="DF18">
        <f t="shared" si="221"/>
        <v>4.6000000000000005</v>
      </c>
      <c r="DH18">
        <f t="shared" ref="DH18:DK18" si="222">DH8*1000/DH$4</f>
        <v>36.22</v>
      </c>
      <c r="DI18">
        <f t="shared" si="222"/>
        <v>28.333607653264739</v>
      </c>
      <c r="DJ18">
        <f t="shared" si="222"/>
        <v>85.440381297446521</v>
      </c>
      <c r="DK18">
        <f t="shared" si="222"/>
        <v>4.5999999999999996</v>
      </c>
      <c r="DN18" s="114" t="s">
        <v>541</v>
      </c>
      <c r="DO18" t="e">
        <f t="shared" ref="DO18:DR18" si="223">DO8*1000/DO$4</f>
        <v>#DIV/0!</v>
      </c>
      <c r="DP18">
        <f t="shared" si="223"/>
        <v>27.491344158773121</v>
      </c>
      <c r="DQ18">
        <f t="shared" si="223"/>
        <v>64.85931937172775</v>
      </c>
      <c r="DR18">
        <f t="shared" si="223"/>
        <v>4.5999999999999996</v>
      </c>
      <c r="DT18">
        <f t="shared" ref="DT18:DW18" si="224">DT8*1000/DT$4</f>
        <v>36.22</v>
      </c>
      <c r="DU18">
        <f t="shared" si="224"/>
        <v>28.185442983450461</v>
      </c>
      <c r="DV18">
        <f t="shared" si="224"/>
        <v>83.043440548780481</v>
      </c>
      <c r="DW18">
        <f t="shared" si="224"/>
        <v>4.6000000000000005</v>
      </c>
      <c r="DZ18" s="114" t="s">
        <v>541</v>
      </c>
      <c r="EA18" t="e">
        <f t="shared" ref="EA18:ED18" si="225">EA8*1000/EA$4</f>
        <v>#DIV/0!</v>
      </c>
      <c r="EB18">
        <f t="shared" si="225"/>
        <v>27.321435897435897</v>
      </c>
      <c r="EC18">
        <f t="shared" si="225"/>
        <v>68.044285714285721</v>
      </c>
      <c r="ED18">
        <f t="shared" si="225"/>
        <v>4.5999999999999996</v>
      </c>
      <c r="EF18">
        <f t="shared" ref="EF18:EI18" si="226">EF8*1000/EF$4</f>
        <v>36.22</v>
      </c>
      <c r="EG18">
        <f t="shared" si="226"/>
        <v>28.069670953175613</v>
      </c>
      <c r="EH18">
        <f t="shared" si="226"/>
        <v>82.000946099290772</v>
      </c>
      <c r="EI18">
        <f t="shared" si="226"/>
        <v>4.6000000000000005</v>
      </c>
      <c r="EL18" s="114" t="s">
        <v>541</v>
      </c>
      <c r="EM18" t="e">
        <f t="shared" ref="EM18:EP18" si="227">EM8*1000/EM$4</f>
        <v>#DIV/0!</v>
      </c>
      <c r="EN18">
        <f t="shared" si="227"/>
        <v>27.565797665369651</v>
      </c>
      <c r="EO18">
        <f t="shared" si="227"/>
        <v>74.847692307692313</v>
      </c>
      <c r="EP18">
        <f t="shared" si="227"/>
        <v>4.5999999999999996</v>
      </c>
      <c r="ER18">
        <f t="shared" ref="ER18:EU18" si="228">ER8*1000/ER$4</f>
        <v>36.22</v>
      </c>
      <c r="ES18">
        <f t="shared" si="228"/>
        <v>28.028789338384517</v>
      </c>
      <c r="ET18">
        <f t="shared" si="228"/>
        <v>81.56727115256497</v>
      </c>
      <c r="EU18">
        <f t="shared" si="228"/>
        <v>4.6000000000000005</v>
      </c>
      <c r="EX18" s="114" t="s">
        <v>541</v>
      </c>
      <c r="EY18" t="e">
        <f t="shared" ref="EY18:FB18" si="229">EY8*1000/EY$4</f>
        <v>#DIV/0!</v>
      </c>
      <c r="EZ18">
        <f t="shared" si="229"/>
        <v>27.988282002463883</v>
      </c>
      <c r="FA18">
        <f t="shared" si="229"/>
        <v>62.686531322505793</v>
      </c>
      <c r="FB18">
        <f t="shared" si="229"/>
        <v>27.5</v>
      </c>
      <c r="FC18">
        <f t="shared" ref="FC18" si="230">FC8*1000/FC$4</f>
        <v>4.5999999999999996</v>
      </c>
      <c r="FE18">
        <f t="shared" ref="FE18:FG18" si="231">FE8*1000/FE$4</f>
        <v>36.22</v>
      </c>
      <c r="FF18">
        <f t="shared" si="231"/>
        <v>28.02577007195686</v>
      </c>
      <c r="FG18">
        <f t="shared" si="231"/>
        <v>79.622105892195549</v>
      </c>
      <c r="FH18">
        <f t="shared" ref="FH18:FI18" si="232">FH8*1000/FH$4</f>
        <v>27.5</v>
      </c>
      <c r="FI18">
        <f t="shared" si="232"/>
        <v>4.6000000000000005</v>
      </c>
      <c r="FL18" s="114" t="s">
        <v>541</v>
      </c>
      <c r="FM18">
        <f t="shared" ref="FM18:FP18" si="233">FM8*1000/FM$4</f>
        <v>36.22</v>
      </c>
      <c r="FN18">
        <f t="shared" si="233"/>
        <v>27.647106382978723</v>
      </c>
      <c r="FO18">
        <f t="shared" si="233"/>
        <v>96.254033613445387</v>
      </c>
      <c r="FP18">
        <f t="shared" si="233"/>
        <v>17.570952380952381</v>
      </c>
      <c r="FQ18">
        <f t="shared" si="82"/>
        <v>4.5999999999999988</v>
      </c>
      <c r="FS18">
        <f t="shared" ref="FS18:FW18" si="234">FS8*1000/FS$4</f>
        <v>36.22</v>
      </c>
      <c r="FT18">
        <f t="shared" si="234"/>
        <v>28.001441582890038</v>
      </c>
      <c r="FU18">
        <f t="shared" si="234"/>
        <v>80.726323365320269</v>
      </c>
      <c r="FV18">
        <f t="shared" si="234"/>
        <v>21.894892473118279</v>
      </c>
      <c r="FW18">
        <f t="shared" si="234"/>
        <v>4.6000000000000005</v>
      </c>
      <c r="FZ18" s="114" t="s">
        <v>541</v>
      </c>
      <c r="GA18" t="e">
        <f t="shared" ref="GA18:GE18" si="235">GA8*1000/GA$4</f>
        <v>#DIV/0!</v>
      </c>
      <c r="GB18">
        <f t="shared" si="235"/>
        <v>28.646307692307694</v>
      </c>
      <c r="GC18">
        <f t="shared" si="235"/>
        <v>75.415202057310793</v>
      </c>
      <c r="GD18" t="e">
        <f t="shared" si="235"/>
        <v>#DIV/0!</v>
      </c>
      <c r="GE18">
        <f t="shared" si="235"/>
        <v>4.5999999999999996</v>
      </c>
      <c r="GG18">
        <f t="shared" ref="GG18:GK18" si="236">GG8*1000/GG$4</f>
        <v>36.22</v>
      </c>
      <c r="GH18">
        <f t="shared" si="236"/>
        <v>28.034080863812996</v>
      </c>
      <c r="GI18">
        <f t="shared" si="236"/>
        <v>80.026097064806791</v>
      </c>
      <c r="GJ18">
        <f t="shared" si="236"/>
        <v>21.894892473118279</v>
      </c>
      <c r="GK18">
        <f t="shared" si="236"/>
        <v>4.6000000000000005</v>
      </c>
      <c r="GN18" s="114" t="s">
        <v>541</v>
      </c>
      <c r="GO18" t="e">
        <f t="shared" ref="GO18:GS18" si="237">GO8*1000/GO$4</f>
        <v>#DIV/0!</v>
      </c>
      <c r="GP18">
        <f t="shared" si="237"/>
        <v>27.559090909090909</v>
      </c>
      <c r="GQ18">
        <f t="shared" si="237"/>
        <v>90.222885714285724</v>
      </c>
      <c r="GR18" t="e">
        <f t="shared" si="237"/>
        <v>#DIV/0!</v>
      </c>
      <c r="GS18">
        <f t="shared" si="237"/>
        <v>4.5999999999999996</v>
      </c>
      <c r="GU18">
        <f t="shared" ref="GU18:GY18" si="238">GU8*1000/GU$4</f>
        <v>36.22</v>
      </c>
      <c r="GV18">
        <f t="shared" si="238"/>
        <v>28.007212322201926</v>
      </c>
      <c r="GW18">
        <f t="shared" si="238"/>
        <v>81.243831783673187</v>
      </c>
      <c r="GX18">
        <f t="shared" si="238"/>
        <v>21.894892473118279</v>
      </c>
      <c r="GY18">
        <f t="shared" si="238"/>
        <v>4.6000000000000005</v>
      </c>
      <c r="HB18" s="114" t="s">
        <v>541</v>
      </c>
      <c r="HC18" t="e">
        <f t="shared" ref="HC18:HG18" si="239">HC8*1000/HC$4</f>
        <v>#DIV/0!</v>
      </c>
      <c r="HD18">
        <f t="shared" si="239"/>
        <v>27.7184375</v>
      </c>
      <c r="HE18">
        <f t="shared" si="239"/>
        <v>75.224999999999994</v>
      </c>
      <c r="HF18" t="e">
        <f t="shared" si="239"/>
        <v>#DIV/0!</v>
      </c>
      <c r="HG18">
        <f t="shared" si="239"/>
        <v>4.5999999999999996</v>
      </c>
      <c r="HI18">
        <f t="shared" ref="HI18:HM18" si="240">HI8*1000/HI$4</f>
        <v>36.22</v>
      </c>
      <c r="HJ18">
        <f t="shared" si="240"/>
        <v>27.990177366366225</v>
      </c>
      <c r="HK18">
        <f t="shared" si="240"/>
        <v>80.936872824415175</v>
      </c>
      <c r="HL18">
        <f t="shared" si="240"/>
        <v>21.894892473118279</v>
      </c>
      <c r="HM18">
        <f t="shared" si="240"/>
        <v>4.6000000000000005</v>
      </c>
      <c r="HP18" s="114" t="s">
        <v>541</v>
      </c>
      <c r="HQ18" t="e">
        <f t="shared" ref="HQ18:HU18" si="241">HQ8*1000/HQ$4</f>
        <v>#DIV/0!</v>
      </c>
      <c r="HR18">
        <f t="shared" si="241"/>
        <v>28.069534490055013</v>
      </c>
      <c r="HS18">
        <f t="shared" si="241"/>
        <v>109.54142857142857</v>
      </c>
      <c r="HT18" t="e">
        <f t="shared" si="241"/>
        <v>#DIV/0!</v>
      </c>
      <c r="HU18">
        <f t="shared" si="241"/>
        <v>4.5999999999999996</v>
      </c>
      <c r="HW18">
        <f t="shared" ref="HW18:IA18" si="242">HW8*1000/HW$4</f>
        <v>36.22</v>
      </c>
      <c r="HX18">
        <f t="shared" si="242"/>
        <v>27.995904803792207</v>
      </c>
      <c r="HY18">
        <f t="shared" si="242"/>
        <v>81.725001180823469</v>
      </c>
      <c r="HZ18">
        <f t="shared" si="242"/>
        <v>21.894892473118279</v>
      </c>
      <c r="IA18">
        <f t="shared" si="242"/>
        <v>4.5999999999999996</v>
      </c>
      <c r="ID18" s="114" t="s">
        <v>541</v>
      </c>
      <c r="IE18">
        <f t="shared" ref="IE18:II18" si="243">IE8*1000/IE$4</f>
        <v>36.22</v>
      </c>
      <c r="IF18">
        <f t="shared" si="243"/>
        <v>27.781118644067796</v>
      </c>
      <c r="IG18">
        <f t="shared" si="243"/>
        <v>214.29833333333335</v>
      </c>
      <c r="IH18">
        <f t="shared" si="243"/>
        <v>27.200000000000003</v>
      </c>
      <c r="II18">
        <f t="shared" si="243"/>
        <v>4.5999999999999996</v>
      </c>
      <c r="IK18">
        <f t="shared" ref="IK18:IO18" si="244">IK8*1000/IK$4</f>
        <v>36.22</v>
      </c>
      <c r="IL18">
        <f t="shared" si="244"/>
        <v>27.982936936419502</v>
      </c>
      <c r="IM18">
        <f t="shared" si="244"/>
        <v>83.880998993262608</v>
      </c>
      <c r="IN18">
        <f t="shared" si="244"/>
        <v>20.368581081081082</v>
      </c>
      <c r="IO18">
        <f t="shared" si="244"/>
        <v>4.6000000000000005</v>
      </c>
      <c r="IR18" s="114" t="s">
        <v>541</v>
      </c>
      <c r="IS18" t="e">
        <f t="shared" ref="IS18:IW18" si="245">IS8*1000/IS$4</f>
        <v>#DIV/0!</v>
      </c>
      <c r="IT18">
        <f t="shared" si="245"/>
        <v>28.004896593673966</v>
      </c>
      <c r="IU18">
        <f t="shared" si="245"/>
        <v>108.528125</v>
      </c>
      <c r="IV18" t="e">
        <f t="shared" si="245"/>
        <v>#DIV/0!</v>
      </c>
      <c r="IW18">
        <f t="shared" si="245"/>
        <v>4.5999999999999996</v>
      </c>
      <c r="IY18">
        <f t="shared" ref="IY18:JC18" si="246">IY8*1000/IY$4</f>
        <v>36.22</v>
      </c>
      <c r="IZ18">
        <f t="shared" si="246"/>
        <v>27.984298397784698</v>
      </c>
      <c r="JA18">
        <f t="shared" si="246"/>
        <v>84.905447190677663</v>
      </c>
      <c r="JB18">
        <f t="shared" si="246"/>
        <v>20.368581081081082</v>
      </c>
      <c r="JC18">
        <f t="shared" si="246"/>
        <v>4.5999999999999996</v>
      </c>
      <c r="JF18" s="114" t="s">
        <v>541</v>
      </c>
      <c r="JG18" t="e">
        <f t="shared" ref="JG18:JK18" si="247">JG8*1000/JG$4</f>
        <v>#DIV/0!</v>
      </c>
      <c r="JH18">
        <f t="shared" si="247"/>
        <v>27.990000000000002</v>
      </c>
      <c r="JI18">
        <f t="shared" si="247"/>
        <v>113.55363636363637</v>
      </c>
      <c r="JJ18" t="e">
        <f t="shared" si="247"/>
        <v>#DIV/0!</v>
      </c>
      <c r="JK18">
        <f t="shared" si="247"/>
        <v>4.5999999999999996</v>
      </c>
      <c r="JM18">
        <f t="shared" ref="JM18:JQ18" si="248">JM8*1000/JM$4</f>
        <v>36.22</v>
      </c>
      <c r="JN18">
        <f t="shared" si="248"/>
        <v>27.98447346708582</v>
      </c>
      <c r="JO18">
        <f t="shared" si="248"/>
        <v>86.454215404058104</v>
      </c>
      <c r="JP18">
        <f t="shared" si="248"/>
        <v>20.368581081081082</v>
      </c>
      <c r="JQ18">
        <f t="shared" si="248"/>
        <v>4.5999999999999988</v>
      </c>
      <c r="JT18" s="114" t="s">
        <v>541</v>
      </c>
      <c r="JU18" t="e">
        <f t="shared" ref="JU18:JY18" si="249">JU8*1000/JU$4</f>
        <v>#DIV/0!</v>
      </c>
      <c r="JV18">
        <f t="shared" si="249"/>
        <v>28.085664062500001</v>
      </c>
      <c r="JW18">
        <f t="shared" si="249"/>
        <v>114.3173214285714</v>
      </c>
      <c r="JX18" t="e">
        <f t="shared" si="249"/>
        <v>#DIV/0!</v>
      </c>
      <c r="JY18">
        <f t="shared" si="249"/>
        <v>4.5999999999999996</v>
      </c>
      <c r="KA18">
        <f t="shared" ref="KA18:KE18" si="250">KA8*1000/KA$4</f>
        <v>36.22</v>
      </c>
      <c r="KB18">
        <f t="shared" si="250"/>
        <v>27.988996448133769</v>
      </c>
      <c r="KC18">
        <f t="shared" si="250"/>
        <v>86.991409488397707</v>
      </c>
      <c r="KD18">
        <f t="shared" si="250"/>
        <v>20.368581081081082</v>
      </c>
      <c r="KE18">
        <f t="shared" si="250"/>
        <v>4.5999999999999979</v>
      </c>
      <c r="KH18" s="114" t="s">
        <v>541</v>
      </c>
      <c r="KI18">
        <f t="shared" ref="KI18:KM18" si="251">KI8*1000/KI$4</f>
        <v>36.22</v>
      </c>
      <c r="KJ18">
        <f t="shared" si="251"/>
        <v>28.320873786407766</v>
      </c>
      <c r="KK18">
        <f t="shared" si="251"/>
        <v>188.44499999999999</v>
      </c>
      <c r="KL18" t="e">
        <f t="shared" si="251"/>
        <v>#DIV/0!</v>
      </c>
      <c r="KM18">
        <f t="shared" si="251"/>
        <v>4.5999999999999996</v>
      </c>
      <c r="KO18">
        <f t="shared" ref="KO18:KS18" si="252">KO8*1000/KO$4</f>
        <v>36.22</v>
      </c>
      <c r="KP18">
        <f t="shared" si="252"/>
        <v>28.000518857021788</v>
      </c>
      <c r="KQ18">
        <f t="shared" si="252"/>
        <v>89.378873798157699</v>
      </c>
      <c r="KR18">
        <f t="shared" si="252"/>
        <v>20.368581081081082</v>
      </c>
      <c r="KS18">
        <f t="shared" si="252"/>
        <v>4.5999999999999979</v>
      </c>
      <c r="KV18" s="114" t="s">
        <v>541</v>
      </c>
      <c r="KW18">
        <f t="shared" ref="KW18:LA18" si="253">KW8*1000/KW$4</f>
        <v>36.22</v>
      </c>
      <c r="KX18">
        <f t="shared" si="253"/>
        <v>27.909624197983508</v>
      </c>
      <c r="KY18">
        <f t="shared" si="253"/>
        <v>191.06588235294117</v>
      </c>
      <c r="KZ18" t="e">
        <f t="shared" si="253"/>
        <v>#DIV/0!</v>
      </c>
      <c r="LA18">
        <f t="shared" si="253"/>
        <v>4.5999999999999996</v>
      </c>
      <c r="LC18">
        <f t="shared" ref="LC18:LG18" si="254">LC8*1000/LC$4</f>
        <v>36.22</v>
      </c>
      <c r="LD18">
        <f t="shared" si="254"/>
        <v>27.998192358403369</v>
      </c>
      <c r="LE18">
        <f t="shared" si="254"/>
        <v>93.290418282906572</v>
      </c>
      <c r="LF18">
        <f t="shared" si="254"/>
        <v>20.368581081081082</v>
      </c>
      <c r="LG18">
        <f t="shared" si="254"/>
        <v>4.5999999999999979</v>
      </c>
      <c r="LJ18" s="114" t="s">
        <v>541</v>
      </c>
      <c r="LK18">
        <f t="shared" ref="LK18:LO18" si="255">LK8*1000/LK$4</f>
        <v>36.22</v>
      </c>
      <c r="LL18">
        <f t="shared" si="255"/>
        <v>28.972507583417595</v>
      </c>
      <c r="LM18">
        <f t="shared" si="255"/>
        <v>552.59749999999997</v>
      </c>
      <c r="LN18" t="e">
        <f t="shared" si="255"/>
        <v>#DIV/0!</v>
      </c>
      <c r="LO18">
        <f t="shared" si="255"/>
        <v>4.5999999999999996</v>
      </c>
      <c r="LQ18">
        <f t="shared" ref="LQ18:LU18" si="256">LQ8*1000/LQ$4</f>
        <v>36.22</v>
      </c>
      <c r="LR18">
        <f t="shared" si="256"/>
        <v>28.020286332703559</v>
      </c>
      <c r="LS18">
        <f t="shared" si="256"/>
        <v>97.410292157867687</v>
      </c>
      <c r="LT18">
        <f t="shared" si="256"/>
        <v>20.368581081081082</v>
      </c>
      <c r="LU18">
        <f t="shared" si="256"/>
        <v>4.5999999999999988</v>
      </c>
    </row>
    <row r="19" spans="10:333" x14ac:dyDescent="0.3">
      <c r="J19" s="114" t="s">
        <v>542</v>
      </c>
      <c r="K19" t="e">
        <f t="shared" si="54"/>
        <v>#DIV/0!</v>
      </c>
      <c r="L19">
        <f t="shared" si="54"/>
        <v>37.024637681159419</v>
      </c>
      <c r="M19">
        <f t="shared" si="54"/>
        <v>58.314722222222223</v>
      </c>
      <c r="N19">
        <f t="shared" si="54"/>
        <v>1.81</v>
      </c>
      <c r="P19" t="e">
        <f t="shared" si="106"/>
        <v>#DIV/0!</v>
      </c>
      <c r="Q19">
        <f t="shared" si="106"/>
        <v>37.027029411764708</v>
      </c>
      <c r="R19">
        <f t="shared" si="106"/>
        <v>67.058091872791522</v>
      </c>
      <c r="S19">
        <f t="shared" si="106"/>
        <v>1.8099999999999996</v>
      </c>
      <c r="V19" s="114" t="s">
        <v>542</v>
      </c>
      <c r="W19" t="e">
        <f t="shared" ref="W19:Z19" si="257">W9*1000/W$4</f>
        <v>#DIV/0!</v>
      </c>
      <c r="X19">
        <f t="shared" si="257"/>
        <v>40.54</v>
      </c>
      <c r="Y19">
        <f t="shared" si="257"/>
        <v>54.303852573018084</v>
      </c>
      <c r="Z19">
        <f t="shared" si="257"/>
        <v>1.8099999999999998</v>
      </c>
      <c r="AB19" t="e">
        <f t="shared" ref="AB19:AE19" si="258">AB9*1000/AB$4</f>
        <v>#DIV/0!</v>
      </c>
      <c r="AC19">
        <f t="shared" si="258"/>
        <v>35.264316546762593</v>
      </c>
      <c r="AD19">
        <f t="shared" si="258"/>
        <v>68.037315175097277</v>
      </c>
      <c r="AE19">
        <f t="shared" si="258"/>
        <v>1.81</v>
      </c>
      <c r="AH19" s="114" t="s">
        <v>542</v>
      </c>
      <c r="AI19" t="e">
        <f t="shared" ref="AI19:AL19" si="259">AI9*1000/AI$4</f>
        <v>#DIV/0!</v>
      </c>
      <c r="AJ19" t="e">
        <f t="shared" si="259"/>
        <v>#DIV/0!</v>
      </c>
      <c r="AK19">
        <f t="shared" si="259"/>
        <v>52.847368421052629</v>
      </c>
      <c r="AL19" t="e">
        <f t="shared" si="259"/>
        <v>#DIV/0!</v>
      </c>
      <c r="AN19" t="e">
        <f t="shared" ref="AN19:AQ19" si="260">AN9*1000/AN$4</f>
        <v>#DIV/0!</v>
      </c>
      <c r="AO19">
        <f t="shared" si="260"/>
        <v>35.264316546762593</v>
      </c>
      <c r="AP19">
        <f t="shared" si="260"/>
        <v>62.857153846153835</v>
      </c>
      <c r="AQ19">
        <f t="shared" si="260"/>
        <v>1.81</v>
      </c>
      <c r="AT19" s="114" t="s">
        <v>542</v>
      </c>
      <c r="AU19" t="e">
        <f t="shared" ref="AU19:AX19" si="261">AU9*1000/AU$4</f>
        <v>#DIV/0!</v>
      </c>
      <c r="AV19">
        <f t="shared" si="261"/>
        <v>37.088227383863078</v>
      </c>
      <c r="AW19">
        <f t="shared" si="261"/>
        <v>50.526444780635394</v>
      </c>
      <c r="AX19">
        <f t="shared" si="261"/>
        <v>1.8099999999999998</v>
      </c>
      <c r="AZ19" t="e">
        <f t="shared" ref="AZ19:BC19" si="262">AZ9*1000/AZ$4</f>
        <v>#DIV/0!</v>
      </c>
      <c r="BA19">
        <f t="shared" si="262"/>
        <v>35.848139307376243</v>
      </c>
      <c r="BB19">
        <f t="shared" si="262"/>
        <v>59.735515128303319</v>
      </c>
      <c r="BC19">
        <f t="shared" si="262"/>
        <v>1.8099999999999996</v>
      </c>
      <c r="BF19" s="114" t="s">
        <v>542</v>
      </c>
      <c r="BG19" t="e">
        <f t="shared" ref="BG19:BJ19" si="263">BG9*1000/BG$4</f>
        <v>#DIV/0!</v>
      </c>
      <c r="BH19">
        <f t="shared" si="263"/>
        <v>37.00197879858657</v>
      </c>
      <c r="BI19">
        <f t="shared" si="263"/>
        <v>51.157000000000004</v>
      </c>
      <c r="BJ19">
        <f t="shared" si="263"/>
        <v>1.8099999999999998</v>
      </c>
      <c r="BL19" t="e">
        <f t="shared" ref="BL19:BO19" si="264">BL9*1000/BL$4</f>
        <v>#DIV/0!</v>
      </c>
      <c r="BM19">
        <f t="shared" si="264"/>
        <v>36.098320563898248</v>
      </c>
      <c r="BN19">
        <f t="shared" si="264"/>
        <v>57.921875566294162</v>
      </c>
      <c r="BO19">
        <f t="shared" si="264"/>
        <v>1.8099999999999994</v>
      </c>
      <c r="BR19" s="114" t="s">
        <v>542</v>
      </c>
      <c r="BS19" t="e">
        <f t="shared" ref="BS19:BV19" si="265">BS9*1000/BS$4</f>
        <v>#DIV/0!</v>
      </c>
      <c r="BT19">
        <f t="shared" si="265"/>
        <v>37.085822784810127</v>
      </c>
      <c r="BU19">
        <f t="shared" si="265"/>
        <v>51.267040000000001</v>
      </c>
      <c r="BV19">
        <f t="shared" si="265"/>
        <v>1.8099999999999998</v>
      </c>
      <c r="BX19" t="e">
        <f t="shared" ref="BX19:CA19" si="266">BX9*1000/BX$4</f>
        <v>#DIV/0!</v>
      </c>
      <c r="BY19">
        <f t="shared" si="266"/>
        <v>36.204953526517222</v>
      </c>
      <c r="BZ19">
        <f t="shared" si="266"/>
        <v>56.530814620162445</v>
      </c>
      <c r="CA19">
        <f t="shared" si="266"/>
        <v>1.8099999999999998</v>
      </c>
      <c r="CD19" s="114" t="s">
        <v>542</v>
      </c>
      <c r="CE19">
        <f t="shared" ref="CE19:CH19" si="267">CE9*1000/CE$4</f>
        <v>42.93</v>
      </c>
      <c r="CF19">
        <f t="shared" si="267"/>
        <v>37.044192742285965</v>
      </c>
      <c r="CG19">
        <f t="shared" si="267"/>
        <v>53.828571428571422</v>
      </c>
      <c r="CH19">
        <f t="shared" si="267"/>
        <v>1.8099999999999998</v>
      </c>
      <c r="CJ19">
        <f t="shared" ref="CJ19:CM19" si="268">CJ9*1000/CJ$4</f>
        <v>42.93</v>
      </c>
      <c r="CK19">
        <f t="shared" si="268"/>
        <v>36.33280637579449</v>
      </c>
      <c r="CL19">
        <f t="shared" si="268"/>
        <v>56.247645423438833</v>
      </c>
      <c r="CM19">
        <f t="shared" si="268"/>
        <v>1.8099999999999998</v>
      </c>
      <c r="CP19" s="114" t="s">
        <v>542</v>
      </c>
      <c r="CQ19" t="e">
        <f t="shared" ref="CQ19:CT19" si="269">CQ9*1000/CQ$4</f>
        <v>#DIV/0!</v>
      </c>
      <c r="CR19">
        <f t="shared" si="269"/>
        <v>37.000034722222217</v>
      </c>
      <c r="CS19">
        <f t="shared" si="269"/>
        <v>52.562857142857133</v>
      </c>
      <c r="CT19">
        <f t="shared" si="269"/>
        <v>1.8099999999999998</v>
      </c>
      <c r="CV19">
        <f t="shared" ref="CV19:CY19" si="270">CV9*1000/CV$4</f>
        <v>42.93</v>
      </c>
      <c r="CW19">
        <f t="shared" si="270"/>
        <v>36.428211246028134</v>
      </c>
      <c r="CX19">
        <f t="shared" si="270"/>
        <v>56.064192237350134</v>
      </c>
      <c r="CY19">
        <f t="shared" si="270"/>
        <v>1.8099999999999996</v>
      </c>
      <c r="DB19" s="114" t="s">
        <v>542</v>
      </c>
      <c r="DC19" t="e">
        <f t="shared" ref="DC19:DF19" si="271">DC9*1000/DC$4</f>
        <v>#DIV/0!</v>
      </c>
      <c r="DD19">
        <f t="shared" si="271"/>
        <v>39.096190476190479</v>
      </c>
      <c r="DE19">
        <f t="shared" si="271"/>
        <v>53.404000000000003</v>
      </c>
      <c r="DF19">
        <f t="shared" si="271"/>
        <v>1.8100000000000003</v>
      </c>
      <c r="DH19">
        <f t="shared" ref="DH19:DK19" si="272">DH9*1000/DH$4</f>
        <v>42.93</v>
      </c>
      <c r="DI19">
        <f t="shared" si="272"/>
        <v>36.509130273311229</v>
      </c>
      <c r="DJ19">
        <f t="shared" si="272"/>
        <v>55.662593167701864</v>
      </c>
      <c r="DK19">
        <f t="shared" si="272"/>
        <v>1.8099999999999996</v>
      </c>
      <c r="DN19" s="114" t="s">
        <v>542</v>
      </c>
      <c r="DO19" t="e">
        <f t="shared" ref="DO19:DR19" si="273">DO9*1000/DO$4</f>
        <v>#DIV/0!</v>
      </c>
      <c r="DP19">
        <f t="shared" si="273"/>
        <v>36.949260261614796</v>
      </c>
      <c r="DQ19">
        <f t="shared" si="273"/>
        <v>52.806753926701575</v>
      </c>
      <c r="DR19">
        <f t="shared" si="273"/>
        <v>1.8099999999999998</v>
      </c>
      <c r="DT19">
        <f t="shared" ref="DT19:DW19" si="274">DT9*1000/DT$4</f>
        <v>42.93</v>
      </c>
      <c r="DU19">
        <f t="shared" si="274"/>
        <v>36.586554636136924</v>
      </c>
      <c r="DV19">
        <f t="shared" si="274"/>
        <v>55.329992378048772</v>
      </c>
      <c r="DW19">
        <f t="shared" si="274"/>
        <v>1.8099999999999996</v>
      </c>
      <c r="DZ19" s="114" t="s">
        <v>542</v>
      </c>
      <c r="EA19" t="e">
        <f t="shared" ref="EA19:ED19" si="275">EA9*1000/EA$4</f>
        <v>#DIV/0!</v>
      </c>
      <c r="EB19">
        <f t="shared" si="275"/>
        <v>36.833025641025642</v>
      </c>
      <c r="EC19">
        <f t="shared" si="275"/>
        <v>51.540000000000006</v>
      </c>
      <c r="ED19">
        <f t="shared" si="275"/>
        <v>1.8099999999999998</v>
      </c>
      <c r="EF19">
        <f t="shared" ref="EF19:EI19" si="276">EF9*1000/EF$4</f>
        <v>42.93</v>
      </c>
      <c r="EG19">
        <f t="shared" si="276"/>
        <v>36.619580347501717</v>
      </c>
      <c r="EH19">
        <f t="shared" si="276"/>
        <v>55.066574468085101</v>
      </c>
      <c r="EI19">
        <f t="shared" si="276"/>
        <v>1.81</v>
      </c>
      <c r="EL19" s="114" t="s">
        <v>542</v>
      </c>
      <c r="EM19" t="e">
        <f t="shared" ref="EM19:EP19" si="277">EM9*1000/EM$4</f>
        <v>#DIV/0!</v>
      </c>
      <c r="EN19">
        <f t="shared" si="277"/>
        <v>37.000700389105056</v>
      </c>
      <c r="EO19">
        <f t="shared" si="277"/>
        <v>52.050769230769227</v>
      </c>
      <c r="EP19">
        <f t="shared" si="277"/>
        <v>1.8099999999999998</v>
      </c>
      <c r="ER19">
        <f t="shared" ref="ER19:EU19" si="278">ER9*1000/ER$4</f>
        <v>42.93</v>
      </c>
      <c r="ES19">
        <f t="shared" si="278"/>
        <v>36.650502412844446</v>
      </c>
      <c r="ET19">
        <f t="shared" si="278"/>
        <v>54.883737508327776</v>
      </c>
      <c r="EU19">
        <f t="shared" si="278"/>
        <v>1.8100000000000003</v>
      </c>
      <c r="EX19" s="114" t="s">
        <v>542</v>
      </c>
      <c r="EY19" t="e">
        <f t="shared" ref="EY19:FB19" si="279">EY9*1000/EY$4</f>
        <v>#DIV/0!</v>
      </c>
      <c r="EZ19">
        <f t="shared" si="279"/>
        <v>37.290005599731217</v>
      </c>
      <c r="FA19">
        <f t="shared" si="279"/>
        <v>51.163178654292331</v>
      </c>
      <c r="FB19">
        <f t="shared" si="279"/>
        <v>36.949999999999996</v>
      </c>
      <c r="FC19">
        <f t="shared" ref="FC19" si="280">FC9*1000/FC$4</f>
        <v>1.8099999999999996</v>
      </c>
      <c r="FE19">
        <f t="shared" ref="FE19:FG19" si="281">FE9*1000/FE$4</f>
        <v>42.93</v>
      </c>
      <c r="FF19">
        <f t="shared" si="281"/>
        <v>36.69816860610716</v>
      </c>
      <c r="FG19">
        <f t="shared" si="281"/>
        <v>54.500431456914065</v>
      </c>
      <c r="FH19">
        <f t="shared" ref="FH19:FI19" si="282">FH9*1000/FH$4</f>
        <v>36.949999999999996</v>
      </c>
      <c r="FI19">
        <f t="shared" si="282"/>
        <v>1.8100000000000005</v>
      </c>
      <c r="FL19" s="114" t="s">
        <v>542</v>
      </c>
      <c r="FM19">
        <f t="shared" ref="FM19:FP19" si="283">FM9*1000/FM$4</f>
        <v>42.93</v>
      </c>
      <c r="FN19">
        <f t="shared" si="283"/>
        <v>37.05642553191489</v>
      </c>
      <c r="FO19">
        <f t="shared" si="283"/>
        <v>54.765478991596638</v>
      </c>
      <c r="FP19">
        <f t="shared" si="283"/>
        <v>16.748000000000001</v>
      </c>
      <c r="FQ19">
        <f t="shared" si="82"/>
        <v>1.8099999999999998</v>
      </c>
      <c r="FS19">
        <f t="shared" ref="FS19:FW19" si="284">FS9*1000/FS$4</f>
        <v>42.93</v>
      </c>
      <c r="FT19">
        <f t="shared" si="284"/>
        <v>36.721185995828755</v>
      </c>
      <c r="FU19">
        <f t="shared" si="284"/>
        <v>54.518028341887963</v>
      </c>
      <c r="FV19">
        <f t="shared" si="284"/>
        <v>25.54564516129032</v>
      </c>
      <c r="FW19">
        <f t="shared" si="284"/>
        <v>1.8100000000000005</v>
      </c>
      <c r="FZ19" s="114" t="s">
        <v>542</v>
      </c>
      <c r="GA19" t="e">
        <f t="shared" ref="GA19:GE19" si="285">GA9*1000/GA$4</f>
        <v>#DIV/0!</v>
      </c>
      <c r="GB19">
        <f t="shared" si="285"/>
        <v>37.741230769230761</v>
      </c>
      <c r="GC19">
        <f t="shared" si="285"/>
        <v>54.419955914768551</v>
      </c>
      <c r="GD19" t="e">
        <f t="shared" si="285"/>
        <v>#DIV/0!</v>
      </c>
      <c r="GE19">
        <f t="shared" si="285"/>
        <v>1.81</v>
      </c>
      <c r="GG19">
        <f t="shared" ref="GG19:GK19" si="286">GG9*1000/GG$4</f>
        <v>42.93</v>
      </c>
      <c r="GH19">
        <f t="shared" si="286"/>
        <v>36.772814585743532</v>
      </c>
      <c r="GI19">
        <f t="shared" si="286"/>
        <v>54.505098324130586</v>
      </c>
      <c r="GJ19">
        <f t="shared" si="286"/>
        <v>25.54564516129032</v>
      </c>
      <c r="GK19">
        <f t="shared" si="286"/>
        <v>1.8100000000000005</v>
      </c>
      <c r="GN19" s="114" t="s">
        <v>542</v>
      </c>
      <c r="GO19" t="e">
        <f t="shared" ref="GO19:GS19" si="287">GO9*1000/GO$4</f>
        <v>#DIV/0!</v>
      </c>
      <c r="GP19">
        <f t="shared" si="287"/>
        <v>36.996103896103897</v>
      </c>
      <c r="GQ19">
        <f t="shared" si="287"/>
        <v>54.956785714285715</v>
      </c>
      <c r="GR19" t="e">
        <f t="shared" si="287"/>
        <v>#DIV/0!</v>
      </c>
      <c r="GS19">
        <f t="shared" si="287"/>
        <v>1.8099999999999996</v>
      </c>
      <c r="GU19">
        <f t="shared" ref="GU19:GY19" si="288">GU9*1000/GU$4</f>
        <v>42.93</v>
      </c>
      <c r="GV19">
        <f t="shared" si="288"/>
        <v>36.785445291018625</v>
      </c>
      <c r="GW19">
        <f t="shared" si="288"/>
        <v>54.559040348033783</v>
      </c>
      <c r="GX19">
        <f t="shared" si="288"/>
        <v>25.54564516129032</v>
      </c>
      <c r="GY19">
        <f t="shared" si="288"/>
        <v>1.8100000000000005</v>
      </c>
      <c r="HB19" s="114" t="s">
        <v>542</v>
      </c>
      <c r="HC19" t="e">
        <f t="shared" ref="HC19:HG19" si="289">HC9*1000/HC$4</f>
        <v>#DIV/0!</v>
      </c>
      <c r="HD19">
        <f t="shared" si="289"/>
        <v>37.105312499999997</v>
      </c>
      <c r="HE19">
        <f t="shared" si="289"/>
        <v>53.518888888888881</v>
      </c>
      <c r="HF19" t="e">
        <f t="shared" si="289"/>
        <v>#DIV/0!</v>
      </c>
      <c r="HG19">
        <f t="shared" si="289"/>
        <v>1.8099999999999998</v>
      </c>
      <c r="HI19">
        <f t="shared" ref="HI19:HM19" si="290">HI9*1000/HI$4</f>
        <v>42.93</v>
      </c>
      <c r="HJ19">
        <f t="shared" si="290"/>
        <v>36.804314400647854</v>
      </c>
      <c r="HK19">
        <f t="shared" si="290"/>
        <v>54.505992876224404</v>
      </c>
      <c r="HL19">
        <f t="shared" si="290"/>
        <v>25.54564516129032</v>
      </c>
      <c r="HM19">
        <f t="shared" si="290"/>
        <v>1.8100000000000005</v>
      </c>
      <c r="HP19" s="114" t="s">
        <v>542</v>
      </c>
      <c r="HQ19" t="e">
        <f t="shared" ref="HQ19:HU19" si="291">HQ9*1000/HQ$4</f>
        <v>#DIV/0!</v>
      </c>
      <c r="HR19">
        <f t="shared" si="291"/>
        <v>37.344824375793479</v>
      </c>
      <c r="HS19">
        <f t="shared" si="291"/>
        <v>55.210999999999999</v>
      </c>
      <c r="HT19" t="e">
        <f t="shared" si="291"/>
        <v>#DIV/0!</v>
      </c>
      <c r="HU19">
        <f t="shared" si="291"/>
        <v>1.8099999999999998</v>
      </c>
      <c r="HW19">
        <f t="shared" ref="HW19:IA19" si="292">HW9*1000/HW$4</f>
        <v>42.93</v>
      </c>
      <c r="HX19">
        <f t="shared" si="292"/>
        <v>36.843324598055027</v>
      </c>
      <c r="HY19">
        <f t="shared" si="292"/>
        <v>54.525417617885552</v>
      </c>
      <c r="HZ19">
        <f t="shared" si="292"/>
        <v>25.54564516129032</v>
      </c>
      <c r="IA19">
        <f t="shared" si="292"/>
        <v>1.8100000000000007</v>
      </c>
      <c r="ID19" s="114" t="s">
        <v>542</v>
      </c>
      <c r="IE19">
        <f t="shared" ref="IE19:II19" si="293">IE9*1000/IE$4</f>
        <v>42.929999999999993</v>
      </c>
      <c r="IF19">
        <f t="shared" si="293"/>
        <v>37.148271186440681</v>
      </c>
      <c r="IG19">
        <f t="shared" si="293"/>
        <v>62.134999999999991</v>
      </c>
      <c r="IH19">
        <f t="shared" si="293"/>
        <v>36.75</v>
      </c>
      <c r="II19">
        <f t="shared" si="293"/>
        <v>1.8099999999999996</v>
      </c>
      <c r="IK19">
        <f t="shared" ref="IK19:IO19" si="294">IK9*1000/IK$4</f>
        <v>42.93</v>
      </c>
      <c r="IL19">
        <f t="shared" si="294"/>
        <v>36.861458043765445</v>
      </c>
      <c r="IM19">
        <f t="shared" si="294"/>
        <v>54.649169828854639</v>
      </c>
      <c r="IN19">
        <f t="shared" si="294"/>
        <v>22.559391891891892</v>
      </c>
      <c r="IO19">
        <f t="shared" si="294"/>
        <v>1.8100000000000005</v>
      </c>
      <c r="IR19" s="114" t="s">
        <v>542</v>
      </c>
      <c r="IS19" t="e">
        <f t="shared" ref="IS19:IW19" si="295">IS9*1000/IS$4</f>
        <v>#DIV/0!</v>
      </c>
      <c r="IT19">
        <f t="shared" si="295"/>
        <v>37.30163799096281</v>
      </c>
      <c r="IU19">
        <f t="shared" si="295"/>
        <v>54.478749999999998</v>
      </c>
      <c r="IV19" t="e">
        <f t="shared" si="295"/>
        <v>#DIV/0!</v>
      </c>
      <c r="IW19">
        <f t="shared" si="295"/>
        <v>1.8099999999999998</v>
      </c>
      <c r="IY19">
        <f t="shared" ref="IY19:JC19" si="296">IY9*1000/IY$4</f>
        <v>42.93</v>
      </c>
      <c r="IZ19">
        <f t="shared" si="296"/>
        <v>36.888748451120044</v>
      </c>
      <c r="JA19">
        <f t="shared" si="296"/>
        <v>54.64208639501225</v>
      </c>
      <c r="JB19">
        <f t="shared" si="296"/>
        <v>22.559391891891892</v>
      </c>
      <c r="JC19">
        <f t="shared" si="296"/>
        <v>1.8100000000000007</v>
      </c>
      <c r="JF19" s="114" t="s">
        <v>542</v>
      </c>
      <c r="JG19" t="e">
        <f t="shared" ref="JG19:JK19" si="297">JG9*1000/JG$4</f>
        <v>#DIV/0!</v>
      </c>
      <c r="JH19">
        <f t="shared" si="297"/>
        <v>37.291428571428575</v>
      </c>
      <c r="JI19">
        <f t="shared" si="297"/>
        <v>54.855909090909094</v>
      </c>
      <c r="JJ19" t="e">
        <f t="shared" si="297"/>
        <v>#DIV/0!</v>
      </c>
      <c r="JK19">
        <f t="shared" si="297"/>
        <v>1.8099999999999998</v>
      </c>
      <c r="JM19">
        <f t="shared" ref="JM19:JQ19" si="298">JM9*1000/JM$4</f>
        <v>42.93</v>
      </c>
      <c r="JN19">
        <f t="shared" si="298"/>
        <v>36.901112857575541</v>
      </c>
      <c r="JO19">
        <f t="shared" si="298"/>
        <v>54.653646001544637</v>
      </c>
      <c r="JP19">
        <f t="shared" si="298"/>
        <v>22.559391891891892</v>
      </c>
      <c r="JQ19">
        <f t="shared" si="298"/>
        <v>1.8100000000000005</v>
      </c>
      <c r="JT19" s="114" t="s">
        <v>542</v>
      </c>
      <c r="JU19" t="e">
        <f t="shared" ref="JU19:JY19" si="299">JU9*1000/JU$4</f>
        <v>#DIV/0!</v>
      </c>
      <c r="JV19">
        <f t="shared" si="299"/>
        <v>37.356992187500005</v>
      </c>
      <c r="JW19">
        <f t="shared" si="299"/>
        <v>54.914142857142856</v>
      </c>
      <c r="JX19" t="e">
        <f t="shared" si="299"/>
        <v>#DIV/0!</v>
      </c>
      <c r="JY19">
        <f t="shared" si="299"/>
        <v>1.8099999999999998</v>
      </c>
      <c r="KA19">
        <f t="shared" ref="KA19:KE19" si="300">KA9*1000/KA$4</f>
        <v>42.93</v>
      </c>
      <c r="KB19">
        <f t="shared" si="300"/>
        <v>36.92148958884156</v>
      </c>
      <c r="KC19">
        <f t="shared" si="300"/>
        <v>54.658668319217817</v>
      </c>
      <c r="KD19">
        <f t="shared" si="300"/>
        <v>22.559391891891892</v>
      </c>
      <c r="KE19">
        <f t="shared" si="300"/>
        <v>1.8100000000000003</v>
      </c>
      <c r="KH19" s="114" t="s">
        <v>542</v>
      </c>
      <c r="KI19">
        <f t="shared" ref="KI19:KM19" si="301">KI9*1000/KI$4</f>
        <v>42.929999999999993</v>
      </c>
      <c r="KJ19">
        <f t="shared" si="301"/>
        <v>37.517281553398057</v>
      </c>
      <c r="KK19">
        <f t="shared" si="301"/>
        <v>60.284000000000006</v>
      </c>
      <c r="KL19" t="e">
        <f t="shared" si="301"/>
        <v>#DIV/0!</v>
      </c>
      <c r="KM19">
        <f t="shared" si="301"/>
        <v>1.8099999999999996</v>
      </c>
      <c r="KO19">
        <f t="shared" ref="KO19:KS19" si="302">KO9*1000/KO$4</f>
        <v>42.93</v>
      </c>
      <c r="KP19">
        <f t="shared" si="302"/>
        <v>36.942174817497168</v>
      </c>
      <c r="KQ19">
        <f t="shared" si="302"/>
        <v>54.791046863443846</v>
      </c>
      <c r="KR19">
        <f t="shared" si="302"/>
        <v>22.559391891891892</v>
      </c>
      <c r="KS19">
        <f t="shared" si="302"/>
        <v>1.8099999999999998</v>
      </c>
      <c r="KV19" s="114" t="s">
        <v>542</v>
      </c>
      <c r="KW19">
        <f t="shared" ref="KW19:LA19" si="303">KW9*1000/KW$4</f>
        <v>42.930000000000007</v>
      </c>
      <c r="KX19">
        <f t="shared" si="303"/>
        <v>37.236342804766267</v>
      </c>
      <c r="KY19">
        <f t="shared" si="303"/>
        <v>60.482352941176458</v>
      </c>
      <c r="KZ19" t="e">
        <f t="shared" si="303"/>
        <v>#DIV/0!</v>
      </c>
      <c r="LA19">
        <f t="shared" si="303"/>
        <v>1.8099999999999998</v>
      </c>
      <c r="LC19">
        <f t="shared" ref="LC19:LG19" si="304">LC9*1000/LC$4</f>
        <v>42.930000000000007</v>
      </c>
      <c r="LD19">
        <f t="shared" si="304"/>
        <v>36.94970420836794</v>
      </c>
      <c r="LE19">
        <f t="shared" si="304"/>
        <v>55.009971554176389</v>
      </c>
      <c r="LF19">
        <f t="shared" si="304"/>
        <v>22.559391891891892</v>
      </c>
      <c r="LG19">
        <f t="shared" si="304"/>
        <v>1.81</v>
      </c>
      <c r="LJ19" s="114" t="s">
        <v>542</v>
      </c>
      <c r="LK19">
        <f t="shared" ref="LK19:LO19" si="305">LK9*1000/LK$4</f>
        <v>42.93</v>
      </c>
      <c r="LL19">
        <f t="shared" si="305"/>
        <v>37.96479271991911</v>
      </c>
      <c r="LM19">
        <f t="shared" si="305"/>
        <v>86.79</v>
      </c>
      <c r="LN19" t="e">
        <f t="shared" si="305"/>
        <v>#DIV/0!</v>
      </c>
      <c r="LO19">
        <f t="shared" si="305"/>
        <v>1.8099999999999996</v>
      </c>
      <c r="LQ19">
        <f t="shared" ref="LQ19:LU19" si="306">LQ9*1000/LQ$4</f>
        <v>42.930000000000007</v>
      </c>
      <c r="LR19">
        <f t="shared" si="306"/>
        <v>36.972722774547393</v>
      </c>
      <c r="LS19">
        <f t="shared" si="306"/>
        <v>55.295030753459784</v>
      </c>
      <c r="LT19">
        <f t="shared" si="306"/>
        <v>22.559391891891892</v>
      </c>
      <c r="LU19">
        <f t="shared" si="306"/>
        <v>1.8099999999999998</v>
      </c>
    </row>
    <row r="20" spans="10:333" ht="15" thickBot="1" x14ac:dyDescent="0.35">
      <c r="J20" s="118" t="s">
        <v>543</v>
      </c>
      <c r="K20" t="e">
        <f t="shared" si="54"/>
        <v>#DIV/0!</v>
      </c>
      <c r="L20">
        <f t="shared" si="54"/>
        <v>2.1597101449275553</v>
      </c>
      <c r="M20">
        <f t="shared" si="54"/>
        <v>35.052083333333691</v>
      </c>
      <c r="N20">
        <f t="shared" si="54"/>
        <v>4.4506543697847807</v>
      </c>
      <c r="P20" t="e">
        <f t="shared" si="106"/>
        <v>#DIV/0!</v>
      </c>
      <c r="Q20">
        <f t="shared" si="106"/>
        <v>1.4253676470588206</v>
      </c>
      <c r="R20">
        <f t="shared" si="106"/>
        <v>-65.098674911660453</v>
      </c>
      <c r="S20">
        <f t="shared" si="106"/>
        <v>4.932824139556832</v>
      </c>
      <c r="V20" s="118" t="s">
        <v>543</v>
      </c>
      <c r="W20" t="e">
        <f t="shared" ref="W20:Z20" si="307">W10*1000/W$4</f>
        <v>#DIV/0!</v>
      </c>
      <c r="X20">
        <f t="shared" si="307"/>
        <v>26.060000000000056</v>
      </c>
      <c r="Y20">
        <f t="shared" si="307"/>
        <v>22.277802503477055</v>
      </c>
      <c r="Z20">
        <f t="shared" si="307"/>
        <v>7.9199999999999759</v>
      </c>
      <c r="AB20" t="e">
        <f t="shared" ref="AB20:AE20" si="308">AB10*1000/AB$4</f>
        <v>#DIV/0!</v>
      </c>
      <c r="AC20">
        <f t="shared" si="308"/>
        <v>4.7124172661870363</v>
      </c>
      <c r="AD20">
        <f t="shared" si="308"/>
        <v>-20.415182879377362</v>
      </c>
      <c r="AE20">
        <f t="shared" si="308"/>
        <v>5.5063619047618886</v>
      </c>
      <c r="AH20" s="118" t="s">
        <v>543</v>
      </c>
      <c r="AI20" t="e">
        <f t="shared" ref="AI20:AL20" si="309">AI10*1000/AI$4</f>
        <v>#DIV/0!</v>
      </c>
      <c r="AJ20" t="e">
        <f t="shared" si="309"/>
        <v>#DIV/0!</v>
      </c>
      <c r="AK20">
        <f t="shared" si="309"/>
        <v>73.403157894736779</v>
      </c>
      <c r="AL20" t="e">
        <f t="shared" si="309"/>
        <v>#DIV/0!</v>
      </c>
      <c r="AN20" t="e">
        <f t="shared" ref="AN20:AQ20" si="310">AN10*1000/AN$4</f>
        <v>#DIV/0!</v>
      </c>
      <c r="AO20">
        <f t="shared" si="310"/>
        <v>4.7124172661870363</v>
      </c>
      <c r="AP20">
        <f t="shared" si="310"/>
        <v>11.579276923076716</v>
      </c>
      <c r="AQ20">
        <f t="shared" si="310"/>
        <v>5.5063619047619108</v>
      </c>
      <c r="AT20" s="118" t="s">
        <v>543</v>
      </c>
      <c r="AU20" t="e">
        <f t="shared" ref="AU20:AX20" si="311">AU10*1000/AU$4</f>
        <v>#DIV/0!</v>
      </c>
      <c r="AV20">
        <f t="shared" si="311"/>
        <v>4.456931540342242</v>
      </c>
      <c r="AW20">
        <f t="shared" si="311"/>
        <v>87.748411497730757</v>
      </c>
      <c r="AX20">
        <f t="shared" si="311"/>
        <v>5.2466666666666351</v>
      </c>
      <c r="AZ20" t="e">
        <f t="shared" ref="AZ20:BC20" si="312">AZ10*1000/AZ$4</f>
        <v>#DIV/0!</v>
      </c>
      <c r="BA20">
        <f t="shared" si="312"/>
        <v>4.6306378399529642</v>
      </c>
      <c r="BB20">
        <f t="shared" si="312"/>
        <v>30.862232860972664</v>
      </c>
      <c r="BC20">
        <f t="shared" si="312"/>
        <v>5.4482934043182345</v>
      </c>
      <c r="BF20" s="118" t="s">
        <v>543</v>
      </c>
      <c r="BG20" t="e">
        <f t="shared" ref="BG20:BJ20" si="313">BG10*1000/BG$4</f>
        <v>#DIV/0!</v>
      </c>
      <c r="BH20">
        <f t="shared" si="313"/>
        <v>0.98130742049460296</v>
      </c>
      <c r="BI20">
        <f t="shared" si="313"/>
        <v>86.407999999999973</v>
      </c>
      <c r="BJ20">
        <f t="shared" si="313"/>
        <v>10.830000000000023</v>
      </c>
      <c r="BL20" t="e">
        <f t="shared" ref="BL20:BO20" si="314">BL10*1000/BL$4</f>
        <v>#DIV/0!</v>
      </c>
      <c r="BM20">
        <f t="shared" si="314"/>
        <v>3.8393717437940218</v>
      </c>
      <c r="BN20">
        <f t="shared" si="314"/>
        <v>42.605524010872728</v>
      </c>
      <c r="BO20">
        <f t="shared" si="314"/>
        <v>5.7203257511934611</v>
      </c>
      <c r="BR20" s="118" t="s">
        <v>543</v>
      </c>
      <c r="BS20" t="e">
        <f t="shared" ref="BS20:BV20" si="315">BS10*1000/BS$4</f>
        <v>#DIV/0!</v>
      </c>
      <c r="BT20">
        <f t="shared" si="315"/>
        <v>3.0199999999998983</v>
      </c>
      <c r="BU20">
        <f t="shared" si="315"/>
        <v>85.98109714285718</v>
      </c>
      <c r="BV20">
        <f t="shared" si="315"/>
        <v>12.581674975074796</v>
      </c>
      <c r="BX20" t="e">
        <f t="shared" ref="BX20:CA20" si="316">BX10*1000/BX$4</f>
        <v>#DIV/0!</v>
      </c>
      <c r="BY20">
        <f t="shared" si="316"/>
        <v>3.7508939311097982</v>
      </c>
      <c r="BZ20">
        <f t="shared" si="316"/>
        <v>51.672324414715497</v>
      </c>
      <c r="CA20">
        <f t="shared" si="316"/>
        <v>6.5673329230769575</v>
      </c>
      <c r="CD20" s="118" t="s">
        <v>543</v>
      </c>
      <c r="CE20">
        <f t="shared" ref="CE20:CH20" si="317">CE10*1000/CE$4</f>
        <v>160.29000000000002</v>
      </c>
      <c r="CF20">
        <f t="shared" si="317"/>
        <v>1.8389515428073246</v>
      </c>
      <c r="CG20">
        <f t="shared" si="317"/>
        <v>79.042857142857002</v>
      </c>
      <c r="CH20">
        <f t="shared" si="317"/>
        <v>13.778781362007161</v>
      </c>
      <c r="CJ20">
        <f t="shared" ref="CJ20:CM20" si="318">CJ10*1000/CJ$4</f>
        <v>160.29000000000002</v>
      </c>
      <c r="CK20">
        <f t="shared" si="318"/>
        <v>3.4596214578919788</v>
      </c>
      <c r="CL20">
        <f t="shared" si="318"/>
        <v>54.540494011975703</v>
      </c>
      <c r="CM20">
        <f t="shared" si="318"/>
        <v>7.0307658643325892</v>
      </c>
      <c r="CP20" s="118" t="s">
        <v>543</v>
      </c>
      <c r="CQ20" t="e">
        <f t="shared" ref="CQ20:CT20" si="319">CQ10*1000/CQ$4</f>
        <v>#DIV/0!</v>
      </c>
      <c r="CR20">
        <f t="shared" si="319"/>
        <v>1.9792361111111434</v>
      </c>
      <c r="CS20">
        <f t="shared" si="319"/>
        <v>82.67142857142872</v>
      </c>
      <c r="CT20">
        <f t="shared" si="319"/>
        <v>-9.9999999999990846E-2</v>
      </c>
      <c r="CV20">
        <f t="shared" ref="CV20:CY20" si="320">CV10*1000/CV$4</f>
        <v>160.29000000000002</v>
      </c>
      <c r="CW20">
        <f t="shared" si="320"/>
        <v>3.2479458408988173</v>
      </c>
      <c r="CX20">
        <f t="shared" si="320"/>
        <v>55.941038406827737</v>
      </c>
      <c r="CY20">
        <f t="shared" si="320"/>
        <v>6.660174691560214</v>
      </c>
      <c r="DB20" s="118" t="s">
        <v>543</v>
      </c>
      <c r="DC20" t="e">
        <f t="shared" ref="DC20:DF20" si="321">DC10*1000/DC$4</f>
        <v>#DIV/0!</v>
      </c>
      <c r="DD20">
        <f t="shared" si="321"/>
        <v>16.429523809523786</v>
      </c>
      <c r="DE20">
        <f t="shared" si="321"/>
        <v>66.388000000000048</v>
      </c>
      <c r="DF20">
        <f t="shared" si="321"/>
        <v>7.3738351254480472</v>
      </c>
      <c r="DH20">
        <f t="shared" ref="DH20:DK20" si="322">DH10*1000/DH$4</f>
        <v>160.29000000000002</v>
      </c>
      <c r="DI20">
        <f t="shared" si="322"/>
        <v>3.6477392332981213</v>
      </c>
      <c r="DJ20">
        <f t="shared" si="322"/>
        <v>57.5181763285023</v>
      </c>
      <c r="DK20">
        <f t="shared" si="322"/>
        <v>6.7011567356180235</v>
      </c>
      <c r="DN20" s="118" t="s">
        <v>543</v>
      </c>
      <c r="DO20" t="e">
        <f t="shared" ref="DO20:DR20" si="323">DO10*1000/DO$4</f>
        <v>#DIV/0!</v>
      </c>
      <c r="DP20">
        <f t="shared" si="323"/>
        <v>0.67751917004958551</v>
      </c>
      <c r="DQ20">
        <f t="shared" si="323"/>
        <v>54.86104712041891</v>
      </c>
      <c r="DR20">
        <f t="shared" si="323"/>
        <v>3.5332409972299397</v>
      </c>
      <c r="DT20">
        <f t="shared" ref="DT20:DW20" si="324">DT10*1000/DT$4</f>
        <v>160.29000000000002</v>
      </c>
      <c r="DU20">
        <f t="shared" si="324"/>
        <v>3.1252404216731198</v>
      </c>
      <c r="DV20">
        <f t="shared" si="324"/>
        <v>57.208717987804938</v>
      </c>
      <c r="DW20">
        <f t="shared" si="324"/>
        <v>6.482051920682105</v>
      </c>
      <c r="DZ20" s="118" t="s">
        <v>543</v>
      </c>
      <c r="EA20" t="e">
        <f t="shared" ref="EA20:ED20" si="325">EA10*1000/EA$4</f>
        <v>#DIV/0!</v>
      </c>
      <c r="EB20">
        <f t="shared" si="325"/>
        <v>0.60225641025641419</v>
      </c>
      <c r="EC20">
        <f t="shared" si="325"/>
        <v>85.488571428571362</v>
      </c>
      <c r="ED20">
        <f t="shared" si="325"/>
        <v>9.6114771622935127</v>
      </c>
      <c r="EF20">
        <f t="shared" ref="EF20:EI20" si="326">EF10*1000/EF$4</f>
        <v>160.29000000000002</v>
      </c>
      <c r="EG20">
        <f t="shared" si="326"/>
        <v>2.787174928831023</v>
      </c>
      <c r="EH20">
        <f t="shared" si="326"/>
        <v>59.174268085106313</v>
      </c>
      <c r="EI20">
        <f t="shared" si="326"/>
        <v>6.9974041770025064</v>
      </c>
      <c r="EL20" s="118" t="s">
        <v>543</v>
      </c>
      <c r="EM20" t="e">
        <f t="shared" ref="EM20:EP20" si="327">EM10*1000/EM$4</f>
        <v>#DIV/0!</v>
      </c>
      <c r="EN20">
        <f t="shared" si="327"/>
        <v>2.3812451361867222</v>
      </c>
      <c r="EO20">
        <f t="shared" si="327"/>
        <v>81.642307692307654</v>
      </c>
      <c r="EP20">
        <f t="shared" si="327"/>
        <v>7.6526666666666641</v>
      </c>
      <c r="ER20">
        <f t="shared" ref="ER20:EU20" si="328">ER10*1000/ER$4</f>
        <v>160.29000000000002</v>
      </c>
      <c r="ES20">
        <f t="shared" si="328"/>
        <v>2.7542399314483172</v>
      </c>
      <c r="ET20">
        <f t="shared" si="328"/>
        <v>60.536421052631638</v>
      </c>
      <c r="EU20">
        <f t="shared" si="328"/>
        <v>7.0288519844595632</v>
      </c>
      <c r="EX20" s="118" t="s">
        <v>543</v>
      </c>
      <c r="EY20" t="e">
        <f t="shared" ref="EY20:FB20" si="329">EY10*1000/EY$4</f>
        <v>#DIV/0!</v>
      </c>
      <c r="EZ20">
        <f t="shared" si="329"/>
        <v>5.6078698622465124</v>
      </c>
      <c r="FA20">
        <f t="shared" si="329"/>
        <v>83.346171693735712</v>
      </c>
      <c r="FB20">
        <f t="shared" si="329"/>
        <v>-53.28999999999958</v>
      </c>
      <c r="FC20">
        <f t="shared" ref="FC20" si="330">FC10*1000/FC$4</f>
        <v>11.080641848523717</v>
      </c>
      <c r="FE20">
        <f t="shared" ref="FE20:FG20" si="331">FE10*1000/FE$4</f>
        <v>160.29000000000002</v>
      </c>
      <c r="FF20">
        <f t="shared" si="331"/>
        <v>2.9669389117986253</v>
      </c>
      <c r="FG20">
        <f t="shared" si="331"/>
        <v>62.88636787378983</v>
      </c>
      <c r="FH20">
        <f t="shared" ref="FH20:FI20" si="332">FH10*1000/FH$4</f>
        <v>-53.28999999999958</v>
      </c>
      <c r="FI20">
        <f t="shared" si="332"/>
        <v>7.1456109199866855</v>
      </c>
      <c r="FL20" s="118" t="s">
        <v>543</v>
      </c>
      <c r="FM20">
        <f t="shared" ref="FM20:FP20" si="333">FM10*1000/FM$4</f>
        <v>156.55999999999989</v>
      </c>
      <c r="FN20">
        <f t="shared" si="333"/>
        <v>2.5849361702127314</v>
      </c>
      <c r="FO20">
        <f t="shared" si="333"/>
        <v>49.66536134453797</v>
      </c>
      <c r="FP20">
        <f t="shared" si="333"/>
        <v>-10.009809523809498</v>
      </c>
      <c r="FQ20">
        <f t="shared" si="82"/>
        <v>12.402307692307694</v>
      </c>
      <c r="FS20">
        <f t="shared" ref="FS20:FW20" si="334">FS10*1000/FS$4</f>
        <v>159.17754385964918</v>
      </c>
      <c r="FT20">
        <f t="shared" si="334"/>
        <v>2.9423958943594357</v>
      </c>
      <c r="FU20">
        <f t="shared" si="334"/>
        <v>62.008606337870894</v>
      </c>
      <c r="FV20">
        <f t="shared" si="334"/>
        <v>-28.857634408601918</v>
      </c>
      <c r="FW20">
        <f t="shared" si="334"/>
        <v>7.4142672610481473</v>
      </c>
      <c r="FZ20" s="118" t="s">
        <v>543</v>
      </c>
      <c r="GA20" t="e">
        <f t="shared" ref="GA20:GE20" si="335">GA10*1000/GA$4</f>
        <v>#DIV/0!</v>
      </c>
      <c r="GB20">
        <f t="shared" si="335"/>
        <v>7.3916923076923107</v>
      </c>
      <c r="GC20">
        <f t="shared" si="335"/>
        <v>33.17011021307858</v>
      </c>
      <c r="GD20" t="e">
        <f t="shared" si="335"/>
        <v>#DIV/0!</v>
      </c>
      <c r="GE20">
        <f t="shared" si="335"/>
        <v>12.815304054054069</v>
      </c>
      <c r="GG20">
        <f t="shared" ref="GG20:GK20" si="336">GG10*1000/GG$4</f>
        <v>159.17754385964918</v>
      </c>
      <c r="GH20">
        <f t="shared" si="336"/>
        <v>3.1675927738719536</v>
      </c>
      <c r="GI20">
        <f t="shared" si="336"/>
        <v>58.206495204882799</v>
      </c>
      <c r="GJ20">
        <f t="shared" si="336"/>
        <v>-28.857634408601918</v>
      </c>
      <c r="GK20">
        <f t="shared" si="336"/>
        <v>7.6297772385670353</v>
      </c>
      <c r="GN20" s="118" t="s">
        <v>543</v>
      </c>
      <c r="GO20" t="e">
        <f t="shared" ref="GO20:GS20" si="337">GO10*1000/GO$4</f>
        <v>#DIV/0!</v>
      </c>
      <c r="GP20">
        <f t="shared" si="337"/>
        <v>2.301038961038913</v>
      </c>
      <c r="GQ20">
        <f t="shared" si="337"/>
        <v>40.4778071428575</v>
      </c>
      <c r="GR20" t="e">
        <f t="shared" si="337"/>
        <v>#DIV/0!</v>
      </c>
      <c r="GS20">
        <f t="shared" si="337"/>
        <v>12.895744680851058</v>
      </c>
      <c r="GU20">
        <f t="shared" ref="GU20:GY20" si="338">GU10*1000/GU$4</f>
        <v>159.17754385964918</v>
      </c>
      <c r="GV20">
        <f t="shared" si="338"/>
        <v>3.1185748168670568</v>
      </c>
      <c r="GW20">
        <f t="shared" si="338"/>
        <v>56.089275782649764</v>
      </c>
      <c r="GX20">
        <f t="shared" si="338"/>
        <v>-28.857634408601918</v>
      </c>
      <c r="GY20">
        <f t="shared" si="338"/>
        <v>7.7519876226216375</v>
      </c>
      <c r="HB20" s="118" t="s">
        <v>543</v>
      </c>
      <c r="HC20" t="e">
        <f t="shared" ref="HC20:HG20" si="339">HC10*1000/HC$4</f>
        <v>#DIV/0!</v>
      </c>
      <c r="HD20">
        <f t="shared" si="339"/>
        <v>3.0150000000000028</v>
      </c>
      <c r="HE20">
        <f t="shared" si="339"/>
        <v>50.778888888888893</v>
      </c>
      <c r="HF20" t="e">
        <f t="shared" si="339"/>
        <v>#DIV/0!</v>
      </c>
      <c r="HG20">
        <f t="shared" si="339"/>
        <v>14.236666666666666</v>
      </c>
      <c r="HI20">
        <f t="shared" ref="HI20:HM20" si="340">HI10*1000/HI$4</f>
        <v>159.17754385964918</v>
      </c>
      <c r="HJ20">
        <f t="shared" si="340"/>
        <v>3.1124648921251632</v>
      </c>
      <c r="HK20">
        <f t="shared" si="340"/>
        <v>55.818447340727523</v>
      </c>
      <c r="HL20">
        <f t="shared" si="340"/>
        <v>-28.857634408601918</v>
      </c>
      <c r="HM20">
        <f t="shared" si="340"/>
        <v>7.9009024829538026</v>
      </c>
      <c r="HP20" s="118" t="s">
        <v>543</v>
      </c>
      <c r="HQ20" t="e">
        <f t="shared" ref="HQ20:HU20" si="341">HQ10*1000/HQ$4</f>
        <v>#DIV/0!</v>
      </c>
      <c r="HR20">
        <f t="shared" si="341"/>
        <v>1.7973846804909079</v>
      </c>
      <c r="HS20">
        <f t="shared" si="341"/>
        <v>62.627857142857202</v>
      </c>
      <c r="HT20" t="e">
        <f t="shared" si="341"/>
        <v>#DIV/0!</v>
      </c>
      <c r="HU20">
        <f t="shared" si="341"/>
        <v>13.389251247920168</v>
      </c>
      <c r="HW20">
        <f t="shared" ref="HW20:IA20" si="342">HW10*1000/HW$4</f>
        <v>159.17754385964918</v>
      </c>
      <c r="HX20">
        <f t="shared" si="342"/>
        <v>3.0175516786394114</v>
      </c>
      <c r="HY20">
        <f t="shared" si="342"/>
        <v>56.006063921908698</v>
      </c>
      <c r="HZ20">
        <f t="shared" si="342"/>
        <v>-28.857634408601918</v>
      </c>
      <c r="IA20">
        <f t="shared" si="342"/>
        <v>8.1051817675109916</v>
      </c>
      <c r="ID20" s="118" t="s">
        <v>543</v>
      </c>
      <c r="IE20">
        <f t="shared" ref="IE20:II20" si="343">IE10*1000/IE$4</f>
        <v>160.29000000000011</v>
      </c>
      <c r="IF20">
        <f t="shared" si="343"/>
        <v>2.9923389830508897</v>
      </c>
      <c r="IG20">
        <f t="shared" si="343"/>
        <v>56.826666666666732</v>
      </c>
      <c r="IH20">
        <f t="shared" si="343"/>
        <v>-68.820000000000093</v>
      </c>
      <c r="II20">
        <f t="shared" si="343"/>
        <v>13.074074074074058</v>
      </c>
      <c r="IK20">
        <f t="shared" ref="IK20:IO20" si="344">IK10*1000/IK$4</f>
        <v>159.56114942528734</v>
      </c>
      <c r="IL20">
        <f t="shared" si="344"/>
        <v>2.9898609499740663</v>
      </c>
      <c r="IM20">
        <f t="shared" si="344"/>
        <v>56.019409122589863</v>
      </c>
      <c r="IN20">
        <f t="shared" si="344"/>
        <v>-27.096554054054135</v>
      </c>
      <c r="IO20">
        <f t="shared" si="344"/>
        <v>8.3538090895720636</v>
      </c>
      <c r="IR20" s="118" t="s">
        <v>543</v>
      </c>
      <c r="IS20" t="e">
        <f t="shared" ref="IS20:IW20" si="345">IS10*1000/IS$4</f>
        <v>#DIV/0!</v>
      </c>
      <c r="IT20">
        <f t="shared" si="345"/>
        <v>4.0451112269725833</v>
      </c>
      <c r="IU20">
        <f t="shared" si="345"/>
        <v>70.75500000000018</v>
      </c>
      <c r="IV20" t="e">
        <f t="shared" si="345"/>
        <v>#DIV/0!</v>
      </c>
      <c r="IW20">
        <f t="shared" si="345"/>
        <v>13.575671641791049</v>
      </c>
      <c r="IY20">
        <f t="shared" ref="IY20:JC20" si="346">IY10*1000/IY$4</f>
        <v>159.56114942528734</v>
      </c>
      <c r="IZ20">
        <f t="shared" si="346"/>
        <v>3.0552846706674543</v>
      </c>
      <c r="JA20">
        <f t="shared" si="346"/>
        <v>56.631888220886509</v>
      </c>
      <c r="JB20">
        <f t="shared" si="346"/>
        <v>-27.096554054054135</v>
      </c>
      <c r="JC20">
        <f t="shared" si="346"/>
        <v>8.6269047419922025</v>
      </c>
      <c r="JF20" s="118" t="s">
        <v>543</v>
      </c>
      <c r="JG20" t="e">
        <f t="shared" ref="JG20:JK20" si="347">JG10*1000/JG$4</f>
        <v>#DIV/0!</v>
      </c>
      <c r="JH20">
        <f t="shared" si="347"/>
        <v>3.9457142857143754</v>
      </c>
      <c r="JI20">
        <f t="shared" si="347"/>
        <v>69.598181818181672</v>
      </c>
      <c r="JJ20" t="e">
        <f t="shared" si="347"/>
        <v>#DIV/0!</v>
      </c>
      <c r="JK20">
        <f t="shared" si="347"/>
        <v>13.889787234042553</v>
      </c>
      <c r="JM20">
        <f t="shared" ref="JM20:JQ20" si="348">JM10*1000/JM$4</f>
        <v>159.56114942528734</v>
      </c>
      <c r="JN20">
        <f t="shared" si="348"/>
        <v>3.0826255626687638</v>
      </c>
      <c r="JO20">
        <f t="shared" si="348"/>
        <v>57.332867373447357</v>
      </c>
      <c r="JP20">
        <f t="shared" si="348"/>
        <v>-27.096554054054135</v>
      </c>
      <c r="JQ20">
        <f t="shared" si="348"/>
        <v>8.9444092838057738</v>
      </c>
      <c r="JT20" s="118" t="s">
        <v>543</v>
      </c>
      <c r="JU20" t="e">
        <f t="shared" ref="JU20:JY20" si="349">JU10*1000/JU$4</f>
        <v>#DIV/0!</v>
      </c>
      <c r="JV20">
        <f t="shared" si="349"/>
        <v>4.4305468750000188</v>
      </c>
      <c r="JW20">
        <f t="shared" si="349"/>
        <v>62.870142857142802</v>
      </c>
      <c r="JX20" t="e">
        <f t="shared" si="349"/>
        <v>#DIV/0!</v>
      </c>
      <c r="JY20">
        <f t="shared" si="349"/>
        <v>15.939999999999994</v>
      </c>
      <c r="KA20">
        <f t="shared" ref="KA20:KE20" si="350">KA10*1000/KA$4</f>
        <v>159.56114942528734</v>
      </c>
      <c r="KB20">
        <f t="shared" si="350"/>
        <v>3.1428744674691589</v>
      </c>
      <c r="KC20">
        <f t="shared" si="350"/>
        <v>57.439624733182292</v>
      </c>
      <c r="KD20">
        <f t="shared" si="350"/>
        <v>-27.096554054054135</v>
      </c>
      <c r="KE20">
        <f t="shared" si="350"/>
        <v>9.2533937603285938</v>
      </c>
      <c r="KH20" s="118" t="s">
        <v>543</v>
      </c>
      <c r="KI20">
        <f t="shared" ref="KI20:KM20" si="351">KI10*1000/KI$4</f>
        <v>160.29000000000011</v>
      </c>
      <c r="KJ20">
        <f t="shared" si="351"/>
        <v>2.8592233009709065</v>
      </c>
      <c r="KK20">
        <f t="shared" si="351"/>
        <v>60.256000000000057</v>
      </c>
      <c r="KL20" t="e">
        <f t="shared" si="351"/>
        <v>#DIV/0!</v>
      </c>
      <c r="KM20">
        <f t="shared" si="351"/>
        <v>16.754072859744976</v>
      </c>
      <c r="KO20">
        <f t="shared" ref="KO20:KS20" si="352">KO10*1000/KO$4</f>
        <v>159.74803418803424</v>
      </c>
      <c r="KP20">
        <f t="shared" si="352"/>
        <v>3.1330264171656319</v>
      </c>
      <c r="KQ20">
        <f t="shared" si="352"/>
        <v>57.505901297653608</v>
      </c>
      <c r="KR20">
        <f t="shared" si="352"/>
        <v>-27.096554054054135</v>
      </c>
      <c r="KS20">
        <f t="shared" si="352"/>
        <v>9.7357723215333021</v>
      </c>
      <c r="KV20" s="118" t="s">
        <v>543</v>
      </c>
      <c r="KW20">
        <f t="shared" ref="KW20:LA20" si="353">KW10*1000/KW$4</f>
        <v>160.25188661267279</v>
      </c>
      <c r="KX20">
        <f t="shared" si="353"/>
        <v>3.6051512373968682</v>
      </c>
      <c r="KY20">
        <f t="shared" si="353"/>
        <v>59.107058823529698</v>
      </c>
      <c r="KZ20" t="e">
        <f t="shared" si="353"/>
        <v>#DIV/0!</v>
      </c>
      <c r="LA20">
        <f t="shared" si="353"/>
        <v>15.94000000000004</v>
      </c>
      <c r="LC20">
        <f t="shared" ref="LC20:LG20" si="354">LC10*1000/LC$4</f>
        <v>159.82467642582805</v>
      </c>
      <c r="LD20">
        <f t="shared" si="354"/>
        <v>3.1451107107159975</v>
      </c>
      <c r="LE20">
        <f t="shared" si="354"/>
        <v>57.56749224204848</v>
      </c>
      <c r="LF20">
        <f t="shared" si="354"/>
        <v>-27.096554054054135</v>
      </c>
      <c r="LG20">
        <f t="shared" si="354"/>
        <v>10.004971200609699</v>
      </c>
      <c r="LJ20" s="118" t="s">
        <v>543</v>
      </c>
      <c r="LK20">
        <f t="shared" ref="LK20:LO20" si="355">LK10*1000/LK$4</f>
        <v>160.29000000000002</v>
      </c>
      <c r="LL20">
        <f t="shared" si="355"/>
        <v>9.1540950455004708</v>
      </c>
      <c r="LM20">
        <f t="shared" si="355"/>
        <v>-20.530000000000218</v>
      </c>
      <c r="LN20" t="e">
        <f t="shared" si="355"/>
        <v>#DIV/0!</v>
      </c>
      <c r="LO20">
        <f t="shared" si="355"/>
        <v>15.940000000000003</v>
      </c>
      <c r="LQ20">
        <f t="shared" ref="LQ20:LU20" si="356">LQ10*1000/LQ$4</f>
        <v>159.88358187227036</v>
      </c>
      <c r="LR20">
        <f t="shared" si="356"/>
        <v>3.2813729203731525</v>
      </c>
      <c r="LS20">
        <f t="shared" si="356"/>
        <v>56.866976550487529</v>
      </c>
      <c r="LT20">
        <f t="shared" si="356"/>
        <v>-27.096554054054135</v>
      </c>
      <c r="LU20">
        <f t="shared" si="356"/>
        <v>10.288683283894368</v>
      </c>
    </row>
  </sheetData>
  <mergeCells count="77">
    <mergeCell ref="EL12:EV12"/>
    <mergeCell ref="FM2:FR2"/>
    <mergeCell ref="FS2:FX2"/>
    <mergeCell ref="FL12:FX12"/>
    <mergeCell ref="EY2:FD2"/>
    <mergeCell ref="FE2:FJ2"/>
    <mergeCell ref="EX12:FJ12"/>
    <mergeCell ref="DC2:DG2"/>
    <mergeCell ref="EA2:EE2"/>
    <mergeCell ref="EF2:EJ2"/>
    <mergeCell ref="EM2:EQ2"/>
    <mergeCell ref="ER2:EV2"/>
    <mergeCell ref="C2:H2"/>
    <mergeCell ref="B12:H12"/>
    <mergeCell ref="W2:AA2"/>
    <mergeCell ref="AB2:AF2"/>
    <mergeCell ref="V12:AF12"/>
    <mergeCell ref="K2:O2"/>
    <mergeCell ref="P2:T2"/>
    <mergeCell ref="J12:T12"/>
    <mergeCell ref="AI2:AM2"/>
    <mergeCell ref="AN2:AR2"/>
    <mergeCell ref="AH12:AR12"/>
    <mergeCell ref="BG2:BK2"/>
    <mergeCell ref="BL2:BP2"/>
    <mergeCell ref="BF12:BP12"/>
    <mergeCell ref="AU2:AY2"/>
    <mergeCell ref="AZ2:BD2"/>
    <mergeCell ref="AT12:BD12"/>
    <mergeCell ref="DZ12:EJ12"/>
    <mergeCell ref="JG2:JL2"/>
    <mergeCell ref="BS2:BW2"/>
    <mergeCell ref="BX2:CB2"/>
    <mergeCell ref="BR12:CB12"/>
    <mergeCell ref="CQ2:CU2"/>
    <mergeCell ref="CV2:CZ2"/>
    <mergeCell ref="CP12:CZ12"/>
    <mergeCell ref="CE2:CI2"/>
    <mergeCell ref="CJ2:CN2"/>
    <mergeCell ref="CD12:CN12"/>
    <mergeCell ref="DH2:DL2"/>
    <mergeCell ref="DB12:DL12"/>
    <mergeCell ref="DO2:DS2"/>
    <mergeCell ref="DT2:DX2"/>
    <mergeCell ref="DN12:DX12"/>
    <mergeCell ref="KO2:KT2"/>
    <mergeCell ref="KH12:KT12"/>
    <mergeCell ref="GA2:GF2"/>
    <mergeCell ref="GG2:GL2"/>
    <mergeCell ref="FZ12:GL12"/>
    <mergeCell ref="GO2:GT2"/>
    <mergeCell ref="GU2:GZ2"/>
    <mergeCell ref="GN12:GZ12"/>
    <mergeCell ref="ID12:IP12"/>
    <mergeCell ref="JU2:JZ2"/>
    <mergeCell ref="JM2:JR2"/>
    <mergeCell ref="JF12:JR12"/>
    <mergeCell ref="KI2:KN2"/>
    <mergeCell ref="KA2:KF2"/>
    <mergeCell ref="JT12:KF12"/>
    <mergeCell ref="HC2:HH2"/>
    <mergeCell ref="HI2:HN2"/>
    <mergeCell ref="HB12:HN12"/>
    <mergeCell ref="IS2:IX2"/>
    <mergeCell ref="IY2:JD2"/>
    <mergeCell ref="IR12:JD12"/>
    <mergeCell ref="HQ2:HV2"/>
    <mergeCell ref="HW2:IB2"/>
    <mergeCell ref="HP12:IB12"/>
    <mergeCell ref="IE2:IJ2"/>
    <mergeCell ref="IK2:IP2"/>
    <mergeCell ref="LK2:LP2"/>
    <mergeCell ref="LQ2:LV2"/>
    <mergeCell ref="LJ12:LV12"/>
    <mergeCell ref="KW2:LB2"/>
    <mergeCell ref="LC2:LH2"/>
    <mergeCell ref="KV12:L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6FEC-09EC-4449-B795-0F4D0D60A193}">
  <sheetPr>
    <tabColor rgb="FF92D050"/>
  </sheetPr>
  <dimension ref="B1:LI20"/>
  <sheetViews>
    <sheetView topLeftCell="KL1" workbookViewId="0">
      <selection activeCell="LB1" sqref="LB1"/>
    </sheetView>
  </sheetViews>
  <sheetFormatPr defaultRowHeight="14.4" x14ac:dyDescent="0.3"/>
  <cols>
    <col min="2" max="2" width="15.109375" bestFit="1" customWidth="1"/>
    <col min="3" max="4" width="6.88671875" bestFit="1" customWidth="1"/>
    <col min="5" max="5" width="5.44140625" bestFit="1" customWidth="1"/>
    <col min="6" max="6" width="5.109375" bestFit="1" customWidth="1"/>
    <col min="7" max="10" width="6.88671875" bestFit="1" customWidth="1"/>
    <col min="11" max="11" width="5.44140625" bestFit="1" customWidth="1"/>
    <col min="12" max="12" width="5.109375" bestFit="1" customWidth="1"/>
    <col min="13" max="14" width="6.88671875" bestFit="1" customWidth="1"/>
    <col min="16" max="16" width="15.109375" bestFit="1" customWidth="1"/>
    <col min="17" max="17" width="5.109375" bestFit="1" customWidth="1"/>
    <col min="18" max="18" width="7.88671875" bestFit="1" customWidth="1"/>
    <col min="19" max="19" width="5.44140625" bestFit="1" customWidth="1"/>
    <col min="20" max="20" width="5.109375" bestFit="1" customWidth="1"/>
    <col min="21" max="21" width="6.88671875" bestFit="1" customWidth="1"/>
    <col min="22" max="22" width="6" bestFit="1" customWidth="1"/>
    <col min="23" max="23" width="7.88671875" bestFit="1" customWidth="1"/>
    <col min="24" max="24" width="6.88671875" bestFit="1" customWidth="1"/>
    <col min="25" max="25" width="7.88671875" bestFit="1" customWidth="1"/>
    <col min="26" max="26" width="6.88671875" bestFit="1" customWidth="1"/>
    <col min="27" max="27" width="5.109375" bestFit="1" customWidth="1"/>
    <col min="28" max="28" width="6.88671875" bestFit="1" customWidth="1"/>
    <col min="29" max="29" width="6" bestFit="1" customWidth="1"/>
    <col min="30" max="30" width="7.88671875" bestFit="1" customWidth="1"/>
    <col min="31" max="31" width="4.33203125" bestFit="1" customWidth="1"/>
    <col min="32" max="32" width="15.109375" bestFit="1" customWidth="1"/>
    <col min="33" max="33" width="5.109375" bestFit="1" customWidth="1"/>
    <col min="34" max="34" width="6.88671875" bestFit="1" customWidth="1"/>
    <col min="35" max="35" width="5.44140625" bestFit="1" customWidth="1"/>
    <col min="36" max="36" width="5.109375" bestFit="1" customWidth="1"/>
    <col min="37" max="37" width="6.88671875" bestFit="1" customWidth="1"/>
    <col min="38" max="38" width="8.44140625" bestFit="1" customWidth="1"/>
    <col min="39" max="39" width="7.88671875" bestFit="1" customWidth="1"/>
    <col min="40" max="40" width="6.88671875" bestFit="1" customWidth="1"/>
    <col min="41" max="41" width="7.88671875" bestFit="1" customWidth="1"/>
    <col min="42" max="42" width="6.88671875" bestFit="1" customWidth="1"/>
    <col min="43" max="43" width="5.109375" bestFit="1" customWidth="1"/>
    <col min="44" max="44" width="6.88671875" bestFit="1" customWidth="1"/>
    <col min="45" max="45" width="8.44140625" bestFit="1" customWidth="1"/>
    <col min="46" max="46" width="7.88671875" bestFit="1" customWidth="1"/>
    <col min="48" max="48" width="15.109375" bestFit="1" customWidth="1"/>
    <col min="49" max="49" width="5.109375" bestFit="1" customWidth="1"/>
    <col min="50" max="50" width="6.88671875" bestFit="1" customWidth="1"/>
    <col min="51" max="51" width="5.44140625" bestFit="1" customWidth="1"/>
    <col min="52" max="52" width="5.109375" bestFit="1" customWidth="1"/>
    <col min="53" max="53" width="6.88671875" bestFit="1" customWidth="1"/>
    <col min="54" max="54" width="8.44140625" bestFit="1" customWidth="1"/>
    <col min="55" max="55" width="7.88671875" bestFit="1" customWidth="1"/>
    <col min="56" max="56" width="6.88671875" bestFit="1" customWidth="1"/>
    <col min="57" max="57" width="7.88671875" bestFit="1" customWidth="1"/>
    <col min="58" max="58" width="6.88671875" bestFit="1" customWidth="1"/>
    <col min="59" max="59" width="5.109375" bestFit="1" customWidth="1"/>
    <col min="60" max="60" width="7.88671875" bestFit="1" customWidth="1"/>
    <col min="61" max="61" width="8.44140625" bestFit="1" customWidth="1"/>
    <col min="62" max="62" width="7.88671875" bestFit="1" customWidth="1"/>
    <col min="64" max="64" width="15.109375" bestFit="1" customWidth="1"/>
    <col min="65" max="65" width="5.109375" bestFit="1" customWidth="1"/>
    <col min="66" max="66" width="6.88671875" bestFit="1" customWidth="1"/>
    <col min="67" max="67" width="4.6640625" bestFit="1" customWidth="1"/>
    <col min="68" max="68" width="5.109375" bestFit="1" customWidth="1"/>
    <col min="69" max="69" width="6.88671875" bestFit="1" customWidth="1"/>
    <col min="70" max="70" width="8.44140625" bestFit="1" customWidth="1"/>
    <col min="71" max="71" width="7.88671875" bestFit="1" customWidth="1"/>
    <col min="72" max="72" width="6.88671875" bestFit="1" customWidth="1"/>
    <col min="73" max="73" width="7.88671875" bestFit="1" customWidth="1"/>
    <col min="74" max="74" width="6.88671875" bestFit="1" customWidth="1"/>
    <col min="75" max="75" width="5.109375" bestFit="1" customWidth="1"/>
    <col min="76" max="76" width="7.88671875" bestFit="1" customWidth="1"/>
    <col min="77" max="77" width="8.44140625" bestFit="1" customWidth="1"/>
    <col min="78" max="78" width="7.88671875" bestFit="1" customWidth="1"/>
    <col min="81" max="81" width="15.109375" bestFit="1" customWidth="1"/>
    <col min="82" max="82" width="5.109375" bestFit="1" customWidth="1"/>
    <col min="83" max="83" width="6.88671875" bestFit="1" customWidth="1"/>
    <col min="84" max="84" width="5.44140625" bestFit="1" customWidth="1"/>
    <col min="85" max="85" width="5.109375" bestFit="1" customWidth="1"/>
    <col min="86" max="86" width="6.88671875" bestFit="1" customWidth="1"/>
    <col min="87" max="87" width="8.44140625" bestFit="1" customWidth="1"/>
    <col min="88" max="88" width="7.88671875" bestFit="1" customWidth="1"/>
    <col min="89" max="89" width="6.88671875" bestFit="1" customWidth="1"/>
    <col min="90" max="90" width="7.88671875" bestFit="1" customWidth="1"/>
    <col min="91" max="91" width="6.88671875" bestFit="1" customWidth="1"/>
    <col min="92" max="92" width="5.109375" bestFit="1" customWidth="1"/>
    <col min="93" max="93" width="7.88671875" bestFit="1" customWidth="1"/>
    <col min="94" max="94" width="8.44140625" bestFit="1" customWidth="1"/>
    <col min="95" max="95" width="7.88671875" bestFit="1" customWidth="1"/>
    <col min="97" max="97" width="15.109375" bestFit="1" customWidth="1"/>
    <col min="98" max="98" width="5.109375" customWidth="1"/>
    <col min="99" max="99" width="7.88671875" customWidth="1"/>
    <col min="100" max="100" width="5.44140625" customWidth="1"/>
    <col min="101" max="101" width="5.109375" customWidth="1"/>
    <col min="102" max="102" width="6.44140625" customWidth="1"/>
    <col min="103" max="103" width="6" bestFit="1" customWidth="1"/>
    <col min="104" max="104" width="7.88671875" customWidth="1"/>
    <col min="105" max="105" width="6.88671875" bestFit="1" customWidth="1"/>
    <col min="106" max="106" width="7.88671875" bestFit="1" customWidth="1"/>
    <col min="107" max="107" width="6.88671875" bestFit="1" customWidth="1"/>
    <col min="108" max="108" width="5.109375" bestFit="1" customWidth="1"/>
    <col min="109" max="109" width="7.88671875" bestFit="1" customWidth="1"/>
    <col min="110" max="110" width="5.88671875" customWidth="1"/>
    <col min="111" max="111" width="9.33203125" bestFit="1" customWidth="1"/>
    <col min="113" max="113" width="15.109375" bestFit="1" customWidth="1"/>
    <col min="114" max="114" width="5.109375" bestFit="1" customWidth="1"/>
    <col min="115" max="115" width="7.88671875" bestFit="1" customWidth="1"/>
    <col min="116" max="116" width="6.88671875" bestFit="1" customWidth="1"/>
    <col min="117" max="117" width="5.109375" bestFit="1" customWidth="1"/>
    <col min="118" max="118" width="6.88671875" bestFit="1" customWidth="1"/>
    <col min="119" max="119" width="6" bestFit="1" customWidth="1"/>
    <col min="120" max="120" width="7.88671875" bestFit="1" customWidth="1"/>
    <col min="121" max="121" width="6.88671875" bestFit="1" customWidth="1"/>
    <col min="122" max="122" width="7.88671875" bestFit="1" customWidth="1"/>
    <col min="123" max="123" width="6.88671875" bestFit="1" customWidth="1"/>
    <col min="124" max="124" width="5.109375" bestFit="1" customWidth="1"/>
    <col min="125" max="125" width="7.88671875" bestFit="1" customWidth="1"/>
    <col min="126" max="126" width="6" bestFit="1" customWidth="1"/>
    <col min="127" max="127" width="9.33203125" bestFit="1" customWidth="1"/>
    <col min="129" max="129" width="15.109375" bestFit="1" customWidth="1"/>
    <col min="130" max="130" width="5.109375" bestFit="1" customWidth="1"/>
    <col min="131" max="131" width="6.88671875" bestFit="1" customWidth="1"/>
    <col min="132" max="132" width="5.44140625" bestFit="1" customWidth="1"/>
    <col min="133" max="133" width="5.109375" bestFit="1" customWidth="1"/>
    <col min="134" max="134" width="6.88671875" bestFit="1" customWidth="1"/>
    <col min="135" max="135" width="6" bestFit="1" customWidth="1"/>
    <col min="136" max="136" width="7.88671875" bestFit="1" customWidth="1"/>
    <col min="137" max="137" width="6.88671875" bestFit="1" customWidth="1"/>
    <col min="138" max="138" width="7.88671875" bestFit="1" customWidth="1"/>
    <col min="139" max="139" width="6.88671875" bestFit="1" customWidth="1"/>
    <col min="140" max="140" width="5.109375" bestFit="1" customWidth="1"/>
    <col min="141" max="141" width="7.88671875" bestFit="1" customWidth="1"/>
    <col min="142" max="142" width="6" bestFit="1" customWidth="1"/>
    <col min="143" max="143" width="9.33203125" bestFit="1" customWidth="1"/>
    <col min="145" max="145" width="15.109375" bestFit="1" customWidth="1"/>
    <col min="146" max="146" width="5.109375" bestFit="1" customWidth="1"/>
    <col min="147" max="147" width="7.88671875" bestFit="1" customWidth="1"/>
    <col min="148" max="148" width="5.44140625" bestFit="1" customWidth="1"/>
    <col min="149" max="149" width="5.109375" bestFit="1" customWidth="1"/>
    <col min="150" max="150" width="6.44140625" bestFit="1" customWidth="1"/>
    <col min="151" max="151" width="6" bestFit="1" customWidth="1"/>
    <col min="152" max="152" width="7.88671875" bestFit="1" customWidth="1"/>
    <col min="153" max="153" width="6.88671875" bestFit="1" customWidth="1"/>
    <col min="154" max="154" width="9.33203125" bestFit="1" customWidth="1"/>
    <col min="155" max="155" width="6.88671875" bestFit="1" customWidth="1"/>
    <col min="156" max="156" width="5.109375" bestFit="1" customWidth="1"/>
    <col min="157" max="157" width="7.88671875" bestFit="1" customWidth="1"/>
    <col min="158" max="158" width="6" bestFit="1" customWidth="1"/>
    <col min="159" max="159" width="9.33203125" bestFit="1" customWidth="1"/>
    <col min="161" max="161" width="15.109375" bestFit="1" customWidth="1"/>
    <col min="162" max="162" width="5.109375" bestFit="1" customWidth="1"/>
    <col min="163" max="163" width="7.88671875" bestFit="1" customWidth="1"/>
    <col min="164" max="164" width="5.44140625" bestFit="1" customWidth="1"/>
    <col min="165" max="165" width="5.109375" hidden="1" customWidth="1"/>
    <col min="166" max="166" width="6.88671875" bestFit="1" customWidth="1"/>
    <col min="167" max="167" width="6" bestFit="1" customWidth="1"/>
    <col min="168" max="168" width="7.88671875" bestFit="1" customWidth="1"/>
    <col min="169" max="169" width="6.88671875" bestFit="1" customWidth="1"/>
    <col min="170" max="170" width="9.33203125" bestFit="1" customWidth="1"/>
    <col min="171" max="171" width="6.88671875" bestFit="1" customWidth="1"/>
    <col min="172" max="172" width="5.109375" hidden="1" customWidth="1"/>
    <col min="173" max="173" width="7.88671875" bestFit="1" customWidth="1"/>
    <col min="174" max="174" width="6" bestFit="1" customWidth="1"/>
    <col min="175" max="175" width="9.33203125" bestFit="1" customWidth="1"/>
    <col min="177" max="177" width="15.109375" bestFit="1" customWidth="1"/>
    <col min="178" max="178" width="5.109375" bestFit="1" customWidth="1"/>
    <col min="179" max="179" width="7.88671875" bestFit="1" customWidth="1"/>
    <col min="180" max="180" width="5.44140625" bestFit="1" customWidth="1"/>
    <col min="181" max="181" width="6.88671875" bestFit="1" customWidth="1"/>
    <col min="182" max="182" width="6" bestFit="1" customWidth="1"/>
    <col min="183" max="183" width="7.88671875" bestFit="1" customWidth="1"/>
    <col min="184" max="184" width="6.88671875" bestFit="1" customWidth="1"/>
    <col min="185" max="185" width="9.33203125" bestFit="1" customWidth="1"/>
    <col min="186" max="186" width="6.88671875" bestFit="1" customWidth="1"/>
    <col min="187" max="187" width="7.88671875" bestFit="1" customWidth="1"/>
    <col min="188" max="188" width="6" bestFit="1" customWidth="1"/>
    <col min="189" max="189" width="9.33203125" bestFit="1" customWidth="1"/>
    <col min="191" max="191" width="15.109375" bestFit="1" customWidth="1"/>
    <col min="192" max="192" width="5.109375" bestFit="1" customWidth="1"/>
    <col min="193" max="193" width="6.88671875" bestFit="1" customWidth="1"/>
    <col min="194" max="194" width="5.44140625" bestFit="1" customWidth="1"/>
    <col min="195" max="195" width="6.88671875" bestFit="1" customWidth="1"/>
    <col min="196" max="196" width="6" bestFit="1" customWidth="1"/>
    <col min="197" max="197" width="7.88671875" bestFit="1" customWidth="1"/>
    <col min="198" max="198" width="6.88671875" bestFit="1" customWidth="1"/>
    <col min="199" max="199" width="9.33203125" bestFit="1" customWidth="1"/>
    <col min="200" max="201" width="7.88671875" bestFit="1" customWidth="1"/>
    <col min="202" max="202" width="6" bestFit="1" customWidth="1"/>
    <col min="203" max="203" width="9.33203125" bestFit="1" customWidth="1"/>
    <col min="205" max="205" width="15.109375" bestFit="1" customWidth="1"/>
    <col min="206" max="206" width="6.88671875" bestFit="1" customWidth="1"/>
    <col min="207" max="207" width="7.88671875" bestFit="1" customWidth="1"/>
    <col min="208" max="208" width="5.44140625" bestFit="1" customWidth="1"/>
    <col min="209" max="209" width="6.44140625" bestFit="1" customWidth="1"/>
    <col min="210" max="210" width="6" bestFit="1" customWidth="1"/>
    <col min="211" max="211" width="7.88671875" bestFit="1" customWidth="1"/>
    <col min="212" max="212" width="6.88671875" bestFit="1" customWidth="1"/>
    <col min="213" max="213" width="9.33203125" bestFit="1" customWidth="1"/>
    <col min="214" max="215" width="7.88671875" bestFit="1" customWidth="1"/>
    <col min="216" max="216" width="6" bestFit="1" customWidth="1"/>
    <col min="217" max="217" width="9.33203125" bestFit="1" customWidth="1"/>
    <col min="219" max="219" width="15.109375" bestFit="1" customWidth="1"/>
    <col min="220" max="220" width="5.109375" bestFit="1" customWidth="1"/>
    <col min="221" max="221" width="6.88671875" bestFit="1" customWidth="1"/>
    <col min="222" max="222" width="5.44140625" bestFit="1" customWidth="1"/>
    <col min="223" max="223" width="6.88671875" bestFit="1" customWidth="1"/>
    <col min="224" max="224" width="6" bestFit="1" customWidth="1"/>
    <col min="225" max="225" width="7.88671875" bestFit="1" customWidth="1"/>
    <col min="226" max="226" width="6.88671875" bestFit="1" customWidth="1"/>
    <col min="227" max="227" width="9.33203125" bestFit="1" customWidth="1"/>
    <col min="228" max="229" width="7.88671875" bestFit="1" customWidth="1"/>
    <col min="230" max="230" width="6" bestFit="1" customWidth="1"/>
    <col min="231" max="231" width="9.33203125" bestFit="1" customWidth="1"/>
    <col min="233" max="233" width="15.109375" bestFit="1" customWidth="1"/>
    <col min="234" max="234" width="5.109375" bestFit="1" customWidth="1"/>
    <col min="235" max="235" width="6.88671875" bestFit="1" customWidth="1"/>
    <col min="236" max="236" width="5.44140625" bestFit="1" customWidth="1"/>
    <col min="237" max="237" width="6.88671875" bestFit="1" customWidth="1"/>
    <col min="238" max="238" width="6" bestFit="1" customWidth="1"/>
    <col min="239" max="239" width="7.88671875" bestFit="1" customWidth="1"/>
    <col min="240" max="240" width="6.88671875" bestFit="1" customWidth="1"/>
    <col min="241" max="241" width="9.33203125" bestFit="1" customWidth="1"/>
    <col min="242" max="243" width="7.88671875" bestFit="1" customWidth="1"/>
    <col min="244" max="244" width="6" bestFit="1" customWidth="1"/>
    <col min="245" max="245" width="9.33203125" bestFit="1" customWidth="1"/>
    <col min="247" max="247" width="15.109375" bestFit="1" customWidth="1"/>
    <col min="248" max="248" width="5.109375" bestFit="1" customWidth="1"/>
    <col min="249" max="249" width="6.88671875" bestFit="1" customWidth="1"/>
    <col min="250" max="250" width="5.44140625" bestFit="1" customWidth="1"/>
    <col min="251" max="251" width="6.88671875" bestFit="1" customWidth="1"/>
    <col min="252" max="252" width="6" bestFit="1" customWidth="1"/>
    <col min="253" max="253" width="7.88671875" bestFit="1" customWidth="1"/>
    <col min="254" max="254" width="6.88671875" bestFit="1" customWidth="1"/>
    <col min="255" max="255" width="9.33203125" bestFit="1" customWidth="1"/>
    <col min="256" max="257" width="7.88671875" bestFit="1" customWidth="1"/>
    <col min="258" max="258" width="6" bestFit="1" customWidth="1"/>
    <col min="259" max="259" width="9.33203125" bestFit="1" customWidth="1"/>
    <col min="261" max="261" width="15.109375" bestFit="1" customWidth="1"/>
    <col min="262" max="262" width="6.88671875" bestFit="1" customWidth="1"/>
    <col min="263" max="263" width="7.88671875" bestFit="1" customWidth="1"/>
    <col min="264" max="264" width="5.44140625" bestFit="1" customWidth="1"/>
    <col min="265" max="265" width="6.88671875" bestFit="1" customWidth="1"/>
    <col min="266" max="266" width="6" bestFit="1" customWidth="1"/>
    <col min="267" max="267" width="7.88671875" bestFit="1" customWidth="1"/>
    <col min="268" max="268" width="6.88671875" bestFit="1" customWidth="1"/>
    <col min="269" max="269" width="9.33203125" bestFit="1" customWidth="1"/>
    <col min="270" max="271" width="7.88671875" bestFit="1" customWidth="1"/>
    <col min="272" max="272" width="6" bestFit="1" customWidth="1"/>
    <col min="273" max="273" width="9.33203125" bestFit="1" customWidth="1"/>
    <col min="275" max="275" width="15.109375" bestFit="1" customWidth="1"/>
    <col min="276" max="276" width="5.109375" bestFit="1" customWidth="1"/>
    <col min="277" max="277" width="6.88671875" bestFit="1" customWidth="1"/>
    <col min="278" max="278" width="5.44140625" bestFit="1" customWidth="1"/>
    <col min="279" max="279" width="6.88671875" bestFit="1" customWidth="1"/>
    <col min="280" max="280" width="6" bestFit="1" customWidth="1"/>
    <col min="281" max="281" width="7.88671875" bestFit="1" customWidth="1"/>
    <col min="282" max="282" width="6.88671875" bestFit="1" customWidth="1"/>
    <col min="283" max="283" width="9.33203125" bestFit="1" customWidth="1"/>
    <col min="284" max="285" width="7.88671875" bestFit="1" customWidth="1"/>
    <col min="286" max="286" width="6" bestFit="1" customWidth="1"/>
    <col min="287" max="287" width="9.33203125" bestFit="1" customWidth="1"/>
    <col min="289" max="289" width="15.109375" bestFit="1" customWidth="1"/>
    <col min="290" max="290" width="5.6640625" bestFit="1" customWidth="1"/>
    <col min="291" max="291" width="6.88671875" bestFit="1" customWidth="1"/>
    <col min="292" max="292" width="5.44140625" bestFit="1" customWidth="1"/>
    <col min="293" max="293" width="6.44140625" bestFit="1" customWidth="1"/>
    <col min="294" max="294" width="6" bestFit="1" customWidth="1"/>
    <col min="295" max="296" width="6.88671875" bestFit="1" customWidth="1"/>
    <col min="297" max="297" width="9.33203125" bestFit="1" customWidth="1"/>
    <col min="298" max="299" width="7.88671875" bestFit="1" customWidth="1"/>
    <col min="300" max="300" width="6" bestFit="1" customWidth="1"/>
    <col min="301" max="301" width="9.33203125" bestFit="1" customWidth="1"/>
    <col min="303" max="303" width="15.109375" bestFit="1" customWidth="1"/>
    <col min="304" max="307" width="6.21875" bestFit="1" customWidth="1"/>
    <col min="308" max="308" width="6" bestFit="1" customWidth="1"/>
    <col min="309" max="309" width="7.21875" bestFit="1" customWidth="1"/>
    <col min="310" max="310" width="6.21875" bestFit="1" customWidth="1"/>
    <col min="311" max="311" width="8.6640625" bestFit="1" customWidth="1"/>
    <col min="312" max="313" width="7.21875" bestFit="1" customWidth="1"/>
    <col min="314" max="314" width="4.77734375" bestFit="1" customWidth="1"/>
    <col min="315" max="315" width="8.6640625" bestFit="1" customWidth="1"/>
  </cols>
  <sheetData>
    <row r="1" spans="2:321" ht="15" thickBot="1" x14ac:dyDescent="0.35"/>
    <row r="2" spans="2:321" ht="15" thickBot="1" x14ac:dyDescent="0.35">
      <c r="B2" s="14" t="s">
        <v>481</v>
      </c>
      <c r="C2" s="357">
        <v>45870</v>
      </c>
      <c r="D2" s="358"/>
      <c r="E2" s="358"/>
      <c r="F2" s="358"/>
      <c r="G2" s="358"/>
      <c r="H2" s="359"/>
      <c r="I2" s="360" t="s">
        <v>769</v>
      </c>
      <c r="J2" s="361"/>
      <c r="K2" s="361"/>
      <c r="L2" s="361"/>
      <c r="M2" s="361"/>
      <c r="N2" s="362"/>
      <c r="P2" s="14" t="s">
        <v>481</v>
      </c>
      <c r="Q2" s="357">
        <v>45872</v>
      </c>
      <c r="R2" s="358"/>
      <c r="S2" s="358"/>
      <c r="T2" s="358"/>
      <c r="U2" s="358"/>
      <c r="V2" s="358"/>
      <c r="W2" s="359"/>
      <c r="X2" s="360" t="s">
        <v>769</v>
      </c>
      <c r="Y2" s="361"/>
      <c r="Z2" s="361"/>
      <c r="AA2" s="361"/>
      <c r="AB2" s="361"/>
      <c r="AC2" s="361"/>
      <c r="AD2" s="362"/>
      <c r="AF2" s="14" t="s">
        <v>481</v>
      </c>
      <c r="AG2" s="357">
        <v>45873</v>
      </c>
      <c r="AH2" s="358"/>
      <c r="AI2" s="358"/>
      <c r="AJ2" s="358"/>
      <c r="AK2" s="358"/>
      <c r="AL2" s="358"/>
      <c r="AM2" s="359"/>
      <c r="AN2" s="360" t="s">
        <v>769</v>
      </c>
      <c r="AO2" s="361"/>
      <c r="AP2" s="361"/>
      <c r="AQ2" s="361"/>
      <c r="AR2" s="361"/>
      <c r="AS2" s="361"/>
      <c r="AT2" s="362"/>
      <c r="AV2" s="14" t="s">
        <v>481</v>
      </c>
      <c r="AW2" s="357">
        <v>45874</v>
      </c>
      <c r="AX2" s="358"/>
      <c r="AY2" s="358"/>
      <c r="AZ2" s="358"/>
      <c r="BA2" s="358"/>
      <c r="BB2" s="358"/>
      <c r="BC2" s="359"/>
      <c r="BD2" s="360" t="s">
        <v>769</v>
      </c>
      <c r="BE2" s="361"/>
      <c r="BF2" s="361"/>
      <c r="BG2" s="361"/>
      <c r="BH2" s="361"/>
      <c r="BI2" s="361"/>
      <c r="BJ2" s="362"/>
      <c r="BL2" s="14" t="s">
        <v>481</v>
      </c>
      <c r="BM2" s="357">
        <v>45875</v>
      </c>
      <c r="BN2" s="358"/>
      <c r="BO2" s="358"/>
      <c r="BP2" s="358"/>
      <c r="BQ2" s="358"/>
      <c r="BR2" s="358"/>
      <c r="BS2" s="359"/>
      <c r="BT2" s="360" t="s">
        <v>769</v>
      </c>
      <c r="BU2" s="361"/>
      <c r="BV2" s="361"/>
      <c r="BW2" s="361"/>
      <c r="BX2" s="361"/>
      <c r="BY2" s="361"/>
      <c r="BZ2" s="362"/>
      <c r="CC2" s="14" t="s">
        <v>481</v>
      </c>
      <c r="CD2" s="357">
        <v>45876</v>
      </c>
      <c r="CE2" s="358"/>
      <c r="CF2" s="358"/>
      <c r="CG2" s="358"/>
      <c r="CH2" s="358"/>
      <c r="CI2" s="358"/>
      <c r="CJ2" s="359"/>
      <c r="CK2" s="360" t="s">
        <v>769</v>
      </c>
      <c r="CL2" s="361"/>
      <c r="CM2" s="361"/>
      <c r="CN2" s="361"/>
      <c r="CO2" s="361"/>
      <c r="CP2" s="361"/>
      <c r="CQ2" s="362"/>
      <c r="CS2" s="14" t="s">
        <v>481</v>
      </c>
      <c r="CT2" s="357">
        <v>45881</v>
      </c>
      <c r="CU2" s="358"/>
      <c r="CV2" s="358"/>
      <c r="CW2" s="358"/>
      <c r="CX2" s="358"/>
      <c r="CY2" s="358"/>
      <c r="CZ2" s="359"/>
      <c r="DA2" s="360" t="s">
        <v>769</v>
      </c>
      <c r="DB2" s="361"/>
      <c r="DC2" s="361"/>
      <c r="DD2" s="361"/>
      <c r="DE2" s="361"/>
      <c r="DF2" s="361"/>
      <c r="DG2" s="362"/>
      <c r="DI2" s="14" t="s">
        <v>481</v>
      </c>
      <c r="DJ2" s="357">
        <v>45882</v>
      </c>
      <c r="DK2" s="358"/>
      <c r="DL2" s="358"/>
      <c r="DM2" s="358"/>
      <c r="DN2" s="358"/>
      <c r="DO2" s="358"/>
      <c r="DP2" s="359"/>
      <c r="DQ2" s="360" t="s">
        <v>769</v>
      </c>
      <c r="DR2" s="361"/>
      <c r="DS2" s="361"/>
      <c r="DT2" s="361"/>
      <c r="DU2" s="361"/>
      <c r="DV2" s="361"/>
      <c r="DW2" s="362"/>
      <c r="DY2" s="14" t="s">
        <v>481</v>
      </c>
      <c r="DZ2" s="357">
        <v>45883</v>
      </c>
      <c r="EA2" s="358"/>
      <c r="EB2" s="358"/>
      <c r="EC2" s="358"/>
      <c r="ED2" s="358"/>
      <c r="EE2" s="358"/>
      <c r="EF2" s="359"/>
      <c r="EG2" s="360" t="s">
        <v>769</v>
      </c>
      <c r="EH2" s="361"/>
      <c r="EI2" s="361"/>
      <c r="EJ2" s="361"/>
      <c r="EK2" s="361"/>
      <c r="EL2" s="361"/>
      <c r="EM2" s="362"/>
      <c r="EO2" s="14" t="s">
        <v>481</v>
      </c>
      <c r="EP2" s="357">
        <v>45886</v>
      </c>
      <c r="EQ2" s="358"/>
      <c r="ER2" s="358"/>
      <c r="ES2" s="358"/>
      <c r="ET2" s="358"/>
      <c r="EU2" s="358"/>
      <c r="EV2" s="359"/>
      <c r="EW2" s="360" t="s">
        <v>769</v>
      </c>
      <c r="EX2" s="361"/>
      <c r="EY2" s="361"/>
      <c r="EZ2" s="361"/>
      <c r="FA2" s="361"/>
      <c r="FB2" s="361"/>
      <c r="FC2" s="362"/>
      <c r="FE2" s="14" t="s">
        <v>481</v>
      </c>
      <c r="FF2" s="357">
        <v>45887</v>
      </c>
      <c r="FG2" s="358"/>
      <c r="FH2" s="358"/>
      <c r="FI2" s="358"/>
      <c r="FJ2" s="358"/>
      <c r="FK2" s="358"/>
      <c r="FL2" s="359"/>
      <c r="FM2" s="360" t="s">
        <v>769</v>
      </c>
      <c r="FN2" s="361"/>
      <c r="FO2" s="361"/>
      <c r="FP2" s="361"/>
      <c r="FQ2" s="361"/>
      <c r="FR2" s="361"/>
      <c r="FS2" s="362"/>
      <c r="FU2" s="14" t="s">
        <v>481</v>
      </c>
      <c r="FV2" s="357">
        <v>45888</v>
      </c>
      <c r="FW2" s="358"/>
      <c r="FX2" s="358"/>
      <c r="FY2" s="358"/>
      <c r="FZ2" s="358"/>
      <c r="GA2" s="359"/>
      <c r="GB2" s="360" t="s">
        <v>769</v>
      </c>
      <c r="GC2" s="361"/>
      <c r="GD2" s="361"/>
      <c r="GE2" s="361"/>
      <c r="GF2" s="361"/>
      <c r="GG2" s="362"/>
      <c r="GI2" s="14" t="s">
        <v>481</v>
      </c>
      <c r="GJ2" s="357">
        <v>45889</v>
      </c>
      <c r="GK2" s="358"/>
      <c r="GL2" s="358"/>
      <c r="GM2" s="358"/>
      <c r="GN2" s="358"/>
      <c r="GO2" s="359"/>
      <c r="GP2" s="360" t="s">
        <v>769</v>
      </c>
      <c r="GQ2" s="361"/>
      <c r="GR2" s="361"/>
      <c r="GS2" s="361"/>
      <c r="GT2" s="361"/>
      <c r="GU2" s="362"/>
      <c r="GW2" s="14" t="s">
        <v>481</v>
      </c>
      <c r="GX2" s="357">
        <v>45890</v>
      </c>
      <c r="GY2" s="358"/>
      <c r="GZ2" s="358"/>
      <c r="HA2" s="358"/>
      <c r="HB2" s="358"/>
      <c r="HC2" s="359"/>
      <c r="HD2" s="360" t="s">
        <v>769</v>
      </c>
      <c r="HE2" s="361"/>
      <c r="HF2" s="361"/>
      <c r="HG2" s="361"/>
      <c r="HH2" s="361"/>
      <c r="HI2" s="362"/>
      <c r="HK2" s="14" t="s">
        <v>481</v>
      </c>
      <c r="HL2" s="357">
        <v>45891</v>
      </c>
      <c r="HM2" s="358"/>
      <c r="HN2" s="358"/>
      <c r="HO2" s="358"/>
      <c r="HP2" s="358"/>
      <c r="HQ2" s="359"/>
      <c r="HR2" s="360" t="s">
        <v>769</v>
      </c>
      <c r="HS2" s="361"/>
      <c r="HT2" s="361"/>
      <c r="HU2" s="361"/>
      <c r="HV2" s="361"/>
      <c r="HW2" s="362"/>
      <c r="HY2" s="14" t="s">
        <v>481</v>
      </c>
      <c r="HZ2" s="357">
        <v>45893</v>
      </c>
      <c r="IA2" s="358"/>
      <c r="IB2" s="358"/>
      <c r="IC2" s="358"/>
      <c r="ID2" s="358"/>
      <c r="IE2" s="359"/>
      <c r="IF2" s="360" t="s">
        <v>769</v>
      </c>
      <c r="IG2" s="361"/>
      <c r="IH2" s="361"/>
      <c r="II2" s="361"/>
      <c r="IJ2" s="361"/>
      <c r="IK2" s="362"/>
      <c r="IM2" s="14" t="s">
        <v>481</v>
      </c>
      <c r="IN2" s="357">
        <v>45894</v>
      </c>
      <c r="IO2" s="358"/>
      <c r="IP2" s="358"/>
      <c r="IQ2" s="358"/>
      <c r="IR2" s="358"/>
      <c r="IS2" s="359"/>
      <c r="IT2" s="360" t="s">
        <v>769</v>
      </c>
      <c r="IU2" s="361"/>
      <c r="IV2" s="361"/>
      <c r="IW2" s="361"/>
      <c r="IX2" s="361"/>
      <c r="IY2" s="362"/>
      <c r="JA2" s="14" t="s">
        <v>481</v>
      </c>
      <c r="JB2" s="357">
        <v>45895</v>
      </c>
      <c r="JC2" s="358"/>
      <c r="JD2" s="358"/>
      <c r="JE2" s="358"/>
      <c r="JF2" s="358"/>
      <c r="JG2" s="359"/>
      <c r="JH2" s="360" t="s">
        <v>769</v>
      </c>
      <c r="JI2" s="361"/>
      <c r="JJ2" s="361"/>
      <c r="JK2" s="361"/>
      <c r="JL2" s="361"/>
      <c r="JM2" s="362"/>
      <c r="JO2" s="14" t="s">
        <v>481</v>
      </c>
      <c r="JP2" s="357">
        <v>45897</v>
      </c>
      <c r="JQ2" s="358"/>
      <c r="JR2" s="358"/>
      <c r="JS2" s="358"/>
      <c r="JT2" s="358"/>
      <c r="JU2" s="359"/>
      <c r="JV2" s="360" t="s">
        <v>769</v>
      </c>
      <c r="JW2" s="361"/>
      <c r="JX2" s="361"/>
      <c r="JY2" s="361"/>
      <c r="JZ2" s="361"/>
      <c r="KA2" s="362"/>
      <c r="KC2" s="14" t="s">
        <v>481</v>
      </c>
      <c r="KD2" s="357">
        <v>45898</v>
      </c>
      <c r="KE2" s="358"/>
      <c r="KF2" s="358"/>
      <c r="KG2" s="358"/>
      <c r="KH2" s="358"/>
      <c r="KI2" s="359"/>
      <c r="KJ2" s="360" t="s">
        <v>769</v>
      </c>
      <c r="KK2" s="361"/>
      <c r="KL2" s="361"/>
      <c r="KM2" s="361"/>
      <c r="KN2" s="361"/>
      <c r="KO2" s="362"/>
      <c r="KQ2" s="14" t="s">
        <v>481</v>
      </c>
      <c r="KR2" s="357">
        <v>45900</v>
      </c>
      <c r="KS2" s="358"/>
      <c r="KT2" s="358"/>
      <c r="KU2" s="358"/>
      <c r="KV2" s="358"/>
      <c r="KW2" s="359"/>
      <c r="KX2" s="360" t="s">
        <v>769</v>
      </c>
      <c r="KY2" s="361"/>
      <c r="KZ2" s="361"/>
      <c r="LA2" s="361"/>
      <c r="LB2" s="361"/>
      <c r="LC2" s="362"/>
    </row>
    <row r="3" spans="2:321" ht="28.95" customHeight="1" x14ac:dyDescent="0.3">
      <c r="B3" s="112" t="s">
        <v>551</v>
      </c>
      <c r="C3" s="107" t="s">
        <v>544</v>
      </c>
      <c r="D3" s="108" t="s">
        <v>548</v>
      </c>
      <c r="E3" s="108" t="s">
        <v>549</v>
      </c>
      <c r="F3" s="108" t="s">
        <v>693</v>
      </c>
      <c r="G3" s="109" t="s">
        <v>546</v>
      </c>
      <c r="H3" s="110" t="s">
        <v>462</v>
      </c>
      <c r="I3" s="107" t="s">
        <v>544</v>
      </c>
      <c r="J3" s="108" t="s">
        <v>548</v>
      </c>
      <c r="K3" s="108" t="s">
        <v>549</v>
      </c>
      <c r="L3" s="108" t="s">
        <v>693</v>
      </c>
      <c r="M3" s="109" t="s">
        <v>546</v>
      </c>
      <c r="N3" s="110" t="s">
        <v>462</v>
      </c>
      <c r="P3" s="112" t="s">
        <v>551</v>
      </c>
      <c r="Q3" s="107" t="s">
        <v>544</v>
      </c>
      <c r="R3" s="108" t="s">
        <v>548</v>
      </c>
      <c r="S3" s="108" t="s">
        <v>549</v>
      </c>
      <c r="T3" s="108" t="s">
        <v>693</v>
      </c>
      <c r="U3" s="109" t="s">
        <v>546</v>
      </c>
      <c r="V3" s="109" t="s">
        <v>768</v>
      </c>
      <c r="W3" s="110" t="s">
        <v>462</v>
      </c>
      <c r="X3" s="107" t="s">
        <v>544</v>
      </c>
      <c r="Y3" s="108" t="s">
        <v>548</v>
      </c>
      <c r="Z3" s="108" t="s">
        <v>549</v>
      </c>
      <c r="AA3" s="108" t="s">
        <v>693</v>
      </c>
      <c r="AB3" s="109" t="s">
        <v>546</v>
      </c>
      <c r="AC3" s="109" t="s">
        <v>768</v>
      </c>
      <c r="AD3" s="110" t="s">
        <v>462</v>
      </c>
      <c r="AF3" s="112" t="s">
        <v>551</v>
      </c>
      <c r="AG3" s="107" t="s">
        <v>544</v>
      </c>
      <c r="AH3" s="108" t="s">
        <v>548</v>
      </c>
      <c r="AI3" s="108" t="s">
        <v>549</v>
      </c>
      <c r="AJ3" s="108" t="s">
        <v>693</v>
      </c>
      <c r="AK3" s="109" t="s">
        <v>546</v>
      </c>
      <c r="AL3" s="109" t="s">
        <v>767</v>
      </c>
      <c r="AM3" s="110" t="s">
        <v>462</v>
      </c>
      <c r="AN3" s="107" t="s">
        <v>544</v>
      </c>
      <c r="AO3" s="108" t="s">
        <v>548</v>
      </c>
      <c r="AP3" s="108" t="s">
        <v>549</v>
      </c>
      <c r="AQ3" s="108" t="s">
        <v>693</v>
      </c>
      <c r="AR3" s="109" t="s">
        <v>546</v>
      </c>
      <c r="AS3" s="109" t="s">
        <v>767</v>
      </c>
      <c r="AT3" s="110" t="s">
        <v>462</v>
      </c>
      <c r="AV3" s="112" t="s">
        <v>551</v>
      </c>
      <c r="AW3" s="107" t="s">
        <v>544</v>
      </c>
      <c r="AX3" s="108" t="s">
        <v>548</v>
      </c>
      <c r="AY3" s="108" t="s">
        <v>549</v>
      </c>
      <c r="AZ3" s="108" t="s">
        <v>693</v>
      </c>
      <c r="BA3" s="109" t="s">
        <v>546</v>
      </c>
      <c r="BB3" s="109" t="s">
        <v>767</v>
      </c>
      <c r="BC3" s="110" t="s">
        <v>462</v>
      </c>
      <c r="BD3" s="107" t="s">
        <v>544</v>
      </c>
      <c r="BE3" s="108" t="s">
        <v>548</v>
      </c>
      <c r="BF3" s="108" t="s">
        <v>549</v>
      </c>
      <c r="BG3" s="108" t="s">
        <v>693</v>
      </c>
      <c r="BH3" s="109" t="s">
        <v>546</v>
      </c>
      <c r="BI3" s="109" t="s">
        <v>767</v>
      </c>
      <c r="BJ3" s="110" t="s">
        <v>462</v>
      </c>
      <c r="BL3" s="112" t="s">
        <v>551</v>
      </c>
      <c r="BM3" s="107" t="s">
        <v>544</v>
      </c>
      <c r="BN3" s="108" t="s">
        <v>548</v>
      </c>
      <c r="BO3" s="108" t="s">
        <v>549</v>
      </c>
      <c r="BP3" s="108" t="s">
        <v>693</v>
      </c>
      <c r="BQ3" s="109" t="s">
        <v>546</v>
      </c>
      <c r="BR3" s="109" t="s">
        <v>770</v>
      </c>
      <c r="BS3" s="110" t="s">
        <v>462</v>
      </c>
      <c r="BT3" s="107" t="s">
        <v>544</v>
      </c>
      <c r="BU3" s="108" t="s">
        <v>548</v>
      </c>
      <c r="BV3" s="108" t="s">
        <v>549</v>
      </c>
      <c r="BW3" s="108" t="s">
        <v>693</v>
      </c>
      <c r="BX3" s="109" t="s">
        <v>546</v>
      </c>
      <c r="BY3" s="109" t="s">
        <v>547</v>
      </c>
      <c r="BZ3" s="110" t="s">
        <v>462</v>
      </c>
      <c r="CC3" s="112" t="s">
        <v>551</v>
      </c>
      <c r="CD3" s="107" t="s">
        <v>544</v>
      </c>
      <c r="CE3" s="108" t="s">
        <v>548</v>
      </c>
      <c r="CF3" s="108" t="s">
        <v>549</v>
      </c>
      <c r="CG3" s="108" t="s">
        <v>693</v>
      </c>
      <c r="CH3" s="109" t="s">
        <v>546</v>
      </c>
      <c r="CI3" s="109" t="s">
        <v>547</v>
      </c>
      <c r="CJ3" s="110" t="s">
        <v>462</v>
      </c>
      <c r="CK3" s="107" t="s">
        <v>544</v>
      </c>
      <c r="CL3" s="108" t="s">
        <v>548</v>
      </c>
      <c r="CM3" s="108" t="s">
        <v>549</v>
      </c>
      <c r="CN3" s="108" t="s">
        <v>693</v>
      </c>
      <c r="CO3" s="109" t="s">
        <v>546</v>
      </c>
      <c r="CP3" s="109" t="s">
        <v>547</v>
      </c>
      <c r="CQ3" s="110" t="s">
        <v>462</v>
      </c>
      <c r="CS3" s="112" t="s">
        <v>551</v>
      </c>
      <c r="CT3" s="107" t="s">
        <v>544</v>
      </c>
      <c r="CU3" s="108" t="s">
        <v>548</v>
      </c>
      <c r="CV3" s="108" t="s">
        <v>549</v>
      </c>
      <c r="CW3" s="108" t="s">
        <v>693</v>
      </c>
      <c r="CX3" s="109" t="s">
        <v>546</v>
      </c>
      <c r="CY3" s="109" t="s">
        <v>547</v>
      </c>
      <c r="CZ3" s="110" t="s">
        <v>462</v>
      </c>
      <c r="DA3" s="107" t="s">
        <v>544</v>
      </c>
      <c r="DB3" s="108" t="s">
        <v>548</v>
      </c>
      <c r="DC3" s="108" t="s">
        <v>549</v>
      </c>
      <c r="DD3" s="108" t="s">
        <v>693</v>
      </c>
      <c r="DE3" s="109" t="s">
        <v>546</v>
      </c>
      <c r="DF3" s="109" t="s">
        <v>547</v>
      </c>
      <c r="DG3" s="110" t="s">
        <v>462</v>
      </c>
      <c r="DI3" s="112" t="s">
        <v>551</v>
      </c>
      <c r="DJ3" s="107" t="s">
        <v>544</v>
      </c>
      <c r="DK3" s="108" t="s">
        <v>548</v>
      </c>
      <c r="DL3" s="108" t="s">
        <v>549</v>
      </c>
      <c r="DM3" s="108" t="s">
        <v>693</v>
      </c>
      <c r="DN3" s="109" t="s">
        <v>546</v>
      </c>
      <c r="DO3" s="109" t="s">
        <v>547</v>
      </c>
      <c r="DP3" s="110" t="s">
        <v>462</v>
      </c>
      <c r="DQ3" s="107" t="s">
        <v>544</v>
      </c>
      <c r="DR3" s="108" t="s">
        <v>548</v>
      </c>
      <c r="DS3" s="108" t="s">
        <v>549</v>
      </c>
      <c r="DT3" s="108" t="s">
        <v>693</v>
      </c>
      <c r="DU3" s="109" t="s">
        <v>546</v>
      </c>
      <c r="DV3" s="109" t="s">
        <v>547</v>
      </c>
      <c r="DW3" s="110" t="s">
        <v>462</v>
      </c>
      <c r="DY3" s="112" t="s">
        <v>551</v>
      </c>
      <c r="DZ3" s="107" t="s">
        <v>544</v>
      </c>
      <c r="EA3" s="108" t="s">
        <v>548</v>
      </c>
      <c r="EB3" s="108" t="s">
        <v>549</v>
      </c>
      <c r="EC3" s="108" t="s">
        <v>693</v>
      </c>
      <c r="ED3" s="109" t="s">
        <v>546</v>
      </c>
      <c r="EE3" s="109" t="s">
        <v>547</v>
      </c>
      <c r="EF3" s="110" t="s">
        <v>462</v>
      </c>
      <c r="EG3" s="107" t="s">
        <v>544</v>
      </c>
      <c r="EH3" s="108" t="s">
        <v>548</v>
      </c>
      <c r="EI3" s="108" t="s">
        <v>549</v>
      </c>
      <c r="EJ3" s="108" t="s">
        <v>693</v>
      </c>
      <c r="EK3" s="109" t="s">
        <v>546</v>
      </c>
      <c r="EL3" s="109" t="s">
        <v>547</v>
      </c>
      <c r="EM3" s="110" t="s">
        <v>462</v>
      </c>
      <c r="EO3" s="112" t="s">
        <v>551</v>
      </c>
      <c r="EP3" s="107" t="s">
        <v>544</v>
      </c>
      <c r="EQ3" s="108" t="s">
        <v>548</v>
      </c>
      <c r="ER3" s="108" t="s">
        <v>549</v>
      </c>
      <c r="ES3" s="108" t="s">
        <v>693</v>
      </c>
      <c r="ET3" s="109" t="s">
        <v>546</v>
      </c>
      <c r="EU3" s="109" t="s">
        <v>547</v>
      </c>
      <c r="EV3" s="110" t="s">
        <v>462</v>
      </c>
      <c r="EW3" s="107" t="s">
        <v>544</v>
      </c>
      <c r="EX3" s="108" t="s">
        <v>548</v>
      </c>
      <c r="EY3" s="108" t="s">
        <v>549</v>
      </c>
      <c r="EZ3" s="108" t="s">
        <v>693</v>
      </c>
      <c r="FA3" s="109" t="s">
        <v>546</v>
      </c>
      <c r="FB3" s="109" t="s">
        <v>547</v>
      </c>
      <c r="FC3" s="110" t="s">
        <v>462</v>
      </c>
      <c r="FE3" s="112" t="s">
        <v>551</v>
      </c>
      <c r="FF3" s="107" t="s">
        <v>544</v>
      </c>
      <c r="FG3" s="108" t="s">
        <v>548</v>
      </c>
      <c r="FH3" s="108" t="s">
        <v>549</v>
      </c>
      <c r="FI3" s="108" t="s">
        <v>693</v>
      </c>
      <c r="FJ3" s="109" t="s">
        <v>546</v>
      </c>
      <c r="FK3" s="109" t="s">
        <v>547</v>
      </c>
      <c r="FL3" s="110" t="s">
        <v>462</v>
      </c>
      <c r="FM3" s="107" t="s">
        <v>544</v>
      </c>
      <c r="FN3" s="108" t="s">
        <v>548</v>
      </c>
      <c r="FO3" s="108" t="s">
        <v>549</v>
      </c>
      <c r="FP3" s="108" t="s">
        <v>693</v>
      </c>
      <c r="FQ3" s="109" t="s">
        <v>546</v>
      </c>
      <c r="FR3" s="109" t="s">
        <v>547</v>
      </c>
      <c r="FS3" s="110" t="s">
        <v>462</v>
      </c>
      <c r="FU3" s="112" t="s">
        <v>551</v>
      </c>
      <c r="FV3" s="107" t="s">
        <v>544</v>
      </c>
      <c r="FW3" s="108" t="s">
        <v>548</v>
      </c>
      <c r="FX3" s="108" t="s">
        <v>549</v>
      </c>
      <c r="FY3" s="109" t="s">
        <v>546</v>
      </c>
      <c r="FZ3" s="109" t="s">
        <v>547</v>
      </c>
      <c r="GA3" s="110" t="s">
        <v>462</v>
      </c>
      <c r="GB3" s="107" t="s">
        <v>544</v>
      </c>
      <c r="GC3" s="108" t="s">
        <v>548</v>
      </c>
      <c r="GD3" s="108" t="s">
        <v>549</v>
      </c>
      <c r="GE3" s="109" t="s">
        <v>546</v>
      </c>
      <c r="GF3" s="109" t="s">
        <v>547</v>
      </c>
      <c r="GG3" s="110" t="s">
        <v>462</v>
      </c>
      <c r="GI3" s="112" t="s">
        <v>551</v>
      </c>
      <c r="GJ3" s="107" t="s">
        <v>544</v>
      </c>
      <c r="GK3" s="108" t="s">
        <v>548</v>
      </c>
      <c r="GL3" s="108" t="s">
        <v>549</v>
      </c>
      <c r="GM3" s="109" t="s">
        <v>546</v>
      </c>
      <c r="GN3" s="109" t="s">
        <v>547</v>
      </c>
      <c r="GO3" s="110" t="s">
        <v>462</v>
      </c>
      <c r="GP3" s="107" t="s">
        <v>544</v>
      </c>
      <c r="GQ3" s="108" t="s">
        <v>548</v>
      </c>
      <c r="GR3" s="108" t="s">
        <v>549</v>
      </c>
      <c r="GS3" s="109" t="s">
        <v>546</v>
      </c>
      <c r="GT3" s="109" t="s">
        <v>547</v>
      </c>
      <c r="GU3" s="110" t="s">
        <v>462</v>
      </c>
      <c r="GW3" s="112" t="s">
        <v>551</v>
      </c>
      <c r="GX3" s="107" t="s">
        <v>544</v>
      </c>
      <c r="GY3" s="108" t="s">
        <v>548</v>
      </c>
      <c r="GZ3" s="108" t="s">
        <v>549</v>
      </c>
      <c r="HA3" s="109" t="s">
        <v>546</v>
      </c>
      <c r="HB3" s="109" t="s">
        <v>547</v>
      </c>
      <c r="HC3" s="110" t="s">
        <v>462</v>
      </c>
      <c r="HD3" s="107" t="s">
        <v>544</v>
      </c>
      <c r="HE3" s="108" t="s">
        <v>548</v>
      </c>
      <c r="HF3" s="108" t="s">
        <v>549</v>
      </c>
      <c r="HG3" s="109" t="s">
        <v>546</v>
      </c>
      <c r="HH3" s="109" t="s">
        <v>547</v>
      </c>
      <c r="HI3" s="110" t="s">
        <v>462</v>
      </c>
      <c r="HK3" s="112" t="s">
        <v>551</v>
      </c>
      <c r="HL3" s="107" t="s">
        <v>544</v>
      </c>
      <c r="HM3" s="108" t="s">
        <v>548</v>
      </c>
      <c r="HN3" s="108" t="s">
        <v>549</v>
      </c>
      <c r="HO3" s="109" t="s">
        <v>546</v>
      </c>
      <c r="HP3" s="109" t="s">
        <v>547</v>
      </c>
      <c r="HQ3" s="110" t="s">
        <v>462</v>
      </c>
      <c r="HR3" s="107" t="s">
        <v>544</v>
      </c>
      <c r="HS3" s="108" t="s">
        <v>548</v>
      </c>
      <c r="HT3" s="108" t="s">
        <v>549</v>
      </c>
      <c r="HU3" s="109" t="s">
        <v>546</v>
      </c>
      <c r="HV3" s="109" t="s">
        <v>547</v>
      </c>
      <c r="HW3" s="110" t="s">
        <v>462</v>
      </c>
      <c r="HY3" s="112" t="s">
        <v>551</v>
      </c>
      <c r="HZ3" s="107" t="s">
        <v>544</v>
      </c>
      <c r="IA3" s="108" t="s">
        <v>548</v>
      </c>
      <c r="IB3" s="108" t="s">
        <v>549</v>
      </c>
      <c r="IC3" s="109" t="s">
        <v>546</v>
      </c>
      <c r="ID3" s="109" t="s">
        <v>547</v>
      </c>
      <c r="IE3" s="110" t="s">
        <v>462</v>
      </c>
      <c r="IF3" s="107" t="s">
        <v>544</v>
      </c>
      <c r="IG3" s="108" t="s">
        <v>548</v>
      </c>
      <c r="IH3" s="108" t="s">
        <v>549</v>
      </c>
      <c r="II3" s="109" t="s">
        <v>546</v>
      </c>
      <c r="IJ3" s="109" t="s">
        <v>547</v>
      </c>
      <c r="IK3" s="110" t="s">
        <v>462</v>
      </c>
      <c r="IM3" s="112" t="s">
        <v>551</v>
      </c>
      <c r="IN3" s="107" t="s">
        <v>544</v>
      </c>
      <c r="IO3" s="108" t="s">
        <v>548</v>
      </c>
      <c r="IP3" s="108" t="s">
        <v>549</v>
      </c>
      <c r="IQ3" s="109" t="s">
        <v>546</v>
      </c>
      <c r="IR3" s="109" t="s">
        <v>547</v>
      </c>
      <c r="IS3" s="110" t="s">
        <v>462</v>
      </c>
      <c r="IT3" s="107" t="s">
        <v>544</v>
      </c>
      <c r="IU3" s="108" t="s">
        <v>548</v>
      </c>
      <c r="IV3" s="108" t="s">
        <v>549</v>
      </c>
      <c r="IW3" s="109" t="s">
        <v>546</v>
      </c>
      <c r="IX3" s="109" t="s">
        <v>547</v>
      </c>
      <c r="IY3" s="110" t="s">
        <v>462</v>
      </c>
      <c r="JA3" s="112" t="s">
        <v>551</v>
      </c>
      <c r="JB3" s="107" t="s">
        <v>544</v>
      </c>
      <c r="JC3" s="108" t="s">
        <v>548</v>
      </c>
      <c r="JD3" s="108" t="s">
        <v>549</v>
      </c>
      <c r="JE3" s="109" t="s">
        <v>546</v>
      </c>
      <c r="JF3" s="109" t="s">
        <v>547</v>
      </c>
      <c r="JG3" s="110" t="s">
        <v>462</v>
      </c>
      <c r="JH3" s="107" t="s">
        <v>544</v>
      </c>
      <c r="JI3" s="108" t="s">
        <v>548</v>
      </c>
      <c r="JJ3" s="108" t="s">
        <v>549</v>
      </c>
      <c r="JK3" s="109" t="s">
        <v>546</v>
      </c>
      <c r="JL3" s="109" t="s">
        <v>547</v>
      </c>
      <c r="JM3" s="110" t="s">
        <v>462</v>
      </c>
      <c r="JO3" s="112" t="s">
        <v>551</v>
      </c>
      <c r="JP3" s="107" t="s">
        <v>544</v>
      </c>
      <c r="JQ3" s="108" t="s">
        <v>548</v>
      </c>
      <c r="JR3" s="108" t="s">
        <v>549</v>
      </c>
      <c r="JS3" s="109" t="s">
        <v>546</v>
      </c>
      <c r="JT3" s="109" t="s">
        <v>547</v>
      </c>
      <c r="JU3" s="110" t="s">
        <v>462</v>
      </c>
      <c r="JV3" s="107" t="s">
        <v>544</v>
      </c>
      <c r="JW3" s="108" t="s">
        <v>548</v>
      </c>
      <c r="JX3" s="108" t="s">
        <v>549</v>
      </c>
      <c r="JY3" s="109" t="s">
        <v>546</v>
      </c>
      <c r="JZ3" s="109" t="s">
        <v>547</v>
      </c>
      <c r="KA3" s="110" t="s">
        <v>462</v>
      </c>
      <c r="KC3" s="112" t="s">
        <v>551</v>
      </c>
      <c r="KD3" s="107" t="s">
        <v>544</v>
      </c>
      <c r="KE3" s="108" t="s">
        <v>548</v>
      </c>
      <c r="KF3" s="108" t="s">
        <v>549</v>
      </c>
      <c r="KG3" s="109" t="s">
        <v>546</v>
      </c>
      <c r="KH3" s="109" t="s">
        <v>547</v>
      </c>
      <c r="KI3" s="110" t="s">
        <v>462</v>
      </c>
      <c r="KJ3" s="107" t="s">
        <v>544</v>
      </c>
      <c r="KK3" s="108" t="s">
        <v>548</v>
      </c>
      <c r="KL3" s="108" t="s">
        <v>549</v>
      </c>
      <c r="KM3" s="109" t="s">
        <v>546</v>
      </c>
      <c r="KN3" s="109" t="s">
        <v>547</v>
      </c>
      <c r="KO3" s="110" t="s">
        <v>462</v>
      </c>
      <c r="KQ3" s="112" t="s">
        <v>551</v>
      </c>
      <c r="KR3" s="107" t="s">
        <v>544</v>
      </c>
      <c r="KS3" s="108" t="s">
        <v>548</v>
      </c>
      <c r="KT3" s="108" t="s">
        <v>549</v>
      </c>
      <c r="KU3" s="109" t="s">
        <v>546</v>
      </c>
      <c r="KV3" s="109" t="s">
        <v>547</v>
      </c>
      <c r="KW3" s="110" t="s">
        <v>462</v>
      </c>
      <c r="KX3" s="107" t="s">
        <v>544</v>
      </c>
      <c r="KY3" s="108" t="s">
        <v>548</v>
      </c>
      <c r="KZ3" s="108" t="s">
        <v>549</v>
      </c>
      <c r="LA3" s="109" t="s">
        <v>546</v>
      </c>
      <c r="LB3" s="109" t="s">
        <v>547</v>
      </c>
      <c r="LC3" s="110" t="s">
        <v>462</v>
      </c>
    </row>
    <row r="4" spans="2:321" x14ac:dyDescent="0.3">
      <c r="B4" s="113" t="s">
        <v>550</v>
      </c>
      <c r="C4" s="77">
        <v>1200</v>
      </c>
      <c r="D4" s="78">
        <v>4690</v>
      </c>
      <c r="E4" s="78">
        <v>105</v>
      </c>
      <c r="F4" s="78">
        <v>0</v>
      </c>
      <c r="G4" s="78">
        <v>2280</v>
      </c>
      <c r="H4" s="79">
        <v>8275</v>
      </c>
      <c r="I4" s="80">
        <v>1200</v>
      </c>
      <c r="J4" s="80">
        <v>4690</v>
      </c>
      <c r="K4" s="80">
        <v>105</v>
      </c>
      <c r="L4" s="80">
        <v>0</v>
      </c>
      <c r="M4" s="78">
        <v>2280</v>
      </c>
      <c r="N4" s="79">
        <v>8275</v>
      </c>
      <c r="P4" s="113" t="s">
        <v>550</v>
      </c>
      <c r="Q4" s="77">
        <v>0</v>
      </c>
      <c r="R4" s="78">
        <v>10566</v>
      </c>
      <c r="S4" s="78">
        <v>910</v>
      </c>
      <c r="T4" s="78">
        <v>0</v>
      </c>
      <c r="U4" s="78">
        <v>2335</v>
      </c>
      <c r="V4" s="78">
        <v>20</v>
      </c>
      <c r="W4" s="79">
        <v>13831</v>
      </c>
      <c r="X4" s="80">
        <v>1200</v>
      </c>
      <c r="Y4" s="80">
        <v>15256</v>
      </c>
      <c r="Z4" s="80">
        <v>1015</v>
      </c>
      <c r="AA4" s="80">
        <v>0</v>
      </c>
      <c r="AB4" s="78">
        <v>4615</v>
      </c>
      <c r="AC4" s="78">
        <v>20</v>
      </c>
      <c r="AD4" s="79">
        <v>22106</v>
      </c>
      <c r="AE4" s="17"/>
      <c r="AF4" s="113" t="s">
        <v>550</v>
      </c>
      <c r="AG4" s="77">
        <v>0</v>
      </c>
      <c r="AH4" s="78">
        <v>8675</v>
      </c>
      <c r="AI4" s="78">
        <v>735</v>
      </c>
      <c r="AJ4" s="78">
        <v>0</v>
      </c>
      <c r="AK4" s="78">
        <v>3372</v>
      </c>
      <c r="AL4" s="78">
        <v>0</v>
      </c>
      <c r="AM4" s="79">
        <v>12782</v>
      </c>
      <c r="AN4" s="80">
        <v>1200</v>
      </c>
      <c r="AO4" s="80">
        <v>23931</v>
      </c>
      <c r="AP4" s="80">
        <v>1750</v>
      </c>
      <c r="AQ4" s="80">
        <v>0</v>
      </c>
      <c r="AR4" s="78">
        <v>7987</v>
      </c>
      <c r="AS4" s="78">
        <v>20</v>
      </c>
      <c r="AT4" s="79">
        <v>34888</v>
      </c>
      <c r="AU4" s="17"/>
      <c r="AV4" s="113" t="s">
        <v>550</v>
      </c>
      <c r="AW4" s="77">
        <v>0</v>
      </c>
      <c r="AX4" s="78">
        <v>8538</v>
      </c>
      <c r="AY4" s="78">
        <v>700</v>
      </c>
      <c r="AZ4" s="78">
        <v>0</v>
      </c>
      <c r="BA4" s="78">
        <v>2460</v>
      </c>
      <c r="BB4" s="78">
        <v>0</v>
      </c>
      <c r="BC4" s="79">
        <v>11698</v>
      </c>
      <c r="BD4" s="80">
        <v>1200</v>
      </c>
      <c r="BE4" s="80">
        <v>32469</v>
      </c>
      <c r="BF4" s="80">
        <v>2450</v>
      </c>
      <c r="BG4" s="80">
        <v>0</v>
      </c>
      <c r="BH4" s="78">
        <v>10447</v>
      </c>
      <c r="BI4" s="78">
        <v>20</v>
      </c>
      <c r="BJ4" s="79">
        <v>46586</v>
      </c>
      <c r="BK4" s="17"/>
      <c r="BL4" s="113" t="s">
        <v>550</v>
      </c>
      <c r="BM4" s="77">
        <v>0</v>
      </c>
      <c r="BN4" s="78">
        <v>9975</v>
      </c>
      <c r="BO4" s="78">
        <v>35</v>
      </c>
      <c r="BP4" s="78">
        <v>0</v>
      </c>
      <c r="BQ4" s="78">
        <v>2564</v>
      </c>
      <c r="BR4" s="78">
        <v>10</v>
      </c>
      <c r="BS4" s="79">
        <v>12584</v>
      </c>
      <c r="BT4" s="80">
        <v>1200</v>
      </c>
      <c r="BU4" s="80">
        <v>42444</v>
      </c>
      <c r="BV4" s="80">
        <v>2485</v>
      </c>
      <c r="BW4" s="80">
        <v>0</v>
      </c>
      <c r="BX4" s="78">
        <v>13011</v>
      </c>
      <c r="BY4" s="78">
        <v>30</v>
      </c>
      <c r="BZ4" s="79">
        <v>59170</v>
      </c>
      <c r="CA4" s="17"/>
      <c r="CB4" s="17"/>
      <c r="CC4" s="113" t="s">
        <v>550</v>
      </c>
      <c r="CD4" s="77">
        <v>0</v>
      </c>
      <c r="CE4" s="78">
        <v>8225</v>
      </c>
      <c r="CF4" s="78">
        <v>490</v>
      </c>
      <c r="CG4" s="78">
        <v>0</v>
      </c>
      <c r="CH4" s="78">
        <v>2950</v>
      </c>
      <c r="CI4" s="78">
        <v>0</v>
      </c>
      <c r="CJ4" s="79">
        <v>11665</v>
      </c>
      <c r="CK4" s="80">
        <v>1200</v>
      </c>
      <c r="CL4" s="80">
        <v>50669</v>
      </c>
      <c r="CM4" s="80">
        <v>2975</v>
      </c>
      <c r="CN4" s="80">
        <v>0</v>
      </c>
      <c r="CO4" s="78">
        <v>15961</v>
      </c>
      <c r="CP4" s="78">
        <v>30</v>
      </c>
      <c r="CQ4" s="79">
        <v>70835</v>
      </c>
      <c r="CR4" s="17"/>
      <c r="CS4" s="113" t="s">
        <v>550</v>
      </c>
      <c r="CT4" s="77">
        <v>0</v>
      </c>
      <c r="CU4" s="78">
        <v>10375</v>
      </c>
      <c r="CV4" s="78">
        <v>700</v>
      </c>
      <c r="CW4" s="78">
        <v>0</v>
      </c>
      <c r="CX4" s="78">
        <v>200</v>
      </c>
      <c r="CY4" s="78">
        <v>0</v>
      </c>
      <c r="CZ4" s="79">
        <v>11275</v>
      </c>
      <c r="DA4" s="80">
        <v>1200</v>
      </c>
      <c r="DB4" s="80">
        <v>78117</v>
      </c>
      <c r="DC4" s="80">
        <v>5390</v>
      </c>
      <c r="DD4" s="80">
        <v>0</v>
      </c>
      <c r="DE4" s="78">
        <v>20622</v>
      </c>
      <c r="DF4" s="78">
        <v>30</v>
      </c>
      <c r="DG4" s="79">
        <v>105359</v>
      </c>
      <c r="DI4" s="113" t="s">
        <v>550</v>
      </c>
      <c r="DJ4" s="77">
        <v>0</v>
      </c>
      <c r="DK4" s="78">
        <v>12200</v>
      </c>
      <c r="DL4" s="78">
        <v>1330</v>
      </c>
      <c r="DM4" s="78">
        <v>0</v>
      </c>
      <c r="DN4" s="78">
        <v>1932</v>
      </c>
      <c r="DO4" s="78">
        <v>0</v>
      </c>
      <c r="DP4" s="79">
        <v>15462</v>
      </c>
      <c r="DQ4" s="80">
        <v>1200</v>
      </c>
      <c r="DR4" s="80">
        <v>90317</v>
      </c>
      <c r="DS4" s="80">
        <v>6720</v>
      </c>
      <c r="DT4" s="80">
        <v>0</v>
      </c>
      <c r="DU4" s="78">
        <v>22554</v>
      </c>
      <c r="DV4" s="78">
        <v>30</v>
      </c>
      <c r="DW4" s="79">
        <v>120821</v>
      </c>
      <c r="DX4" s="17"/>
      <c r="DY4" s="113" t="s">
        <v>550</v>
      </c>
      <c r="DZ4" s="77">
        <v>0</v>
      </c>
      <c r="EA4" s="78">
        <v>7945</v>
      </c>
      <c r="EB4" s="78">
        <v>805</v>
      </c>
      <c r="EC4" s="78">
        <v>0</v>
      </c>
      <c r="ED4" s="78">
        <v>2620</v>
      </c>
      <c r="EE4" s="78">
        <v>0</v>
      </c>
      <c r="EF4" s="79">
        <v>11370</v>
      </c>
      <c r="EG4" s="80">
        <v>1200</v>
      </c>
      <c r="EH4" s="80">
        <v>98262</v>
      </c>
      <c r="EI4" s="80">
        <v>7525</v>
      </c>
      <c r="EJ4" s="80">
        <v>0</v>
      </c>
      <c r="EK4" s="78">
        <v>25174</v>
      </c>
      <c r="EL4" s="78">
        <v>30</v>
      </c>
      <c r="EM4" s="79">
        <v>132191</v>
      </c>
      <c r="EN4" s="17"/>
      <c r="EO4" s="113" t="s">
        <v>550</v>
      </c>
      <c r="EP4" s="77">
        <v>0</v>
      </c>
      <c r="EQ4" s="78">
        <v>10338</v>
      </c>
      <c r="ER4" s="78">
        <v>770</v>
      </c>
      <c r="ES4" s="78">
        <v>0</v>
      </c>
      <c r="ET4" s="78">
        <v>0</v>
      </c>
      <c r="EU4" s="78">
        <v>0</v>
      </c>
      <c r="EV4" s="79">
        <v>11108</v>
      </c>
      <c r="EW4" s="80">
        <v>1200</v>
      </c>
      <c r="EX4" s="80">
        <v>108600</v>
      </c>
      <c r="EY4" s="80">
        <v>8295</v>
      </c>
      <c r="EZ4" s="80">
        <v>0</v>
      </c>
      <c r="FA4" s="78">
        <v>25174</v>
      </c>
      <c r="FB4" s="144">
        <v>30</v>
      </c>
      <c r="FC4" s="79">
        <v>143299</v>
      </c>
      <c r="FD4" s="17"/>
      <c r="FE4" s="113" t="s">
        <v>550</v>
      </c>
      <c r="FF4" s="77">
        <v>0</v>
      </c>
      <c r="FG4" s="78">
        <v>10675</v>
      </c>
      <c r="FH4" s="78">
        <v>665</v>
      </c>
      <c r="FI4" s="78">
        <v>0</v>
      </c>
      <c r="FJ4" s="78">
        <v>3248</v>
      </c>
      <c r="FK4" s="78">
        <v>0</v>
      </c>
      <c r="FL4" s="79">
        <v>14588</v>
      </c>
      <c r="FM4" s="80">
        <v>1200</v>
      </c>
      <c r="FN4" s="80">
        <v>119275</v>
      </c>
      <c r="FO4" s="80">
        <v>8960</v>
      </c>
      <c r="FP4" s="80">
        <v>0</v>
      </c>
      <c r="FQ4" s="78">
        <v>28422</v>
      </c>
      <c r="FR4" s="144">
        <v>30</v>
      </c>
      <c r="FS4" s="79">
        <v>157887</v>
      </c>
      <c r="FT4" s="17"/>
      <c r="FU4" s="113" t="s">
        <v>550</v>
      </c>
      <c r="FV4" s="77">
        <v>0</v>
      </c>
      <c r="FW4" s="78">
        <v>10395</v>
      </c>
      <c r="FX4" s="78">
        <v>525</v>
      </c>
      <c r="FY4" s="78">
        <v>1874</v>
      </c>
      <c r="FZ4" s="78">
        <v>0</v>
      </c>
      <c r="GA4" s="79">
        <v>12794</v>
      </c>
      <c r="GB4" s="80">
        <v>1200</v>
      </c>
      <c r="GC4" s="80">
        <v>129670</v>
      </c>
      <c r="GD4" s="80">
        <v>9485</v>
      </c>
      <c r="GE4" s="78">
        <v>30296</v>
      </c>
      <c r="GF4" s="144">
        <v>30</v>
      </c>
      <c r="GG4" s="79">
        <v>170681</v>
      </c>
      <c r="GH4" s="17"/>
      <c r="GI4" s="113" t="s">
        <v>550</v>
      </c>
      <c r="GJ4" s="77">
        <v>0</v>
      </c>
      <c r="GK4" s="78">
        <v>9345</v>
      </c>
      <c r="GL4" s="78">
        <v>840</v>
      </c>
      <c r="GM4" s="78">
        <v>7682</v>
      </c>
      <c r="GN4" s="78">
        <v>0</v>
      </c>
      <c r="GO4" s="79">
        <v>17867</v>
      </c>
      <c r="GP4" s="80">
        <v>1200</v>
      </c>
      <c r="GQ4" s="80">
        <v>139015</v>
      </c>
      <c r="GR4" s="80">
        <v>10325</v>
      </c>
      <c r="GS4" s="78">
        <v>37978</v>
      </c>
      <c r="GT4" s="144">
        <v>30</v>
      </c>
      <c r="GU4" s="79">
        <v>188548</v>
      </c>
      <c r="GV4" s="17"/>
      <c r="GW4" s="113" t="s">
        <v>550</v>
      </c>
      <c r="GX4" s="77">
        <v>3000</v>
      </c>
      <c r="GY4" s="78">
        <v>11550</v>
      </c>
      <c r="GZ4" s="78">
        <v>735</v>
      </c>
      <c r="HA4" s="78">
        <v>0</v>
      </c>
      <c r="HB4" s="78">
        <v>0</v>
      </c>
      <c r="HC4" s="79">
        <v>15285</v>
      </c>
      <c r="HD4" s="80">
        <v>4200</v>
      </c>
      <c r="HE4" s="80">
        <v>150565</v>
      </c>
      <c r="HF4" s="80">
        <v>11060</v>
      </c>
      <c r="HG4" s="78">
        <v>37978</v>
      </c>
      <c r="HH4" s="144">
        <v>30</v>
      </c>
      <c r="HI4" s="79">
        <v>203833</v>
      </c>
      <c r="HJ4" s="17"/>
      <c r="HK4" s="113" t="s">
        <v>550</v>
      </c>
      <c r="HL4" s="77">
        <v>0</v>
      </c>
      <c r="HM4" s="78">
        <v>9730</v>
      </c>
      <c r="HN4" s="78">
        <v>595</v>
      </c>
      <c r="HO4" s="78">
        <v>1592</v>
      </c>
      <c r="HP4" s="78">
        <v>0</v>
      </c>
      <c r="HQ4" s="79">
        <v>11917</v>
      </c>
      <c r="HR4" s="80">
        <v>4200</v>
      </c>
      <c r="HS4" s="80">
        <v>160295</v>
      </c>
      <c r="HT4" s="80">
        <v>11655</v>
      </c>
      <c r="HU4" s="78">
        <v>39570</v>
      </c>
      <c r="HV4" s="144">
        <v>30</v>
      </c>
      <c r="HW4" s="79">
        <v>215750</v>
      </c>
      <c r="HX4" s="17"/>
      <c r="HY4" s="113" t="s">
        <v>550</v>
      </c>
      <c r="HZ4" s="77">
        <v>0</v>
      </c>
      <c r="IA4" s="78">
        <v>9765</v>
      </c>
      <c r="IB4" s="78">
        <v>945</v>
      </c>
      <c r="IC4" s="78">
        <v>3096</v>
      </c>
      <c r="ID4" s="78">
        <v>0</v>
      </c>
      <c r="IE4" s="79">
        <v>13806</v>
      </c>
      <c r="IF4" s="80">
        <v>4200</v>
      </c>
      <c r="IG4" s="80">
        <v>170060</v>
      </c>
      <c r="IH4" s="80">
        <v>12600</v>
      </c>
      <c r="II4" s="78">
        <v>42666</v>
      </c>
      <c r="IJ4" s="144">
        <v>30</v>
      </c>
      <c r="IK4" s="79">
        <v>229556</v>
      </c>
      <c r="IL4" s="17"/>
      <c r="IM4" s="113" t="s">
        <v>550</v>
      </c>
      <c r="IN4" s="77">
        <v>0</v>
      </c>
      <c r="IO4" s="78">
        <v>8995</v>
      </c>
      <c r="IP4" s="78">
        <v>875</v>
      </c>
      <c r="IQ4" s="78">
        <v>3360</v>
      </c>
      <c r="IR4" s="78">
        <v>0</v>
      </c>
      <c r="IS4" s="79">
        <v>13230</v>
      </c>
      <c r="IT4" s="80">
        <v>4200</v>
      </c>
      <c r="IU4" s="80">
        <v>179055</v>
      </c>
      <c r="IV4" s="80">
        <v>13475</v>
      </c>
      <c r="IW4" s="78">
        <v>46026</v>
      </c>
      <c r="IX4" s="144">
        <v>30</v>
      </c>
      <c r="IY4" s="79">
        <v>242786</v>
      </c>
      <c r="IZ4" s="17"/>
      <c r="JA4" s="113" t="s">
        <v>550</v>
      </c>
      <c r="JB4" s="77">
        <v>1800</v>
      </c>
      <c r="JC4" s="78">
        <v>11935</v>
      </c>
      <c r="JD4" s="78">
        <v>385</v>
      </c>
      <c r="JE4" s="78">
        <v>2240</v>
      </c>
      <c r="JF4" s="78">
        <v>0</v>
      </c>
      <c r="JG4" s="79">
        <v>16360</v>
      </c>
      <c r="JH4" s="80">
        <v>6000</v>
      </c>
      <c r="JI4" s="80">
        <v>190990</v>
      </c>
      <c r="JJ4" s="80">
        <v>13860</v>
      </c>
      <c r="JK4" s="78">
        <v>48266</v>
      </c>
      <c r="JL4" s="144">
        <v>30</v>
      </c>
      <c r="JM4" s="79">
        <v>259146</v>
      </c>
      <c r="JN4" s="17"/>
      <c r="JO4" s="113" t="s">
        <v>550</v>
      </c>
      <c r="JP4" s="77">
        <v>0</v>
      </c>
      <c r="JQ4" s="78">
        <v>8920</v>
      </c>
      <c r="JR4" s="78">
        <v>385</v>
      </c>
      <c r="JS4" s="78">
        <v>3248</v>
      </c>
      <c r="JT4" s="78">
        <v>0</v>
      </c>
      <c r="JU4" s="79">
        <v>12553</v>
      </c>
      <c r="JV4" s="80">
        <v>6000</v>
      </c>
      <c r="JW4" s="80">
        <v>199910</v>
      </c>
      <c r="JX4" s="80">
        <v>14245</v>
      </c>
      <c r="JY4" s="78">
        <v>51514</v>
      </c>
      <c r="JZ4" s="144">
        <v>30</v>
      </c>
      <c r="KA4" s="79">
        <v>271699</v>
      </c>
      <c r="KB4" s="17"/>
      <c r="KC4" s="113" t="s">
        <v>550</v>
      </c>
      <c r="KD4" s="150">
        <v>-6</v>
      </c>
      <c r="KE4" s="78">
        <v>6977</v>
      </c>
      <c r="KF4" s="78">
        <v>665</v>
      </c>
      <c r="KG4" s="78">
        <v>0</v>
      </c>
      <c r="KH4" s="78">
        <v>0</v>
      </c>
      <c r="KI4" s="79">
        <v>7636</v>
      </c>
      <c r="KJ4" s="80">
        <v>5994</v>
      </c>
      <c r="KK4" s="80">
        <v>206887</v>
      </c>
      <c r="KL4" s="80">
        <v>14910</v>
      </c>
      <c r="KM4" s="78">
        <v>51514</v>
      </c>
      <c r="KN4" s="144">
        <v>30</v>
      </c>
      <c r="KO4" s="79">
        <v>279335</v>
      </c>
      <c r="KP4" s="17"/>
      <c r="KQ4" s="113" t="s">
        <v>550</v>
      </c>
      <c r="KR4" s="77">
        <v>1300</v>
      </c>
      <c r="KS4" s="78">
        <v>8450</v>
      </c>
      <c r="KT4" s="78">
        <v>1330</v>
      </c>
      <c r="KU4" s="78">
        <v>3698</v>
      </c>
      <c r="KV4" s="78">
        <v>0</v>
      </c>
      <c r="KW4" s="79">
        <v>14778</v>
      </c>
      <c r="KX4" s="80">
        <v>7294</v>
      </c>
      <c r="KY4" s="80">
        <v>219358</v>
      </c>
      <c r="KZ4" s="80">
        <v>16450</v>
      </c>
      <c r="LA4" s="78">
        <v>55212</v>
      </c>
      <c r="LB4" s="144">
        <v>30</v>
      </c>
      <c r="LC4" s="79">
        <v>298344</v>
      </c>
      <c r="LD4" s="17">
        <f>KX4-KR4-KJ4</f>
        <v>0</v>
      </c>
      <c r="LE4" s="17">
        <f t="shared" ref="LE4:LI10" si="0">KY4-KS4-KK4</f>
        <v>4021</v>
      </c>
      <c r="LF4" s="17">
        <f t="shared" si="0"/>
        <v>210</v>
      </c>
      <c r="LG4" s="17">
        <f t="shared" si="0"/>
        <v>0</v>
      </c>
      <c r="LH4" s="17">
        <f t="shared" si="0"/>
        <v>0</v>
      </c>
      <c r="LI4" s="17">
        <f t="shared" si="0"/>
        <v>4231</v>
      </c>
    </row>
    <row r="5" spans="2:321" x14ac:dyDescent="0.3">
      <c r="B5" s="114" t="s">
        <v>499</v>
      </c>
      <c r="C5" s="31">
        <v>791.17200000000003</v>
      </c>
      <c r="D5" s="18">
        <v>1847.4988000000001</v>
      </c>
      <c r="E5" s="18">
        <v>273.85399999999998</v>
      </c>
      <c r="F5" s="18">
        <v>0</v>
      </c>
      <c r="G5" s="18">
        <v>448.12439999999998</v>
      </c>
      <c r="H5" s="19">
        <v>3360.6491999999998</v>
      </c>
      <c r="I5" s="28">
        <v>791.17200000000003</v>
      </c>
      <c r="J5" s="18">
        <v>1847.4988000000001</v>
      </c>
      <c r="K5" s="18">
        <v>273.85399999999998</v>
      </c>
      <c r="L5" s="18">
        <v>0</v>
      </c>
      <c r="M5" s="51">
        <v>448.12439999999998</v>
      </c>
      <c r="N5" s="19">
        <v>3360.6491999999998</v>
      </c>
      <c r="P5" s="114" t="s">
        <v>499</v>
      </c>
      <c r="Q5" s="31">
        <v>0</v>
      </c>
      <c r="R5" s="18">
        <v>3832.6442599999996</v>
      </c>
      <c r="S5" s="18">
        <v>939.39580000000001</v>
      </c>
      <c r="T5" s="18">
        <v>0</v>
      </c>
      <c r="U5" s="18">
        <v>368.99765000000002</v>
      </c>
      <c r="V5" s="18">
        <v>3.1604000000000001</v>
      </c>
      <c r="W5" s="19">
        <v>5144.1981099999994</v>
      </c>
      <c r="X5" s="28">
        <v>791.17200000000003</v>
      </c>
      <c r="Y5" s="18">
        <v>5680.1430599999994</v>
      </c>
      <c r="Z5" s="18">
        <v>1213.2498000000001</v>
      </c>
      <c r="AA5" s="18">
        <v>0</v>
      </c>
      <c r="AB5" s="51">
        <v>817.12205000000006</v>
      </c>
      <c r="AC5" s="51">
        <v>3.1604000000000001</v>
      </c>
      <c r="AD5" s="19">
        <v>8504.8473099999992</v>
      </c>
      <c r="AE5" s="17"/>
      <c r="AF5" s="114" t="s">
        <v>499</v>
      </c>
      <c r="AG5" s="31">
        <v>0</v>
      </c>
      <c r="AH5" s="18">
        <v>3245.9345000000003</v>
      </c>
      <c r="AI5" s="18">
        <v>920.11185000000012</v>
      </c>
      <c r="AJ5" s="18">
        <v>0</v>
      </c>
      <c r="AK5" s="18">
        <v>604.28115999999989</v>
      </c>
      <c r="AL5" s="18">
        <v>0</v>
      </c>
      <c r="AM5" s="19">
        <v>4770.3275100000001</v>
      </c>
      <c r="AN5" s="28">
        <v>791.17200000000003</v>
      </c>
      <c r="AO5" s="18">
        <v>8926.0775599999979</v>
      </c>
      <c r="AP5" s="18">
        <v>2133.3616499999998</v>
      </c>
      <c r="AQ5" s="18">
        <v>0</v>
      </c>
      <c r="AR5" s="51">
        <v>1421.4032099999999</v>
      </c>
      <c r="AS5" s="51">
        <v>3.1604000000000001</v>
      </c>
      <c r="AT5" s="19">
        <v>13275.17482</v>
      </c>
      <c r="AU5" s="17"/>
      <c r="AV5" s="114" t="s">
        <v>499</v>
      </c>
      <c r="AW5" s="31">
        <v>0</v>
      </c>
      <c r="AX5" s="18">
        <v>3358.3282200000003</v>
      </c>
      <c r="AY5" s="18">
        <v>624.82839999999999</v>
      </c>
      <c r="AZ5" s="18">
        <v>0</v>
      </c>
      <c r="BA5" s="18">
        <v>413.733</v>
      </c>
      <c r="BB5" s="18">
        <v>0</v>
      </c>
      <c r="BC5" s="19">
        <v>4396.8896199999999</v>
      </c>
      <c r="BD5" s="28">
        <v>791.17200000000003</v>
      </c>
      <c r="BE5" s="18">
        <v>12284.405779999999</v>
      </c>
      <c r="BF5" s="18">
        <v>2758.1900499999997</v>
      </c>
      <c r="BG5" s="18">
        <v>0</v>
      </c>
      <c r="BH5" s="51">
        <v>1835.1362100000001</v>
      </c>
      <c r="BI5" s="51">
        <v>3.1604000000000001</v>
      </c>
      <c r="BJ5" s="19">
        <v>17672.064439999998</v>
      </c>
      <c r="BK5" s="17"/>
      <c r="BL5" s="114" t="s">
        <v>499</v>
      </c>
      <c r="BM5" s="31">
        <v>0</v>
      </c>
      <c r="BN5" s="18">
        <v>3832.6256500000004</v>
      </c>
      <c r="BO5" s="18">
        <v>86.872799999999998</v>
      </c>
      <c r="BP5" s="18">
        <v>0</v>
      </c>
      <c r="BQ5" s="18">
        <v>432.26573000000002</v>
      </c>
      <c r="BR5" s="18">
        <v>1.3545999999999998</v>
      </c>
      <c r="BS5" s="19">
        <v>4353.1187799999998</v>
      </c>
      <c r="BT5" s="28">
        <v>791.17200000000003</v>
      </c>
      <c r="BU5" s="18">
        <v>16117.031429999995</v>
      </c>
      <c r="BV5" s="18">
        <v>2845.0628500000003</v>
      </c>
      <c r="BW5" s="18">
        <v>0</v>
      </c>
      <c r="BX5" s="51">
        <v>2267.4019399999997</v>
      </c>
      <c r="BY5" s="51">
        <v>4.5149999999999997</v>
      </c>
      <c r="BZ5" s="19">
        <v>22025.183219999995</v>
      </c>
      <c r="CA5" s="17"/>
      <c r="CB5" s="17"/>
      <c r="CC5" s="114" t="s">
        <v>499</v>
      </c>
      <c r="CD5" s="31">
        <v>0</v>
      </c>
      <c r="CE5" s="18">
        <v>3258.9098499999996</v>
      </c>
      <c r="CF5" s="18">
        <v>465.01839999999999</v>
      </c>
      <c r="CG5" s="18">
        <v>0</v>
      </c>
      <c r="CH5" s="18">
        <v>516.53463999999997</v>
      </c>
      <c r="CI5" s="18">
        <v>0</v>
      </c>
      <c r="CJ5" s="19">
        <v>4240.4628899999998</v>
      </c>
      <c r="CK5" s="28">
        <v>791.17200000000003</v>
      </c>
      <c r="CL5" s="18">
        <v>19375.941280000003</v>
      </c>
      <c r="CM5" s="18">
        <v>3310.0812499999997</v>
      </c>
      <c r="CN5" s="18">
        <v>0</v>
      </c>
      <c r="CO5" s="51">
        <v>2783.9365799999996</v>
      </c>
      <c r="CP5" s="51">
        <v>4.5149999999999997</v>
      </c>
      <c r="CQ5" s="19">
        <v>26265.646110000001</v>
      </c>
      <c r="CR5" s="17"/>
      <c r="CS5" s="114" t="s">
        <v>499</v>
      </c>
      <c r="CT5" s="31">
        <v>0</v>
      </c>
      <c r="CU5" s="18">
        <v>4039.8385500000009</v>
      </c>
      <c r="CV5" s="18">
        <v>695.15355</v>
      </c>
      <c r="CW5" s="18">
        <v>0</v>
      </c>
      <c r="CX5" s="18">
        <v>41.552</v>
      </c>
      <c r="CY5" s="18">
        <v>0</v>
      </c>
      <c r="CZ5" s="19">
        <v>4776.544100000001</v>
      </c>
      <c r="DA5" s="28">
        <v>791.17200000000003</v>
      </c>
      <c r="DB5" s="18">
        <v>30039.010850000013</v>
      </c>
      <c r="DC5" s="18">
        <v>5621.5726000000004</v>
      </c>
      <c r="DD5" s="18">
        <v>0</v>
      </c>
      <c r="DE5" s="51">
        <v>3635.6255299999998</v>
      </c>
      <c r="DF5" s="51">
        <v>4.5149999999999997</v>
      </c>
      <c r="DG5" s="19">
        <v>40091.895980000008</v>
      </c>
      <c r="DI5" s="114" t="s">
        <v>499</v>
      </c>
      <c r="DJ5" s="31">
        <v>0</v>
      </c>
      <c r="DK5" s="18">
        <v>4600.8827000000001</v>
      </c>
      <c r="DL5" s="18">
        <v>1218.2277999999999</v>
      </c>
      <c r="DM5" s="18">
        <v>0</v>
      </c>
      <c r="DN5" s="18">
        <v>306.39587999999998</v>
      </c>
      <c r="DO5" s="18">
        <v>0</v>
      </c>
      <c r="DP5" s="19">
        <v>6125.5063799999998</v>
      </c>
      <c r="DQ5" s="28">
        <v>791.17200000000003</v>
      </c>
      <c r="DR5" s="18">
        <v>34639.893549999993</v>
      </c>
      <c r="DS5" s="18">
        <v>6839.800400000001</v>
      </c>
      <c r="DT5" s="18">
        <v>0</v>
      </c>
      <c r="DU5" s="51">
        <v>3942.0214099999994</v>
      </c>
      <c r="DV5" s="51">
        <v>4.5149999999999997</v>
      </c>
      <c r="DW5" s="19">
        <v>46217.402359999993</v>
      </c>
      <c r="DX5" s="17"/>
      <c r="DY5" s="114" t="s">
        <v>499</v>
      </c>
      <c r="DZ5" s="31">
        <v>0</v>
      </c>
      <c r="EA5" s="18">
        <v>3088.2631500000002</v>
      </c>
      <c r="EB5" s="18">
        <v>869.65200000000004</v>
      </c>
      <c r="EC5" s="18">
        <v>0</v>
      </c>
      <c r="ED5" s="18">
        <v>415.50579999999997</v>
      </c>
      <c r="EE5" s="18">
        <v>0</v>
      </c>
      <c r="EF5" s="19">
        <v>4373.4209500000006</v>
      </c>
      <c r="EG5" s="28">
        <v>791.17200000000003</v>
      </c>
      <c r="EH5" s="18">
        <v>37728.156699999992</v>
      </c>
      <c r="EI5" s="18">
        <v>7709.452400000001</v>
      </c>
      <c r="EJ5" s="18">
        <v>0</v>
      </c>
      <c r="EK5" s="51">
        <v>4357.5272099999993</v>
      </c>
      <c r="EL5" s="51">
        <v>4.5149999999999997</v>
      </c>
      <c r="EM5" s="19">
        <v>50590.823309999992</v>
      </c>
      <c r="EN5" s="17"/>
      <c r="EO5" s="114" t="s">
        <v>499</v>
      </c>
      <c r="EP5" s="31">
        <v>0</v>
      </c>
      <c r="EQ5" s="18">
        <v>3926.9227699999997</v>
      </c>
      <c r="ER5" s="18">
        <v>833.07</v>
      </c>
      <c r="ES5" s="18">
        <v>0</v>
      </c>
      <c r="ET5" s="18">
        <v>0</v>
      </c>
      <c r="EU5" s="18">
        <v>0</v>
      </c>
      <c r="EV5" s="19">
        <v>4759.9927699999998</v>
      </c>
      <c r="EW5" s="28">
        <v>791.17200000000003</v>
      </c>
      <c r="EX5" s="18">
        <v>41655.079469999997</v>
      </c>
      <c r="EY5" s="18">
        <v>8542.5224000000017</v>
      </c>
      <c r="EZ5" s="18">
        <v>0</v>
      </c>
      <c r="FA5" s="51">
        <v>4357.5272099999993</v>
      </c>
      <c r="FB5" s="143">
        <v>4.5149999999999997</v>
      </c>
      <c r="FC5" s="19">
        <v>55350.816079999997</v>
      </c>
      <c r="FD5" s="17"/>
      <c r="FE5" s="114" t="s">
        <v>499</v>
      </c>
      <c r="FF5" s="31">
        <v>0</v>
      </c>
      <c r="FG5" s="18">
        <v>4205.9107999999997</v>
      </c>
      <c r="FH5" s="18">
        <v>724.81779999999992</v>
      </c>
      <c r="FI5" s="18">
        <v>0</v>
      </c>
      <c r="FJ5" s="18">
        <v>515.10032000000001</v>
      </c>
      <c r="FK5" s="18">
        <v>0</v>
      </c>
      <c r="FL5" s="19">
        <v>5445.8289199999999</v>
      </c>
      <c r="FM5" s="28">
        <v>791.17200000000003</v>
      </c>
      <c r="FN5" s="18">
        <v>45860.990270000002</v>
      </c>
      <c r="FO5" s="18">
        <v>9267.3401999999987</v>
      </c>
      <c r="FP5" s="18">
        <v>0</v>
      </c>
      <c r="FQ5" s="51">
        <v>4872.6275299999988</v>
      </c>
      <c r="FR5" s="143">
        <v>4.5149999999999997</v>
      </c>
      <c r="FS5" s="19">
        <v>60796.644999999997</v>
      </c>
      <c r="FT5" s="17"/>
      <c r="FU5" s="114" t="s">
        <v>499</v>
      </c>
      <c r="FV5" s="31">
        <v>0</v>
      </c>
      <c r="FW5" s="18">
        <v>4026.4535500000002</v>
      </c>
      <c r="FX5" s="18">
        <v>611.26485000000002</v>
      </c>
      <c r="FY5" s="18">
        <v>277.44286</v>
      </c>
      <c r="FZ5" s="18">
        <v>0</v>
      </c>
      <c r="GA5" s="19">
        <v>4915.1612599999999</v>
      </c>
      <c r="GB5" s="28">
        <v>791.17200000000003</v>
      </c>
      <c r="GC5" s="18">
        <v>49887.44382</v>
      </c>
      <c r="GD5" s="18">
        <v>9878.6050499999983</v>
      </c>
      <c r="GE5" s="51">
        <v>5150.0703899999999</v>
      </c>
      <c r="GF5" s="143">
        <v>4.5149999999999997</v>
      </c>
      <c r="GG5" s="19">
        <v>65711.806259999998</v>
      </c>
      <c r="GH5" s="17"/>
      <c r="GI5" s="114" t="s">
        <v>499</v>
      </c>
      <c r="GJ5" s="31">
        <v>0</v>
      </c>
      <c r="GK5" s="18">
        <v>3660.3937999999998</v>
      </c>
      <c r="GL5" s="18">
        <v>837.67040000000009</v>
      </c>
      <c r="GM5" s="18">
        <v>1289.3538799999999</v>
      </c>
      <c r="GN5" s="18">
        <v>0</v>
      </c>
      <c r="GO5" s="19">
        <v>5787.4180799999995</v>
      </c>
      <c r="GP5" s="28">
        <v>791.17200000000003</v>
      </c>
      <c r="GQ5" s="18">
        <v>53547.837620000006</v>
      </c>
      <c r="GR5" s="18">
        <v>10716.275450000001</v>
      </c>
      <c r="GS5" s="51">
        <v>6439.4242699999995</v>
      </c>
      <c r="GT5" s="143">
        <v>4.5149999999999997</v>
      </c>
      <c r="GU5" s="19">
        <v>71499.224340000001</v>
      </c>
      <c r="GV5" s="17"/>
      <c r="GW5" s="114" t="s">
        <v>499</v>
      </c>
      <c r="GX5" s="31">
        <v>1977.93</v>
      </c>
      <c r="GY5" s="18">
        <v>4530.1066999999994</v>
      </c>
      <c r="GZ5" s="18">
        <v>633.74639999999999</v>
      </c>
      <c r="HA5" s="18">
        <v>0</v>
      </c>
      <c r="HB5" s="18">
        <v>0</v>
      </c>
      <c r="HC5" s="19">
        <v>7141.7830999999996</v>
      </c>
      <c r="HD5" s="28">
        <v>2769.1019999999999</v>
      </c>
      <c r="HE5" s="18">
        <v>58077.944320000017</v>
      </c>
      <c r="HF5" s="18">
        <v>11350.021850000003</v>
      </c>
      <c r="HG5" s="51">
        <v>6439.4242699999995</v>
      </c>
      <c r="HH5" s="143">
        <v>4.5149999999999997</v>
      </c>
      <c r="HI5" s="19">
        <v>78641.007440000016</v>
      </c>
      <c r="HJ5" s="17"/>
      <c r="HK5" s="114" t="s">
        <v>499</v>
      </c>
      <c r="HL5" s="31">
        <v>0</v>
      </c>
      <c r="HM5" s="18">
        <v>3577.9411500000001</v>
      </c>
      <c r="HN5" s="18">
        <v>555.55359999999996</v>
      </c>
      <c r="HO5" s="18">
        <v>259.40048000000002</v>
      </c>
      <c r="HP5" s="18">
        <v>0</v>
      </c>
      <c r="HQ5" s="19">
        <v>4392.8952300000001</v>
      </c>
      <c r="HR5" s="28">
        <v>2769.1019999999999</v>
      </c>
      <c r="HS5" s="18">
        <v>61655.885470000023</v>
      </c>
      <c r="HT5" s="18">
        <v>11905.575450000002</v>
      </c>
      <c r="HU5" s="51">
        <v>6698.8247499999998</v>
      </c>
      <c r="HV5" s="143">
        <v>4.5149999999999997</v>
      </c>
      <c r="HW5" s="19">
        <v>83033.902670000025</v>
      </c>
      <c r="HX5" s="17"/>
      <c r="HY5" s="114" t="s">
        <v>499</v>
      </c>
      <c r="HZ5" s="31">
        <v>0</v>
      </c>
      <c r="IA5" s="18">
        <v>3766.9121</v>
      </c>
      <c r="IB5" s="18">
        <v>858.41594999999995</v>
      </c>
      <c r="IC5" s="18">
        <v>504.46224000000001</v>
      </c>
      <c r="ID5" s="18">
        <v>0</v>
      </c>
      <c r="IE5" s="19">
        <v>5129.7902899999999</v>
      </c>
      <c r="IF5" s="28">
        <v>2769.1019999999999</v>
      </c>
      <c r="IG5" s="18">
        <v>65422.797570000039</v>
      </c>
      <c r="IH5" s="18">
        <v>12763.991400000003</v>
      </c>
      <c r="II5" s="51">
        <v>7203.2869900000005</v>
      </c>
      <c r="IJ5" s="143">
        <v>4.5149999999999997</v>
      </c>
      <c r="IK5" s="19">
        <v>88163.692960000029</v>
      </c>
      <c r="IL5" s="17"/>
      <c r="IM5" s="114" t="s">
        <v>499</v>
      </c>
      <c r="IN5" s="31">
        <v>0</v>
      </c>
      <c r="IO5" s="18">
        <v>3419.4887999999996</v>
      </c>
      <c r="IP5" s="18">
        <v>677.71899999999994</v>
      </c>
      <c r="IQ5" s="18">
        <v>547.47840000000008</v>
      </c>
      <c r="IR5" s="18">
        <v>0</v>
      </c>
      <c r="IS5" s="19">
        <v>4644.6861999999992</v>
      </c>
      <c r="IT5" s="28">
        <v>2769.1019999999999</v>
      </c>
      <c r="IU5" s="18">
        <v>68842.286370000031</v>
      </c>
      <c r="IV5" s="18">
        <v>13441.710400000002</v>
      </c>
      <c r="IW5" s="51">
        <v>7750.7653900000005</v>
      </c>
      <c r="IX5" s="143">
        <v>4.5149999999999997</v>
      </c>
      <c r="IY5" s="19">
        <v>92808.379160000026</v>
      </c>
      <c r="IZ5" s="17"/>
      <c r="JA5" s="114" t="s">
        <v>499</v>
      </c>
      <c r="JB5" s="31">
        <v>1186.758</v>
      </c>
      <c r="JC5" s="18">
        <v>4537.9551000000001</v>
      </c>
      <c r="JD5" s="18">
        <v>331.9624</v>
      </c>
      <c r="JE5" s="18">
        <v>364.98559999999998</v>
      </c>
      <c r="JF5" s="18">
        <v>0</v>
      </c>
      <c r="JG5" s="19">
        <v>6421.6611000000003</v>
      </c>
      <c r="JH5" s="28">
        <v>3955.86</v>
      </c>
      <c r="JI5" s="18">
        <v>73380.241470000023</v>
      </c>
      <c r="JJ5" s="18">
        <v>13773.6728</v>
      </c>
      <c r="JK5" s="51">
        <v>8115.7509900000014</v>
      </c>
      <c r="JL5" s="143">
        <v>4.5149999999999997</v>
      </c>
      <c r="JM5" s="19">
        <v>99230.040260000023</v>
      </c>
      <c r="JN5" s="17"/>
      <c r="JO5" s="114" t="s">
        <v>499</v>
      </c>
      <c r="JP5" s="31">
        <v>0</v>
      </c>
      <c r="JQ5" s="18">
        <v>3540.5880000000002</v>
      </c>
      <c r="JR5" s="18">
        <v>367.39640000000003</v>
      </c>
      <c r="JS5" s="18">
        <v>529.22911999999997</v>
      </c>
      <c r="JT5" s="18">
        <v>0</v>
      </c>
      <c r="JU5" s="19">
        <v>4437.2135200000002</v>
      </c>
      <c r="JV5" s="28">
        <v>3955.86</v>
      </c>
      <c r="JW5" s="18">
        <v>76920.829470000011</v>
      </c>
      <c r="JX5" s="18">
        <v>14141.0692</v>
      </c>
      <c r="JY5" s="51">
        <v>8644.9801100000022</v>
      </c>
      <c r="JZ5" s="143">
        <v>4.5149999999999997</v>
      </c>
      <c r="KA5" s="19">
        <v>103667.25378000001</v>
      </c>
      <c r="KB5" s="17"/>
      <c r="KC5" s="114" t="s">
        <v>499</v>
      </c>
      <c r="KD5" s="151">
        <v>-3.9558599999999999</v>
      </c>
      <c r="KE5" s="18">
        <v>2609.734089999999</v>
      </c>
      <c r="KF5" s="18">
        <v>573.38959999999997</v>
      </c>
      <c r="KG5" s="18">
        <v>0</v>
      </c>
      <c r="KH5" s="18">
        <v>0</v>
      </c>
      <c r="KI5" s="19">
        <v>3179.167829999999</v>
      </c>
      <c r="KJ5" s="28">
        <v>3951.9041399999996</v>
      </c>
      <c r="KK5" s="18">
        <v>79530.563560000039</v>
      </c>
      <c r="KL5" s="18">
        <v>14714.4588</v>
      </c>
      <c r="KM5" s="51">
        <v>8644.9801100000022</v>
      </c>
      <c r="KN5" s="143">
        <v>4.5149999999999997</v>
      </c>
      <c r="KO5" s="19">
        <v>106846.42161000003</v>
      </c>
      <c r="KP5" s="17"/>
      <c r="KQ5" s="114" t="s">
        <v>499</v>
      </c>
      <c r="KR5" s="31">
        <v>857.10299999999995</v>
      </c>
      <c r="KS5" s="18">
        <v>3264.2316999999998</v>
      </c>
      <c r="KT5" s="18">
        <v>1146.7791999999999</v>
      </c>
      <c r="KU5" s="18">
        <v>602.55211999999995</v>
      </c>
      <c r="KV5" s="18">
        <v>0</v>
      </c>
      <c r="KW5" s="19">
        <v>5870.6660199999997</v>
      </c>
      <c r="KX5" s="28">
        <v>4809.0071400000006</v>
      </c>
      <c r="KY5" s="18">
        <v>84301.036100000041</v>
      </c>
      <c r="KZ5" s="18">
        <v>16042.308400000002</v>
      </c>
      <c r="LA5" s="51">
        <v>9247.5322300000007</v>
      </c>
      <c r="LB5" s="143">
        <v>4.5149999999999997</v>
      </c>
      <c r="LC5" s="19">
        <v>114404.39887000003</v>
      </c>
      <c r="LD5" s="17">
        <f t="shared" ref="LD5:LD10" si="1">KX5-KR5-KJ5</f>
        <v>0</v>
      </c>
      <c r="LE5" s="17">
        <f t="shared" si="0"/>
        <v>1506.2408399999986</v>
      </c>
      <c r="LF5" s="17">
        <f t="shared" si="0"/>
        <v>181.07040000000052</v>
      </c>
      <c r="LG5" s="17">
        <f t="shared" si="0"/>
        <v>0</v>
      </c>
      <c r="LH5" s="17">
        <f t="shared" si="0"/>
        <v>0</v>
      </c>
      <c r="LI5" s="17">
        <f t="shared" si="0"/>
        <v>1687.3112399999955</v>
      </c>
    </row>
    <row r="6" spans="2:321" x14ac:dyDescent="0.3">
      <c r="B6" s="115" t="s">
        <v>539</v>
      </c>
      <c r="C6" s="32">
        <v>598.82399999999996</v>
      </c>
      <c r="D6" s="21">
        <v>1811.6034999999997</v>
      </c>
      <c r="E6" s="21">
        <v>276.85490000000004</v>
      </c>
      <c r="F6" s="21">
        <v>0</v>
      </c>
      <c r="G6" s="21">
        <v>414.43839999999994</v>
      </c>
      <c r="H6" s="23">
        <v>3101.7208000000001</v>
      </c>
      <c r="I6" s="29">
        <v>598.82399999999996</v>
      </c>
      <c r="J6" s="21">
        <v>1811.6034999999997</v>
      </c>
      <c r="K6" s="21">
        <v>276.85490000000004</v>
      </c>
      <c r="L6" s="21">
        <v>0</v>
      </c>
      <c r="M6" s="52">
        <v>414.43839999999994</v>
      </c>
      <c r="N6" s="23">
        <v>3101.7208000000001</v>
      </c>
      <c r="P6" s="115" t="s">
        <v>539</v>
      </c>
      <c r="Q6" s="32">
        <v>0</v>
      </c>
      <c r="R6" s="21">
        <v>3720.6678899999997</v>
      </c>
      <c r="S6" s="21">
        <v>871.73519999999996</v>
      </c>
      <c r="T6" s="21">
        <v>0</v>
      </c>
      <c r="U6" s="21">
        <v>348.06040000000002</v>
      </c>
      <c r="V6" s="21">
        <v>2.1104000000000003</v>
      </c>
      <c r="W6" s="23">
        <v>4942.5738899999997</v>
      </c>
      <c r="X6" s="29">
        <v>598.82399999999996</v>
      </c>
      <c r="Y6" s="21">
        <v>5532.2713899999999</v>
      </c>
      <c r="Z6" s="21">
        <v>1148.5900999999999</v>
      </c>
      <c r="AA6" s="21">
        <v>0</v>
      </c>
      <c r="AB6" s="52">
        <v>762.49879999999996</v>
      </c>
      <c r="AC6" s="52">
        <v>2.1104000000000003</v>
      </c>
      <c r="AD6" s="23">
        <v>8044.2946899999997</v>
      </c>
      <c r="AE6" s="17"/>
      <c r="AF6" s="115" t="s">
        <v>539</v>
      </c>
      <c r="AG6" s="32">
        <v>0</v>
      </c>
      <c r="AH6" s="21">
        <v>3114.4407500000002</v>
      </c>
      <c r="AI6" s="21">
        <v>886.17619999999999</v>
      </c>
      <c r="AJ6" s="21">
        <v>0</v>
      </c>
      <c r="AK6" s="21">
        <v>567.40448000000004</v>
      </c>
      <c r="AL6" s="21">
        <v>0</v>
      </c>
      <c r="AM6" s="23">
        <v>4568.0214299999998</v>
      </c>
      <c r="AN6" s="29">
        <v>598.82399999999996</v>
      </c>
      <c r="AO6" s="21">
        <v>8646.7121400000015</v>
      </c>
      <c r="AP6" s="21">
        <v>2034.7662999999998</v>
      </c>
      <c r="AQ6" s="21">
        <v>0</v>
      </c>
      <c r="AR6" s="52">
        <v>1329.90328</v>
      </c>
      <c r="AS6" s="52">
        <v>2.1104000000000003</v>
      </c>
      <c r="AT6" s="23">
        <v>12612.316120000001</v>
      </c>
      <c r="AU6" s="17"/>
      <c r="AV6" s="115" t="s">
        <v>539</v>
      </c>
      <c r="AW6" s="32">
        <v>0</v>
      </c>
      <c r="AX6" s="21">
        <v>3193.6836199999993</v>
      </c>
      <c r="AY6" s="21">
        <v>560.18899999999985</v>
      </c>
      <c r="AZ6" s="21">
        <v>0</v>
      </c>
      <c r="BA6" s="21">
        <v>388.96439999999996</v>
      </c>
      <c r="BB6" s="21">
        <v>0</v>
      </c>
      <c r="BC6" s="23">
        <v>4142.837019999999</v>
      </c>
      <c r="BD6" s="29">
        <v>598.82399999999996</v>
      </c>
      <c r="BE6" s="21">
        <v>11840.395759999999</v>
      </c>
      <c r="BF6" s="21">
        <v>2594.9552999999996</v>
      </c>
      <c r="BG6" s="21">
        <v>0</v>
      </c>
      <c r="BH6" s="52">
        <v>1718.8676799999998</v>
      </c>
      <c r="BI6" s="52">
        <v>2.1104000000000003</v>
      </c>
      <c r="BJ6" s="23">
        <v>16755.153140000002</v>
      </c>
      <c r="BK6" s="17"/>
      <c r="BL6" s="115" t="s">
        <v>539</v>
      </c>
      <c r="BM6" s="32">
        <v>0</v>
      </c>
      <c r="BN6" s="21">
        <v>3656.4219999999991</v>
      </c>
      <c r="BO6" s="21">
        <v>90.927200000000013</v>
      </c>
      <c r="BP6" s="21">
        <v>0</v>
      </c>
      <c r="BQ6" s="21">
        <v>407.42025999999998</v>
      </c>
      <c r="BR6" s="21">
        <v>0.98809999999999998</v>
      </c>
      <c r="BS6" s="23">
        <v>4155.7575599999991</v>
      </c>
      <c r="BT6" s="29">
        <v>598.82399999999996</v>
      </c>
      <c r="BU6" s="21">
        <v>15496.817759999998</v>
      </c>
      <c r="BV6" s="21">
        <v>2685.8824999999997</v>
      </c>
      <c r="BW6" s="21">
        <v>0</v>
      </c>
      <c r="BX6" s="52">
        <v>2126.2879400000002</v>
      </c>
      <c r="BY6" s="52">
        <v>3.0985</v>
      </c>
      <c r="BZ6" s="23">
        <v>20910.9107</v>
      </c>
      <c r="CA6" s="17"/>
      <c r="CB6" s="17"/>
      <c r="CC6" s="115" t="s">
        <v>539</v>
      </c>
      <c r="CD6" s="32">
        <v>0</v>
      </c>
      <c r="CE6" s="21">
        <v>3088.6002000000003</v>
      </c>
      <c r="CF6" s="21">
        <v>423.39080000000001</v>
      </c>
      <c r="CG6" s="21">
        <v>0</v>
      </c>
      <c r="CH6" s="21">
        <v>485.39929999999993</v>
      </c>
      <c r="CI6" s="21">
        <v>0</v>
      </c>
      <c r="CJ6" s="23">
        <v>3997.3903000000005</v>
      </c>
      <c r="CK6" s="29">
        <v>598.82399999999996</v>
      </c>
      <c r="CL6" s="21">
        <v>18585.417960000002</v>
      </c>
      <c r="CM6" s="21">
        <v>3109.2733000000003</v>
      </c>
      <c r="CN6" s="21">
        <v>0</v>
      </c>
      <c r="CO6" s="52">
        <v>2611.6872400000002</v>
      </c>
      <c r="CP6" s="52">
        <v>3.0985</v>
      </c>
      <c r="CQ6" s="23">
        <v>24908.301000000003</v>
      </c>
      <c r="CR6" s="17"/>
      <c r="CS6" s="115" t="s">
        <v>539</v>
      </c>
      <c r="CT6" s="32">
        <v>0</v>
      </c>
      <c r="CU6" s="21">
        <v>3845.0213999999992</v>
      </c>
      <c r="CV6" s="21">
        <v>638.85850000000005</v>
      </c>
      <c r="CW6" s="21">
        <v>0</v>
      </c>
      <c r="CX6" s="21">
        <v>38.698</v>
      </c>
      <c r="CY6" s="21">
        <v>0</v>
      </c>
      <c r="CZ6" s="23">
        <v>4522.5778999999993</v>
      </c>
      <c r="DA6" s="29">
        <v>598.82399999999996</v>
      </c>
      <c r="DB6" s="21">
        <v>28742.040529999998</v>
      </c>
      <c r="DC6" s="21">
        <v>5216.5456000000004</v>
      </c>
      <c r="DD6" s="21">
        <v>0</v>
      </c>
      <c r="DE6" s="52">
        <v>3409.2507800000003</v>
      </c>
      <c r="DF6" s="52">
        <v>3.0985</v>
      </c>
      <c r="DG6" s="23">
        <v>37969.759409999999</v>
      </c>
      <c r="DI6" s="115" t="s">
        <v>539</v>
      </c>
      <c r="DJ6" s="32">
        <v>0</v>
      </c>
      <c r="DK6" s="21">
        <v>4408.9165999999987</v>
      </c>
      <c r="DL6" s="21">
        <v>1098.7631000000001</v>
      </c>
      <c r="DM6" s="21">
        <v>0</v>
      </c>
      <c r="DN6" s="21">
        <v>288.91128000000003</v>
      </c>
      <c r="DO6" s="21">
        <v>0</v>
      </c>
      <c r="DP6" s="23">
        <v>5796.590979999999</v>
      </c>
      <c r="DQ6" s="29">
        <v>598.82399999999996</v>
      </c>
      <c r="DR6" s="21">
        <v>33150.957129999995</v>
      </c>
      <c r="DS6" s="21">
        <v>6315.3087000000005</v>
      </c>
      <c r="DT6" s="21">
        <v>0</v>
      </c>
      <c r="DU6" s="52">
        <v>3698.1620600000006</v>
      </c>
      <c r="DV6" s="52">
        <v>3.0985</v>
      </c>
      <c r="DW6" s="23">
        <v>43766.35039</v>
      </c>
      <c r="DX6" s="17"/>
      <c r="DY6" s="115" t="s">
        <v>539</v>
      </c>
      <c r="DZ6" s="32">
        <v>0</v>
      </c>
      <c r="EA6" s="21">
        <v>2936.5815499999994</v>
      </c>
      <c r="EB6" s="21">
        <v>814.46960000000001</v>
      </c>
      <c r="EC6" s="21">
        <v>0</v>
      </c>
      <c r="ED6" s="21">
        <v>391.79479999999995</v>
      </c>
      <c r="EE6" s="21">
        <v>0</v>
      </c>
      <c r="EF6" s="23">
        <v>4142.845949999999</v>
      </c>
      <c r="EG6" s="29">
        <v>598.82399999999996</v>
      </c>
      <c r="EH6" s="21">
        <v>36087.538679999991</v>
      </c>
      <c r="EI6" s="21">
        <v>7129.7783000000009</v>
      </c>
      <c r="EJ6" s="21">
        <v>0</v>
      </c>
      <c r="EK6" s="52">
        <v>4089.9568600000002</v>
      </c>
      <c r="EL6" s="52">
        <v>3.0985</v>
      </c>
      <c r="EM6" s="23">
        <v>47909.196339999988</v>
      </c>
      <c r="EN6" s="17"/>
      <c r="EO6" s="115" t="s">
        <v>539</v>
      </c>
      <c r="EP6" s="32">
        <v>0</v>
      </c>
      <c r="EQ6" s="21">
        <v>3763.1267399999997</v>
      </c>
      <c r="ER6" s="21">
        <v>780.34040000000005</v>
      </c>
      <c r="ES6" s="21">
        <v>0</v>
      </c>
      <c r="ET6" s="21">
        <v>0</v>
      </c>
      <c r="EU6" s="21">
        <v>0</v>
      </c>
      <c r="EV6" s="23">
        <v>4543.4671399999997</v>
      </c>
      <c r="EW6" s="29">
        <v>598.82399999999996</v>
      </c>
      <c r="EX6" s="21">
        <v>39850.66541999999</v>
      </c>
      <c r="EY6" s="21">
        <v>7910.1187000000009</v>
      </c>
      <c r="EZ6" s="21">
        <v>0</v>
      </c>
      <c r="FA6" s="52">
        <v>4089.9568600000002</v>
      </c>
      <c r="FB6" s="145">
        <v>3.0985</v>
      </c>
      <c r="FC6" s="23">
        <v>52452.663479999988</v>
      </c>
      <c r="FD6" s="17"/>
      <c r="FE6" s="115" t="s">
        <v>539</v>
      </c>
      <c r="FF6" s="32">
        <v>0</v>
      </c>
      <c r="FG6" s="21">
        <v>3986.98405</v>
      </c>
      <c r="FH6" s="21">
        <v>679.88130000000001</v>
      </c>
      <c r="FI6" s="21">
        <v>0</v>
      </c>
      <c r="FJ6" s="21">
        <v>485.70591999999999</v>
      </c>
      <c r="FK6" s="21">
        <v>0</v>
      </c>
      <c r="FL6" s="23">
        <v>5152.5712700000004</v>
      </c>
      <c r="FM6" s="29">
        <v>598.82399999999996</v>
      </c>
      <c r="FN6" s="21">
        <v>43837.649469999989</v>
      </c>
      <c r="FO6" s="21">
        <v>8590</v>
      </c>
      <c r="FP6" s="21">
        <v>0</v>
      </c>
      <c r="FQ6" s="52">
        <v>4575.6627800000006</v>
      </c>
      <c r="FR6" s="145">
        <v>3.0985</v>
      </c>
      <c r="FS6" s="23">
        <v>57605.234749999989</v>
      </c>
      <c r="FT6" s="17"/>
      <c r="FU6" s="115" t="s">
        <v>539</v>
      </c>
      <c r="FV6" s="32">
        <v>0</v>
      </c>
      <c r="FW6" s="21">
        <v>3830.7902499999996</v>
      </c>
      <c r="FX6" s="21">
        <v>581.25900000000001</v>
      </c>
      <c r="FY6" s="21">
        <v>263.41621999999995</v>
      </c>
      <c r="FZ6" s="21">
        <v>0</v>
      </c>
      <c r="GA6" s="23">
        <v>4675.4654700000001</v>
      </c>
      <c r="GB6" s="29">
        <v>598.82399999999996</v>
      </c>
      <c r="GC6" s="21">
        <v>47668.439719999966</v>
      </c>
      <c r="GD6" s="21">
        <v>9171.259</v>
      </c>
      <c r="GE6" s="52">
        <v>4839.0789999999997</v>
      </c>
      <c r="GF6" s="145">
        <v>3.0985</v>
      </c>
      <c r="GG6" s="23">
        <v>62280.700219999962</v>
      </c>
      <c r="GH6" s="17"/>
      <c r="GI6" s="115" t="s">
        <v>539</v>
      </c>
      <c r="GJ6" s="32">
        <v>0</v>
      </c>
      <c r="GK6" s="21">
        <v>3480.2200999999995</v>
      </c>
      <c r="GL6" s="21">
        <v>771.61279999999999</v>
      </c>
      <c r="GM6" s="21">
        <v>1185.6842799999997</v>
      </c>
      <c r="GN6" s="21">
        <v>0</v>
      </c>
      <c r="GO6" s="23">
        <v>5437.5171799999989</v>
      </c>
      <c r="GP6" s="29">
        <v>598.82399999999996</v>
      </c>
      <c r="GQ6" s="21">
        <v>51148.659819999979</v>
      </c>
      <c r="GR6" s="21">
        <v>9942.871799999999</v>
      </c>
      <c r="GS6" s="52">
        <v>6024.7632799999992</v>
      </c>
      <c r="GT6" s="145">
        <v>3.0985</v>
      </c>
      <c r="GU6" s="23">
        <v>67718.217399999965</v>
      </c>
      <c r="GV6" s="17"/>
      <c r="GW6" s="115" t="s">
        <v>539</v>
      </c>
      <c r="GX6" s="32">
        <v>1489.08</v>
      </c>
      <c r="GY6" s="21">
        <v>4297.0350499999986</v>
      </c>
      <c r="GZ6" s="21">
        <v>562.95119999999997</v>
      </c>
      <c r="HA6" s="21">
        <v>0</v>
      </c>
      <c r="HB6" s="21">
        <v>0</v>
      </c>
      <c r="HC6" s="23">
        <v>6349.066249999998</v>
      </c>
      <c r="HD6" s="29">
        <v>2087.904</v>
      </c>
      <c r="HE6" s="21">
        <v>55445.694869999985</v>
      </c>
      <c r="HF6" s="21">
        <v>10505.822999999999</v>
      </c>
      <c r="HG6" s="52">
        <v>6024.7632799999992</v>
      </c>
      <c r="HH6" s="145">
        <v>3.0985</v>
      </c>
      <c r="HI6" s="23">
        <v>74067.283649999983</v>
      </c>
      <c r="HJ6" s="17"/>
      <c r="HK6" s="115" t="s">
        <v>539</v>
      </c>
      <c r="HL6" s="32">
        <v>0</v>
      </c>
      <c r="HM6" s="21">
        <v>3447.1002999999992</v>
      </c>
      <c r="HN6" s="21">
        <v>503.81240000000003</v>
      </c>
      <c r="HO6" s="21">
        <v>238.06768</v>
      </c>
      <c r="HP6" s="21">
        <v>0</v>
      </c>
      <c r="HQ6" s="23">
        <v>4188.9803799999991</v>
      </c>
      <c r="HR6" s="29">
        <v>2087.904</v>
      </c>
      <c r="HS6" s="21">
        <v>58892.795169999961</v>
      </c>
      <c r="HT6" s="21">
        <v>11009.635399999999</v>
      </c>
      <c r="HU6" s="52">
        <v>6262.8309600000002</v>
      </c>
      <c r="HV6" s="145">
        <v>3.0985</v>
      </c>
      <c r="HW6" s="23">
        <v>78256.264029999962</v>
      </c>
      <c r="HX6" s="17"/>
      <c r="HY6" s="115" t="s">
        <v>539</v>
      </c>
      <c r="HZ6" s="32">
        <v>0</v>
      </c>
      <c r="IA6" s="21">
        <v>3586.1220499999999</v>
      </c>
      <c r="IB6" s="21">
        <v>772.87489999999991</v>
      </c>
      <c r="IC6" s="21">
        <v>462.97583999999989</v>
      </c>
      <c r="ID6" s="21">
        <v>0</v>
      </c>
      <c r="IE6" s="23">
        <v>4821.9727899999998</v>
      </c>
      <c r="IF6" s="29">
        <v>2087.904</v>
      </c>
      <c r="IG6" s="21">
        <v>62478.917219999981</v>
      </c>
      <c r="IH6" s="21">
        <v>11782.510299999998</v>
      </c>
      <c r="II6" s="52">
        <v>6725.8067999999994</v>
      </c>
      <c r="IJ6" s="145">
        <v>3.0985</v>
      </c>
      <c r="IK6" s="23">
        <v>83078.236819999976</v>
      </c>
      <c r="IL6" s="17"/>
      <c r="IM6" s="115" t="s">
        <v>539</v>
      </c>
      <c r="IN6" s="32">
        <v>0</v>
      </c>
      <c r="IO6" s="21">
        <v>3266.158699999999</v>
      </c>
      <c r="IP6" s="21">
        <v>612.94939999999997</v>
      </c>
      <c r="IQ6" s="21">
        <v>502.45439999999996</v>
      </c>
      <c r="IR6" s="21">
        <v>0</v>
      </c>
      <c r="IS6" s="23">
        <v>4381.5624999999991</v>
      </c>
      <c r="IT6" s="29">
        <v>2087.904</v>
      </c>
      <c r="IU6" s="21">
        <v>65745.075919999988</v>
      </c>
      <c r="IV6" s="21">
        <v>12395.459699999999</v>
      </c>
      <c r="IW6" s="52">
        <v>7228.261199999999</v>
      </c>
      <c r="IX6" s="145">
        <v>3.0985</v>
      </c>
      <c r="IY6" s="23">
        <v>87459.799319999976</v>
      </c>
      <c r="IZ6" s="17"/>
      <c r="JA6" s="115" t="s">
        <v>539</v>
      </c>
      <c r="JB6" s="32">
        <v>893.44799999999998</v>
      </c>
      <c r="JC6" s="21">
        <v>4335.2508499999994</v>
      </c>
      <c r="JD6" s="21">
        <v>294.87919999999997</v>
      </c>
      <c r="JE6" s="21">
        <v>334.96959999999996</v>
      </c>
      <c r="JF6" s="21">
        <v>0</v>
      </c>
      <c r="JG6" s="23">
        <v>5858.5476500000004</v>
      </c>
      <c r="JH6" s="29">
        <v>2981.3519999999999</v>
      </c>
      <c r="JI6" s="21">
        <v>70080.32677</v>
      </c>
      <c r="JJ6" s="21">
        <v>12690.338900000001</v>
      </c>
      <c r="JK6" s="52">
        <v>7563.2307999999994</v>
      </c>
      <c r="JL6" s="145">
        <v>3.0985</v>
      </c>
      <c r="JM6" s="23">
        <v>93318.346969999999</v>
      </c>
      <c r="JN6" s="17"/>
      <c r="JO6" s="115" t="s">
        <v>539</v>
      </c>
      <c r="JP6" s="32">
        <v>0</v>
      </c>
      <c r="JQ6" s="21">
        <v>3346.2487999999998</v>
      </c>
      <c r="JR6" s="21">
        <v>334.95420000000001</v>
      </c>
      <c r="JS6" s="21">
        <v>485.70591999999999</v>
      </c>
      <c r="JT6" s="21">
        <v>0</v>
      </c>
      <c r="JU6" s="23">
        <v>4166.9089199999999</v>
      </c>
      <c r="JV6" s="29">
        <v>2981.3519999999999</v>
      </c>
      <c r="JW6" s="21">
        <v>73426.575570000015</v>
      </c>
      <c r="JX6" s="21">
        <v>13025.293099999999</v>
      </c>
      <c r="JY6" s="52">
        <v>8048.9367199999997</v>
      </c>
      <c r="JZ6" s="145">
        <v>3.0985</v>
      </c>
      <c r="KA6" s="23">
        <v>97485.25589</v>
      </c>
      <c r="KB6" s="17"/>
      <c r="KC6" s="115" t="s">
        <v>539</v>
      </c>
      <c r="KD6" s="152">
        <v>-2.9781600000000004</v>
      </c>
      <c r="KE6" s="21">
        <v>2486.6407599999998</v>
      </c>
      <c r="KF6" s="21">
        <v>509.33679999999998</v>
      </c>
      <c r="KG6" s="21">
        <v>0</v>
      </c>
      <c r="KH6" s="21">
        <v>0</v>
      </c>
      <c r="KI6" s="23">
        <v>2992.9993999999997</v>
      </c>
      <c r="KJ6" s="29">
        <v>2978.3738399999997</v>
      </c>
      <c r="KK6" s="21">
        <v>75913.216329999981</v>
      </c>
      <c r="KL6" s="21">
        <v>13534.629899999998</v>
      </c>
      <c r="KM6" s="52">
        <v>8048.9367199999997</v>
      </c>
      <c r="KN6" s="145">
        <v>3.0985</v>
      </c>
      <c r="KO6" s="23">
        <v>100478.25528999997</v>
      </c>
      <c r="KP6" s="17"/>
      <c r="KQ6" s="115" t="s">
        <v>539</v>
      </c>
      <c r="KR6" s="32">
        <v>645.26800000000003</v>
      </c>
      <c r="KS6" s="21">
        <v>3089.5995499999995</v>
      </c>
      <c r="KT6" s="21">
        <v>1018.6736</v>
      </c>
      <c r="KU6" s="21">
        <v>552.99891999999988</v>
      </c>
      <c r="KV6" s="21">
        <v>0</v>
      </c>
      <c r="KW6" s="23">
        <v>5306.5400699999991</v>
      </c>
      <c r="KX6" s="29">
        <v>3623.6418399999998</v>
      </c>
      <c r="KY6" s="21">
        <v>80444.879390000002</v>
      </c>
      <c r="KZ6" s="21">
        <v>14714.146699999999</v>
      </c>
      <c r="LA6" s="52">
        <v>8601.9356399999979</v>
      </c>
      <c r="LB6" s="145">
        <v>3.0985</v>
      </c>
      <c r="LC6" s="23">
        <v>107387.70206999998</v>
      </c>
      <c r="LD6" s="17">
        <f t="shared" si="1"/>
        <v>0</v>
      </c>
      <c r="LE6" s="17">
        <f t="shared" si="0"/>
        <v>1442.0635100000218</v>
      </c>
      <c r="LF6" s="17">
        <f t="shared" si="0"/>
        <v>160.84320000000116</v>
      </c>
      <c r="LG6" s="17">
        <f t="shared" si="0"/>
        <v>0</v>
      </c>
      <c r="LH6" s="17">
        <f t="shared" si="0"/>
        <v>0</v>
      </c>
      <c r="LI6" s="17">
        <f t="shared" si="0"/>
        <v>1602.9067100000102</v>
      </c>
    </row>
    <row r="7" spans="2:321" x14ac:dyDescent="0.3">
      <c r="B7" s="114" t="s">
        <v>540</v>
      </c>
      <c r="C7" s="31">
        <v>503.84399999999994</v>
      </c>
      <c r="D7" s="18">
        <v>1499.2823999999998</v>
      </c>
      <c r="E7" s="18">
        <v>205.04925</v>
      </c>
      <c r="F7" s="18">
        <v>0</v>
      </c>
      <c r="G7" s="18">
        <v>399.8236</v>
      </c>
      <c r="H7" s="19">
        <v>2607.9992499999998</v>
      </c>
      <c r="I7" s="28">
        <v>503.84399999999994</v>
      </c>
      <c r="J7" s="18">
        <v>1499.2823999999998</v>
      </c>
      <c r="K7" s="18">
        <v>205.04925</v>
      </c>
      <c r="L7" s="18">
        <v>0</v>
      </c>
      <c r="M7" s="51">
        <v>399.8236</v>
      </c>
      <c r="N7" s="19">
        <v>2607.9992499999998</v>
      </c>
      <c r="P7" s="114" t="s">
        <v>540</v>
      </c>
      <c r="Q7" s="31">
        <v>0</v>
      </c>
      <c r="R7" s="18">
        <v>3101.5505499999999</v>
      </c>
      <c r="S7" s="18">
        <v>737.49060000000009</v>
      </c>
      <c r="T7" s="18">
        <v>0</v>
      </c>
      <c r="U7" s="18">
        <v>332.60270000000003</v>
      </c>
      <c r="V7" s="18">
        <v>1.978</v>
      </c>
      <c r="W7" s="19">
        <v>4173.6218500000004</v>
      </c>
      <c r="X7" s="28">
        <v>503.84399999999994</v>
      </c>
      <c r="Y7" s="18">
        <v>4600.8329499999991</v>
      </c>
      <c r="Z7" s="18">
        <v>942.53985</v>
      </c>
      <c r="AA7" s="18">
        <v>0</v>
      </c>
      <c r="AB7" s="51">
        <v>732.42630000000008</v>
      </c>
      <c r="AC7" s="51">
        <v>1.978</v>
      </c>
      <c r="AD7" s="19">
        <v>6781.6210999999994</v>
      </c>
      <c r="AE7" s="17"/>
      <c r="AF7" s="114" t="s">
        <v>540</v>
      </c>
      <c r="AG7" s="31">
        <v>0</v>
      </c>
      <c r="AH7" s="18">
        <v>2610.9437499999995</v>
      </c>
      <c r="AI7" s="18">
        <v>715.75805000000003</v>
      </c>
      <c r="AJ7" s="18">
        <v>0</v>
      </c>
      <c r="AK7" s="18">
        <v>545.08183999999994</v>
      </c>
      <c r="AL7" s="18">
        <v>0</v>
      </c>
      <c r="AM7" s="19">
        <v>3871.7836399999992</v>
      </c>
      <c r="AN7" s="28">
        <v>503.84399999999994</v>
      </c>
      <c r="AO7" s="18">
        <v>7211.7766999999985</v>
      </c>
      <c r="AP7" s="18">
        <v>1658.2978999999998</v>
      </c>
      <c r="AQ7" s="18">
        <v>0</v>
      </c>
      <c r="AR7" s="51">
        <v>1277.5081399999999</v>
      </c>
      <c r="AS7" s="51">
        <v>1.978</v>
      </c>
      <c r="AT7" s="19">
        <v>10653.404739999998</v>
      </c>
      <c r="AU7" s="17"/>
      <c r="AV7" s="114" t="s">
        <v>540</v>
      </c>
      <c r="AW7" s="31">
        <v>0</v>
      </c>
      <c r="AX7" s="18">
        <v>2698.1380999999997</v>
      </c>
      <c r="AY7" s="18">
        <v>494.12719999999996</v>
      </c>
      <c r="AZ7" s="18">
        <v>0</v>
      </c>
      <c r="BA7" s="18">
        <v>372.67919999999998</v>
      </c>
      <c r="BB7" s="18">
        <v>0</v>
      </c>
      <c r="BC7" s="19">
        <v>3564.9444999999996</v>
      </c>
      <c r="BD7" s="28">
        <v>503.84399999999994</v>
      </c>
      <c r="BE7" s="18">
        <v>9909.9147999999986</v>
      </c>
      <c r="BF7" s="18">
        <v>2152.4250999999995</v>
      </c>
      <c r="BG7" s="18">
        <v>0</v>
      </c>
      <c r="BH7" s="51">
        <v>1650.1873399999999</v>
      </c>
      <c r="BI7" s="51">
        <v>1.978</v>
      </c>
      <c r="BJ7" s="19">
        <v>14218.349239999996</v>
      </c>
      <c r="BK7" s="17"/>
      <c r="BL7" s="114" t="s">
        <v>540</v>
      </c>
      <c r="BM7" s="31">
        <v>0</v>
      </c>
      <c r="BN7" s="18">
        <v>3075.8546000000001</v>
      </c>
      <c r="BO7" s="18">
        <v>67.523400000000009</v>
      </c>
      <c r="BP7" s="18">
        <v>0</v>
      </c>
      <c r="BQ7" s="18">
        <v>390.44658000000004</v>
      </c>
      <c r="BR7" s="18">
        <v>0.92189999999999994</v>
      </c>
      <c r="BS7" s="19">
        <v>3534.7464800000002</v>
      </c>
      <c r="BT7" s="28">
        <v>503.84399999999994</v>
      </c>
      <c r="BU7" s="18">
        <v>12985.769399999999</v>
      </c>
      <c r="BV7" s="18">
        <v>2219.9485</v>
      </c>
      <c r="BW7" s="18">
        <v>0</v>
      </c>
      <c r="BX7" s="51">
        <v>2040.63392</v>
      </c>
      <c r="BY7" s="51">
        <v>2.8999000000000001</v>
      </c>
      <c r="BZ7" s="19">
        <v>17753.095719999998</v>
      </c>
      <c r="CA7" s="17"/>
      <c r="CB7" s="17"/>
      <c r="CC7" s="114" t="s">
        <v>540</v>
      </c>
      <c r="CD7" s="31">
        <v>0</v>
      </c>
      <c r="CE7" s="18">
        <v>2611.2212000000004</v>
      </c>
      <c r="CF7" s="18">
        <v>367.16120000000001</v>
      </c>
      <c r="CG7" s="18">
        <v>0</v>
      </c>
      <c r="CH7" s="18">
        <v>465.87029999999999</v>
      </c>
      <c r="CI7" s="18">
        <v>0</v>
      </c>
      <c r="CJ7" s="19">
        <v>3444.2527000000005</v>
      </c>
      <c r="CK7" s="28">
        <v>503.84399999999994</v>
      </c>
      <c r="CL7" s="18">
        <v>15596.990599999999</v>
      </c>
      <c r="CM7" s="18">
        <v>2587.1097000000004</v>
      </c>
      <c r="CN7" s="18">
        <v>0</v>
      </c>
      <c r="CO7" s="51">
        <v>2506.5042200000003</v>
      </c>
      <c r="CP7" s="51">
        <v>2.8999000000000001</v>
      </c>
      <c r="CQ7" s="19">
        <v>21197.348419999998</v>
      </c>
      <c r="CR7" s="17"/>
      <c r="CS7" s="114" t="s">
        <v>540</v>
      </c>
      <c r="CT7" s="31">
        <v>0</v>
      </c>
      <c r="CU7" s="18">
        <v>3242.8563999999997</v>
      </c>
      <c r="CV7" s="18">
        <v>539.82495000000006</v>
      </c>
      <c r="CW7" s="18">
        <v>0</v>
      </c>
      <c r="CX7" s="18">
        <v>37.374000000000002</v>
      </c>
      <c r="CY7" s="18">
        <v>0</v>
      </c>
      <c r="CZ7" s="19">
        <v>3820.0553499999996</v>
      </c>
      <c r="DA7" s="28">
        <v>503.84399999999994</v>
      </c>
      <c r="DB7" s="18">
        <v>24160.53125</v>
      </c>
      <c r="DC7" s="18">
        <v>4395.9954500000013</v>
      </c>
      <c r="DD7" s="18">
        <v>0</v>
      </c>
      <c r="DE7" s="51">
        <v>3273.2119400000006</v>
      </c>
      <c r="DF7" s="51">
        <v>2.8999000000000001</v>
      </c>
      <c r="DG7" s="19">
        <v>32336.482540000005</v>
      </c>
      <c r="DI7" s="114" t="s">
        <v>540</v>
      </c>
      <c r="DJ7" s="31">
        <v>0</v>
      </c>
      <c r="DK7" s="18">
        <v>3700.8285999999998</v>
      </c>
      <c r="DL7" s="18">
        <v>955.7672</v>
      </c>
      <c r="DM7" s="18">
        <v>0</v>
      </c>
      <c r="DN7" s="18">
        <v>276.12144000000001</v>
      </c>
      <c r="DO7" s="18">
        <v>0</v>
      </c>
      <c r="DP7" s="19">
        <v>4932.7172399999999</v>
      </c>
      <c r="DQ7" s="28">
        <v>503.84399999999994</v>
      </c>
      <c r="DR7" s="18">
        <v>27861.359850000004</v>
      </c>
      <c r="DS7" s="18">
        <v>5351.7626499999997</v>
      </c>
      <c r="DT7" s="18">
        <v>0</v>
      </c>
      <c r="DU7" s="51">
        <v>3549.3333800000005</v>
      </c>
      <c r="DV7" s="51">
        <v>2.8999000000000001</v>
      </c>
      <c r="DW7" s="19">
        <v>37269.199780000003</v>
      </c>
      <c r="DX7" s="17"/>
      <c r="DY7" s="114" t="s">
        <v>540</v>
      </c>
      <c r="DZ7" s="31">
        <v>0</v>
      </c>
      <c r="EA7" s="18">
        <v>2475.4537500000001</v>
      </c>
      <c r="EB7" s="18">
        <v>678.34059999999999</v>
      </c>
      <c r="EC7" s="18">
        <v>0</v>
      </c>
      <c r="ED7" s="18">
        <v>374.45039999999995</v>
      </c>
      <c r="EE7" s="18">
        <v>0</v>
      </c>
      <c r="EF7" s="19">
        <v>3528.2447499999998</v>
      </c>
      <c r="EG7" s="28">
        <v>503.84399999999994</v>
      </c>
      <c r="EH7" s="18">
        <v>30336.813600000001</v>
      </c>
      <c r="EI7" s="18">
        <v>6030.1032500000001</v>
      </c>
      <c r="EJ7" s="18">
        <v>0</v>
      </c>
      <c r="EK7" s="51">
        <v>3923.7837800000007</v>
      </c>
      <c r="EL7" s="51">
        <v>2.8999000000000001</v>
      </c>
      <c r="EM7" s="19">
        <v>40797.444530000001</v>
      </c>
      <c r="EN7" s="17"/>
      <c r="EO7" s="114" t="s">
        <v>540</v>
      </c>
      <c r="EP7" s="31">
        <v>0</v>
      </c>
      <c r="EQ7" s="18">
        <v>3161.4156799999996</v>
      </c>
      <c r="ER7" s="18">
        <v>648.74879999999996</v>
      </c>
      <c r="ES7" s="18">
        <v>0</v>
      </c>
      <c r="ET7" s="18">
        <v>0</v>
      </c>
      <c r="EU7" s="18">
        <v>0</v>
      </c>
      <c r="EV7" s="19">
        <v>3810.1644799999995</v>
      </c>
      <c r="EW7" s="28">
        <v>503.84399999999994</v>
      </c>
      <c r="EX7" s="18">
        <v>33498.229280000007</v>
      </c>
      <c r="EY7" s="18">
        <v>6678.8520500000004</v>
      </c>
      <c r="EZ7" s="18">
        <v>0</v>
      </c>
      <c r="FA7" s="51">
        <v>3923.7837800000007</v>
      </c>
      <c r="FB7" s="143">
        <v>2.8999000000000001</v>
      </c>
      <c r="FC7" s="19">
        <v>44607.60901</v>
      </c>
      <c r="FD7" s="17"/>
      <c r="FE7" s="114" t="s">
        <v>540</v>
      </c>
      <c r="FF7" s="31">
        <v>0</v>
      </c>
      <c r="FG7" s="18">
        <v>3367.4070499999998</v>
      </c>
      <c r="FH7" s="18">
        <v>563.44819999999993</v>
      </c>
      <c r="FI7" s="18">
        <v>0</v>
      </c>
      <c r="FJ7" s="18">
        <v>464.20416</v>
      </c>
      <c r="FK7" s="18">
        <v>0</v>
      </c>
      <c r="FL7" s="19">
        <v>4395.0594099999998</v>
      </c>
      <c r="FM7" s="28">
        <v>503.84399999999994</v>
      </c>
      <c r="FN7" s="18">
        <v>36865.636330000016</v>
      </c>
      <c r="FO7" s="18">
        <v>7242.3002500000011</v>
      </c>
      <c r="FP7" s="18">
        <v>0</v>
      </c>
      <c r="FQ7" s="51">
        <v>4387.98794</v>
      </c>
      <c r="FR7" s="143">
        <v>2.8999000000000001</v>
      </c>
      <c r="FS7" s="19">
        <v>49002.668420000009</v>
      </c>
      <c r="FT7" s="17"/>
      <c r="FU7" s="114" t="s">
        <v>540</v>
      </c>
      <c r="FV7" s="31">
        <v>0</v>
      </c>
      <c r="FW7" s="18">
        <v>3227.4644499999999</v>
      </c>
      <c r="FX7" s="18">
        <v>478.34744999999998</v>
      </c>
      <c r="FY7" s="18">
        <v>251.01033999999999</v>
      </c>
      <c r="FZ7" s="18">
        <v>0</v>
      </c>
      <c r="GA7" s="19">
        <v>3956.8222399999995</v>
      </c>
      <c r="GB7" s="28">
        <v>503.84399999999994</v>
      </c>
      <c r="GC7" s="18">
        <v>40093.100780000001</v>
      </c>
      <c r="GD7" s="18">
        <v>7720.6477000000004</v>
      </c>
      <c r="GE7" s="51">
        <v>4638.9982800000016</v>
      </c>
      <c r="GF7" s="143">
        <v>2.8999000000000001</v>
      </c>
      <c r="GG7" s="19">
        <v>52959.490659999996</v>
      </c>
      <c r="GH7" s="17"/>
      <c r="GI7" s="114" t="s">
        <v>540</v>
      </c>
      <c r="GJ7" s="31">
        <v>0</v>
      </c>
      <c r="GK7" s="18">
        <v>2937.8363000000004</v>
      </c>
      <c r="GL7" s="18">
        <v>660.58720000000005</v>
      </c>
      <c r="GM7" s="18">
        <v>1134.82944</v>
      </c>
      <c r="GN7" s="18">
        <v>0</v>
      </c>
      <c r="GO7" s="19">
        <v>4733.2529400000003</v>
      </c>
      <c r="GP7" s="28">
        <v>503.84399999999994</v>
      </c>
      <c r="GQ7" s="18">
        <v>43030.937080000003</v>
      </c>
      <c r="GR7" s="18">
        <v>8381.2349000000013</v>
      </c>
      <c r="GS7" s="51">
        <v>5773.8277199999993</v>
      </c>
      <c r="GT7" s="143">
        <v>2.8999000000000001</v>
      </c>
      <c r="GU7" s="19">
        <v>57692.743600000002</v>
      </c>
      <c r="GV7" s="17"/>
      <c r="GW7" s="114" t="s">
        <v>540</v>
      </c>
      <c r="GX7" s="31">
        <v>1264.5899999999999</v>
      </c>
      <c r="GY7" s="18">
        <v>3626.6730499999994</v>
      </c>
      <c r="GZ7" s="18">
        <v>501.65219999999999</v>
      </c>
      <c r="HA7" s="18">
        <v>0</v>
      </c>
      <c r="HB7" s="18">
        <v>0</v>
      </c>
      <c r="HC7" s="19">
        <v>5392.91525</v>
      </c>
      <c r="HD7" s="28">
        <v>1768.434</v>
      </c>
      <c r="HE7" s="18">
        <v>46657.610130000001</v>
      </c>
      <c r="HF7" s="18">
        <v>8882.8870999999999</v>
      </c>
      <c r="HG7" s="51">
        <v>5773.8277199999993</v>
      </c>
      <c r="HH7" s="143">
        <v>2.8999000000000001</v>
      </c>
      <c r="HI7" s="19">
        <v>63085.65885</v>
      </c>
      <c r="HJ7" s="17"/>
      <c r="HK7" s="114" t="s">
        <v>540</v>
      </c>
      <c r="HL7" s="31">
        <v>0</v>
      </c>
      <c r="HM7" s="18">
        <v>2882.3710999999998</v>
      </c>
      <c r="HN7" s="18">
        <v>438.82580000000007</v>
      </c>
      <c r="HO7" s="18">
        <v>227.52864</v>
      </c>
      <c r="HP7" s="18">
        <v>0</v>
      </c>
      <c r="HQ7" s="19">
        <v>3548.7255399999999</v>
      </c>
      <c r="HR7" s="28">
        <v>1768.434</v>
      </c>
      <c r="HS7" s="18">
        <v>49539.981229999998</v>
      </c>
      <c r="HT7" s="18">
        <v>9321.7128999999968</v>
      </c>
      <c r="HU7" s="51">
        <v>6001.3563600000007</v>
      </c>
      <c r="HV7" s="143">
        <v>2.8999000000000001</v>
      </c>
      <c r="HW7" s="19">
        <v>66634.384390000007</v>
      </c>
      <c r="HX7" s="17"/>
      <c r="HY7" s="114" t="s">
        <v>540</v>
      </c>
      <c r="HZ7" s="31">
        <v>0</v>
      </c>
      <c r="IA7" s="18">
        <v>3019.3614500000003</v>
      </c>
      <c r="IB7" s="18">
        <v>676.30954999999983</v>
      </c>
      <c r="IC7" s="18">
        <v>442.48031999999995</v>
      </c>
      <c r="ID7" s="18">
        <v>0</v>
      </c>
      <c r="IE7" s="19">
        <v>4138.1513199999999</v>
      </c>
      <c r="IF7" s="28">
        <v>1768.434</v>
      </c>
      <c r="IG7" s="18">
        <v>52559.342679999994</v>
      </c>
      <c r="IH7" s="18">
        <v>9998.0224499999949</v>
      </c>
      <c r="II7" s="51">
        <v>6443.8366799999985</v>
      </c>
      <c r="IJ7" s="143">
        <v>2.8999000000000001</v>
      </c>
      <c r="IK7" s="19">
        <v>70772.535709999996</v>
      </c>
      <c r="IL7" s="17"/>
      <c r="IM7" s="114" t="s">
        <v>540</v>
      </c>
      <c r="IN7" s="31">
        <v>0</v>
      </c>
      <c r="IO7" s="18">
        <v>2744.0888999999993</v>
      </c>
      <c r="IP7" s="18">
        <v>537.18140000000005</v>
      </c>
      <c r="IQ7" s="18">
        <v>480.21119999999996</v>
      </c>
      <c r="IR7" s="18">
        <v>0</v>
      </c>
      <c r="IS7" s="19">
        <v>3761.481499999999</v>
      </c>
      <c r="IT7" s="28">
        <v>1768.434</v>
      </c>
      <c r="IU7" s="18">
        <v>55303.431579999997</v>
      </c>
      <c r="IV7" s="18">
        <v>10535.203849999994</v>
      </c>
      <c r="IW7" s="51">
        <v>6924.0478800000001</v>
      </c>
      <c r="IX7" s="143">
        <v>2.8999000000000001</v>
      </c>
      <c r="IY7" s="19">
        <v>74534.017209999991</v>
      </c>
      <c r="IZ7" s="17"/>
      <c r="JA7" s="114" t="s">
        <v>540</v>
      </c>
      <c r="JB7" s="31">
        <v>758.75400000000002</v>
      </c>
      <c r="JC7" s="18">
        <v>3640.6702499999997</v>
      </c>
      <c r="JD7" s="18">
        <v>262.77019999999993</v>
      </c>
      <c r="JE7" s="18">
        <v>320.14080000000001</v>
      </c>
      <c r="JF7" s="18">
        <v>0</v>
      </c>
      <c r="JG7" s="19">
        <v>4982.3352500000001</v>
      </c>
      <c r="JH7" s="28">
        <v>2527.1880000000001</v>
      </c>
      <c r="JI7" s="18">
        <v>58944.101829999985</v>
      </c>
      <c r="JJ7" s="18">
        <v>10797.974049999992</v>
      </c>
      <c r="JK7" s="51">
        <v>7244.1886799999984</v>
      </c>
      <c r="JL7" s="143">
        <v>2.8999000000000001</v>
      </c>
      <c r="JM7" s="19">
        <v>79516.35245999998</v>
      </c>
      <c r="JN7" s="17"/>
      <c r="JO7" s="114" t="s">
        <v>540</v>
      </c>
      <c r="JP7" s="31">
        <v>0</v>
      </c>
      <c r="JQ7" s="18">
        <v>2828.5319999999997</v>
      </c>
      <c r="JR7" s="18">
        <v>290.04220000000004</v>
      </c>
      <c r="JS7" s="18">
        <v>464.20416</v>
      </c>
      <c r="JT7" s="18">
        <v>0</v>
      </c>
      <c r="JU7" s="19">
        <v>3582.7783599999993</v>
      </c>
      <c r="JV7" s="28">
        <v>2527.1880000000001</v>
      </c>
      <c r="JW7" s="18">
        <v>61772.633829999977</v>
      </c>
      <c r="JX7" s="18">
        <v>11088.016249999993</v>
      </c>
      <c r="JY7" s="51">
        <v>7708.3928399999986</v>
      </c>
      <c r="JZ7" s="143">
        <v>2.8999000000000001</v>
      </c>
      <c r="KA7" s="19">
        <v>83099.130819999977</v>
      </c>
      <c r="KB7" s="17"/>
      <c r="KC7" s="114" t="s">
        <v>540</v>
      </c>
      <c r="KD7" s="151">
        <v>-2.5291800000000002</v>
      </c>
      <c r="KE7" s="18">
        <v>2082.70984</v>
      </c>
      <c r="KF7" s="18">
        <v>453.87579999999997</v>
      </c>
      <c r="KG7" s="18">
        <v>0</v>
      </c>
      <c r="KH7" s="18">
        <v>0</v>
      </c>
      <c r="KI7" s="19">
        <v>2534.0564599999998</v>
      </c>
      <c r="KJ7" s="28">
        <v>2524.6588199999997</v>
      </c>
      <c r="KK7" s="18">
        <v>63855.34366999998</v>
      </c>
      <c r="KL7" s="18">
        <v>11541.892049999993</v>
      </c>
      <c r="KM7" s="51">
        <v>7708.3928399999986</v>
      </c>
      <c r="KN7" s="143">
        <v>2.8999000000000001</v>
      </c>
      <c r="KO7" s="19">
        <v>85633.187279999984</v>
      </c>
      <c r="KP7" s="17"/>
      <c r="KQ7" s="114" t="s">
        <v>540</v>
      </c>
      <c r="KR7" s="31">
        <v>547.98900000000003</v>
      </c>
      <c r="KS7" s="18">
        <v>2598.8290499999998</v>
      </c>
      <c r="KT7" s="18">
        <v>907.75159999999994</v>
      </c>
      <c r="KU7" s="18">
        <v>528.51815999999997</v>
      </c>
      <c r="KV7" s="18">
        <v>0</v>
      </c>
      <c r="KW7" s="19">
        <v>4583.08781</v>
      </c>
      <c r="KX7" s="28">
        <v>3072.6478199999997</v>
      </c>
      <c r="KY7" s="18">
        <v>67662.85738999999</v>
      </c>
      <c r="KZ7" s="18">
        <v>12592.972849999996</v>
      </c>
      <c r="LA7" s="51">
        <v>8236.9109999999982</v>
      </c>
      <c r="LB7" s="143">
        <v>2.8999000000000001</v>
      </c>
      <c r="LC7" s="19">
        <v>91568.288959999976</v>
      </c>
      <c r="LD7" s="17">
        <f t="shared" si="1"/>
        <v>0</v>
      </c>
      <c r="LE7" s="17">
        <f t="shared" si="0"/>
        <v>1208.6846700000096</v>
      </c>
      <c r="LF7" s="17">
        <f t="shared" si="0"/>
        <v>143.32920000000377</v>
      </c>
      <c r="LG7" s="17">
        <f t="shared" si="0"/>
        <v>0</v>
      </c>
      <c r="LH7" s="17">
        <f t="shared" si="0"/>
        <v>0</v>
      </c>
      <c r="LI7" s="17">
        <f t="shared" si="0"/>
        <v>1352.0138699999952</v>
      </c>
    </row>
    <row r="8" spans="2:321" x14ac:dyDescent="0.3">
      <c r="B8" s="114" t="s">
        <v>541</v>
      </c>
      <c r="C8" s="31">
        <v>43.463999999999999</v>
      </c>
      <c r="D8" s="18">
        <v>134.92290000000003</v>
      </c>
      <c r="E8" s="18">
        <v>62.377350000000007</v>
      </c>
      <c r="F8" s="18">
        <v>0</v>
      </c>
      <c r="G8" s="18">
        <v>10.488</v>
      </c>
      <c r="H8" s="19">
        <v>251.25225000000003</v>
      </c>
      <c r="I8" s="28">
        <v>43.463999999999999</v>
      </c>
      <c r="J8" s="18">
        <v>134.92290000000003</v>
      </c>
      <c r="K8" s="18">
        <v>62.377350000000007</v>
      </c>
      <c r="L8" s="18">
        <v>0</v>
      </c>
      <c r="M8" s="51">
        <v>10.488</v>
      </c>
      <c r="N8" s="19">
        <v>251.25225000000003</v>
      </c>
      <c r="P8" s="114" t="s">
        <v>541</v>
      </c>
      <c r="Q8" s="31">
        <v>0</v>
      </c>
      <c r="R8" s="18">
        <v>278.2297299999999</v>
      </c>
      <c r="S8" s="18">
        <v>93.221799999999988</v>
      </c>
      <c r="T8" s="18">
        <v>0</v>
      </c>
      <c r="U8" s="18">
        <v>10.741</v>
      </c>
      <c r="V8" s="18">
        <v>9.1999999999999998E-2</v>
      </c>
      <c r="W8" s="19">
        <v>382.28452999999985</v>
      </c>
      <c r="X8" s="28">
        <v>43.463999999999999</v>
      </c>
      <c r="Y8" s="18">
        <v>413.15262999999987</v>
      </c>
      <c r="Z8" s="18">
        <v>155.59914999999998</v>
      </c>
      <c r="AA8" s="18">
        <v>0</v>
      </c>
      <c r="AB8" s="51">
        <v>21.228999999999999</v>
      </c>
      <c r="AC8" s="142">
        <v>9.1999999999999998E-2</v>
      </c>
      <c r="AD8" s="19">
        <v>633.53677999999991</v>
      </c>
      <c r="AE8" s="17"/>
      <c r="AF8" s="114" t="s">
        <v>541</v>
      </c>
      <c r="AG8" s="31">
        <v>0</v>
      </c>
      <c r="AH8" s="18">
        <v>225.37649999999999</v>
      </c>
      <c r="AI8" s="18">
        <v>133.64574999999999</v>
      </c>
      <c r="AJ8" s="18">
        <v>0</v>
      </c>
      <c r="AK8" s="18">
        <v>15.511199999999999</v>
      </c>
      <c r="AL8" s="18">
        <v>0</v>
      </c>
      <c r="AM8" s="19">
        <v>374.53344999999996</v>
      </c>
      <c r="AN8" s="28">
        <v>43.463999999999999</v>
      </c>
      <c r="AO8" s="18">
        <v>638.52913000000001</v>
      </c>
      <c r="AP8" s="18">
        <v>289.24490000000003</v>
      </c>
      <c r="AQ8" s="18">
        <v>0</v>
      </c>
      <c r="AR8" s="51">
        <v>36.740199999999994</v>
      </c>
      <c r="AS8" s="142">
        <v>9.1999999999999998E-2</v>
      </c>
      <c r="AT8" s="19">
        <v>1008.07023</v>
      </c>
      <c r="AU8" s="17"/>
      <c r="AV8" s="114" t="s">
        <v>541</v>
      </c>
      <c r="AW8" s="31">
        <v>0</v>
      </c>
      <c r="AX8" s="18">
        <v>221.81723999999997</v>
      </c>
      <c r="AY8" s="18">
        <v>36.688400000000001</v>
      </c>
      <c r="AZ8" s="18">
        <v>0</v>
      </c>
      <c r="BA8" s="18">
        <v>11.316000000000001</v>
      </c>
      <c r="BB8" s="18">
        <v>0</v>
      </c>
      <c r="BC8" s="19">
        <v>269.82163999999995</v>
      </c>
      <c r="BD8" s="28">
        <v>43.463999999999999</v>
      </c>
      <c r="BE8" s="18">
        <v>860.34636999999998</v>
      </c>
      <c r="BF8" s="18">
        <v>325.93329999999992</v>
      </c>
      <c r="BG8" s="18">
        <v>0</v>
      </c>
      <c r="BH8" s="51">
        <v>48.056199999999997</v>
      </c>
      <c r="BI8" s="142">
        <v>9.1999999999999998E-2</v>
      </c>
      <c r="BJ8" s="19">
        <v>1277.8918699999999</v>
      </c>
      <c r="BK8" s="17"/>
      <c r="BL8" s="114" t="s">
        <v>541</v>
      </c>
      <c r="BM8" s="31">
        <v>0</v>
      </c>
      <c r="BN8" s="18">
        <v>260.17810000000003</v>
      </c>
      <c r="BO8" s="18">
        <v>20.759199999999996</v>
      </c>
      <c r="BP8" s="18">
        <v>0</v>
      </c>
      <c r="BQ8" s="18">
        <v>11.794399999999998</v>
      </c>
      <c r="BR8" s="18">
        <v>4.5999999999999999E-2</v>
      </c>
      <c r="BS8" s="19">
        <v>292.77770000000004</v>
      </c>
      <c r="BT8" s="28">
        <v>43.463999999999999</v>
      </c>
      <c r="BU8" s="18">
        <v>1120.5244700000001</v>
      </c>
      <c r="BV8" s="18">
        <v>346.6925</v>
      </c>
      <c r="BW8" s="18">
        <v>0</v>
      </c>
      <c r="BX8" s="51">
        <v>59.8506</v>
      </c>
      <c r="BY8" s="142">
        <v>0.13800000000000001</v>
      </c>
      <c r="BZ8" s="19">
        <v>1570.6695699999998</v>
      </c>
      <c r="CA8" s="17"/>
      <c r="CB8" s="17"/>
      <c r="CC8" s="114" t="s">
        <v>541</v>
      </c>
      <c r="CD8" s="31">
        <v>0</v>
      </c>
      <c r="CE8" s="18">
        <v>213.68549999999999</v>
      </c>
      <c r="CF8" s="18">
        <v>35.084000000000003</v>
      </c>
      <c r="CG8" s="18">
        <v>0</v>
      </c>
      <c r="CH8" s="18">
        <v>13.569999999999999</v>
      </c>
      <c r="CI8" s="18">
        <v>0</v>
      </c>
      <c r="CJ8" s="19">
        <v>262.33949999999999</v>
      </c>
      <c r="CK8" s="28">
        <v>43.463999999999999</v>
      </c>
      <c r="CL8" s="18">
        <v>1334.2099699999999</v>
      </c>
      <c r="CM8" s="18">
        <v>381.7765</v>
      </c>
      <c r="CN8" s="18">
        <v>0</v>
      </c>
      <c r="CO8" s="51">
        <v>73.420599999999993</v>
      </c>
      <c r="CP8" s="51">
        <v>0.13800000000000001</v>
      </c>
      <c r="CQ8" s="19">
        <v>1833.0090699999996</v>
      </c>
      <c r="CR8" s="17"/>
      <c r="CS8" s="114" t="s">
        <v>541</v>
      </c>
      <c r="CT8" s="31">
        <v>0</v>
      </c>
      <c r="CU8" s="18">
        <v>269.54250000000002</v>
      </c>
      <c r="CV8" s="18">
        <v>67.706450000000004</v>
      </c>
      <c r="CW8" s="18">
        <v>0</v>
      </c>
      <c r="CX8" s="18">
        <v>0.92</v>
      </c>
      <c r="CY8" s="18">
        <v>0</v>
      </c>
      <c r="CZ8" s="19">
        <v>338.16895000000005</v>
      </c>
      <c r="DA8" s="28">
        <v>43.463999999999999</v>
      </c>
      <c r="DB8" s="18">
        <v>2047.3090100000002</v>
      </c>
      <c r="DC8" s="18">
        <v>574.65554999999995</v>
      </c>
      <c r="DD8" s="18">
        <v>0</v>
      </c>
      <c r="DE8" s="51">
        <v>94.861199999999997</v>
      </c>
      <c r="DF8" s="142">
        <v>0.13800000000000001</v>
      </c>
      <c r="DG8" s="19">
        <v>2760.42776</v>
      </c>
      <c r="DI8" s="114" t="s">
        <v>541</v>
      </c>
      <c r="DJ8" s="31">
        <v>0</v>
      </c>
      <c r="DK8" s="18">
        <v>316.95600000000002</v>
      </c>
      <c r="DL8" s="18">
        <v>86.143399999999986</v>
      </c>
      <c r="DM8" s="18">
        <v>0</v>
      </c>
      <c r="DN8" s="18">
        <v>8.8871999999999982</v>
      </c>
      <c r="DO8" s="18">
        <v>0</v>
      </c>
      <c r="DP8" s="19">
        <v>411.98660000000001</v>
      </c>
      <c r="DQ8" s="28">
        <v>43.463999999999999</v>
      </c>
      <c r="DR8" s="18">
        <v>2364.2650099999992</v>
      </c>
      <c r="DS8" s="18">
        <v>660.79894999999999</v>
      </c>
      <c r="DT8" s="18">
        <v>0</v>
      </c>
      <c r="DU8" s="51">
        <v>103.74839999999998</v>
      </c>
      <c r="DV8" s="142">
        <v>0.13800000000000001</v>
      </c>
      <c r="DW8" s="19">
        <v>3172.4143599999989</v>
      </c>
      <c r="DX8" s="17"/>
      <c r="DY8" s="114" t="s">
        <v>541</v>
      </c>
      <c r="DZ8" s="31">
        <v>0</v>
      </c>
      <c r="EA8" s="18">
        <v>206.4111</v>
      </c>
      <c r="EB8" s="18">
        <v>98.811999999999998</v>
      </c>
      <c r="EC8" s="18">
        <v>0</v>
      </c>
      <c r="ED8" s="18">
        <v>12.052</v>
      </c>
      <c r="EE8" s="18">
        <v>0</v>
      </c>
      <c r="EF8" s="19">
        <v>317.27510000000001</v>
      </c>
      <c r="EG8" s="28">
        <v>43.463999999999999</v>
      </c>
      <c r="EH8" s="18">
        <v>2570.676109999999</v>
      </c>
      <c r="EI8" s="18">
        <v>759.61095</v>
      </c>
      <c r="EJ8" s="18">
        <v>0</v>
      </c>
      <c r="EK8" s="51">
        <v>115.80039999999998</v>
      </c>
      <c r="EL8" s="142">
        <v>0.13800000000000001</v>
      </c>
      <c r="EM8" s="19">
        <v>3489.6894599999987</v>
      </c>
      <c r="EN8" s="17"/>
      <c r="EO8" s="114" t="s">
        <v>541</v>
      </c>
      <c r="EP8" s="31">
        <v>0</v>
      </c>
      <c r="EQ8" s="18">
        <v>269.65655000000004</v>
      </c>
      <c r="ER8" s="18">
        <v>95.813199999999995</v>
      </c>
      <c r="ES8" s="18">
        <v>0</v>
      </c>
      <c r="ET8" s="18">
        <v>0</v>
      </c>
      <c r="EU8" s="18">
        <v>0</v>
      </c>
      <c r="EV8" s="19">
        <v>365.46975000000003</v>
      </c>
      <c r="EW8" s="28">
        <v>43.463999999999999</v>
      </c>
      <c r="EX8" s="18">
        <v>2840.3326599999991</v>
      </c>
      <c r="EY8" s="18">
        <v>855.42415000000005</v>
      </c>
      <c r="EZ8" s="18">
        <v>0</v>
      </c>
      <c r="FA8" s="51">
        <v>115.80039999999998</v>
      </c>
      <c r="FB8" s="143">
        <v>0.13800000000000001</v>
      </c>
      <c r="FC8" s="19">
        <v>3855.1592099999989</v>
      </c>
      <c r="FD8" s="17"/>
      <c r="FE8" s="114" t="s">
        <v>541</v>
      </c>
      <c r="FF8" s="31">
        <v>0</v>
      </c>
      <c r="FG8" s="18">
        <v>277.3365</v>
      </c>
      <c r="FH8" s="18">
        <v>85.367799999999988</v>
      </c>
      <c r="FI8" s="18">
        <v>0</v>
      </c>
      <c r="FJ8" s="18">
        <v>14.940799999999999</v>
      </c>
      <c r="FK8" s="18">
        <v>0</v>
      </c>
      <c r="FL8" s="19">
        <v>377.64510000000001</v>
      </c>
      <c r="FM8" s="28">
        <v>43.463999999999999</v>
      </c>
      <c r="FN8" s="18">
        <v>3117.669159999999</v>
      </c>
      <c r="FO8" s="18">
        <v>940.79195000000004</v>
      </c>
      <c r="FP8" s="18">
        <v>0</v>
      </c>
      <c r="FQ8" s="51">
        <v>130.74120000000002</v>
      </c>
      <c r="FR8" s="143">
        <v>0.13800000000000001</v>
      </c>
      <c r="FS8" s="19">
        <v>4232.8043099999995</v>
      </c>
      <c r="FT8" s="17"/>
      <c r="FU8" s="114" t="s">
        <v>541</v>
      </c>
      <c r="FV8" s="31">
        <v>0</v>
      </c>
      <c r="FW8" s="18">
        <v>270.06209999999999</v>
      </c>
      <c r="FX8" s="18">
        <v>77.75354999999999</v>
      </c>
      <c r="FY8" s="18">
        <v>8.6204000000000001</v>
      </c>
      <c r="FZ8" s="18">
        <v>0</v>
      </c>
      <c r="GA8" s="19">
        <v>356.43605000000002</v>
      </c>
      <c r="GB8" s="28">
        <v>43.463999999999999</v>
      </c>
      <c r="GC8" s="18">
        <v>3387.7312599999991</v>
      </c>
      <c r="GD8" s="18">
        <v>1018.5454999999999</v>
      </c>
      <c r="GE8" s="51">
        <v>139.36160000000001</v>
      </c>
      <c r="GF8" s="143">
        <v>0.13800000000000001</v>
      </c>
      <c r="GG8" s="19">
        <v>4589.2403599999989</v>
      </c>
      <c r="GH8" s="17"/>
      <c r="GI8" s="114" t="s">
        <v>541</v>
      </c>
      <c r="GJ8" s="31">
        <v>0</v>
      </c>
      <c r="GK8" s="18">
        <v>242.78310000000005</v>
      </c>
      <c r="GL8" s="18">
        <v>73.92</v>
      </c>
      <c r="GM8" s="18">
        <v>35.337199999999996</v>
      </c>
      <c r="GN8" s="18">
        <v>0</v>
      </c>
      <c r="GO8" s="19">
        <v>352.04030000000006</v>
      </c>
      <c r="GP8" s="28">
        <v>43.463999999999999</v>
      </c>
      <c r="GQ8" s="18">
        <v>3630.5143599999992</v>
      </c>
      <c r="GR8" s="18">
        <v>1092.4655</v>
      </c>
      <c r="GS8" s="51">
        <v>174.69879999999998</v>
      </c>
      <c r="GT8" s="143">
        <v>0.13800000000000001</v>
      </c>
      <c r="GU8" s="19">
        <v>4941.2806599999994</v>
      </c>
      <c r="GV8" s="17"/>
      <c r="GW8" s="114" t="s">
        <v>541</v>
      </c>
      <c r="GX8" s="31">
        <v>109.92</v>
      </c>
      <c r="GY8" s="18">
        <v>300.06900000000007</v>
      </c>
      <c r="GZ8" s="18">
        <v>30.928799999999995</v>
      </c>
      <c r="HA8" s="18">
        <v>0</v>
      </c>
      <c r="HB8" s="18">
        <v>0</v>
      </c>
      <c r="HC8" s="19">
        <v>440.91780000000006</v>
      </c>
      <c r="HD8" s="28">
        <v>153.38399999999999</v>
      </c>
      <c r="HE8" s="18">
        <v>3930.5833600000005</v>
      </c>
      <c r="HF8" s="18">
        <v>1123.3943000000002</v>
      </c>
      <c r="HG8" s="51">
        <v>174.69879999999998</v>
      </c>
      <c r="HH8" s="143">
        <v>0.13800000000000001</v>
      </c>
      <c r="HI8" s="19">
        <v>5382.1984600000005</v>
      </c>
      <c r="HJ8" s="17"/>
      <c r="HK8" s="114" t="s">
        <v>541</v>
      </c>
      <c r="HL8" s="31">
        <v>0</v>
      </c>
      <c r="HM8" s="18">
        <v>252.78539999999998</v>
      </c>
      <c r="HN8" s="18">
        <v>39.502399999999994</v>
      </c>
      <c r="HO8" s="18">
        <v>7.3231999999999999</v>
      </c>
      <c r="HP8" s="18">
        <v>0</v>
      </c>
      <c r="HQ8" s="19">
        <v>299.61099999999993</v>
      </c>
      <c r="HR8" s="28">
        <v>153.38399999999999</v>
      </c>
      <c r="HS8" s="18">
        <v>4183.3687600000003</v>
      </c>
      <c r="HT8" s="18">
        <v>1162.8967000000002</v>
      </c>
      <c r="HU8" s="51">
        <v>182.02199999999996</v>
      </c>
      <c r="HV8" s="143">
        <v>0.13800000000000001</v>
      </c>
      <c r="HW8" s="19">
        <v>5681.8094600000004</v>
      </c>
      <c r="HX8" s="17"/>
      <c r="HY8" s="114" t="s">
        <v>541</v>
      </c>
      <c r="HZ8" s="31">
        <v>0</v>
      </c>
      <c r="IA8" s="18">
        <v>253.69469999999998</v>
      </c>
      <c r="IB8" s="18">
        <v>56.472850000000008</v>
      </c>
      <c r="IC8" s="18">
        <v>14.241599999999998</v>
      </c>
      <c r="ID8" s="18">
        <v>0</v>
      </c>
      <c r="IE8" s="19">
        <v>324.40915000000001</v>
      </c>
      <c r="IF8" s="28">
        <v>153.38399999999999</v>
      </c>
      <c r="IG8" s="18">
        <v>4437.063460000003</v>
      </c>
      <c r="IH8" s="18">
        <v>1219.3695500000003</v>
      </c>
      <c r="II8" s="51">
        <v>196.26359999999997</v>
      </c>
      <c r="IJ8" s="143">
        <v>0.13800000000000001</v>
      </c>
      <c r="IK8" s="19">
        <v>6006.2186100000035</v>
      </c>
      <c r="IL8" s="17"/>
      <c r="IM8" s="114" t="s">
        <v>541</v>
      </c>
      <c r="IN8" s="31">
        <v>0</v>
      </c>
      <c r="IO8" s="18">
        <v>233.69010000000003</v>
      </c>
      <c r="IP8" s="18">
        <v>38.593800000000002</v>
      </c>
      <c r="IQ8" s="18">
        <v>15.455999999999998</v>
      </c>
      <c r="IR8" s="18">
        <v>0</v>
      </c>
      <c r="IS8" s="19">
        <v>287.73990000000003</v>
      </c>
      <c r="IT8" s="28">
        <v>153.38399999999999</v>
      </c>
      <c r="IU8" s="18">
        <v>4670.7535600000028</v>
      </c>
      <c r="IV8" s="18">
        <v>1257.9633500000002</v>
      </c>
      <c r="IW8" s="51">
        <v>211.71960000000001</v>
      </c>
      <c r="IX8" s="143">
        <v>0.13800000000000001</v>
      </c>
      <c r="IY8" s="19">
        <v>6293.9585100000031</v>
      </c>
      <c r="IZ8" s="17"/>
      <c r="JA8" s="114" t="s">
        <v>541</v>
      </c>
      <c r="JB8" s="31">
        <v>65.951999999999998</v>
      </c>
      <c r="JC8" s="18">
        <v>310.54590000000002</v>
      </c>
      <c r="JD8" s="18">
        <v>16.200800000000001</v>
      </c>
      <c r="JE8" s="18">
        <v>10.304</v>
      </c>
      <c r="JF8" s="18">
        <v>0</v>
      </c>
      <c r="JG8" s="19">
        <v>403.0027</v>
      </c>
      <c r="JH8" s="28">
        <v>219.33600000000001</v>
      </c>
      <c r="JI8" s="18">
        <v>4981.2994600000038</v>
      </c>
      <c r="JJ8" s="18">
        <v>1274.1641500000003</v>
      </c>
      <c r="JK8" s="51">
        <v>222.02360000000002</v>
      </c>
      <c r="JL8" s="143">
        <v>0.13800000000000001</v>
      </c>
      <c r="JM8" s="19">
        <v>6696.9612100000049</v>
      </c>
      <c r="JN8" s="17"/>
      <c r="JO8" s="114" t="s">
        <v>541</v>
      </c>
      <c r="JP8" s="31">
        <v>0</v>
      </c>
      <c r="JQ8" s="18">
        <v>231.74160000000001</v>
      </c>
      <c r="JR8" s="18">
        <v>28.254799999999999</v>
      </c>
      <c r="JS8" s="18">
        <v>14.940799999999999</v>
      </c>
      <c r="JT8" s="18">
        <v>0</v>
      </c>
      <c r="JU8" s="19">
        <v>274.93720000000002</v>
      </c>
      <c r="JV8" s="28">
        <v>219.33600000000001</v>
      </c>
      <c r="JW8" s="18">
        <v>5213.0410600000032</v>
      </c>
      <c r="JX8" s="18">
        <v>1302.4189500000005</v>
      </c>
      <c r="JY8" s="51">
        <v>236.96439999999998</v>
      </c>
      <c r="JZ8" s="143">
        <v>0.13800000000000001</v>
      </c>
      <c r="KA8" s="19">
        <v>6971.8984100000034</v>
      </c>
      <c r="KB8" s="17"/>
      <c r="KC8" s="114" t="s">
        <v>541</v>
      </c>
      <c r="KD8" s="151">
        <v>-0.21984000000000001</v>
      </c>
      <c r="KE8" s="18">
        <v>173.94732000000008</v>
      </c>
      <c r="KF8" s="18">
        <v>27.9832</v>
      </c>
      <c r="KG8" s="18">
        <v>0</v>
      </c>
      <c r="KH8" s="18">
        <v>0</v>
      </c>
      <c r="KI8" s="19">
        <v>201.71068000000008</v>
      </c>
      <c r="KJ8" s="28">
        <v>219.11616000000001</v>
      </c>
      <c r="KK8" s="18">
        <v>5386.9883800000016</v>
      </c>
      <c r="KL8" s="18">
        <v>1330.4021500000003</v>
      </c>
      <c r="KM8" s="51">
        <v>236.96439999999998</v>
      </c>
      <c r="KN8" s="143">
        <v>0.13800000000000001</v>
      </c>
      <c r="KO8" s="19">
        <v>7173.6090900000017</v>
      </c>
      <c r="KP8" s="17"/>
      <c r="KQ8" s="114" t="s">
        <v>541</v>
      </c>
      <c r="KR8" s="31">
        <v>47.631999999999998</v>
      </c>
      <c r="KS8" s="18">
        <v>215.21514999999999</v>
      </c>
      <c r="KT8" s="18">
        <v>55.9664</v>
      </c>
      <c r="KU8" s="18">
        <v>17.0108</v>
      </c>
      <c r="KV8" s="18">
        <v>0</v>
      </c>
      <c r="KW8" s="19">
        <v>335.82435000000004</v>
      </c>
      <c r="KX8" s="28">
        <v>266.74816000000004</v>
      </c>
      <c r="KY8" s="18">
        <v>5706.6691100000044</v>
      </c>
      <c r="KZ8" s="18">
        <v>1395.20535</v>
      </c>
      <c r="LA8" s="51">
        <v>253.97519999999997</v>
      </c>
      <c r="LB8" s="143">
        <v>0.13800000000000001</v>
      </c>
      <c r="LC8" s="19">
        <v>7622.7358200000044</v>
      </c>
      <c r="LD8" s="17">
        <f t="shared" si="1"/>
        <v>0</v>
      </c>
      <c r="LE8" s="17">
        <f t="shared" si="0"/>
        <v>104.46558000000277</v>
      </c>
      <c r="LF8" s="17">
        <f t="shared" si="0"/>
        <v>8.8367999999995845</v>
      </c>
      <c r="LG8" s="17">
        <f t="shared" si="0"/>
        <v>0</v>
      </c>
      <c r="LH8" s="17">
        <f t="shared" si="0"/>
        <v>0</v>
      </c>
      <c r="LI8" s="17">
        <f t="shared" si="0"/>
        <v>113.30238000000281</v>
      </c>
    </row>
    <row r="9" spans="2:321" x14ac:dyDescent="0.3">
      <c r="B9" s="114" t="s">
        <v>542</v>
      </c>
      <c r="C9" s="31">
        <v>51.515999999999998</v>
      </c>
      <c r="D9" s="18">
        <v>177.3982</v>
      </c>
      <c r="E9" s="18">
        <v>9.4283000000000001</v>
      </c>
      <c r="F9" s="18">
        <v>0</v>
      </c>
      <c r="G9" s="18">
        <v>4.1268000000000002</v>
      </c>
      <c r="H9" s="19">
        <v>242.4693</v>
      </c>
      <c r="I9" s="28">
        <v>51.515999999999998</v>
      </c>
      <c r="J9" s="18">
        <v>177.3982</v>
      </c>
      <c r="K9" s="18">
        <v>9.4283000000000001</v>
      </c>
      <c r="L9" s="18">
        <v>0</v>
      </c>
      <c r="M9" s="51">
        <v>4.1268000000000002</v>
      </c>
      <c r="N9" s="19">
        <v>242.4693</v>
      </c>
      <c r="P9" s="114" t="s">
        <v>542</v>
      </c>
      <c r="Q9" s="31">
        <v>0</v>
      </c>
      <c r="R9" s="18">
        <v>340.88761</v>
      </c>
      <c r="S9" s="18">
        <v>41.022799999999997</v>
      </c>
      <c r="T9" s="18">
        <v>0</v>
      </c>
      <c r="U9" s="18">
        <v>4.7166999999999994</v>
      </c>
      <c r="V9" s="18">
        <v>4.0399999999999998E-2</v>
      </c>
      <c r="W9" s="19">
        <v>386.66750999999999</v>
      </c>
      <c r="X9" s="28">
        <v>51.515999999999998</v>
      </c>
      <c r="Y9" s="18">
        <v>518.28580999999997</v>
      </c>
      <c r="Z9" s="18">
        <v>50.451099999999997</v>
      </c>
      <c r="AA9" s="18">
        <v>0</v>
      </c>
      <c r="AB9" s="51">
        <v>8.8435000000000006</v>
      </c>
      <c r="AC9" s="142">
        <v>4.0399999999999998E-2</v>
      </c>
      <c r="AD9" s="19">
        <v>629.13680999999985</v>
      </c>
      <c r="AE9" s="17"/>
      <c r="AF9" s="114" t="s">
        <v>542</v>
      </c>
      <c r="AG9" s="31">
        <v>0</v>
      </c>
      <c r="AH9" s="18">
        <v>278.12049999999994</v>
      </c>
      <c r="AI9" s="18">
        <v>36.772399999999998</v>
      </c>
      <c r="AJ9" s="18">
        <v>0</v>
      </c>
      <c r="AK9" s="18">
        <v>6.8114399999999993</v>
      </c>
      <c r="AL9" s="18">
        <v>0</v>
      </c>
      <c r="AM9" s="19">
        <v>321.70433999999995</v>
      </c>
      <c r="AN9" s="28">
        <v>51.515999999999998</v>
      </c>
      <c r="AO9" s="18">
        <v>796.40630999999996</v>
      </c>
      <c r="AP9" s="18">
        <v>87.223499999999973</v>
      </c>
      <c r="AQ9" s="18">
        <v>0</v>
      </c>
      <c r="AR9" s="51">
        <v>15.65494</v>
      </c>
      <c r="AS9" s="142">
        <v>4.0399999999999998E-2</v>
      </c>
      <c r="AT9" s="19">
        <v>950.84114999999986</v>
      </c>
      <c r="AU9" s="17"/>
      <c r="AV9" s="114" t="s">
        <v>542</v>
      </c>
      <c r="AW9" s="31">
        <v>0</v>
      </c>
      <c r="AX9" s="18">
        <v>273.72827999999998</v>
      </c>
      <c r="AY9" s="18">
        <v>29.373399999999993</v>
      </c>
      <c r="AZ9" s="18">
        <v>0</v>
      </c>
      <c r="BA9" s="18">
        <v>4.9691999999999998</v>
      </c>
      <c r="BB9" s="18">
        <v>0</v>
      </c>
      <c r="BC9" s="19">
        <v>308.07087999999999</v>
      </c>
      <c r="BD9" s="28">
        <v>51.515999999999998</v>
      </c>
      <c r="BE9" s="18">
        <v>1070.1345900000001</v>
      </c>
      <c r="BF9" s="18">
        <v>116.59689999999996</v>
      </c>
      <c r="BG9" s="18">
        <v>0</v>
      </c>
      <c r="BH9" s="51">
        <v>20.624140000000001</v>
      </c>
      <c r="BI9" s="142">
        <v>4.0399999999999998E-2</v>
      </c>
      <c r="BJ9" s="19">
        <v>1258.9120300000002</v>
      </c>
      <c r="BK9" s="17"/>
      <c r="BL9" s="114" t="s">
        <v>542</v>
      </c>
      <c r="BM9" s="31">
        <v>0</v>
      </c>
      <c r="BN9" s="18">
        <v>320.38929999999993</v>
      </c>
      <c r="BO9" s="18">
        <v>2.6446000000000001</v>
      </c>
      <c r="BP9" s="18">
        <v>0</v>
      </c>
      <c r="BQ9" s="18">
        <v>5.1792800000000003</v>
      </c>
      <c r="BR9" s="18">
        <v>2.0199999999999999E-2</v>
      </c>
      <c r="BS9" s="19">
        <v>328.23337999999995</v>
      </c>
      <c r="BT9" s="28">
        <v>51.515999999999998</v>
      </c>
      <c r="BU9" s="18">
        <v>1390.5238900000002</v>
      </c>
      <c r="BV9" s="18">
        <v>119.24149999999996</v>
      </c>
      <c r="BW9" s="18">
        <v>0</v>
      </c>
      <c r="BX9" s="51">
        <v>25.803420000000003</v>
      </c>
      <c r="BY9" s="142">
        <v>6.0599999999999994E-2</v>
      </c>
      <c r="BZ9" s="19">
        <v>1587.1454100000001</v>
      </c>
      <c r="CA9" s="17"/>
      <c r="CB9" s="17"/>
      <c r="CC9" s="114" t="s">
        <v>542</v>
      </c>
      <c r="CD9" s="31">
        <v>0</v>
      </c>
      <c r="CE9" s="18">
        <v>263.69349999999991</v>
      </c>
      <c r="CF9" s="18">
        <v>21.145599999999995</v>
      </c>
      <c r="CG9" s="18">
        <v>0</v>
      </c>
      <c r="CH9" s="18">
        <v>5.9589999999999996</v>
      </c>
      <c r="CI9" s="18">
        <v>0</v>
      </c>
      <c r="CJ9" s="19">
        <v>290.79809999999992</v>
      </c>
      <c r="CK9" s="28">
        <v>51.515999999999998</v>
      </c>
      <c r="CL9" s="18">
        <v>1654.21739</v>
      </c>
      <c r="CM9" s="18">
        <v>140.38709999999998</v>
      </c>
      <c r="CN9" s="18">
        <v>0</v>
      </c>
      <c r="CO9" s="51">
        <v>31.762419999999999</v>
      </c>
      <c r="CP9" s="51">
        <v>6.0599999999999994E-2</v>
      </c>
      <c r="CQ9" s="19">
        <v>1877.9435100000001</v>
      </c>
      <c r="CR9" s="17"/>
      <c r="CS9" s="114" t="s">
        <v>542</v>
      </c>
      <c r="CT9" s="31">
        <v>0</v>
      </c>
      <c r="CU9" s="18">
        <v>332.62250000000006</v>
      </c>
      <c r="CV9" s="18">
        <v>31.327099999999994</v>
      </c>
      <c r="CW9" s="18">
        <v>0</v>
      </c>
      <c r="CX9" s="18">
        <v>0.40400000000000003</v>
      </c>
      <c r="CY9" s="18">
        <v>0</v>
      </c>
      <c r="CZ9" s="19">
        <v>364.35360000000003</v>
      </c>
      <c r="DA9" s="28">
        <v>51.515999999999998</v>
      </c>
      <c r="DB9" s="18">
        <v>2534.2002699999998</v>
      </c>
      <c r="DC9" s="18">
        <v>245.8946</v>
      </c>
      <c r="DD9" s="18">
        <v>0</v>
      </c>
      <c r="DE9" s="51">
        <v>41.17763999999999</v>
      </c>
      <c r="DF9" s="142">
        <v>6.0599999999999994E-2</v>
      </c>
      <c r="DG9" s="19">
        <v>2872.8491099999997</v>
      </c>
      <c r="DI9" s="114" t="s">
        <v>542</v>
      </c>
      <c r="DJ9" s="31">
        <v>0</v>
      </c>
      <c r="DK9" s="18">
        <v>391.13200000000001</v>
      </c>
      <c r="DL9" s="18">
        <v>56.852499999999992</v>
      </c>
      <c r="DM9" s="18">
        <v>0</v>
      </c>
      <c r="DN9" s="18">
        <v>3.9026399999999999</v>
      </c>
      <c r="DO9" s="18">
        <v>0</v>
      </c>
      <c r="DP9" s="19">
        <v>451.88714000000004</v>
      </c>
      <c r="DQ9" s="28">
        <v>51.515999999999998</v>
      </c>
      <c r="DR9" s="18">
        <v>2925.3322699999994</v>
      </c>
      <c r="DS9" s="18">
        <v>302.74710000000005</v>
      </c>
      <c r="DT9" s="18">
        <v>0</v>
      </c>
      <c r="DU9" s="51">
        <v>45.080279999999995</v>
      </c>
      <c r="DV9" s="142">
        <v>6.0599999999999994E-2</v>
      </c>
      <c r="DW9" s="19">
        <v>3324.7362499999995</v>
      </c>
      <c r="DX9" s="17"/>
      <c r="DY9" s="114" t="s">
        <v>542</v>
      </c>
      <c r="DZ9" s="31">
        <v>0</v>
      </c>
      <c r="EA9" s="18">
        <v>254.71669999999995</v>
      </c>
      <c r="EB9" s="18">
        <v>37.316999999999993</v>
      </c>
      <c r="EC9" s="18">
        <v>0</v>
      </c>
      <c r="ED9" s="18">
        <v>5.2923999999999998</v>
      </c>
      <c r="EE9" s="18">
        <v>0</v>
      </c>
      <c r="EF9" s="19">
        <v>297.32609999999994</v>
      </c>
      <c r="EG9" s="28">
        <v>51.515999999999998</v>
      </c>
      <c r="EH9" s="18">
        <v>3180.0489699999998</v>
      </c>
      <c r="EI9" s="18">
        <v>340.06410000000005</v>
      </c>
      <c r="EJ9" s="18">
        <v>0</v>
      </c>
      <c r="EK9" s="51">
        <v>50.372679999999995</v>
      </c>
      <c r="EL9" s="142">
        <v>6.0599999999999994E-2</v>
      </c>
      <c r="EM9" s="19">
        <v>3622.0623499999997</v>
      </c>
      <c r="EN9" s="17"/>
      <c r="EO9" s="114" t="s">
        <v>542</v>
      </c>
      <c r="EP9" s="31">
        <v>0</v>
      </c>
      <c r="EQ9" s="18">
        <v>332.05450999999988</v>
      </c>
      <c r="ER9" s="18">
        <v>35.778399999999991</v>
      </c>
      <c r="ES9" s="18">
        <v>0</v>
      </c>
      <c r="ET9" s="18">
        <v>0</v>
      </c>
      <c r="EU9" s="18">
        <v>0</v>
      </c>
      <c r="EV9" s="19">
        <v>367.83290999999986</v>
      </c>
      <c r="EW9" s="28">
        <v>51.515999999999998</v>
      </c>
      <c r="EX9" s="18">
        <v>3512.1034799999989</v>
      </c>
      <c r="EY9" s="18">
        <v>375.84249999999997</v>
      </c>
      <c r="EZ9" s="18">
        <v>0</v>
      </c>
      <c r="FA9" s="51">
        <v>50.372679999999995</v>
      </c>
      <c r="FB9" s="143">
        <v>6.0599999999999994E-2</v>
      </c>
      <c r="FC9" s="19">
        <v>3989.8952599999989</v>
      </c>
      <c r="FD9" s="17"/>
      <c r="FE9" s="114" t="s">
        <v>542</v>
      </c>
      <c r="FF9" s="31">
        <v>0</v>
      </c>
      <c r="FG9" s="18">
        <v>342.2405</v>
      </c>
      <c r="FH9" s="18">
        <v>31.065300000000001</v>
      </c>
      <c r="FI9" s="18">
        <v>0</v>
      </c>
      <c r="FJ9" s="18">
        <v>6.5609599999999997</v>
      </c>
      <c r="FK9" s="18">
        <v>0</v>
      </c>
      <c r="FL9" s="19">
        <v>379.86676</v>
      </c>
      <c r="FM9" s="28">
        <v>51.515999999999998</v>
      </c>
      <c r="FN9" s="18">
        <v>3854.3439799999978</v>
      </c>
      <c r="FO9" s="18">
        <v>406.90780000000007</v>
      </c>
      <c r="FP9" s="18">
        <v>0</v>
      </c>
      <c r="FQ9" s="51">
        <v>56.93363999999999</v>
      </c>
      <c r="FR9" s="143">
        <v>6.0599999999999994E-2</v>
      </c>
      <c r="FS9" s="19">
        <v>4369.7620199999983</v>
      </c>
      <c r="FT9" s="17"/>
      <c r="FU9" s="114" t="s">
        <v>542</v>
      </c>
      <c r="FV9" s="31">
        <v>0</v>
      </c>
      <c r="FW9" s="18">
        <v>333.26369999999991</v>
      </c>
      <c r="FX9" s="18">
        <v>25.157999999999994</v>
      </c>
      <c r="FY9" s="18">
        <v>3.7854800000000002</v>
      </c>
      <c r="FZ9" s="18">
        <v>0</v>
      </c>
      <c r="GA9" s="19">
        <v>362.20717999999994</v>
      </c>
      <c r="GB9" s="28">
        <v>51.515999999999998</v>
      </c>
      <c r="GC9" s="18">
        <v>4187.6076799999964</v>
      </c>
      <c r="GD9" s="18">
        <v>432.06580000000002</v>
      </c>
      <c r="GE9" s="51">
        <v>60.71911999999999</v>
      </c>
      <c r="GF9" s="143">
        <v>6.0599999999999994E-2</v>
      </c>
      <c r="GG9" s="19">
        <v>4731.9691999999959</v>
      </c>
      <c r="GH9" s="17"/>
      <c r="GI9" s="114" t="s">
        <v>542</v>
      </c>
      <c r="GJ9" s="31">
        <v>0</v>
      </c>
      <c r="GK9" s="18">
        <v>299.6006999999999</v>
      </c>
      <c r="GL9" s="18">
        <v>37.105599999999988</v>
      </c>
      <c r="GM9" s="18">
        <v>15.51764</v>
      </c>
      <c r="GN9" s="18">
        <v>0</v>
      </c>
      <c r="GO9" s="19">
        <v>352.22393999999986</v>
      </c>
      <c r="GP9" s="28">
        <v>51.515999999999998</v>
      </c>
      <c r="GQ9" s="18">
        <v>4487.2083799999964</v>
      </c>
      <c r="GR9" s="18">
        <v>469.17140000000001</v>
      </c>
      <c r="GS9" s="51">
        <v>76.236760000000004</v>
      </c>
      <c r="GT9" s="143">
        <v>6.0599999999999994E-2</v>
      </c>
      <c r="GU9" s="19">
        <v>5084.1931399999958</v>
      </c>
      <c r="GV9" s="17"/>
      <c r="GW9" s="114" t="s">
        <v>542</v>
      </c>
      <c r="GX9" s="31">
        <v>114.57</v>
      </c>
      <c r="GY9" s="18">
        <v>370.29299999999995</v>
      </c>
      <c r="GZ9" s="18">
        <v>30.370200000000001</v>
      </c>
      <c r="HA9" s="18">
        <v>0</v>
      </c>
      <c r="HB9" s="18">
        <v>0</v>
      </c>
      <c r="HC9" s="19">
        <v>515.2331999999999</v>
      </c>
      <c r="HD9" s="28">
        <v>166.08600000000001</v>
      </c>
      <c r="HE9" s="18">
        <v>4857.501379999997</v>
      </c>
      <c r="HF9" s="18">
        <v>499.54160000000007</v>
      </c>
      <c r="HG9" s="51">
        <v>76.236760000000004</v>
      </c>
      <c r="HH9" s="143">
        <v>6.0599999999999994E-2</v>
      </c>
      <c r="HI9" s="19">
        <v>5599.4263399999973</v>
      </c>
      <c r="HJ9" s="17"/>
      <c r="HK9" s="114" t="s">
        <v>542</v>
      </c>
      <c r="HL9" s="31">
        <v>0</v>
      </c>
      <c r="HM9" s="18">
        <v>311.94380000000001</v>
      </c>
      <c r="HN9" s="18">
        <v>25.484199999999994</v>
      </c>
      <c r="HO9" s="18">
        <v>3.21584</v>
      </c>
      <c r="HP9" s="18">
        <v>0</v>
      </c>
      <c r="HQ9" s="19">
        <v>340.64384000000001</v>
      </c>
      <c r="HR9" s="28">
        <v>166.08600000000001</v>
      </c>
      <c r="HS9" s="18">
        <v>5169.4451799999979</v>
      </c>
      <c r="HT9" s="18">
        <v>525.0258</v>
      </c>
      <c r="HU9" s="51">
        <v>79.452600000000004</v>
      </c>
      <c r="HV9" s="143">
        <v>6.0599999999999994E-2</v>
      </c>
      <c r="HW9" s="19">
        <v>5940.0701799999979</v>
      </c>
      <c r="HX9" s="17"/>
      <c r="HY9" s="114" t="s">
        <v>542</v>
      </c>
      <c r="HZ9" s="31">
        <v>0</v>
      </c>
      <c r="IA9" s="18">
        <v>313.06589999999994</v>
      </c>
      <c r="IB9" s="18">
        <v>40.092499999999994</v>
      </c>
      <c r="IC9" s="18">
        <v>6.2539199999999999</v>
      </c>
      <c r="ID9" s="18">
        <v>0</v>
      </c>
      <c r="IE9" s="19">
        <v>359.41231999999991</v>
      </c>
      <c r="IF9" s="28">
        <v>166.08600000000001</v>
      </c>
      <c r="IG9" s="18">
        <v>5482.5110799999975</v>
      </c>
      <c r="IH9" s="18">
        <v>565.11830000000009</v>
      </c>
      <c r="II9" s="51">
        <v>85.706519999999998</v>
      </c>
      <c r="IJ9" s="143">
        <v>6.0599999999999994E-2</v>
      </c>
      <c r="IK9" s="19">
        <v>6299.4824999999973</v>
      </c>
      <c r="IL9" s="17"/>
      <c r="IM9" s="114" t="s">
        <v>542</v>
      </c>
      <c r="IN9" s="31">
        <v>0</v>
      </c>
      <c r="IO9" s="18">
        <v>288.37969999999996</v>
      </c>
      <c r="IP9" s="18">
        <v>37.174199999999992</v>
      </c>
      <c r="IQ9" s="18">
        <v>6.7871999999999995</v>
      </c>
      <c r="IR9" s="18">
        <v>0</v>
      </c>
      <c r="IS9" s="19">
        <v>332.34109999999993</v>
      </c>
      <c r="IT9" s="28">
        <v>166.08600000000001</v>
      </c>
      <c r="IU9" s="18">
        <v>5770.8907799999979</v>
      </c>
      <c r="IV9" s="18">
        <v>602.29249999999979</v>
      </c>
      <c r="IW9" s="51">
        <v>92.493720000000025</v>
      </c>
      <c r="IX9" s="143">
        <v>6.0599999999999994E-2</v>
      </c>
      <c r="IY9" s="19">
        <v>6631.8235999999979</v>
      </c>
      <c r="IZ9" s="17"/>
      <c r="JA9" s="114" t="s">
        <v>542</v>
      </c>
      <c r="JB9" s="31">
        <v>68.742000000000004</v>
      </c>
      <c r="JC9" s="18">
        <v>384.03469999999993</v>
      </c>
      <c r="JD9" s="18">
        <v>15.908199999999997</v>
      </c>
      <c r="JE9" s="18">
        <v>4.5247999999999999</v>
      </c>
      <c r="JF9" s="18">
        <v>0</v>
      </c>
      <c r="JG9" s="19">
        <v>473.2097</v>
      </c>
      <c r="JH9" s="28">
        <v>234.828</v>
      </c>
      <c r="JI9" s="18">
        <v>6154.9254799999999</v>
      </c>
      <c r="JJ9" s="18">
        <v>618.20069999999987</v>
      </c>
      <c r="JK9" s="51">
        <v>97.018520000000038</v>
      </c>
      <c r="JL9" s="143">
        <v>6.0599999999999994E-2</v>
      </c>
      <c r="JM9" s="19">
        <v>7105.0333000000001</v>
      </c>
      <c r="JN9" s="17"/>
      <c r="JO9" s="114" t="s">
        <v>542</v>
      </c>
      <c r="JP9" s="31">
        <v>0</v>
      </c>
      <c r="JQ9" s="18">
        <v>285.97519999999997</v>
      </c>
      <c r="JR9" s="18">
        <v>16.657199999999996</v>
      </c>
      <c r="JS9" s="18">
        <v>6.5609599999999997</v>
      </c>
      <c r="JT9" s="18">
        <v>0</v>
      </c>
      <c r="JU9" s="19">
        <v>309.19335999999998</v>
      </c>
      <c r="JV9" s="28">
        <v>234.828</v>
      </c>
      <c r="JW9" s="18">
        <v>6440.9006799999997</v>
      </c>
      <c r="JX9" s="18">
        <v>634.85789999999974</v>
      </c>
      <c r="JY9" s="51">
        <v>103.57948000000005</v>
      </c>
      <c r="JZ9" s="143">
        <v>6.0599999999999994E-2</v>
      </c>
      <c r="KA9" s="19">
        <v>7414.2266600000003</v>
      </c>
      <c r="KB9" s="17"/>
      <c r="KC9" s="114" t="s">
        <v>542</v>
      </c>
      <c r="KD9" s="151">
        <v>-0.22913999999999998</v>
      </c>
      <c r="KE9" s="18">
        <v>229.98359999999994</v>
      </c>
      <c r="KF9" s="18">
        <v>27.477799999999995</v>
      </c>
      <c r="KG9" s="18">
        <v>0</v>
      </c>
      <c r="KH9" s="18">
        <v>0</v>
      </c>
      <c r="KI9" s="19">
        <v>257.23225999999994</v>
      </c>
      <c r="KJ9" s="28">
        <v>234.59885999999997</v>
      </c>
      <c r="KK9" s="18">
        <v>6670.8842799999993</v>
      </c>
      <c r="KL9" s="18">
        <v>662.33569999999986</v>
      </c>
      <c r="KM9" s="51">
        <v>103.57948000000005</v>
      </c>
      <c r="KN9" s="143">
        <v>6.0599999999999994E-2</v>
      </c>
      <c r="KO9" s="19">
        <v>7671.4589199999991</v>
      </c>
      <c r="KP9" s="17"/>
      <c r="KQ9" s="114" t="s">
        <v>542</v>
      </c>
      <c r="KR9" s="31">
        <v>49.646999999999998</v>
      </c>
      <c r="KS9" s="18">
        <v>275.55534999999998</v>
      </c>
      <c r="KT9" s="18">
        <v>54.955599999999997</v>
      </c>
      <c r="KU9" s="18">
        <v>7.4699600000000004</v>
      </c>
      <c r="KV9" s="18">
        <v>0</v>
      </c>
      <c r="KW9" s="19">
        <v>387.62790999999999</v>
      </c>
      <c r="KX9" s="28">
        <v>284.24585999999999</v>
      </c>
      <c r="KY9" s="18">
        <v>7075.3528900000038</v>
      </c>
      <c r="KZ9" s="18">
        <v>725.96849999999972</v>
      </c>
      <c r="LA9" s="51">
        <v>111.04944000000005</v>
      </c>
      <c r="LB9" s="143">
        <v>6.0599999999999994E-2</v>
      </c>
      <c r="LC9" s="19">
        <v>8196.6772900000051</v>
      </c>
      <c r="LD9" s="17">
        <f t="shared" si="1"/>
        <v>0</v>
      </c>
      <c r="LE9" s="17">
        <f t="shared" si="0"/>
        <v>128.91326000000481</v>
      </c>
      <c r="LF9" s="17">
        <f t="shared" si="0"/>
        <v>8.677199999999857</v>
      </c>
      <c r="LG9" s="17">
        <f t="shared" si="0"/>
        <v>0</v>
      </c>
      <c r="LH9" s="17">
        <f t="shared" si="0"/>
        <v>0</v>
      </c>
      <c r="LI9" s="17">
        <f t="shared" si="0"/>
        <v>137.59046000000581</v>
      </c>
    </row>
    <row r="10" spans="2:321" ht="15" thickBot="1" x14ac:dyDescent="0.35">
      <c r="B10" s="118" t="s">
        <v>543</v>
      </c>
      <c r="C10" s="31">
        <v>192.34800000000007</v>
      </c>
      <c r="D10" s="18">
        <v>35.895300000000361</v>
      </c>
      <c r="E10" s="18">
        <v>-3.0009000000000583</v>
      </c>
      <c r="F10" s="18">
        <v>0</v>
      </c>
      <c r="G10" s="18">
        <v>33.686000000000035</v>
      </c>
      <c r="H10" s="19">
        <v>258.92839999999978</v>
      </c>
      <c r="I10" s="28">
        <v>192.34800000000007</v>
      </c>
      <c r="J10" s="28">
        <v>35.895300000000361</v>
      </c>
      <c r="K10" s="28">
        <v>-3.0009000000000583</v>
      </c>
      <c r="L10" s="28">
        <v>0</v>
      </c>
      <c r="M10" s="82">
        <v>33.686000000000035</v>
      </c>
      <c r="N10" s="19">
        <v>258.92839999999978</v>
      </c>
      <c r="P10" s="118" t="s">
        <v>543</v>
      </c>
      <c r="Q10" s="31">
        <v>0</v>
      </c>
      <c r="R10" s="18">
        <v>111.97636999999986</v>
      </c>
      <c r="S10" s="18">
        <v>67.660600000000045</v>
      </c>
      <c r="T10" s="18">
        <v>0</v>
      </c>
      <c r="U10" s="18">
        <v>20.937250000000006</v>
      </c>
      <c r="V10" s="18">
        <v>1.0499999999999998</v>
      </c>
      <c r="W10" s="19">
        <v>201.6242199999997</v>
      </c>
      <c r="X10" s="28">
        <v>192.34800000000007</v>
      </c>
      <c r="Y10" s="28">
        <v>147.87166999999954</v>
      </c>
      <c r="Z10" s="28">
        <v>64.659700000000157</v>
      </c>
      <c r="AA10" s="28">
        <v>0</v>
      </c>
      <c r="AB10" s="82">
        <v>54.623250000000098</v>
      </c>
      <c r="AC10" s="82">
        <v>1.0499999999999998</v>
      </c>
      <c r="AD10" s="19">
        <v>460.55261999999948</v>
      </c>
      <c r="AE10" s="17"/>
      <c r="AF10" s="118" t="s">
        <v>543</v>
      </c>
      <c r="AG10" s="31">
        <v>0</v>
      </c>
      <c r="AH10" s="18">
        <v>131.49375000000009</v>
      </c>
      <c r="AI10" s="18">
        <v>33.935650000000123</v>
      </c>
      <c r="AJ10" s="18">
        <v>0</v>
      </c>
      <c r="AK10" s="18">
        <v>36.876679999999851</v>
      </c>
      <c r="AL10" s="18">
        <v>0</v>
      </c>
      <c r="AM10" s="19">
        <v>202.30608000000029</v>
      </c>
      <c r="AN10" s="28">
        <v>192.34800000000007</v>
      </c>
      <c r="AO10" s="28">
        <v>279.36541999999645</v>
      </c>
      <c r="AP10" s="28">
        <v>98.595350000000053</v>
      </c>
      <c r="AQ10" s="28">
        <v>0</v>
      </c>
      <c r="AR10" s="82">
        <v>91.499929999999949</v>
      </c>
      <c r="AS10" s="82">
        <v>1.0499999999999998</v>
      </c>
      <c r="AT10" s="19">
        <v>662.85869999999886</v>
      </c>
      <c r="AU10" s="17"/>
      <c r="AV10" s="118" t="s">
        <v>543</v>
      </c>
      <c r="AW10" s="31">
        <v>0</v>
      </c>
      <c r="AX10" s="18">
        <v>164.64460000000099</v>
      </c>
      <c r="AY10" s="18">
        <v>64.639400000000137</v>
      </c>
      <c r="AZ10" s="18">
        <v>0</v>
      </c>
      <c r="BA10" s="18">
        <v>24.768600000000049</v>
      </c>
      <c r="BB10" s="18">
        <v>0</v>
      </c>
      <c r="BC10" s="19">
        <v>254.05260000000089</v>
      </c>
      <c r="BD10" s="28">
        <v>192.34800000000007</v>
      </c>
      <c r="BE10" s="28">
        <v>444.01001999999971</v>
      </c>
      <c r="BF10" s="28">
        <v>163.23475000000008</v>
      </c>
      <c r="BG10" s="28">
        <v>0</v>
      </c>
      <c r="BH10" s="82">
        <v>116.26853000000028</v>
      </c>
      <c r="BI10" s="82">
        <v>1.0499999999999998</v>
      </c>
      <c r="BJ10" s="19">
        <v>916.91129999999612</v>
      </c>
      <c r="BK10" s="17"/>
      <c r="BL10" s="118" t="s">
        <v>543</v>
      </c>
      <c r="BM10" s="31">
        <v>0</v>
      </c>
      <c r="BN10" s="18">
        <v>176.20365000000129</v>
      </c>
      <c r="BO10" s="18">
        <v>-4.0544000000000153</v>
      </c>
      <c r="BP10" s="18">
        <v>0</v>
      </c>
      <c r="BQ10" s="18">
        <v>24.845470000000034</v>
      </c>
      <c r="BR10" s="18">
        <v>0.36649999999999983</v>
      </c>
      <c r="BS10" s="19">
        <v>197.36122000000069</v>
      </c>
      <c r="BT10" s="28">
        <v>192.34800000000007</v>
      </c>
      <c r="BU10" s="28">
        <v>620.21366999999736</v>
      </c>
      <c r="BV10" s="28">
        <v>159.18035000000054</v>
      </c>
      <c r="BW10" s="28">
        <v>0</v>
      </c>
      <c r="BX10" s="82">
        <v>141.11399999999958</v>
      </c>
      <c r="BY10" s="82">
        <v>1.4164999999999996</v>
      </c>
      <c r="BZ10" s="19">
        <v>1114.272519999995</v>
      </c>
      <c r="CA10" s="17"/>
      <c r="CB10" s="17"/>
      <c r="CC10" s="118" t="s">
        <v>543</v>
      </c>
      <c r="CD10" s="31">
        <v>0</v>
      </c>
      <c r="CE10" s="18">
        <v>170.30964999999924</v>
      </c>
      <c r="CF10" s="18">
        <v>41.627599999999973</v>
      </c>
      <c r="CG10" s="18">
        <v>0</v>
      </c>
      <c r="CH10" s="18">
        <v>31.135340000000042</v>
      </c>
      <c r="CI10" s="18">
        <v>0</v>
      </c>
      <c r="CJ10" s="19">
        <v>243.07258999999931</v>
      </c>
      <c r="CK10" s="28">
        <v>192.34800000000007</v>
      </c>
      <c r="CL10" s="28">
        <v>790.52332000000024</v>
      </c>
      <c r="CM10" s="28">
        <v>200.80794999999944</v>
      </c>
      <c r="CN10" s="28">
        <v>0</v>
      </c>
      <c r="CO10" s="82">
        <v>172.24933999999939</v>
      </c>
      <c r="CP10" s="82">
        <v>1.4164999999999996</v>
      </c>
      <c r="CQ10" s="19">
        <v>1357.3451099999984</v>
      </c>
      <c r="CR10" s="17"/>
      <c r="CS10" s="118" t="s">
        <v>543</v>
      </c>
      <c r="CT10" s="31">
        <v>0</v>
      </c>
      <c r="CU10" s="18">
        <v>194.81715000000167</v>
      </c>
      <c r="CV10" s="18">
        <v>56.295049999999947</v>
      </c>
      <c r="CW10" s="18">
        <v>0</v>
      </c>
      <c r="CX10" s="18">
        <v>2.8539999999999992</v>
      </c>
      <c r="CY10" s="18">
        <v>0</v>
      </c>
      <c r="CZ10" s="19">
        <v>253.96620000000166</v>
      </c>
      <c r="DA10" s="28">
        <v>192.34800000000007</v>
      </c>
      <c r="DB10" s="28">
        <v>1296.9703200000149</v>
      </c>
      <c r="DC10" s="28">
        <v>405.02700000000004</v>
      </c>
      <c r="DD10" s="28">
        <v>0</v>
      </c>
      <c r="DE10" s="82">
        <v>226.37474999999949</v>
      </c>
      <c r="DF10" s="82">
        <v>1.4164999999999996</v>
      </c>
      <c r="DG10" s="19">
        <v>2122.1365700000097</v>
      </c>
      <c r="DI10" s="118" t="s">
        <v>543</v>
      </c>
      <c r="DJ10" s="31">
        <v>0</v>
      </c>
      <c r="DK10" s="18">
        <v>191.96610000000146</v>
      </c>
      <c r="DL10" s="18">
        <v>119.46469999999977</v>
      </c>
      <c r="DM10" s="18">
        <v>0</v>
      </c>
      <c r="DN10" s="18">
        <v>17.484599999999944</v>
      </c>
      <c r="DO10" s="18">
        <v>0</v>
      </c>
      <c r="DP10" s="19">
        <v>328.91540000000077</v>
      </c>
      <c r="DQ10" s="28">
        <v>192.34800000000007</v>
      </c>
      <c r="DR10" s="28">
        <v>1488.9364199999982</v>
      </c>
      <c r="DS10" s="28">
        <v>524.49170000000049</v>
      </c>
      <c r="DT10" s="28">
        <v>0</v>
      </c>
      <c r="DU10" s="82">
        <v>243.85934999999881</v>
      </c>
      <c r="DV10" s="82">
        <v>1.4164999999999996</v>
      </c>
      <c r="DW10" s="19">
        <v>2451.0519699999932</v>
      </c>
      <c r="DX10" s="17"/>
      <c r="DY10" s="118" t="s">
        <v>543</v>
      </c>
      <c r="DZ10" s="31">
        <v>0</v>
      </c>
      <c r="EA10" s="18">
        <v>151.6816000000008</v>
      </c>
      <c r="EB10" s="18">
        <v>55.18240000000003</v>
      </c>
      <c r="EC10" s="18">
        <v>0</v>
      </c>
      <c r="ED10" s="18">
        <v>23.711000000000013</v>
      </c>
      <c r="EE10" s="18">
        <v>0</v>
      </c>
      <c r="EF10" s="19">
        <v>230.57500000000164</v>
      </c>
      <c r="EG10" s="28">
        <v>192.34800000000007</v>
      </c>
      <c r="EH10" s="28">
        <v>1640.6180200000017</v>
      </c>
      <c r="EI10" s="28">
        <v>579.67410000000018</v>
      </c>
      <c r="EJ10" s="28">
        <v>0</v>
      </c>
      <c r="EK10" s="82">
        <v>267.57034999999905</v>
      </c>
      <c r="EL10" s="82">
        <v>1.4164999999999996</v>
      </c>
      <c r="EM10" s="19">
        <v>2681.6269700000048</v>
      </c>
      <c r="EN10" s="17"/>
      <c r="EO10" s="118" t="s">
        <v>543</v>
      </c>
      <c r="EP10" s="31">
        <v>0</v>
      </c>
      <c r="EQ10" s="18">
        <v>163.79602999999997</v>
      </c>
      <c r="ER10" s="18">
        <v>52.729600000000005</v>
      </c>
      <c r="ES10" s="18">
        <v>0</v>
      </c>
      <c r="ET10" s="18">
        <v>0</v>
      </c>
      <c r="EU10" s="18">
        <v>0</v>
      </c>
      <c r="EV10" s="19">
        <v>216.52563000000009</v>
      </c>
      <c r="EW10" s="28">
        <v>192.34800000000007</v>
      </c>
      <c r="EX10" s="28">
        <v>1804.4140500000067</v>
      </c>
      <c r="EY10" s="28">
        <v>632.40370000000075</v>
      </c>
      <c r="EZ10" s="28">
        <v>0</v>
      </c>
      <c r="FA10" s="82">
        <v>267.57034999999905</v>
      </c>
      <c r="FB10" s="146">
        <v>1.4164999999999996</v>
      </c>
      <c r="FC10" s="19">
        <v>2898.1526000000085</v>
      </c>
      <c r="FD10" s="17"/>
      <c r="FE10" s="118" t="s">
        <v>543</v>
      </c>
      <c r="FF10" s="31">
        <v>0</v>
      </c>
      <c r="FG10" s="18">
        <v>218.92674999999963</v>
      </c>
      <c r="FH10" s="18">
        <v>44.93649999999991</v>
      </c>
      <c r="FI10" s="18">
        <v>0</v>
      </c>
      <c r="FJ10" s="18">
        <v>29.394400000000019</v>
      </c>
      <c r="FK10" s="18">
        <v>0</v>
      </c>
      <c r="FL10" s="19">
        <v>293.25764999999956</v>
      </c>
      <c r="FM10" s="28">
        <v>192.34800000000007</v>
      </c>
      <c r="FN10" s="28">
        <v>2023.3408000000127</v>
      </c>
      <c r="FO10" s="28">
        <v>677.34019999999873</v>
      </c>
      <c r="FP10" s="28">
        <v>0</v>
      </c>
      <c r="FQ10" s="82">
        <v>296.96474999999828</v>
      </c>
      <c r="FR10" s="146">
        <v>1.4164999999999996</v>
      </c>
      <c r="FS10" s="19">
        <v>3191.4102500000081</v>
      </c>
      <c r="FT10" s="17"/>
      <c r="FU10" s="118" t="s">
        <v>543</v>
      </c>
      <c r="FV10" s="31">
        <v>0</v>
      </c>
      <c r="FW10" s="18">
        <v>195.66330000000062</v>
      </c>
      <c r="FX10" s="18">
        <v>30.005850000000009</v>
      </c>
      <c r="FY10" s="18">
        <v>14.026640000000043</v>
      </c>
      <c r="FZ10" s="18">
        <v>0</v>
      </c>
      <c r="GA10" s="19">
        <v>239.69578999999976</v>
      </c>
      <c r="GB10" s="28">
        <v>192.34800000000007</v>
      </c>
      <c r="GC10" s="28">
        <v>2219.0041000000347</v>
      </c>
      <c r="GD10" s="28">
        <v>707.34604999999829</v>
      </c>
      <c r="GE10" s="82">
        <v>310.99139000000014</v>
      </c>
      <c r="GF10" s="146">
        <v>1.4164999999999996</v>
      </c>
      <c r="GG10" s="19">
        <v>3431.1060400000351</v>
      </c>
      <c r="GH10" s="17"/>
      <c r="GI10" s="118" t="s">
        <v>543</v>
      </c>
      <c r="GJ10" s="31">
        <v>0</v>
      </c>
      <c r="GK10" s="18">
        <v>180.17370000000028</v>
      </c>
      <c r="GL10" s="18">
        <v>66.057600000000093</v>
      </c>
      <c r="GM10" s="18">
        <v>103.66960000000017</v>
      </c>
      <c r="GN10" s="18">
        <v>0</v>
      </c>
      <c r="GO10" s="19">
        <v>349.90090000000055</v>
      </c>
      <c r="GP10" s="28">
        <v>192.34800000000007</v>
      </c>
      <c r="GQ10" s="28">
        <v>2399.1778000000268</v>
      </c>
      <c r="GR10" s="28">
        <v>773.40365000000202</v>
      </c>
      <c r="GS10" s="82">
        <v>414.66099000000031</v>
      </c>
      <c r="GT10" s="146">
        <v>1.4164999999999996</v>
      </c>
      <c r="GU10" s="19">
        <v>3781.0069400000357</v>
      </c>
      <c r="GV10" s="17"/>
      <c r="GW10" s="118" t="s">
        <v>543</v>
      </c>
      <c r="GX10" s="31">
        <v>488.85000000000014</v>
      </c>
      <c r="GY10" s="18">
        <v>233.07165000000077</v>
      </c>
      <c r="GZ10" s="18">
        <v>70.795200000000023</v>
      </c>
      <c r="HA10" s="18">
        <v>0</v>
      </c>
      <c r="HB10" s="18">
        <v>0</v>
      </c>
      <c r="HC10" s="19">
        <v>792.71685000000161</v>
      </c>
      <c r="HD10" s="28">
        <v>681.19799999999987</v>
      </c>
      <c r="HE10" s="28">
        <v>2632.2494500000321</v>
      </c>
      <c r="HF10" s="28">
        <v>844.19885000000431</v>
      </c>
      <c r="HG10" s="82">
        <v>414.66099000000031</v>
      </c>
      <c r="HH10" s="146">
        <v>1.4164999999999996</v>
      </c>
      <c r="HI10" s="19">
        <v>4573.7237900000327</v>
      </c>
      <c r="HJ10" s="17"/>
      <c r="HK10" s="118" t="s">
        <v>543</v>
      </c>
      <c r="HL10" s="31">
        <v>0</v>
      </c>
      <c r="HM10" s="18">
        <v>130.84085000000096</v>
      </c>
      <c r="HN10" s="18">
        <v>51.741199999999935</v>
      </c>
      <c r="HO10" s="18">
        <v>21.33280000000002</v>
      </c>
      <c r="HP10" s="18">
        <v>0</v>
      </c>
      <c r="HQ10" s="19">
        <v>203.91485000000102</v>
      </c>
      <c r="HR10" s="28">
        <v>681.19799999999987</v>
      </c>
      <c r="HS10" s="28">
        <v>2763.0903000000617</v>
      </c>
      <c r="HT10" s="28">
        <v>895.94005000000288</v>
      </c>
      <c r="HU10" s="82">
        <v>435.99378999999954</v>
      </c>
      <c r="HV10" s="146">
        <v>1.4164999999999996</v>
      </c>
      <c r="HW10" s="19">
        <v>4777.6386400000629</v>
      </c>
      <c r="HX10" s="17"/>
      <c r="HY10" s="118" t="s">
        <v>543</v>
      </c>
      <c r="HZ10" s="31">
        <v>0</v>
      </c>
      <c r="IA10" s="18">
        <v>180.79005000000006</v>
      </c>
      <c r="IB10" s="18">
        <v>85.541050000000041</v>
      </c>
      <c r="IC10" s="18">
        <v>41.486400000000117</v>
      </c>
      <c r="ID10" s="18">
        <v>0</v>
      </c>
      <c r="IE10" s="19">
        <v>307.81750000000011</v>
      </c>
      <c r="IF10" s="28">
        <v>681.19799999999987</v>
      </c>
      <c r="IG10" s="28">
        <v>2943.8803500000577</v>
      </c>
      <c r="IH10" s="28">
        <v>981.48110000000452</v>
      </c>
      <c r="II10" s="82">
        <v>477.48019000000113</v>
      </c>
      <c r="IJ10" s="146">
        <v>1.4164999999999996</v>
      </c>
      <c r="IK10" s="19">
        <v>5085.456140000053</v>
      </c>
      <c r="IL10" s="17"/>
      <c r="IM10" s="118" t="s">
        <v>543</v>
      </c>
      <c r="IN10" s="31">
        <v>0</v>
      </c>
      <c r="IO10" s="18">
        <v>153.33010000000058</v>
      </c>
      <c r="IP10" s="18">
        <v>64.769599999999969</v>
      </c>
      <c r="IQ10" s="18">
        <v>45.024000000000115</v>
      </c>
      <c r="IR10" s="18">
        <v>0</v>
      </c>
      <c r="IS10" s="19">
        <v>263.1237000000001</v>
      </c>
      <c r="IT10" s="28">
        <v>681.19799999999987</v>
      </c>
      <c r="IU10" s="28">
        <v>3097.2104500000423</v>
      </c>
      <c r="IV10" s="28">
        <v>1046.2507000000023</v>
      </c>
      <c r="IW10" s="82">
        <v>522.50419000000147</v>
      </c>
      <c r="IX10" s="146">
        <v>1.4164999999999996</v>
      </c>
      <c r="IY10" s="19">
        <v>5348.5798400000494</v>
      </c>
      <c r="IZ10" s="17"/>
      <c r="JA10" s="118" t="s">
        <v>543</v>
      </c>
      <c r="JB10" s="31">
        <v>293.31000000000006</v>
      </c>
      <c r="JC10" s="18">
        <v>202.70425000000068</v>
      </c>
      <c r="JD10" s="18">
        <v>37.083200000000033</v>
      </c>
      <c r="JE10" s="18">
        <v>30.01600000000002</v>
      </c>
      <c r="JF10" s="18">
        <v>0</v>
      </c>
      <c r="JG10" s="19">
        <v>563.11344999999983</v>
      </c>
      <c r="JH10" s="28">
        <v>974.50800000000027</v>
      </c>
      <c r="JI10" s="28">
        <v>3299.914700000023</v>
      </c>
      <c r="JJ10" s="28">
        <v>1083.3338999999996</v>
      </c>
      <c r="JK10" s="82">
        <v>552.520190000002</v>
      </c>
      <c r="JL10" s="146">
        <v>1.4164999999999996</v>
      </c>
      <c r="JM10" s="19">
        <v>5911.6932900000247</v>
      </c>
      <c r="JN10" s="17"/>
      <c r="JO10" s="118" t="s">
        <v>543</v>
      </c>
      <c r="JP10" s="31">
        <v>0</v>
      </c>
      <c r="JQ10" s="18">
        <v>194.33920000000035</v>
      </c>
      <c r="JR10" s="18">
        <v>32.442200000000014</v>
      </c>
      <c r="JS10" s="18">
        <v>43.523199999999974</v>
      </c>
      <c r="JT10" s="18">
        <v>0</v>
      </c>
      <c r="JU10" s="19">
        <v>270.30460000000039</v>
      </c>
      <c r="JV10" s="28">
        <v>974.50800000000027</v>
      </c>
      <c r="JW10" s="28">
        <v>3494.2538999999961</v>
      </c>
      <c r="JX10" s="28">
        <v>1115.776100000001</v>
      </c>
      <c r="JY10" s="82">
        <v>596.04339000000255</v>
      </c>
      <c r="JZ10" s="146">
        <v>1.4164999999999996</v>
      </c>
      <c r="KA10" s="19">
        <v>6181.9978900000133</v>
      </c>
      <c r="KB10" s="17"/>
      <c r="KC10" s="118" t="s">
        <v>543</v>
      </c>
      <c r="KD10" s="151">
        <v>-0.97769999999999957</v>
      </c>
      <c r="KE10" s="18">
        <v>123.09332999999924</v>
      </c>
      <c r="KF10" s="18">
        <v>64.052799999999991</v>
      </c>
      <c r="KG10" s="18">
        <v>0</v>
      </c>
      <c r="KH10" s="18">
        <v>0</v>
      </c>
      <c r="KI10" s="19">
        <v>186.16842999999926</v>
      </c>
      <c r="KJ10" s="28">
        <v>973.5302999999999</v>
      </c>
      <c r="KK10" s="28">
        <v>3617.3472300000576</v>
      </c>
      <c r="KL10" s="28">
        <v>1179.8289000000022</v>
      </c>
      <c r="KM10" s="82">
        <v>596.04339000000255</v>
      </c>
      <c r="KN10" s="146">
        <v>1.4164999999999996</v>
      </c>
      <c r="KO10" s="19">
        <v>6368.1663200000621</v>
      </c>
      <c r="KP10" s="17"/>
      <c r="KQ10" s="118" t="s">
        <v>543</v>
      </c>
      <c r="KR10" s="31">
        <v>211.83499999999992</v>
      </c>
      <c r="KS10" s="18">
        <v>174.63215000000037</v>
      </c>
      <c r="KT10" s="18">
        <v>128.10559999999998</v>
      </c>
      <c r="KU10" s="18">
        <v>49.553200000000061</v>
      </c>
      <c r="KV10" s="18">
        <v>0</v>
      </c>
      <c r="KW10" s="19">
        <v>564.12595000000056</v>
      </c>
      <c r="KX10" s="28">
        <v>1185.3653000000008</v>
      </c>
      <c r="KY10" s="28">
        <v>3856.1567100000393</v>
      </c>
      <c r="KZ10" s="28">
        <v>1328.1617000000024</v>
      </c>
      <c r="LA10" s="82">
        <v>645.59659000000283</v>
      </c>
      <c r="LB10" s="146">
        <v>1.4164999999999996</v>
      </c>
      <c r="LC10" s="19">
        <v>7016.6968000000488</v>
      </c>
      <c r="LD10" s="17">
        <f t="shared" si="1"/>
        <v>1.0231815394945443E-12</v>
      </c>
      <c r="LE10" s="17">
        <f t="shared" si="0"/>
        <v>64.177329999981339</v>
      </c>
      <c r="LF10" s="17">
        <f t="shared" si="0"/>
        <v>20.227200000000266</v>
      </c>
      <c r="LG10" s="17">
        <f t="shared" si="0"/>
        <v>0</v>
      </c>
      <c r="LH10" s="17">
        <f t="shared" si="0"/>
        <v>0</v>
      </c>
      <c r="LI10" s="17">
        <f t="shared" si="0"/>
        <v>84.404529999986153</v>
      </c>
    </row>
    <row r="11" spans="2:321" ht="15" thickBot="1" x14ac:dyDescent="0.35">
      <c r="B11" s="116" t="s">
        <v>460</v>
      </c>
      <c r="C11" s="57">
        <v>0.24311780497793156</v>
      </c>
      <c r="D11" s="58">
        <v>1.942913305275238E-2</v>
      </c>
      <c r="E11" s="58">
        <v>-1.0958028730637706E-2</v>
      </c>
      <c r="F11" s="58" t="s">
        <v>478</v>
      </c>
      <c r="G11" s="58">
        <v>7.5171090884584804E-2</v>
      </c>
      <c r="H11" s="59">
        <v>7.704713720194295E-2</v>
      </c>
      <c r="I11" s="60">
        <v>0.24311780497793156</v>
      </c>
      <c r="J11" s="58">
        <v>1.942913305275238E-2</v>
      </c>
      <c r="K11" s="58">
        <v>-1.0958028730637706E-2</v>
      </c>
      <c r="L11" s="58" t="s">
        <v>478</v>
      </c>
      <c r="M11" s="61">
        <v>7.5171090884584804E-2</v>
      </c>
      <c r="N11" s="59">
        <v>7.704713720194295E-2</v>
      </c>
      <c r="P11" s="116" t="s">
        <v>460</v>
      </c>
      <c r="Q11" s="57" t="s">
        <v>478</v>
      </c>
      <c r="R11" s="58">
        <v>2.9216478859950303E-2</v>
      </c>
      <c r="S11" s="58">
        <v>7.2025657342730337E-2</v>
      </c>
      <c r="T11" s="58" t="s">
        <v>478</v>
      </c>
      <c r="U11" s="58">
        <v>5.6740876263033126E-2</v>
      </c>
      <c r="V11" s="58">
        <v>0.33223642576888995</v>
      </c>
      <c r="W11" s="59">
        <v>3.9194489731656103E-2</v>
      </c>
      <c r="X11" s="60">
        <v>0.24311780497793156</v>
      </c>
      <c r="Y11" s="58">
        <v>2.6033089032796219E-2</v>
      </c>
      <c r="Z11" s="58">
        <v>5.3294630668803862E-2</v>
      </c>
      <c r="AA11" s="58" t="s">
        <v>478</v>
      </c>
      <c r="AB11" s="61">
        <v>6.6848336793750823E-2</v>
      </c>
      <c r="AC11" s="61">
        <v>0.33223642576888995</v>
      </c>
      <c r="AD11" s="59">
        <v>5.4151779945359128E-2</v>
      </c>
      <c r="AF11" s="116" t="s">
        <v>460</v>
      </c>
      <c r="AG11" s="57" t="s">
        <v>478</v>
      </c>
      <c r="AH11" s="58">
        <v>4.051029064203239E-2</v>
      </c>
      <c r="AI11" s="58">
        <v>3.6882092106519569E-2</v>
      </c>
      <c r="AJ11" s="58" t="s">
        <v>478</v>
      </c>
      <c r="AK11" s="58">
        <v>6.1025698699591853E-2</v>
      </c>
      <c r="AL11" s="58" t="s">
        <v>478</v>
      </c>
      <c r="AM11" s="59">
        <v>4.2409264264541092E-2</v>
      </c>
      <c r="AN11" s="60">
        <v>0.24311780497793156</v>
      </c>
      <c r="AO11" s="58">
        <v>3.1297668894554903E-2</v>
      </c>
      <c r="AP11" s="58">
        <v>4.6215956867885037E-2</v>
      </c>
      <c r="AQ11" s="58" t="s">
        <v>478</v>
      </c>
      <c r="AR11" s="61">
        <v>6.4372958606164932E-2</v>
      </c>
      <c r="AS11" s="61">
        <v>0.33223642576888995</v>
      </c>
      <c r="AT11" s="59">
        <v>4.9932201194168441E-2</v>
      </c>
      <c r="AV11" s="116" t="s">
        <v>460</v>
      </c>
      <c r="AW11" s="57" t="s">
        <v>478</v>
      </c>
      <c r="AX11" s="58">
        <v>4.9025761990589764E-2</v>
      </c>
      <c r="AY11" s="58">
        <v>0.10345144362836282</v>
      </c>
      <c r="AZ11" s="58" t="s">
        <v>478</v>
      </c>
      <c r="BA11" s="58">
        <v>5.9866145557642365E-2</v>
      </c>
      <c r="BB11" s="58" t="s">
        <v>478</v>
      </c>
      <c r="BC11" s="59">
        <v>5.7780072268450736E-2</v>
      </c>
      <c r="BD11" s="60">
        <v>0.24311780497793156</v>
      </c>
      <c r="BE11" s="58">
        <v>3.6144200049373472E-2</v>
      </c>
      <c r="BF11" s="58">
        <v>5.9181835566407069E-2</v>
      </c>
      <c r="BG11" s="58" t="s">
        <v>478</v>
      </c>
      <c r="BH11" s="61">
        <v>6.3356893818797388E-2</v>
      </c>
      <c r="BI11" s="61">
        <v>0.33223642576888995</v>
      </c>
      <c r="BJ11" s="59">
        <v>5.1884787038497027E-2</v>
      </c>
      <c r="BL11" s="116" t="s">
        <v>460</v>
      </c>
      <c r="BM11" s="57" t="s">
        <v>478</v>
      </c>
      <c r="BN11" s="58">
        <v>4.5974657086585345E-2</v>
      </c>
      <c r="BO11" s="58">
        <v>-4.6670534390511359E-2</v>
      </c>
      <c r="BP11" s="58" t="s">
        <v>478</v>
      </c>
      <c r="BQ11" s="58">
        <v>5.7477306840863912E-2</v>
      </c>
      <c r="BR11" s="58">
        <v>0.27055957478222342</v>
      </c>
      <c r="BS11" s="59">
        <v>4.5337889907061231E-2</v>
      </c>
      <c r="BT11" s="60">
        <v>0.24311780497793156</v>
      </c>
      <c r="BU11" s="58">
        <v>3.8481880034405169E-2</v>
      </c>
      <c r="BV11" s="58">
        <v>5.5949677877942319E-2</v>
      </c>
      <c r="BW11" s="58" t="s">
        <v>478</v>
      </c>
      <c r="BX11" s="61">
        <v>6.2235988031305818E-2</v>
      </c>
      <c r="BY11" s="61">
        <v>0.3137320044296788</v>
      </c>
      <c r="BZ11" s="59">
        <v>5.0590839988480935E-2</v>
      </c>
      <c r="CC11" s="116" t="s">
        <v>460</v>
      </c>
      <c r="CD11" s="57" t="s">
        <v>478</v>
      </c>
      <c r="CE11" s="58">
        <v>5.225969966613199E-2</v>
      </c>
      <c r="CF11" s="58">
        <v>8.9518178205421489E-2</v>
      </c>
      <c r="CG11" s="58" t="s">
        <v>478</v>
      </c>
      <c r="CH11" s="58">
        <v>6.0277351389250569E-2</v>
      </c>
      <c r="CI11" s="58" t="s">
        <v>478</v>
      </c>
      <c r="CJ11" s="59">
        <v>5.7322183050633732E-2</v>
      </c>
      <c r="CK11" s="60">
        <v>0.24311780497793156</v>
      </c>
      <c r="CL11" s="58">
        <v>4.0799221497227832E-2</v>
      </c>
      <c r="CM11" s="58">
        <v>6.0665565233481641E-2</v>
      </c>
      <c r="CN11" s="58" t="s">
        <v>478</v>
      </c>
      <c r="CO11" s="61">
        <v>6.1872580445061512E-2</v>
      </c>
      <c r="CP11" s="61">
        <v>0.3137320044296788</v>
      </c>
      <c r="CQ11" s="59">
        <v>5.1677583118095179E-2</v>
      </c>
      <c r="CS11" s="116" t="s">
        <v>460</v>
      </c>
      <c r="CT11" s="57" t="s">
        <v>478</v>
      </c>
      <c r="CU11" s="58">
        <v>4.8223994000948782E-2</v>
      </c>
      <c r="CV11" s="58">
        <v>8.0982180124089059E-2</v>
      </c>
      <c r="CW11" s="58" t="s">
        <v>478</v>
      </c>
      <c r="CX11" s="58">
        <v>6.868502117828261E-2</v>
      </c>
      <c r="CY11" s="58" t="s">
        <v>478</v>
      </c>
      <c r="CZ11" s="59">
        <v>5.3169445248082522E-2</v>
      </c>
      <c r="DA11" s="60">
        <v>0.24311780497793156</v>
      </c>
      <c r="DB11" s="58">
        <v>4.3176199325485255E-2</v>
      </c>
      <c r="DC11" s="58">
        <v>7.2048700393907567E-2</v>
      </c>
      <c r="DD11" s="58" t="s">
        <v>478</v>
      </c>
      <c r="DE11" s="61">
        <v>6.2265694894050184E-2</v>
      </c>
      <c r="DF11" s="61">
        <v>0.3137320044296788</v>
      </c>
      <c r="DG11" s="59">
        <v>5.2931808739068997E-2</v>
      </c>
      <c r="DI11" s="116" t="s">
        <v>460</v>
      </c>
      <c r="DJ11" s="57" t="s">
        <v>478</v>
      </c>
      <c r="DK11" s="58">
        <v>4.1723754443903006E-2</v>
      </c>
      <c r="DL11" s="58">
        <v>9.8064335750669765E-2</v>
      </c>
      <c r="DM11" s="58" t="s">
        <v>478</v>
      </c>
      <c r="DN11" s="58">
        <v>5.7065388738255701E-2</v>
      </c>
      <c r="DO11" s="58" t="s">
        <v>478</v>
      </c>
      <c r="DP11" s="59">
        <v>5.3696034188115693E-2</v>
      </c>
      <c r="DQ11" s="60">
        <v>0.24311780497793156</v>
      </c>
      <c r="DR11" s="58">
        <v>4.2983285091532805E-2</v>
      </c>
      <c r="DS11" s="58">
        <v>7.6682310787899666E-2</v>
      </c>
      <c r="DT11" s="58" t="s">
        <v>478</v>
      </c>
      <c r="DU11" s="61">
        <v>6.1861498108910284E-2</v>
      </c>
      <c r="DV11" s="61">
        <v>0.3137320044296788</v>
      </c>
      <c r="DW11" s="59">
        <v>5.3033096730709328E-2</v>
      </c>
      <c r="DY11" s="116" t="s">
        <v>460</v>
      </c>
      <c r="DZ11" s="57" t="s">
        <v>478</v>
      </c>
      <c r="EA11" s="58">
        <v>4.9115503644824046E-2</v>
      </c>
      <c r="EB11" s="58">
        <v>6.3453427347950703E-2</v>
      </c>
      <c r="EC11" s="58" t="s">
        <v>478</v>
      </c>
      <c r="ED11" s="58">
        <v>5.7065388738255916E-2</v>
      </c>
      <c r="EE11" s="58" t="s">
        <v>478</v>
      </c>
      <c r="EF11" s="59">
        <v>5.2721885827158164E-2</v>
      </c>
      <c r="EG11" s="60">
        <v>0.24311780497793156</v>
      </c>
      <c r="EH11" s="58">
        <v>4.3485241885671079E-2</v>
      </c>
      <c r="EI11" s="58">
        <v>7.5190048517583444E-2</v>
      </c>
      <c r="EJ11" s="58" t="s">
        <v>478</v>
      </c>
      <c r="EK11" s="61">
        <v>6.1404171931722512E-2</v>
      </c>
      <c r="EL11" s="61">
        <v>0.3137320044296788</v>
      </c>
      <c r="EM11" s="59">
        <v>5.3006193506045261E-2</v>
      </c>
      <c r="EO11" s="116" t="s">
        <v>460</v>
      </c>
      <c r="EP11" s="57" t="s">
        <v>478</v>
      </c>
      <c r="EQ11" s="58">
        <v>4.1711039303174276E-2</v>
      </c>
      <c r="ER11" s="58">
        <v>6.329552138475758E-2</v>
      </c>
      <c r="ES11" s="58" t="s">
        <v>478</v>
      </c>
      <c r="ET11" s="58" t="s">
        <v>478</v>
      </c>
      <c r="EU11" s="58" t="s">
        <v>478</v>
      </c>
      <c r="EV11" s="59">
        <v>4.5488646824142151E-2</v>
      </c>
      <c r="EW11" s="60">
        <v>0.24311780497793156</v>
      </c>
      <c r="EX11" s="58">
        <v>4.3317983615888823E-2</v>
      </c>
      <c r="EY11" s="58">
        <v>7.4030089754286238E-2</v>
      </c>
      <c r="EZ11" s="58" t="s">
        <v>478</v>
      </c>
      <c r="FA11" s="61">
        <v>6.1404171931722512E-2</v>
      </c>
      <c r="FB11" s="61">
        <v>0.3137320044296788</v>
      </c>
      <c r="FC11" s="59">
        <v>5.2359708586974259E-2</v>
      </c>
      <c r="FE11" s="116" t="s">
        <v>460</v>
      </c>
      <c r="FF11" s="57" t="s">
        <v>478</v>
      </c>
      <c r="FG11" s="58">
        <v>5.2052161924118705E-2</v>
      </c>
      <c r="FH11" s="58">
        <v>6.1996959787687218E-2</v>
      </c>
      <c r="FI11" s="58" t="s">
        <v>478</v>
      </c>
      <c r="FJ11" s="58">
        <v>5.7065388738255916E-2</v>
      </c>
      <c r="FK11" s="58" t="s">
        <v>478</v>
      </c>
      <c r="FL11" s="59">
        <v>5.3849956417653964E-2</v>
      </c>
      <c r="FM11" s="60">
        <v>0.24311780497793156</v>
      </c>
      <c r="FN11" s="58">
        <v>4.4118994990903687E-2</v>
      </c>
      <c r="FO11" s="58">
        <v>7.308895382949239E-2</v>
      </c>
      <c r="FP11" s="58" t="s">
        <v>478</v>
      </c>
      <c r="FQ11" s="61">
        <v>6.0945505925013389E-2</v>
      </c>
      <c r="FR11" s="61">
        <v>0.3137320044296788</v>
      </c>
      <c r="FS11" s="59">
        <v>5.2493196787421544E-2</v>
      </c>
      <c r="FU11" s="116" t="s">
        <v>460</v>
      </c>
      <c r="FV11" s="57" t="s">
        <v>478</v>
      </c>
      <c r="FW11" s="58">
        <v>4.8594451064759112E-2</v>
      </c>
      <c r="FX11" s="58">
        <v>4.9088132582791252E-2</v>
      </c>
      <c r="FY11" s="58">
        <v>5.0556860609063947E-2</v>
      </c>
      <c r="FZ11" s="58" t="s">
        <v>478</v>
      </c>
      <c r="GA11" s="59">
        <v>4.876661767959975E-2</v>
      </c>
      <c r="GB11" s="60">
        <v>0.24311780497793156</v>
      </c>
      <c r="GC11" s="58">
        <v>4.4480212455993394E-2</v>
      </c>
      <c r="GD11" s="58">
        <v>7.1603839450996007E-2</v>
      </c>
      <c r="GE11" s="61">
        <v>6.0385852318418531E-2</v>
      </c>
      <c r="GF11" s="61">
        <v>0.3137320044296788</v>
      </c>
      <c r="GG11" s="59">
        <v>5.2214453311848978E-2</v>
      </c>
      <c r="GI11" s="116" t="s">
        <v>460</v>
      </c>
      <c r="GJ11" s="57" t="s">
        <v>478</v>
      </c>
      <c r="GK11" s="58">
        <v>4.922249076042045E-2</v>
      </c>
      <c r="GL11" s="58">
        <v>7.8858701465397474E-2</v>
      </c>
      <c r="GM11" s="58">
        <v>8.0404302967622965E-2</v>
      </c>
      <c r="GN11" s="58" t="s">
        <v>478</v>
      </c>
      <c r="GO11" s="59">
        <v>6.0458894650997907E-2</v>
      </c>
      <c r="GP11" s="60">
        <v>0.24311780497793156</v>
      </c>
      <c r="GQ11" s="58">
        <v>4.4804382522889007E-2</v>
      </c>
      <c r="GR11" s="58">
        <v>7.217093789801772E-2</v>
      </c>
      <c r="GS11" s="61">
        <v>6.4394109257845236E-2</v>
      </c>
      <c r="GT11" s="61">
        <v>0.3137320044296788</v>
      </c>
      <c r="GU11" s="59">
        <v>5.2881789626419262E-2</v>
      </c>
      <c r="GW11" s="116" t="s">
        <v>460</v>
      </c>
      <c r="GX11" s="57">
        <v>0.2471523259164885</v>
      </c>
      <c r="GY11" s="58">
        <v>5.1449483518787933E-2</v>
      </c>
      <c r="GZ11" s="58">
        <v>0.11170903692707371</v>
      </c>
      <c r="HA11" s="58" t="s">
        <v>478</v>
      </c>
      <c r="HB11" s="58" t="s">
        <v>478</v>
      </c>
      <c r="HC11" s="59">
        <v>0.11099704918229758</v>
      </c>
      <c r="HD11" s="60">
        <v>0.24599960564832929</v>
      </c>
      <c r="HE11" s="58">
        <v>4.5322703494751232E-2</v>
      </c>
      <c r="HF11" s="58">
        <v>7.437861011694917E-2</v>
      </c>
      <c r="HG11" s="61">
        <v>6.4394109257845236E-2</v>
      </c>
      <c r="HH11" s="61">
        <v>0.3137320044296788</v>
      </c>
      <c r="HI11" s="59">
        <v>5.8159526929885831E-2</v>
      </c>
      <c r="HK11" s="116" t="s">
        <v>460</v>
      </c>
      <c r="HL11" s="57" t="s">
        <v>478</v>
      </c>
      <c r="HM11" s="58">
        <v>3.6568754072436586E-2</v>
      </c>
      <c r="HN11" s="58">
        <v>9.3134487833397062E-2</v>
      </c>
      <c r="HO11" s="58">
        <v>8.2238860930403904E-2</v>
      </c>
      <c r="HP11" s="58" t="s">
        <v>478</v>
      </c>
      <c r="HQ11" s="59">
        <v>4.6419238184289911E-2</v>
      </c>
      <c r="HR11" s="60">
        <v>0.24599960564832929</v>
      </c>
      <c r="HS11" s="58">
        <v>4.481470469424207E-2</v>
      </c>
      <c r="HT11" s="58">
        <v>7.5253821519395997E-2</v>
      </c>
      <c r="HU11" s="61">
        <v>6.5085116609446991E-2</v>
      </c>
      <c r="HV11" s="61">
        <v>0.3137320044296788</v>
      </c>
      <c r="HW11" s="59">
        <v>5.7538408847139663E-2</v>
      </c>
      <c r="HY11" s="116" t="s">
        <v>460</v>
      </c>
      <c r="HZ11" s="57" t="s">
        <v>478</v>
      </c>
      <c r="IA11" s="58">
        <v>4.7994231136956993E-2</v>
      </c>
      <c r="IB11" s="58">
        <v>9.9649884184933937E-2</v>
      </c>
      <c r="IC11" s="58">
        <v>8.2238860930404056E-2</v>
      </c>
      <c r="ID11" s="58" t="s">
        <v>478</v>
      </c>
      <c r="IE11" s="59">
        <v>6.0005864294308243E-2</v>
      </c>
      <c r="IF11" s="60">
        <v>0.24599960564832929</v>
      </c>
      <c r="IG11" s="58">
        <v>4.4997775383270822E-2</v>
      </c>
      <c r="IH11" s="58">
        <v>7.6894528462311901E-2</v>
      </c>
      <c r="II11" s="61">
        <v>6.6286431550327707E-2</v>
      </c>
      <c r="IJ11" s="61">
        <v>0.3137320044296788</v>
      </c>
      <c r="IK11" s="59">
        <v>5.7681977345337955E-2</v>
      </c>
      <c r="IM11" s="116" t="s">
        <v>460</v>
      </c>
      <c r="IN11" s="57" t="s">
        <v>478</v>
      </c>
      <c r="IO11" s="58">
        <v>4.4840064982812809E-2</v>
      </c>
      <c r="IP11" s="58">
        <v>9.5569992873152404E-2</v>
      </c>
      <c r="IQ11" s="58">
        <v>8.2238860930404029E-2</v>
      </c>
      <c r="IR11" s="58" t="s">
        <v>478</v>
      </c>
      <c r="IS11" s="59">
        <v>5.6650479423130923E-2</v>
      </c>
      <c r="IT11" s="60">
        <v>0.24599960564832929</v>
      </c>
      <c r="IU11" s="58">
        <v>4.4989941695918731E-2</v>
      </c>
      <c r="IV11" s="58">
        <v>7.7836128652199063E-2</v>
      </c>
      <c r="IW11" s="61">
        <v>6.7413237752510721E-2</v>
      </c>
      <c r="IX11" s="61">
        <v>0.3137320044296788</v>
      </c>
      <c r="IY11" s="59">
        <v>5.763035502192309E-2</v>
      </c>
      <c r="JA11" s="116" t="s">
        <v>460</v>
      </c>
      <c r="JB11" s="57">
        <v>0.2471523259164885</v>
      </c>
      <c r="JC11" s="58">
        <v>4.4668632794537935E-2</v>
      </c>
      <c r="JD11" s="58">
        <v>0.11170903692707376</v>
      </c>
      <c r="JE11" s="58">
        <v>8.223886093040389E-2</v>
      </c>
      <c r="JF11" s="58" t="s">
        <v>478</v>
      </c>
      <c r="JG11" s="59">
        <v>8.7689686707384765E-2</v>
      </c>
      <c r="JH11" s="60">
        <v>0.2463454217287771</v>
      </c>
      <c r="JI11" s="58">
        <v>4.4970071423778624E-2</v>
      </c>
      <c r="JJ11" s="58">
        <v>7.8652507267342631E-2</v>
      </c>
      <c r="JK11" s="61">
        <v>6.8079983070057443E-2</v>
      </c>
      <c r="JL11" s="61">
        <v>0.3137320044296788</v>
      </c>
      <c r="JM11" s="59">
        <v>5.9575641353267185E-2</v>
      </c>
      <c r="JO11" s="116" t="s">
        <v>460</v>
      </c>
      <c r="JP11" s="57" t="s">
        <v>478</v>
      </c>
      <c r="JQ11" s="58">
        <v>5.4888961946433848E-2</v>
      </c>
      <c r="JR11" s="58">
        <v>8.830298827097928E-2</v>
      </c>
      <c r="JS11" s="58">
        <v>8.2238860930403793E-2</v>
      </c>
      <c r="JT11" s="58" t="s">
        <v>478</v>
      </c>
      <c r="JU11" s="59">
        <v>6.0917645450607114E-2</v>
      </c>
      <c r="JV11" s="60">
        <v>0.2463454217287771</v>
      </c>
      <c r="JW11" s="58">
        <v>4.5426627924791095E-2</v>
      </c>
      <c r="JX11" s="58">
        <v>7.8903234558812638E-2</v>
      </c>
      <c r="JY11" s="61">
        <v>6.8946762446628965E-2</v>
      </c>
      <c r="JZ11" s="61">
        <v>0.3137320044296788</v>
      </c>
      <c r="KA11" s="59">
        <v>5.963308243043932E-2</v>
      </c>
      <c r="KC11" s="116" t="s">
        <v>460</v>
      </c>
      <c r="KD11" s="57">
        <v>0.24715232591648834</v>
      </c>
      <c r="KE11" s="58">
        <v>4.7167000834172836E-2</v>
      </c>
      <c r="KF11" s="58">
        <v>0.11170903692707365</v>
      </c>
      <c r="KG11" s="58" t="s">
        <v>478</v>
      </c>
      <c r="KH11" s="58" t="s">
        <v>478</v>
      </c>
      <c r="KI11" s="59">
        <v>5.8558855636130204E-2</v>
      </c>
      <c r="KJ11" s="60">
        <v>0.24634461401687743</v>
      </c>
      <c r="KK11" s="58">
        <v>4.5483736919216367E-2</v>
      </c>
      <c r="KL11" s="58">
        <v>8.0181603417177824E-2</v>
      </c>
      <c r="KM11" s="61">
        <v>6.8946762446628965E-2</v>
      </c>
      <c r="KN11" s="61">
        <v>0.3137320044296788</v>
      </c>
      <c r="KO11" s="59">
        <v>5.9601119289184025E-2</v>
      </c>
      <c r="KQ11" s="116" t="s">
        <v>460</v>
      </c>
      <c r="KR11" s="57">
        <v>0.24715232591648836</v>
      </c>
      <c r="KS11" s="58">
        <v>5.3498699249811335E-2</v>
      </c>
      <c r="KT11" s="58">
        <v>0.11170903692707365</v>
      </c>
      <c r="KU11" s="58">
        <v>8.2238860930403931E-2</v>
      </c>
      <c r="KV11" s="58" t="s">
        <v>478</v>
      </c>
      <c r="KW11" s="59">
        <v>9.6092325483710717E-2</v>
      </c>
      <c r="KX11" s="60">
        <v>0.24648857144346031</v>
      </c>
      <c r="KY11" s="58">
        <v>4.5742696512362763E-2</v>
      </c>
      <c r="KZ11" s="58">
        <v>8.2791183593004747E-2</v>
      </c>
      <c r="LA11" s="61">
        <v>6.9812851033448392E-2</v>
      </c>
      <c r="LB11" s="61">
        <v>0.3137320044296788</v>
      </c>
      <c r="LC11" s="59">
        <v>6.1332403904969239E-2</v>
      </c>
    </row>
    <row r="12" spans="2:321" ht="15" thickBot="1" x14ac:dyDescent="0.35">
      <c r="B12" s="377" t="s">
        <v>482</v>
      </c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70"/>
      <c r="P12" s="377" t="s">
        <v>482</v>
      </c>
      <c r="Q12" s="369"/>
      <c r="R12" s="369"/>
      <c r="S12" s="369"/>
      <c r="T12" s="369"/>
      <c r="U12" s="369"/>
      <c r="V12" s="369"/>
      <c r="W12" s="369"/>
      <c r="X12" s="369"/>
      <c r="Y12" s="369"/>
      <c r="Z12" s="369"/>
      <c r="AA12" s="369"/>
      <c r="AB12" s="369"/>
      <c r="AC12" s="369"/>
      <c r="AD12" s="370"/>
      <c r="AF12" s="377" t="s">
        <v>482</v>
      </c>
      <c r="AG12" s="369"/>
      <c r="AH12" s="369"/>
      <c r="AI12" s="369"/>
      <c r="AJ12" s="369"/>
      <c r="AK12" s="369"/>
      <c r="AL12" s="369"/>
      <c r="AM12" s="369"/>
      <c r="AN12" s="369"/>
      <c r="AO12" s="369"/>
      <c r="AP12" s="369"/>
      <c r="AQ12" s="369"/>
      <c r="AR12" s="369"/>
      <c r="AS12" s="369"/>
      <c r="AT12" s="370"/>
      <c r="AV12" s="377" t="s">
        <v>482</v>
      </c>
      <c r="AW12" s="369"/>
      <c r="AX12" s="369"/>
      <c r="AY12" s="369"/>
      <c r="AZ12" s="369"/>
      <c r="BA12" s="369"/>
      <c r="BB12" s="369"/>
      <c r="BC12" s="369"/>
      <c r="BD12" s="369"/>
      <c r="BE12" s="369"/>
      <c r="BF12" s="369"/>
      <c r="BG12" s="369"/>
      <c r="BH12" s="369"/>
      <c r="BI12" s="369"/>
      <c r="BJ12" s="370"/>
      <c r="BL12" s="377" t="s">
        <v>482</v>
      </c>
      <c r="BM12" s="369"/>
      <c r="BN12" s="369"/>
      <c r="BO12" s="369"/>
      <c r="BP12" s="369"/>
      <c r="BQ12" s="369"/>
      <c r="BR12" s="369"/>
      <c r="BS12" s="369"/>
      <c r="BT12" s="369"/>
      <c r="BU12" s="369"/>
      <c r="BV12" s="369"/>
      <c r="BW12" s="369"/>
      <c r="BX12" s="369"/>
      <c r="BY12" s="369"/>
      <c r="BZ12" s="370"/>
      <c r="CC12" s="377" t="s">
        <v>482</v>
      </c>
      <c r="CD12" s="369"/>
      <c r="CE12" s="369"/>
      <c r="CF12" s="369"/>
      <c r="CG12" s="369"/>
      <c r="CH12" s="369"/>
      <c r="CI12" s="369"/>
      <c r="CJ12" s="369"/>
      <c r="CK12" s="369"/>
      <c r="CL12" s="369"/>
      <c r="CM12" s="369"/>
      <c r="CN12" s="369"/>
      <c r="CO12" s="369"/>
      <c r="CP12" s="369"/>
      <c r="CQ12" s="370"/>
      <c r="CS12" s="377" t="s">
        <v>482</v>
      </c>
      <c r="CT12" s="369"/>
      <c r="CU12" s="369"/>
      <c r="CV12" s="369"/>
      <c r="CW12" s="369"/>
      <c r="CX12" s="369"/>
      <c r="CY12" s="369"/>
      <c r="CZ12" s="369"/>
      <c r="DA12" s="369"/>
      <c r="DB12" s="369"/>
      <c r="DC12" s="369"/>
      <c r="DD12" s="369"/>
      <c r="DE12" s="369"/>
      <c r="DF12" s="369"/>
      <c r="DG12" s="370"/>
      <c r="DI12" s="377" t="s">
        <v>482</v>
      </c>
      <c r="DJ12" s="369"/>
      <c r="DK12" s="369"/>
      <c r="DL12" s="369"/>
      <c r="DM12" s="369"/>
      <c r="DN12" s="369"/>
      <c r="DO12" s="369"/>
      <c r="DP12" s="369"/>
      <c r="DQ12" s="369"/>
      <c r="DR12" s="369"/>
      <c r="DS12" s="369"/>
      <c r="DT12" s="369"/>
      <c r="DU12" s="369"/>
      <c r="DV12" s="369"/>
      <c r="DW12" s="370"/>
      <c r="DY12" s="377" t="s">
        <v>482</v>
      </c>
      <c r="DZ12" s="369"/>
      <c r="EA12" s="369"/>
      <c r="EB12" s="369"/>
      <c r="EC12" s="369"/>
      <c r="ED12" s="369"/>
      <c r="EE12" s="369"/>
      <c r="EF12" s="369"/>
      <c r="EG12" s="369"/>
      <c r="EH12" s="369"/>
      <c r="EI12" s="369"/>
      <c r="EJ12" s="369"/>
      <c r="EK12" s="369"/>
      <c r="EL12" s="369"/>
      <c r="EM12" s="370"/>
      <c r="EO12" s="377" t="s">
        <v>482</v>
      </c>
      <c r="EP12" s="369"/>
      <c r="EQ12" s="369"/>
      <c r="ER12" s="369"/>
      <c r="ES12" s="369"/>
      <c r="ET12" s="369"/>
      <c r="EU12" s="369"/>
      <c r="EV12" s="369"/>
      <c r="EW12" s="369"/>
      <c r="EX12" s="369"/>
      <c r="EY12" s="369"/>
      <c r="EZ12" s="369"/>
      <c r="FA12" s="369"/>
      <c r="FB12" s="369"/>
      <c r="FC12" s="370"/>
      <c r="FE12" s="377" t="s">
        <v>482</v>
      </c>
      <c r="FF12" s="369"/>
      <c r="FG12" s="369"/>
      <c r="FH12" s="369"/>
      <c r="FI12" s="369"/>
      <c r="FJ12" s="369"/>
      <c r="FK12" s="369"/>
      <c r="FL12" s="369"/>
      <c r="FM12" s="369"/>
      <c r="FN12" s="369"/>
      <c r="FO12" s="369"/>
      <c r="FP12" s="369"/>
      <c r="FQ12" s="369"/>
      <c r="FR12" s="369"/>
      <c r="FS12" s="370"/>
      <c r="FU12" s="377" t="s">
        <v>482</v>
      </c>
      <c r="FV12" s="369"/>
      <c r="FW12" s="369"/>
      <c r="FX12" s="369"/>
      <c r="FY12" s="369"/>
      <c r="FZ12" s="369"/>
      <c r="GA12" s="369"/>
      <c r="GB12" s="369"/>
      <c r="GC12" s="369"/>
      <c r="GD12" s="369"/>
      <c r="GE12" s="369"/>
      <c r="GF12" s="369"/>
      <c r="GG12" s="370"/>
      <c r="GI12" s="377" t="s">
        <v>482</v>
      </c>
      <c r="GJ12" s="369"/>
      <c r="GK12" s="369"/>
      <c r="GL12" s="369"/>
      <c r="GM12" s="369"/>
      <c r="GN12" s="369"/>
      <c r="GO12" s="369"/>
      <c r="GP12" s="369"/>
      <c r="GQ12" s="369"/>
      <c r="GR12" s="369"/>
      <c r="GS12" s="369"/>
      <c r="GT12" s="369"/>
      <c r="GU12" s="370"/>
      <c r="GW12" s="377" t="s">
        <v>482</v>
      </c>
      <c r="GX12" s="369"/>
      <c r="GY12" s="369"/>
      <c r="GZ12" s="369"/>
      <c r="HA12" s="369"/>
      <c r="HB12" s="369"/>
      <c r="HC12" s="369"/>
      <c r="HD12" s="369"/>
      <c r="HE12" s="369"/>
      <c r="HF12" s="369"/>
      <c r="HG12" s="369"/>
      <c r="HH12" s="369"/>
      <c r="HI12" s="370"/>
      <c r="HK12" s="377" t="s">
        <v>482</v>
      </c>
      <c r="HL12" s="369"/>
      <c r="HM12" s="369"/>
      <c r="HN12" s="369"/>
      <c r="HO12" s="369"/>
      <c r="HP12" s="369"/>
      <c r="HQ12" s="369"/>
      <c r="HR12" s="369"/>
      <c r="HS12" s="369"/>
      <c r="HT12" s="369"/>
      <c r="HU12" s="369"/>
      <c r="HV12" s="369"/>
      <c r="HW12" s="370"/>
      <c r="HY12" s="377" t="s">
        <v>482</v>
      </c>
      <c r="HZ12" s="369"/>
      <c r="IA12" s="369"/>
      <c r="IB12" s="369"/>
      <c r="IC12" s="369"/>
      <c r="ID12" s="369"/>
      <c r="IE12" s="369"/>
      <c r="IF12" s="369"/>
      <c r="IG12" s="369"/>
      <c r="IH12" s="369"/>
      <c r="II12" s="369"/>
      <c r="IJ12" s="369"/>
      <c r="IK12" s="370"/>
      <c r="IM12" s="377" t="s">
        <v>482</v>
      </c>
      <c r="IN12" s="369"/>
      <c r="IO12" s="369"/>
      <c r="IP12" s="369"/>
      <c r="IQ12" s="369"/>
      <c r="IR12" s="369"/>
      <c r="IS12" s="369"/>
      <c r="IT12" s="369"/>
      <c r="IU12" s="369"/>
      <c r="IV12" s="369"/>
      <c r="IW12" s="369"/>
      <c r="IX12" s="369"/>
      <c r="IY12" s="370"/>
      <c r="JA12" s="377" t="s">
        <v>482</v>
      </c>
      <c r="JB12" s="369"/>
      <c r="JC12" s="369"/>
      <c r="JD12" s="369"/>
      <c r="JE12" s="369"/>
      <c r="JF12" s="369"/>
      <c r="JG12" s="369"/>
      <c r="JH12" s="369"/>
      <c r="JI12" s="369"/>
      <c r="JJ12" s="369"/>
      <c r="JK12" s="369"/>
      <c r="JL12" s="369"/>
      <c r="JM12" s="370"/>
      <c r="JO12" s="377" t="s">
        <v>482</v>
      </c>
      <c r="JP12" s="369"/>
      <c r="JQ12" s="369"/>
      <c r="JR12" s="369"/>
      <c r="JS12" s="369"/>
      <c r="JT12" s="369"/>
      <c r="JU12" s="369"/>
      <c r="JV12" s="369"/>
      <c r="JW12" s="369"/>
      <c r="JX12" s="369"/>
      <c r="JY12" s="369"/>
      <c r="JZ12" s="369"/>
      <c r="KA12" s="370"/>
      <c r="KC12" s="377" t="s">
        <v>482</v>
      </c>
      <c r="KD12" s="369"/>
      <c r="KE12" s="369"/>
      <c r="KF12" s="369"/>
      <c r="KG12" s="369"/>
      <c r="KH12" s="369"/>
      <c r="KI12" s="369"/>
      <c r="KJ12" s="369"/>
      <c r="KK12" s="369"/>
      <c r="KL12" s="369"/>
      <c r="KM12" s="369"/>
      <c r="KN12" s="369"/>
      <c r="KO12" s="370"/>
      <c r="KQ12" s="377" t="s">
        <v>482</v>
      </c>
      <c r="KR12" s="369"/>
      <c r="KS12" s="369"/>
      <c r="KT12" s="369"/>
      <c r="KU12" s="369"/>
      <c r="KV12" s="369"/>
      <c r="KW12" s="369"/>
      <c r="KX12" s="369"/>
      <c r="KY12" s="369"/>
      <c r="KZ12" s="369"/>
      <c r="LA12" s="369"/>
      <c r="LB12" s="369"/>
      <c r="LC12" s="370"/>
    </row>
    <row r="14" spans="2:321" x14ac:dyDescent="0.3">
      <c r="B14" s="113" t="s">
        <v>550</v>
      </c>
      <c r="C14" s="17">
        <f t="shared" ref="C14:G14" si="2">C4</f>
        <v>1200</v>
      </c>
      <c r="D14" s="17">
        <f t="shared" si="2"/>
        <v>4690</v>
      </c>
      <c r="E14" s="17">
        <f t="shared" si="2"/>
        <v>105</v>
      </c>
      <c r="F14" s="17">
        <f t="shared" si="2"/>
        <v>0</v>
      </c>
      <c r="G14" s="17">
        <f t="shared" si="2"/>
        <v>2280</v>
      </c>
      <c r="H14" s="17"/>
      <c r="I14" s="17">
        <f>I4</f>
        <v>1200</v>
      </c>
      <c r="J14" s="17">
        <f t="shared" ref="J14:M14" si="3">J4</f>
        <v>4690</v>
      </c>
      <c r="K14" s="17">
        <f t="shared" si="3"/>
        <v>105</v>
      </c>
      <c r="L14" s="17">
        <f t="shared" si="3"/>
        <v>0</v>
      </c>
      <c r="M14" s="17">
        <f t="shared" si="3"/>
        <v>2280</v>
      </c>
      <c r="P14" s="113" t="s">
        <v>550</v>
      </c>
      <c r="Q14" s="17">
        <f t="shared" ref="Q14:U14" si="4">Q4</f>
        <v>0</v>
      </c>
      <c r="R14" s="17">
        <f t="shared" si="4"/>
        <v>10566</v>
      </c>
      <c r="S14" s="17">
        <f t="shared" si="4"/>
        <v>910</v>
      </c>
      <c r="T14" s="17">
        <f t="shared" si="4"/>
        <v>0</v>
      </c>
      <c r="U14" s="17">
        <f t="shared" si="4"/>
        <v>2335</v>
      </c>
      <c r="V14" s="17"/>
      <c r="W14" s="17">
        <f>W4</f>
        <v>13831</v>
      </c>
      <c r="X14" s="17">
        <f t="shared" ref="X14:AA14" si="5">X4</f>
        <v>1200</v>
      </c>
      <c r="Y14" s="17">
        <f t="shared" si="5"/>
        <v>15256</v>
      </c>
      <c r="Z14" s="17">
        <f t="shared" si="5"/>
        <v>1015</v>
      </c>
      <c r="AA14" s="17">
        <f t="shared" si="5"/>
        <v>0</v>
      </c>
      <c r="AB14" s="17">
        <f t="shared" ref="AB14:AD14" si="6">AB4</f>
        <v>4615</v>
      </c>
      <c r="AC14" s="17">
        <f t="shared" si="6"/>
        <v>20</v>
      </c>
      <c r="AD14" s="17">
        <f t="shared" si="6"/>
        <v>22106</v>
      </c>
      <c r="AF14" s="113" t="s">
        <v>550</v>
      </c>
      <c r="AG14" s="17">
        <f t="shared" ref="AG14:AK14" si="7">AG4</f>
        <v>0</v>
      </c>
      <c r="AH14" s="17">
        <f t="shared" si="7"/>
        <v>8675</v>
      </c>
      <c r="AI14" s="17">
        <f t="shared" si="7"/>
        <v>735</v>
      </c>
      <c r="AJ14" s="17">
        <f t="shared" si="7"/>
        <v>0</v>
      </c>
      <c r="AK14" s="17">
        <f t="shared" si="7"/>
        <v>3372</v>
      </c>
      <c r="AL14" s="17"/>
      <c r="AM14" s="17">
        <f>AM4</f>
        <v>12782</v>
      </c>
      <c r="AN14" s="17">
        <f t="shared" ref="AN14:AT14" si="8">AN4</f>
        <v>1200</v>
      </c>
      <c r="AO14" s="17">
        <f t="shared" si="8"/>
        <v>23931</v>
      </c>
      <c r="AP14" s="17">
        <f t="shared" si="8"/>
        <v>1750</v>
      </c>
      <c r="AQ14" s="17">
        <f t="shared" si="8"/>
        <v>0</v>
      </c>
      <c r="AR14" s="17">
        <f t="shared" si="8"/>
        <v>7987</v>
      </c>
      <c r="AS14" s="17">
        <f t="shared" si="8"/>
        <v>20</v>
      </c>
      <c r="AT14" s="17">
        <f t="shared" si="8"/>
        <v>34888</v>
      </c>
      <c r="AV14" s="113" t="s">
        <v>550</v>
      </c>
      <c r="AW14" s="17">
        <f t="shared" ref="AW14:BA14" si="9">AW4</f>
        <v>0</v>
      </c>
      <c r="AX14" s="17">
        <f t="shared" si="9"/>
        <v>8538</v>
      </c>
      <c r="AY14" s="17">
        <f t="shared" si="9"/>
        <v>700</v>
      </c>
      <c r="AZ14" s="17">
        <f t="shared" si="9"/>
        <v>0</v>
      </c>
      <c r="BA14" s="17">
        <f t="shared" si="9"/>
        <v>2460</v>
      </c>
      <c r="BB14" s="17"/>
      <c r="BC14" s="17">
        <f>BC4</f>
        <v>11698</v>
      </c>
      <c r="BD14" s="17">
        <f t="shared" ref="BD14:BJ14" si="10">BD4</f>
        <v>1200</v>
      </c>
      <c r="BE14" s="17">
        <f t="shared" si="10"/>
        <v>32469</v>
      </c>
      <c r="BF14" s="17">
        <f t="shared" si="10"/>
        <v>2450</v>
      </c>
      <c r="BG14" s="17">
        <f t="shared" si="10"/>
        <v>0</v>
      </c>
      <c r="BH14" s="17">
        <f t="shared" si="10"/>
        <v>10447</v>
      </c>
      <c r="BI14" s="17">
        <f t="shared" si="10"/>
        <v>20</v>
      </c>
      <c r="BJ14" s="17">
        <f t="shared" si="10"/>
        <v>46586</v>
      </c>
      <c r="BL14" s="113" t="s">
        <v>550</v>
      </c>
      <c r="BM14" s="17">
        <f t="shared" ref="BM14:BQ14" si="11">BM4</f>
        <v>0</v>
      </c>
      <c r="BN14" s="17">
        <f t="shared" si="11"/>
        <v>9975</v>
      </c>
      <c r="BO14" s="17">
        <f t="shared" si="11"/>
        <v>35</v>
      </c>
      <c r="BP14" s="17">
        <f t="shared" si="11"/>
        <v>0</v>
      </c>
      <c r="BQ14" s="17">
        <f t="shared" si="11"/>
        <v>2564</v>
      </c>
      <c r="BR14" s="17"/>
      <c r="BS14" s="17">
        <f>BS4</f>
        <v>12584</v>
      </c>
      <c r="BT14" s="17">
        <f t="shared" ref="BT14:BZ14" si="12">BT4</f>
        <v>1200</v>
      </c>
      <c r="BU14" s="17">
        <f t="shared" si="12"/>
        <v>42444</v>
      </c>
      <c r="BV14" s="17">
        <f t="shared" si="12"/>
        <v>2485</v>
      </c>
      <c r="BW14" s="17">
        <f t="shared" si="12"/>
        <v>0</v>
      </c>
      <c r="BX14" s="17">
        <f t="shared" si="12"/>
        <v>13011</v>
      </c>
      <c r="BY14" s="17">
        <f t="shared" si="12"/>
        <v>30</v>
      </c>
      <c r="BZ14" s="17">
        <f t="shared" si="12"/>
        <v>59170</v>
      </c>
      <c r="CC14" s="113" t="s">
        <v>550</v>
      </c>
      <c r="CD14" s="17">
        <f t="shared" ref="CD14:CH14" si="13">CD4</f>
        <v>0</v>
      </c>
      <c r="CE14" s="17">
        <f t="shared" si="13"/>
        <v>8225</v>
      </c>
      <c r="CF14" s="17">
        <f t="shared" si="13"/>
        <v>490</v>
      </c>
      <c r="CG14" s="17">
        <f t="shared" si="13"/>
        <v>0</v>
      </c>
      <c r="CH14" s="17">
        <f t="shared" si="13"/>
        <v>2950</v>
      </c>
      <c r="CI14" s="17"/>
      <c r="CJ14" s="17">
        <f>CJ4</f>
        <v>11665</v>
      </c>
      <c r="CK14" s="17">
        <f t="shared" ref="CK14:CQ14" si="14">CK4</f>
        <v>1200</v>
      </c>
      <c r="CL14" s="17">
        <f t="shared" si="14"/>
        <v>50669</v>
      </c>
      <c r="CM14" s="17">
        <f t="shared" si="14"/>
        <v>2975</v>
      </c>
      <c r="CN14" s="17">
        <f t="shared" si="14"/>
        <v>0</v>
      </c>
      <c r="CO14" s="17">
        <f t="shared" si="14"/>
        <v>15961</v>
      </c>
      <c r="CP14" s="17">
        <f t="shared" si="14"/>
        <v>30</v>
      </c>
      <c r="CQ14" s="17">
        <f t="shared" si="14"/>
        <v>70835</v>
      </c>
      <c r="CS14" s="113" t="s">
        <v>550</v>
      </c>
      <c r="CT14" s="17">
        <f t="shared" ref="CT14:CX14" si="15">CT4</f>
        <v>0</v>
      </c>
      <c r="CU14" s="17">
        <f t="shared" si="15"/>
        <v>10375</v>
      </c>
      <c r="CV14" s="17">
        <f t="shared" si="15"/>
        <v>700</v>
      </c>
      <c r="CW14" s="17">
        <f t="shared" si="15"/>
        <v>0</v>
      </c>
      <c r="CX14" s="17">
        <f t="shared" si="15"/>
        <v>200</v>
      </c>
      <c r="CY14" s="17"/>
      <c r="CZ14" s="17">
        <f>CZ4</f>
        <v>11275</v>
      </c>
      <c r="DA14" s="17">
        <f t="shared" ref="DA14:DG14" si="16">DA4</f>
        <v>1200</v>
      </c>
      <c r="DB14" s="17">
        <f t="shared" si="16"/>
        <v>78117</v>
      </c>
      <c r="DC14" s="17">
        <f t="shared" si="16"/>
        <v>5390</v>
      </c>
      <c r="DD14" s="17">
        <f t="shared" si="16"/>
        <v>0</v>
      </c>
      <c r="DE14" s="17">
        <f t="shared" si="16"/>
        <v>20622</v>
      </c>
      <c r="DF14" s="17">
        <f t="shared" si="16"/>
        <v>30</v>
      </c>
      <c r="DG14" s="17">
        <f t="shared" si="16"/>
        <v>105359</v>
      </c>
      <c r="DI14" s="113" t="s">
        <v>550</v>
      </c>
      <c r="DJ14" s="17">
        <f t="shared" ref="DJ14:DN14" si="17">DJ4</f>
        <v>0</v>
      </c>
      <c r="DK14" s="17">
        <f t="shared" si="17"/>
        <v>12200</v>
      </c>
      <c r="DL14" s="17">
        <f t="shared" si="17"/>
        <v>1330</v>
      </c>
      <c r="DM14" s="17">
        <f t="shared" si="17"/>
        <v>0</v>
      </c>
      <c r="DN14" s="17">
        <f t="shared" si="17"/>
        <v>1932</v>
      </c>
      <c r="DO14" s="17"/>
      <c r="DP14" s="17">
        <f>DP4</f>
        <v>15462</v>
      </c>
      <c r="DQ14" s="17">
        <f t="shared" ref="DQ14:DW14" si="18">DQ4</f>
        <v>1200</v>
      </c>
      <c r="DR14" s="17">
        <f t="shared" si="18"/>
        <v>90317</v>
      </c>
      <c r="DS14" s="17">
        <f t="shared" si="18"/>
        <v>6720</v>
      </c>
      <c r="DT14" s="17">
        <f t="shared" si="18"/>
        <v>0</v>
      </c>
      <c r="DU14" s="17">
        <f t="shared" si="18"/>
        <v>22554</v>
      </c>
      <c r="DV14" s="17">
        <f t="shared" si="18"/>
        <v>30</v>
      </c>
      <c r="DW14" s="17">
        <f t="shared" si="18"/>
        <v>120821</v>
      </c>
      <c r="DY14" s="113" t="s">
        <v>550</v>
      </c>
      <c r="DZ14" s="17">
        <f t="shared" ref="DZ14:ED14" si="19">DZ4</f>
        <v>0</v>
      </c>
      <c r="EA14" s="17">
        <f t="shared" si="19"/>
        <v>7945</v>
      </c>
      <c r="EB14" s="17">
        <f t="shared" si="19"/>
        <v>805</v>
      </c>
      <c r="EC14" s="17">
        <f t="shared" si="19"/>
        <v>0</v>
      </c>
      <c r="ED14" s="17">
        <f t="shared" si="19"/>
        <v>2620</v>
      </c>
      <c r="EE14" s="17"/>
      <c r="EF14" s="17">
        <f>EF4</f>
        <v>11370</v>
      </c>
      <c r="EG14" s="17">
        <f t="shared" ref="EG14:EM14" si="20">EG4</f>
        <v>1200</v>
      </c>
      <c r="EH14" s="17">
        <f t="shared" si="20"/>
        <v>98262</v>
      </c>
      <c r="EI14" s="17">
        <f t="shared" si="20"/>
        <v>7525</v>
      </c>
      <c r="EJ14" s="17">
        <f t="shared" si="20"/>
        <v>0</v>
      </c>
      <c r="EK14" s="17">
        <f t="shared" si="20"/>
        <v>25174</v>
      </c>
      <c r="EL14" s="17">
        <f t="shared" si="20"/>
        <v>30</v>
      </c>
      <c r="EM14" s="17">
        <f t="shared" si="20"/>
        <v>132191</v>
      </c>
      <c r="EO14" s="113" t="s">
        <v>550</v>
      </c>
      <c r="EP14" s="17">
        <f t="shared" ref="EP14:ET14" si="21">EP4</f>
        <v>0</v>
      </c>
      <c r="EQ14" s="17">
        <f t="shared" si="21"/>
        <v>10338</v>
      </c>
      <c r="ER14" s="17">
        <f t="shared" si="21"/>
        <v>770</v>
      </c>
      <c r="ES14" s="17">
        <f t="shared" si="21"/>
        <v>0</v>
      </c>
      <c r="ET14" s="17">
        <f t="shared" si="21"/>
        <v>0</v>
      </c>
      <c r="EU14" s="17"/>
      <c r="EV14" s="17">
        <f>EV4</f>
        <v>11108</v>
      </c>
      <c r="EW14" s="17">
        <f t="shared" ref="EW14:FC14" si="22">EW4</f>
        <v>1200</v>
      </c>
      <c r="EX14" s="17">
        <f t="shared" si="22"/>
        <v>108600</v>
      </c>
      <c r="EY14" s="17">
        <f t="shared" si="22"/>
        <v>8295</v>
      </c>
      <c r="EZ14" s="17">
        <f t="shared" si="22"/>
        <v>0</v>
      </c>
      <c r="FA14" s="17">
        <f t="shared" si="22"/>
        <v>25174</v>
      </c>
      <c r="FB14" s="17">
        <f t="shared" si="22"/>
        <v>30</v>
      </c>
      <c r="FC14" s="17">
        <f t="shared" si="22"/>
        <v>143299</v>
      </c>
      <c r="FE14" s="113" t="s">
        <v>550</v>
      </c>
      <c r="FF14" s="17">
        <f t="shared" ref="FF14:FJ14" si="23">FF4</f>
        <v>0</v>
      </c>
      <c r="FG14" s="17">
        <f t="shared" si="23"/>
        <v>10675</v>
      </c>
      <c r="FH14" s="17">
        <f t="shared" si="23"/>
        <v>665</v>
      </c>
      <c r="FI14" s="17">
        <f t="shared" si="23"/>
        <v>0</v>
      </c>
      <c r="FJ14" s="17">
        <f t="shared" si="23"/>
        <v>3248</v>
      </c>
      <c r="FK14" s="17"/>
      <c r="FL14" s="17">
        <f>FL4</f>
        <v>14588</v>
      </c>
      <c r="FM14" s="17">
        <f t="shared" ref="FM14:FS14" si="24">FM4</f>
        <v>1200</v>
      </c>
      <c r="FN14" s="17">
        <f t="shared" si="24"/>
        <v>119275</v>
      </c>
      <c r="FO14" s="17">
        <f t="shared" si="24"/>
        <v>8960</v>
      </c>
      <c r="FP14" s="17">
        <f t="shared" si="24"/>
        <v>0</v>
      </c>
      <c r="FQ14" s="17">
        <f t="shared" si="24"/>
        <v>28422</v>
      </c>
      <c r="FR14" s="17">
        <f t="shared" si="24"/>
        <v>30</v>
      </c>
      <c r="FS14" s="17">
        <f t="shared" si="24"/>
        <v>157887</v>
      </c>
      <c r="FU14" s="113" t="s">
        <v>550</v>
      </c>
      <c r="FV14" s="17">
        <f t="shared" ref="FV14:FY14" si="25">FV4</f>
        <v>0</v>
      </c>
      <c r="FW14" s="17">
        <f t="shared" si="25"/>
        <v>10395</v>
      </c>
      <c r="FX14" s="17">
        <f t="shared" si="25"/>
        <v>525</v>
      </c>
      <c r="FY14" s="17">
        <f t="shared" si="25"/>
        <v>1874</v>
      </c>
      <c r="FZ14" s="17"/>
      <c r="GA14" s="17">
        <f>GA4</f>
        <v>12794</v>
      </c>
      <c r="GB14" s="17">
        <f t="shared" ref="GB14:GG14" si="26">GB4</f>
        <v>1200</v>
      </c>
      <c r="GC14" s="17">
        <f t="shared" si="26"/>
        <v>129670</v>
      </c>
      <c r="GD14" s="17">
        <f t="shared" si="26"/>
        <v>9485</v>
      </c>
      <c r="GE14" s="17">
        <f t="shared" si="26"/>
        <v>30296</v>
      </c>
      <c r="GF14" s="17">
        <f t="shared" si="26"/>
        <v>30</v>
      </c>
      <c r="GG14" s="17">
        <f t="shared" si="26"/>
        <v>170681</v>
      </c>
      <c r="GI14" s="113" t="s">
        <v>550</v>
      </c>
      <c r="GJ14" s="17">
        <f t="shared" ref="GJ14:GM14" si="27">GJ4</f>
        <v>0</v>
      </c>
      <c r="GK14" s="17">
        <f t="shared" si="27"/>
        <v>9345</v>
      </c>
      <c r="GL14" s="17">
        <f t="shared" si="27"/>
        <v>840</v>
      </c>
      <c r="GM14" s="17">
        <f t="shared" si="27"/>
        <v>7682</v>
      </c>
      <c r="GN14" s="17"/>
      <c r="GO14" s="17">
        <f>GO4</f>
        <v>17867</v>
      </c>
      <c r="GP14" s="17">
        <f t="shared" ref="GP14:GU14" si="28">GP4</f>
        <v>1200</v>
      </c>
      <c r="GQ14" s="17">
        <f t="shared" si="28"/>
        <v>139015</v>
      </c>
      <c r="GR14" s="17">
        <f t="shared" si="28"/>
        <v>10325</v>
      </c>
      <c r="GS14" s="17">
        <f t="shared" si="28"/>
        <v>37978</v>
      </c>
      <c r="GT14" s="17">
        <f t="shared" si="28"/>
        <v>30</v>
      </c>
      <c r="GU14" s="17">
        <f t="shared" si="28"/>
        <v>188548</v>
      </c>
      <c r="GW14" s="113" t="s">
        <v>550</v>
      </c>
      <c r="GX14" s="17">
        <f t="shared" ref="GX14:HA14" si="29">GX4</f>
        <v>3000</v>
      </c>
      <c r="GY14" s="17">
        <f t="shared" si="29"/>
        <v>11550</v>
      </c>
      <c r="GZ14" s="17">
        <f t="shared" si="29"/>
        <v>735</v>
      </c>
      <c r="HA14" s="17">
        <f t="shared" si="29"/>
        <v>0</v>
      </c>
      <c r="HB14" s="17"/>
      <c r="HC14" s="17">
        <f>HC4</f>
        <v>15285</v>
      </c>
      <c r="HD14" s="17">
        <f t="shared" ref="HD14:HI14" si="30">HD4</f>
        <v>4200</v>
      </c>
      <c r="HE14" s="17">
        <f t="shared" si="30"/>
        <v>150565</v>
      </c>
      <c r="HF14" s="17">
        <f t="shared" si="30"/>
        <v>11060</v>
      </c>
      <c r="HG14" s="17">
        <f t="shared" si="30"/>
        <v>37978</v>
      </c>
      <c r="HH14" s="17">
        <f t="shared" si="30"/>
        <v>30</v>
      </c>
      <c r="HI14" s="17">
        <f t="shared" si="30"/>
        <v>203833</v>
      </c>
      <c r="HK14" s="113" t="s">
        <v>550</v>
      </c>
      <c r="HL14" s="17">
        <f t="shared" ref="HL14:HO14" si="31">HL4</f>
        <v>0</v>
      </c>
      <c r="HM14" s="17">
        <f t="shared" si="31"/>
        <v>9730</v>
      </c>
      <c r="HN14" s="17">
        <f t="shared" si="31"/>
        <v>595</v>
      </c>
      <c r="HO14" s="17">
        <f t="shared" si="31"/>
        <v>1592</v>
      </c>
      <c r="HP14" s="17"/>
      <c r="HQ14" s="17">
        <f>HQ4</f>
        <v>11917</v>
      </c>
      <c r="HR14" s="17">
        <f t="shared" ref="HR14:HW14" si="32">HR4</f>
        <v>4200</v>
      </c>
      <c r="HS14" s="17">
        <f t="shared" si="32"/>
        <v>160295</v>
      </c>
      <c r="HT14" s="17">
        <f t="shared" si="32"/>
        <v>11655</v>
      </c>
      <c r="HU14" s="17">
        <f t="shared" si="32"/>
        <v>39570</v>
      </c>
      <c r="HV14" s="17">
        <f t="shared" si="32"/>
        <v>30</v>
      </c>
      <c r="HW14" s="17">
        <f t="shared" si="32"/>
        <v>215750</v>
      </c>
      <c r="HY14" s="113" t="s">
        <v>550</v>
      </c>
      <c r="HZ14" s="17">
        <f t="shared" ref="HZ14:IC14" si="33">HZ4</f>
        <v>0</v>
      </c>
      <c r="IA14" s="17">
        <f t="shared" si="33"/>
        <v>9765</v>
      </c>
      <c r="IB14" s="17">
        <f t="shared" si="33"/>
        <v>945</v>
      </c>
      <c r="IC14" s="17">
        <f t="shared" si="33"/>
        <v>3096</v>
      </c>
      <c r="ID14" s="17"/>
      <c r="IE14" s="17">
        <f>IE4</f>
        <v>13806</v>
      </c>
      <c r="IF14" s="17">
        <f t="shared" ref="IF14:IK14" si="34">IF4</f>
        <v>4200</v>
      </c>
      <c r="IG14" s="17">
        <f t="shared" si="34"/>
        <v>170060</v>
      </c>
      <c r="IH14" s="17">
        <f t="shared" si="34"/>
        <v>12600</v>
      </c>
      <c r="II14" s="17">
        <f t="shared" si="34"/>
        <v>42666</v>
      </c>
      <c r="IJ14" s="17">
        <f t="shared" si="34"/>
        <v>30</v>
      </c>
      <c r="IK14" s="17">
        <f t="shared" si="34"/>
        <v>229556</v>
      </c>
      <c r="IM14" s="113" t="s">
        <v>550</v>
      </c>
      <c r="IN14" s="17">
        <f t="shared" ref="IN14:IQ14" si="35">IN4</f>
        <v>0</v>
      </c>
      <c r="IO14" s="17">
        <f t="shared" si="35"/>
        <v>8995</v>
      </c>
      <c r="IP14" s="17">
        <f t="shared" si="35"/>
        <v>875</v>
      </c>
      <c r="IQ14" s="17">
        <f t="shared" si="35"/>
        <v>3360</v>
      </c>
      <c r="IR14" s="17"/>
      <c r="IS14" s="17">
        <f>IS4</f>
        <v>13230</v>
      </c>
      <c r="IT14" s="17">
        <f t="shared" ref="IT14:IY14" si="36">IT4</f>
        <v>4200</v>
      </c>
      <c r="IU14" s="17">
        <f t="shared" si="36"/>
        <v>179055</v>
      </c>
      <c r="IV14" s="17">
        <f t="shared" si="36"/>
        <v>13475</v>
      </c>
      <c r="IW14" s="17">
        <f t="shared" si="36"/>
        <v>46026</v>
      </c>
      <c r="IX14" s="17">
        <f t="shared" si="36"/>
        <v>30</v>
      </c>
      <c r="IY14" s="17">
        <f t="shared" si="36"/>
        <v>242786</v>
      </c>
      <c r="JA14" s="113" t="s">
        <v>550</v>
      </c>
      <c r="JB14" s="17">
        <f t="shared" ref="JB14:JE14" si="37">JB4</f>
        <v>1800</v>
      </c>
      <c r="JC14" s="17">
        <f t="shared" si="37"/>
        <v>11935</v>
      </c>
      <c r="JD14" s="17">
        <f t="shared" si="37"/>
        <v>385</v>
      </c>
      <c r="JE14" s="17">
        <f t="shared" si="37"/>
        <v>2240</v>
      </c>
      <c r="JF14" s="17"/>
      <c r="JG14" s="17">
        <f>JG4</f>
        <v>16360</v>
      </c>
      <c r="JH14" s="17">
        <f t="shared" ref="JH14:JM14" si="38">JH4</f>
        <v>6000</v>
      </c>
      <c r="JI14" s="17">
        <f t="shared" si="38"/>
        <v>190990</v>
      </c>
      <c r="JJ14" s="17">
        <f t="shared" si="38"/>
        <v>13860</v>
      </c>
      <c r="JK14" s="17">
        <f t="shared" si="38"/>
        <v>48266</v>
      </c>
      <c r="JL14" s="17">
        <f t="shared" si="38"/>
        <v>30</v>
      </c>
      <c r="JM14" s="17">
        <f t="shared" si="38"/>
        <v>259146</v>
      </c>
      <c r="JO14" s="113" t="s">
        <v>550</v>
      </c>
      <c r="JP14" s="17">
        <f t="shared" ref="JP14:JS14" si="39">JP4</f>
        <v>0</v>
      </c>
      <c r="JQ14" s="17">
        <f t="shared" si="39"/>
        <v>8920</v>
      </c>
      <c r="JR14" s="17">
        <f t="shared" si="39"/>
        <v>385</v>
      </c>
      <c r="JS14" s="17">
        <f t="shared" si="39"/>
        <v>3248</v>
      </c>
      <c r="JT14" s="17"/>
      <c r="JU14" s="17">
        <f>JU4</f>
        <v>12553</v>
      </c>
      <c r="JV14" s="17">
        <f t="shared" ref="JV14:KA14" si="40">JV4</f>
        <v>6000</v>
      </c>
      <c r="JW14" s="17">
        <f t="shared" si="40"/>
        <v>199910</v>
      </c>
      <c r="JX14" s="17">
        <f t="shared" si="40"/>
        <v>14245</v>
      </c>
      <c r="JY14" s="17">
        <f t="shared" si="40"/>
        <v>51514</v>
      </c>
      <c r="JZ14" s="17">
        <f t="shared" si="40"/>
        <v>30</v>
      </c>
      <c r="KA14" s="17">
        <f t="shared" si="40"/>
        <v>271699</v>
      </c>
      <c r="KC14" s="113" t="s">
        <v>550</v>
      </c>
      <c r="KD14" s="17">
        <f t="shared" ref="KD14:KG14" si="41">KD4</f>
        <v>-6</v>
      </c>
      <c r="KE14" s="17">
        <f t="shared" si="41"/>
        <v>6977</v>
      </c>
      <c r="KF14" s="17">
        <f t="shared" si="41"/>
        <v>665</v>
      </c>
      <c r="KG14" s="17">
        <f t="shared" si="41"/>
        <v>0</v>
      </c>
      <c r="KH14" s="17"/>
      <c r="KI14" s="17">
        <f>KI4</f>
        <v>7636</v>
      </c>
      <c r="KJ14" s="17">
        <f t="shared" ref="KJ14:KO14" si="42">KJ4</f>
        <v>5994</v>
      </c>
      <c r="KK14" s="17">
        <f t="shared" si="42"/>
        <v>206887</v>
      </c>
      <c r="KL14" s="17">
        <f t="shared" si="42"/>
        <v>14910</v>
      </c>
      <c r="KM14" s="17">
        <f t="shared" si="42"/>
        <v>51514</v>
      </c>
      <c r="KN14" s="17">
        <f t="shared" si="42"/>
        <v>30</v>
      </c>
      <c r="KO14" s="17">
        <f t="shared" si="42"/>
        <v>279335</v>
      </c>
      <c r="KQ14" s="76" t="s">
        <v>550</v>
      </c>
      <c r="KR14" s="156">
        <f t="shared" ref="KR14:KU14" si="43">KR4</f>
        <v>1300</v>
      </c>
      <c r="KS14" s="156">
        <f t="shared" si="43"/>
        <v>8450</v>
      </c>
      <c r="KT14" s="156">
        <f t="shared" si="43"/>
        <v>1330</v>
      </c>
      <c r="KU14" s="156">
        <f t="shared" si="43"/>
        <v>3698</v>
      </c>
      <c r="KV14" s="156"/>
      <c r="KW14" s="156">
        <f>KW4</f>
        <v>14778</v>
      </c>
      <c r="KX14" s="156">
        <f t="shared" ref="KX14:LC14" si="44">KX4</f>
        <v>7294</v>
      </c>
      <c r="KY14" s="156">
        <f t="shared" si="44"/>
        <v>219358</v>
      </c>
      <c r="KZ14" s="156">
        <f t="shared" si="44"/>
        <v>16450</v>
      </c>
      <c r="LA14" s="156">
        <f t="shared" si="44"/>
        <v>55212</v>
      </c>
      <c r="LB14" s="156">
        <f t="shared" si="44"/>
        <v>30</v>
      </c>
      <c r="LC14" s="156">
        <f t="shared" si="44"/>
        <v>298344</v>
      </c>
    </row>
    <row r="15" spans="2:321" x14ac:dyDescent="0.3">
      <c r="B15" s="114" t="s">
        <v>499</v>
      </c>
      <c r="C15">
        <f t="shared" ref="C15:G20" si="45">C5*1000/C$4</f>
        <v>659.31</v>
      </c>
      <c r="D15">
        <f t="shared" si="45"/>
        <v>393.92298507462687</v>
      </c>
      <c r="E15">
        <f t="shared" si="45"/>
        <v>2608.1333333333332</v>
      </c>
      <c r="F15" t="e">
        <f t="shared" si="45"/>
        <v>#DIV/0!</v>
      </c>
      <c r="G15">
        <f t="shared" si="45"/>
        <v>196.54578947368421</v>
      </c>
      <c r="I15">
        <f t="shared" ref="I15:M20" si="46">I5*1000/I$4</f>
        <v>659.31</v>
      </c>
      <c r="J15">
        <f t="shared" si="46"/>
        <v>393.92298507462687</v>
      </c>
      <c r="K15">
        <f t="shared" si="46"/>
        <v>2608.1333333333332</v>
      </c>
      <c r="L15" t="e">
        <f t="shared" si="46"/>
        <v>#DIV/0!</v>
      </c>
      <c r="M15">
        <f t="shared" si="46"/>
        <v>196.54578947368421</v>
      </c>
      <c r="P15" s="114" t="s">
        <v>499</v>
      </c>
      <c r="Q15" t="e">
        <f t="shared" ref="Q15:U15" si="47">Q5*1000/Q$4</f>
        <v>#DIV/0!</v>
      </c>
      <c r="R15">
        <f t="shared" si="47"/>
        <v>362.73369865606662</v>
      </c>
      <c r="S15">
        <f t="shared" si="47"/>
        <v>1032.303076923077</v>
      </c>
      <c r="T15" t="e">
        <f t="shared" si="47"/>
        <v>#DIV/0!</v>
      </c>
      <c r="U15">
        <f t="shared" si="47"/>
        <v>158.0289721627409</v>
      </c>
      <c r="W15">
        <f t="shared" ref="W15:AA15" si="48">W5*1000/W$4</f>
        <v>371.93247849034771</v>
      </c>
      <c r="X15">
        <f t="shared" si="48"/>
        <v>659.31</v>
      </c>
      <c r="Y15">
        <f t="shared" si="48"/>
        <v>372.32191006816987</v>
      </c>
      <c r="Z15">
        <f t="shared" si="48"/>
        <v>1195.32</v>
      </c>
      <c r="AA15" t="e">
        <f t="shared" si="48"/>
        <v>#DIV/0!</v>
      </c>
      <c r="AB15">
        <f t="shared" ref="AB15:AD15" si="49">AB5*1000/AB$4</f>
        <v>177.05786565547129</v>
      </c>
      <c r="AC15">
        <f t="shared" si="49"/>
        <v>158.02000000000001</v>
      </c>
      <c r="AD15">
        <f t="shared" si="49"/>
        <v>384.73026825296296</v>
      </c>
      <c r="AF15" s="114" t="s">
        <v>499</v>
      </c>
      <c r="AG15" t="e">
        <f t="shared" ref="AG15:AK15" si="50">AG5*1000/AG$4</f>
        <v>#DIV/0!</v>
      </c>
      <c r="AH15">
        <f t="shared" si="50"/>
        <v>374.1711239193084</v>
      </c>
      <c r="AI15">
        <f t="shared" si="50"/>
        <v>1251.8528571428574</v>
      </c>
      <c r="AJ15" t="e">
        <f t="shared" si="50"/>
        <v>#DIV/0!</v>
      </c>
      <c r="AK15">
        <f t="shared" si="50"/>
        <v>179.20556346381966</v>
      </c>
      <c r="AM15">
        <f t="shared" ref="AM15:AT15" si="51">AM5*1000/AM$4</f>
        <v>373.20665858238146</v>
      </c>
      <c r="AN15">
        <f t="shared" si="51"/>
        <v>659.31</v>
      </c>
      <c r="AO15">
        <f t="shared" si="51"/>
        <v>372.99225105511675</v>
      </c>
      <c r="AP15">
        <f t="shared" si="51"/>
        <v>1219.0637999999999</v>
      </c>
      <c r="AQ15" t="e">
        <f t="shared" si="51"/>
        <v>#DIV/0!</v>
      </c>
      <c r="AR15">
        <f t="shared" si="51"/>
        <v>177.96459371478653</v>
      </c>
      <c r="AS15">
        <f t="shared" si="51"/>
        <v>158.02000000000001</v>
      </c>
      <c r="AT15">
        <f t="shared" si="51"/>
        <v>380.50833581747304</v>
      </c>
      <c r="AV15" s="114" t="s">
        <v>499</v>
      </c>
      <c r="AW15" t="e">
        <f t="shared" ref="AW15:BA15" si="52">AW5*1000/AW$4</f>
        <v>#DIV/0!</v>
      </c>
      <c r="AX15">
        <f t="shared" si="52"/>
        <v>393.33898102600142</v>
      </c>
      <c r="AY15">
        <f t="shared" si="52"/>
        <v>892.61200000000008</v>
      </c>
      <c r="AZ15" t="e">
        <f t="shared" si="52"/>
        <v>#DIV/0!</v>
      </c>
      <c r="BA15">
        <f t="shared" si="52"/>
        <v>168.18414634146342</v>
      </c>
      <c r="BC15">
        <f t="shared" ref="BC15:BJ15" si="53">BC5*1000/BC$4</f>
        <v>375.86678235595832</v>
      </c>
      <c r="BD15">
        <f t="shared" si="53"/>
        <v>659.31</v>
      </c>
      <c r="BE15">
        <f t="shared" si="53"/>
        <v>378.34259693861833</v>
      </c>
      <c r="BF15">
        <f t="shared" si="53"/>
        <v>1125.791857142857</v>
      </c>
      <c r="BG15" t="e">
        <f t="shared" si="53"/>
        <v>#DIV/0!</v>
      </c>
      <c r="BH15">
        <f t="shared" si="53"/>
        <v>175.66154972719443</v>
      </c>
      <c r="BI15">
        <f t="shared" si="53"/>
        <v>158.02000000000001</v>
      </c>
      <c r="BJ15">
        <f t="shared" si="53"/>
        <v>379.34281629674143</v>
      </c>
      <c r="BL15" s="114" t="s">
        <v>499</v>
      </c>
      <c r="BM15" t="e">
        <f t="shared" ref="BM15:BQ15" si="54">BM5*1000/BM$4</f>
        <v>#DIV/0!</v>
      </c>
      <c r="BN15">
        <f t="shared" si="54"/>
        <v>384.2231228070176</v>
      </c>
      <c r="BO15">
        <f t="shared" si="54"/>
        <v>2482.08</v>
      </c>
      <c r="BP15" t="e">
        <f t="shared" si="54"/>
        <v>#DIV/0!</v>
      </c>
      <c r="BQ15">
        <f t="shared" si="54"/>
        <v>168.59037831513263</v>
      </c>
      <c r="BS15">
        <f t="shared" ref="BS15:BZ15" si="55">BS5*1000/BS$4</f>
        <v>345.9248871582962</v>
      </c>
      <c r="BT15">
        <f t="shared" si="55"/>
        <v>659.31</v>
      </c>
      <c r="BU15">
        <f t="shared" si="55"/>
        <v>379.72461195928742</v>
      </c>
      <c r="BV15">
        <f t="shared" si="55"/>
        <v>1144.8945070422535</v>
      </c>
      <c r="BW15" t="e">
        <f t="shared" si="55"/>
        <v>#DIV/0!</v>
      </c>
      <c r="BX15">
        <f t="shared" si="55"/>
        <v>174.26807624317885</v>
      </c>
      <c r="BY15">
        <f t="shared" si="55"/>
        <v>150.5</v>
      </c>
      <c r="BZ15">
        <f t="shared" si="55"/>
        <v>372.23564678046301</v>
      </c>
      <c r="CC15" s="114" t="s">
        <v>499</v>
      </c>
      <c r="CD15" t="e">
        <f t="shared" ref="CD15:CH15" si="56">CD5*1000/CD$4</f>
        <v>#DIV/0!</v>
      </c>
      <c r="CE15">
        <f t="shared" si="56"/>
        <v>396.22004255319143</v>
      </c>
      <c r="CF15">
        <f t="shared" si="56"/>
        <v>949.01714285714274</v>
      </c>
      <c r="CG15" t="e">
        <f t="shared" si="56"/>
        <v>#DIV/0!</v>
      </c>
      <c r="CH15">
        <f t="shared" si="56"/>
        <v>175.09648813559321</v>
      </c>
      <c r="CJ15">
        <f t="shared" ref="CJ15:CQ15" si="57">CJ5*1000/CJ$4</f>
        <v>363.52017916845261</v>
      </c>
      <c r="CK15">
        <f t="shared" si="57"/>
        <v>659.31</v>
      </c>
      <c r="CL15">
        <f t="shared" si="57"/>
        <v>382.40228305275417</v>
      </c>
      <c r="CM15">
        <f t="shared" si="57"/>
        <v>1112.6323529411764</v>
      </c>
      <c r="CN15" t="e">
        <f t="shared" si="57"/>
        <v>#DIV/0!</v>
      </c>
      <c r="CO15">
        <f t="shared" si="57"/>
        <v>174.42118789549525</v>
      </c>
      <c r="CP15">
        <f t="shared" si="57"/>
        <v>150.5</v>
      </c>
      <c r="CQ15">
        <f t="shared" si="57"/>
        <v>370.80039683772151</v>
      </c>
      <c r="CS15" s="114" t="s">
        <v>499</v>
      </c>
      <c r="CT15" t="e">
        <f t="shared" ref="CT15:CX15" si="58">CT5*1000/CT$4</f>
        <v>#DIV/0!</v>
      </c>
      <c r="CU15">
        <f t="shared" si="58"/>
        <v>389.38202891566272</v>
      </c>
      <c r="CV15">
        <f t="shared" si="58"/>
        <v>993.07650000000001</v>
      </c>
      <c r="CW15" t="e">
        <f t="shared" si="58"/>
        <v>#DIV/0!</v>
      </c>
      <c r="CX15">
        <f t="shared" si="58"/>
        <v>207.76</v>
      </c>
      <c r="CZ15">
        <f t="shared" ref="CZ15:DG15" si="59">CZ5*1000/CZ$4</f>
        <v>423.64027494456769</v>
      </c>
      <c r="DA15">
        <f t="shared" si="59"/>
        <v>659.31</v>
      </c>
      <c r="DB15">
        <f t="shared" si="59"/>
        <v>384.53871564448218</v>
      </c>
      <c r="DC15">
        <f t="shared" si="59"/>
        <v>1042.9633766233767</v>
      </c>
      <c r="DD15" t="e">
        <f t="shared" si="59"/>
        <v>#DIV/0!</v>
      </c>
      <c r="DE15">
        <f t="shared" si="59"/>
        <v>176.29839637280574</v>
      </c>
      <c r="DF15">
        <f t="shared" si="59"/>
        <v>150.5</v>
      </c>
      <c r="DG15">
        <f t="shared" si="59"/>
        <v>380.52654239315115</v>
      </c>
      <c r="DI15" s="114" t="s">
        <v>499</v>
      </c>
      <c r="DJ15" t="e">
        <f t="shared" ref="DJ15:DN15" si="60">DJ5*1000/DJ$4</f>
        <v>#DIV/0!</v>
      </c>
      <c r="DK15">
        <f t="shared" si="60"/>
        <v>377.12153278688527</v>
      </c>
      <c r="DL15">
        <f t="shared" si="60"/>
        <v>915.96075187969916</v>
      </c>
      <c r="DM15" t="e">
        <f t="shared" si="60"/>
        <v>#DIV/0!</v>
      </c>
      <c r="DN15">
        <f t="shared" si="60"/>
        <v>158.59</v>
      </c>
      <c r="DP15">
        <f t="shared" ref="DP15:DW15" si="61">DP5*1000/DP$4</f>
        <v>396.1652037252619</v>
      </c>
      <c r="DQ15">
        <f t="shared" si="61"/>
        <v>659.31</v>
      </c>
      <c r="DR15">
        <f t="shared" si="61"/>
        <v>383.53680425612009</v>
      </c>
      <c r="DS15">
        <f t="shared" si="61"/>
        <v>1017.8274404761906</v>
      </c>
      <c r="DT15" t="e">
        <f t="shared" si="61"/>
        <v>#DIV/0!</v>
      </c>
      <c r="DU15">
        <f t="shared" si="61"/>
        <v>174.78147601312403</v>
      </c>
      <c r="DV15">
        <f t="shared" si="61"/>
        <v>150.5</v>
      </c>
      <c r="DW15">
        <f t="shared" si="61"/>
        <v>382.52789134339224</v>
      </c>
      <c r="DY15" s="114" t="s">
        <v>499</v>
      </c>
      <c r="DZ15" t="e">
        <f t="shared" ref="DZ15:ED15" si="62">DZ5*1000/DZ$4</f>
        <v>#DIV/0!</v>
      </c>
      <c r="EA15">
        <f t="shared" si="62"/>
        <v>388.70524229074897</v>
      </c>
      <c r="EB15">
        <f t="shared" si="62"/>
        <v>1080.3130434782609</v>
      </c>
      <c r="EC15" t="e">
        <f t="shared" si="62"/>
        <v>#DIV/0!</v>
      </c>
      <c r="ED15">
        <f t="shared" si="62"/>
        <v>158.59</v>
      </c>
      <c r="EF15">
        <f t="shared" ref="EF15:EM15" si="63">EF5*1000/EF$4</f>
        <v>384.64564204045735</v>
      </c>
      <c r="EG15">
        <f t="shared" si="63"/>
        <v>659.31</v>
      </c>
      <c r="EH15">
        <f t="shared" si="63"/>
        <v>383.95469968044608</v>
      </c>
      <c r="EI15">
        <f t="shared" si="63"/>
        <v>1024.511946843854</v>
      </c>
      <c r="EJ15" t="e">
        <f t="shared" si="63"/>
        <v>#DIV/0!</v>
      </c>
      <c r="EK15">
        <f t="shared" si="63"/>
        <v>173.0963378882974</v>
      </c>
      <c r="EL15">
        <f t="shared" si="63"/>
        <v>150.5</v>
      </c>
      <c r="EM15">
        <f t="shared" si="63"/>
        <v>382.71004311942562</v>
      </c>
      <c r="EO15" s="114" t="s">
        <v>499</v>
      </c>
      <c r="EP15" t="e">
        <f t="shared" ref="EP15:ET15" si="64">EP5*1000/EP$4</f>
        <v>#DIV/0!</v>
      </c>
      <c r="EQ15">
        <f t="shared" si="64"/>
        <v>379.85323757012958</v>
      </c>
      <c r="ER15">
        <f t="shared" si="64"/>
        <v>1081.909090909091</v>
      </c>
      <c r="ES15" t="e">
        <f t="shared" si="64"/>
        <v>#DIV/0!</v>
      </c>
      <c r="ET15" t="e">
        <f t="shared" si="64"/>
        <v>#DIV/0!</v>
      </c>
      <c r="EV15">
        <f t="shared" ref="EV15:FC15" si="65">EV5*1000/EV$4</f>
        <v>428.51933471371979</v>
      </c>
      <c r="EW15">
        <f t="shared" si="65"/>
        <v>659.31</v>
      </c>
      <c r="EX15">
        <f t="shared" si="65"/>
        <v>383.56426767955799</v>
      </c>
      <c r="EY15">
        <f t="shared" si="65"/>
        <v>1029.83995177818</v>
      </c>
      <c r="EZ15" t="e">
        <f t="shared" si="65"/>
        <v>#DIV/0!</v>
      </c>
      <c r="FA15">
        <f t="shared" si="65"/>
        <v>173.0963378882974</v>
      </c>
      <c r="FB15">
        <f t="shared" si="65"/>
        <v>150.5</v>
      </c>
      <c r="FC15">
        <f t="shared" si="65"/>
        <v>386.2610072645308</v>
      </c>
      <c r="FE15" s="114" t="s">
        <v>499</v>
      </c>
      <c r="FF15" t="e">
        <f t="shared" ref="FF15:FJ15" si="66">FF5*1000/FF$4</f>
        <v>#DIV/0!</v>
      </c>
      <c r="FG15">
        <f t="shared" si="66"/>
        <v>393.99632786885246</v>
      </c>
      <c r="FH15">
        <f t="shared" si="66"/>
        <v>1089.9515789473683</v>
      </c>
      <c r="FI15" t="e">
        <f t="shared" si="66"/>
        <v>#DIV/0!</v>
      </c>
      <c r="FJ15">
        <f t="shared" si="66"/>
        <v>158.59</v>
      </c>
      <c r="FL15">
        <f t="shared" ref="FL15:FS15" si="67">FL5*1000/FL$4</f>
        <v>373.30880998080613</v>
      </c>
      <c r="FM15">
        <f t="shared" si="67"/>
        <v>659.31</v>
      </c>
      <c r="FN15">
        <f t="shared" si="67"/>
        <v>384.49792722699647</v>
      </c>
      <c r="FO15">
        <f t="shared" si="67"/>
        <v>1034.3013616071428</v>
      </c>
      <c r="FP15" t="e">
        <f t="shared" si="67"/>
        <v>#DIV/0!</v>
      </c>
      <c r="FQ15">
        <f t="shared" si="67"/>
        <v>171.43858736190271</v>
      </c>
      <c r="FR15">
        <f t="shared" si="67"/>
        <v>150.5</v>
      </c>
      <c r="FS15">
        <f t="shared" si="67"/>
        <v>385.06428648337101</v>
      </c>
      <c r="FU15" s="114" t="s">
        <v>499</v>
      </c>
      <c r="FV15" t="e">
        <f t="shared" ref="FV15:FY15" si="68">FV5*1000/FV$4</f>
        <v>#DIV/0!</v>
      </c>
      <c r="FW15">
        <f t="shared" si="68"/>
        <v>387.34521885521889</v>
      </c>
      <c r="FX15">
        <f t="shared" si="68"/>
        <v>1164.3139999999999</v>
      </c>
      <c r="FY15">
        <f t="shared" si="68"/>
        <v>148.04848452508003</v>
      </c>
      <c r="GA15">
        <f t="shared" ref="GA15:GG15" si="69">GA5*1000/GA$4</f>
        <v>384.17705643270278</v>
      </c>
      <c r="GB15">
        <f t="shared" si="69"/>
        <v>659.31</v>
      </c>
      <c r="GC15">
        <f t="shared" si="69"/>
        <v>384.72618045808593</v>
      </c>
      <c r="GD15">
        <f t="shared" si="69"/>
        <v>1041.4976331049024</v>
      </c>
      <c r="GE15">
        <f t="shared" si="69"/>
        <v>169.99176095854236</v>
      </c>
      <c r="GF15">
        <f t="shared" si="69"/>
        <v>150.5</v>
      </c>
      <c r="GG15">
        <f t="shared" si="69"/>
        <v>384.99778100667328</v>
      </c>
      <c r="GI15" s="114" t="s">
        <v>499</v>
      </c>
      <c r="GJ15" t="e">
        <f t="shared" ref="GJ15:GM15" si="70">GJ5*1000/GJ$4</f>
        <v>#DIV/0!</v>
      </c>
      <c r="GK15">
        <f t="shared" si="70"/>
        <v>391.69543071161047</v>
      </c>
      <c r="GL15">
        <f t="shared" si="70"/>
        <v>997.2266666666668</v>
      </c>
      <c r="GM15">
        <f t="shared" si="70"/>
        <v>167.84091122103618</v>
      </c>
      <c r="GO15">
        <f t="shared" ref="GO15:GU15" si="71">GO5*1000/GO$4</f>
        <v>323.91661051099788</v>
      </c>
      <c r="GP15">
        <f t="shared" si="71"/>
        <v>659.31</v>
      </c>
      <c r="GQ15">
        <f t="shared" si="71"/>
        <v>385.19467409991734</v>
      </c>
      <c r="GR15">
        <f t="shared" si="71"/>
        <v>1037.895927360775</v>
      </c>
      <c r="GS15">
        <f t="shared" si="71"/>
        <v>169.5566978250566</v>
      </c>
      <c r="GT15">
        <f t="shared" si="71"/>
        <v>150.5</v>
      </c>
      <c r="GU15">
        <f t="shared" si="71"/>
        <v>379.2096672465367</v>
      </c>
      <c r="GW15" s="114" t="s">
        <v>499</v>
      </c>
      <c r="GX15">
        <f t="shared" ref="GX15:HA15" si="72">GX5*1000/GX$4</f>
        <v>659.31</v>
      </c>
      <c r="GY15">
        <f t="shared" si="72"/>
        <v>392.21703030303024</v>
      </c>
      <c r="GZ15">
        <f t="shared" si="72"/>
        <v>862.24</v>
      </c>
      <c r="HA15" t="e">
        <f t="shared" si="72"/>
        <v>#DIV/0!</v>
      </c>
      <c r="HC15">
        <f t="shared" ref="HC15:HI15" si="73">HC5*1000/HC$4</f>
        <v>467.24128884527312</v>
      </c>
      <c r="HD15">
        <f t="shared" si="73"/>
        <v>659.31</v>
      </c>
      <c r="HE15">
        <f t="shared" si="73"/>
        <v>385.73336645302703</v>
      </c>
      <c r="HF15">
        <f t="shared" si="73"/>
        <v>1026.2225904159136</v>
      </c>
      <c r="HG15">
        <f t="shared" si="73"/>
        <v>169.5566978250566</v>
      </c>
      <c r="HH15">
        <f t="shared" si="73"/>
        <v>150.5</v>
      </c>
      <c r="HI15">
        <f t="shared" si="73"/>
        <v>385.81096996070318</v>
      </c>
      <c r="HK15" s="114" t="s">
        <v>499</v>
      </c>
      <c r="HL15" t="e">
        <f t="shared" ref="HL15:HO15" si="74">HL5*1000/HL$4</f>
        <v>#DIV/0!</v>
      </c>
      <c r="HM15">
        <f t="shared" si="74"/>
        <v>367.72262589928056</v>
      </c>
      <c r="HN15">
        <f t="shared" si="74"/>
        <v>933.70352941176463</v>
      </c>
      <c r="HO15">
        <f t="shared" si="74"/>
        <v>162.94</v>
      </c>
      <c r="HQ15">
        <f t="shared" ref="HQ15:HW15" si="75">HQ5*1000/HQ$4</f>
        <v>368.6242535873123</v>
      </c>
      <c r="HR15">
        <f t="shared" si="75"/>
        <v>659.31</v>
      </c>
      <c r="HS15">
        <f t="shared" si="75"/>
        <v>384.64010399575795</v>
      </c>
      <c r="HT15">
        <f t="shared" si="75"/>
        <v>1021.4993951093953</v>
      </c>
      <c r="HU15">
        <f t="shared" si="75"/>
        <v>169.29049153399041</v>
      </c>
      <c r="HV15">
        <f t="shared" si="75"/>
        <v>150.5</v>
      </c>
      <c r="HW15">
        <f t="shared" si="75"/>
        <v>384.86165779837791</v>
      </c>
      <c r="HY15" s="114" t="s">
        <v>499</v>
      </c>
      <c r="HZ15" t="e">
        <f t="shared" ref="HZ15:IC15" si="76">HZ5*1000/HZ$4</f>
        <v>#DIV/0!</v>
      </c>
      <c r="IA15">
        <f t="shared" si="76"/>
        <v>385.75648745519715</v>
      </c>
      <c r="IB15">
        <f t="shared" si="76"/>
        <v>908.37666666666667</v>
      </c>
      <c r="IC15">
        <f t="shared" si="76"/>
        <v>162.94</v>
      </c>
      <c r="IE15">
        <f t="shared" ref="IE15:IK15" si="77">IE5*1000/IE$4</f>
        <v>371.56238519484282</v>
      </c>
      <c r="IF15">
        <f t="shared" si="77"/>
        <v>659.31</v>
      </c>
      <c r="IG15">
        <f t="shared" si="77"/>
        <v>384.70420775020602</v>
      </c>
      <c r="IH15">
        <f t="shared" si="77"/>
        <v>1013.0151904761907</v>
      </c>
      <c r="II15">
        <f t="shared" si="77"/>
        <v>168.82967679182488</v>
      </c>
      <c r="IJ15">
        <f t="shared" si="77"/>
        <v>150.5</v>
      </c>
      <c r="IK15">
        <f t="shared" si="77"/>
        <v>384.06181045148037</v>
      </c>
      <c r="IM15" s="114" t="s">
        <v>499</v>
      </c>
      <c r="IN15" t="e">
        <f t="shared" ref="IN15:IQ15" si="78">IN5*1000/IN$4</f>
        <v>#DIV/0!</v>
      </c>
      <c r="IO15">
        <f t="shared" si="78"/>
        <v>380.15439688715952</v>
      </c>
      <c r="IP15">
        <f t="shared" si="78"/>
        <v>774.53599999999983</v>
      </c>
      <c r="IQ15">
        <f t="shared" si="78"/>
        <v>162.94</v>
      </c>
      <c r="IS15">
        <f t="shared" ref="IS15:IY15" si="79">IS5*1000/IS$4</f>
        <v>351.07227513227508</v>
      </c>
      <c r="IT15">
        <f t="shared" si="79"/>
        <v>659.31</v>
      </c>
      <c r="IU15">
        <f t="shared" si="79"/>
        <v>384.47564362905274</v>
      </c>
      <c r="IV15">
        <f t="shared" si="79"/>
        <v>997.52952875695746</v>
      </c>
      <c r="IW15">
        <f t="shared" si="79"/>
        <v>168.39971733368097</v>
      </c>
      <c r="IX15">
        <f t="shared" si="79"/>
        <v>150.5</v>
      </c>
      <c r="IY15">
        <f t="shared" si="79"/>
        <v>382.26413038643096</v>
      </c>
      <c r="JA15" s="114" t="s">
        <v>499</v>
      </c>
      <c r="JB15">
        <f t="shared" ref="JB15:JE15" si="80">JB5*1000/JB$4</f>
        <v>659.31</v>
      </c>
      <c r="JC15">
        <f t="shared" si="80"/>
        <v>380.22246334310853</v>
      </c>
      <c r="JD15">
        <f t="shared" si="80"/>
        <v>862.24</v>
      </c>
      <c r="JE15">
        <f t="shared" si="80"/>
        <v>162.94</v>
      </c>
      <c r="JG15">
        <f t="shared" ref="JG15:JM15" si="81">JG5*1000/JG$4</f>
        <v>392.52207212713938</v>
      </c>
      <c r="JH15">
        <f t="shared" si="81"/>
        <v>659.31</v>
      </c>
      <c r="JI15">
        <f t="shared" si="81"/>
        <v>384.20986161579157</v>
      </c>
      <c r="JJ15">
        <f t="shared" si="81"/>
        <v>993.77148629148633</v>
      </c>
      <c r="JK15">
        <f t="shared" si="81"/>
        <v>168.14633468694322</v>
      </c>
      <c r="JL15">
        <f t="shared" si="81"/>
        <v>150.5</v>
      </c>
      <c r="JM15">
        <f t="shared" si="81"/>
        <v>382.91171872226477</v>
      </c>
      <c r="JO15" s="114" t="s">
        <v>499</v>
      </c>
      <c r="JP15" t="e">
        <f t="shared" ref="JP15:JS15" si="82">JP5*1000/JP$4</f>
        <v>#DIV/0!</v>
      </c>
      <c r="JQ15">
        <f t="shared" si="82"/>
        <v>396.92690582959642</v>
      </c>
      <c r="JR15">
        <f t="shared" si="82"/>
        <v>954.27636363636373</v>
      </c>
      <c r="JS15">
        <f t="shared" si="82"/>
        <v>162.94</v>
      </c>
      <c r="JU15">
        <f t="shared" ref="JU15:KA15" si="83">JU5*1000/JU$4</f>
        <v>353.47833346610378</v>
      </c>
      <c r="JV15">
        <f t="shared" si="83"/>
        <v>659.31</v>
      </c>
      <c r="JW15">
        <f t="shared" si="83"/>
        <v>384.77729713371025</v>
      </c>
      <c r="JX15">
        <f t="shared" si="83"/>
        <v>992.70405054405046</v>
      </c>
      <c r="JY15">
        <f t="shared" si="83"/>
        <v>167.81807100982263</v>
      </c>
      <c r="JZ15">
        <f t="shared" si="83"/>
        <v>150.5</v>
      </c>
      <c r="KA15">
        <f t="shared" si="83"/>
        <v>381.55184148635078</v>
      </c>
      <c r="KC15" s="114" t="s">
        <v>499</v>
      </c>
      <c r="KD15">
        <f t="shared" ref="KD15:KG15" si="84">KD5*1000/KD$4</f>
        <v>659.31000000000006</v>
      </c>
      <c r="KE15">
        <f t="shared" si="84"/>
        <v>374.04817113372496</v>
      </c>
      <c r="KF15">
        <f t="shared" si="84"/>
        <v>862.24</v>
      </c>
      <c r="KG15" t="e">
        <f t="shared" si="84"/>
        <v>#DIV/0!</v>
      </c>
      <c r="KI15">
        <f t="shared" ref="KI15:KO15" si="85">KI5*1000/KI$4</f>
        <v>416.3394224724986</v>
      </c>
      <c r="KJ15">
        <f t="shared" si="85"/>
        <v>659.31</v>
      </c>
      <c r="KK15">
        <f t="shared" si="85"/>
        <v>384.41547105424718</v>
      </c>
      <c r="KL15">
        <f t="shared" si="85"/>
        <v>986.88523138833</v>
      </c>
      <c r="KM15">
        <f t="shared" si="85"/>
        <v>167.81807100982263</v>
      </c>
      <c r="KN15">
        <f t="shared" si="85"/>
        <v>150.5</v>
      </c>
      <c r="KO15">
        <f t="shared" si="85"/>
        <v>382.50280705962388</v>
      </c>
      <c r="KQ15" s="25" t="s">
        <v>499</v>
      </c>
      <c r="KR15" s="156">
        <f t="shared" ref="KR15:KU15" si="86">KR5*1000/KR$4</f>
        <v>659.31</v>
      </c>
      <c r="KS15" s="156">
        <f t="shared" si="86"/>
        <v>386.29960946745558</v>
      </c>
      <c r="KT15" s="156">
        <f t="shared" si="86"/>
        <v>862.24</v>
      </c>
      <c r="KU15" s="156">
        <f t="shared" si="86"/>
        <v>162.94</v>
      </c>
      <c r="KV15" s="156"/>
      <c r="KW15" s="156">
        <f t="shared" ref="KW15:LC15" si="87">KW5*1000/KW$4</f>
        <v>397.2571403437542</v>
      </c>
      <c r="KX15" s="156">
        <f t="shared" si="87"/>
        <v>659.31000000000006</v>
      </c>
      <c r="KY15" s="156">
        <f t="shared" si="87"/>
        <v>384.30800836987953</v>
      </c>
      <c r="KZ15" s="156">
        <f t="shared" si="87"/>
        <v>975.21631610942268</v>
      </c>
      <c r="LA15" s="156">
        <f t="shared" si="87"/>
        <v>167.49134662754474</v>
      </c>
      <c r="LB15" s="156">
        <f t="shared" si="87"/>
        <v>150.5</v>
      </c>
      <c r="LC15" s="156">
        <f t="shared" si="87"/>
        <v>383.46472149599134</v>
      </c>
    </row>
    <row r="16" spans="2:321" x14ac:dyDescent="0.3">
      <c r="B16" s="115" t="s">
        <v>539</v>
      </c>
      <c r="C16">
        <f t="shared" si="45"/>
        <v>499.02</v>
      </c>
      <c r="D16">
        <f t="shared" si="45"/>
        <v>386.26940298507458</v>
      </c>
      <c r="E16">
        <f t="shared" si="45"/>
        <v>2636.7133333333336</v>
      </c>
      <c r="F16" t="e">
        <f t="shared" si="45"/>
        <v>#DIV/0!</v>
      </c>
      <c r="G16">
        <f t="shared" si="45"/>
        <v>181.77122807017543</v>
      </c>
      <c r="I16">
        <f t="shared" si="46"/>
        <v>499.02</v>
      </c>
      <c r="J16">
        <f t="shared" si="46"/>
        <v>386.26940298507458</v>
      </c>
      <c r="K16">
        <f t="shared" si="46"/>
        <v>2636.7133333333336</v>
      </c>
      <c r="L16" t="e">
        <f t="shared" si="46"/>
        <v>#DIV/0!</v>
      </c>
      <c r="M16">
        <f t="shared" si="46"/>
        <v>181.77122807017543</v>
      </c>
      <c r="P16" s="115" t="s">
        <v>539</v>
      </c>
      <c r="Q16" t="e">
        <f t="shared" ref="Q16:U16" si="88">Q6*1000/Q$4</f>
        <v>#DIV/0!</v>
      </c>
      <c r="R16">
        <f t="shared" si="88"/>
        <v>352.13589721749003</v>
      </c>
      <c r="S16">
        <f t="shared" si="88"/>
        <v>957.9507692307692</v>
      </c>
      <c r="T16" t="e">
        <f t="shared" si="88"/>
        <v>#DIV/0!</v>
      </c>
      <c r="U16">
        <f t="shared" si="88"/>
        <v>149.06226980728053</v>
      </c>
      <c r="W16">
        <f t="shared" ref="W16:AA16" si="89">W6*1000/W$4</f>
        <v>357.35477478128837</v>
      </c>
      <c r="X16">
        <f t="shared" si="89"/>
        <v>499.02</v>
      </c>
      <c r="Y16">
        <f t="shared" si="89"/>
        <v>362.62922063450446</v>
      </c>
      <c r="Z16">
        <f t="shared" si="89"/>
        <v>1131.6158620689653</v>
      </c>
      <c r="AA16" t="e">
        <f t="shared" si="89"/>
        <v>#DIV/0!</v>
      </c>
      <c r="AB16">
        <f t="shared" ref="AB16:AD16" si="90">AB6*1000/AB$4</f>
        <v>165.22184182015167</v>
      </c>
      <c r="AC16">
        <f t="shared" si="90"/>
        <v>105.52000000000001</v>
      </c>
      <c r="AD16">
        <f t="shared" si="90"/>
        <v>363.89643942820953</v>
      </c>
      <c r="AF16" s="115" t="s">
        <v>539</v>
      </c>
      <c r="AG16" t="e">
        <f t="shared" ref="AG16:AK16" si="91">AG6*1000/AG$4</f>
        <v>#DIV/0!</v>
      </c>
      <c r="AH16">
        <f t="shared" si="91"/>
        <v>359.01334293948128</v>
      </c>
      <c r="AI16">
        <f t="shared" si="91"/>
        <v>1205.6819047619047</v>
      </c>
      <c r="AJ16" t="e">
        <f t="shared" si="91"/>
        <v>#DIV/0!</v>
      </c>
      <c r="AK16">
        <f t="shared" si="91"/>
        <v>168.269418742586</v>
      </c>
      <c r="AM16">
        <f t="shared" ref="AM16:AT16" si="92">AM6*1000/AM$4</f>
        <v>357.37923877327489</v>
      </c>
      <c r="AN16">
        <f t="shared" si="92"/>
        <v>499.02</v>
      </c>
      <c r="AO16">
        <f t="shared" si="92"/>
        <v>361.31846308135891</v>
      </c>
      <c r="AP16">
        <f t="shared" si="92"/>
        <v>1162.7235999999998</v>
      </c>
      <c r="AQ16" t="e">
        <f t="shared" si="92"/>
        <v>#DIV/0!</v>
      </c>
      <c r="AR16">
        <f t="shared" si="92"/>
        <v>166.50848629022161</v>
      </c>
      <c r="AS16">
        <f t="shared" si="92"/>
        <v>105.52000000000001</v>
      </c>
      <c r="AT16">
        <f t="shared" si="92"/>
        <v>361.50871703737675</v>
      </c>
      <c r="AV16" s="115" t="s">
        <v>539</v>
      </c>
      <c r="AW16" t="e">
        <f t="shared" ref="AW16:BA16" si="93">AW6*1000/AW$4</f>
        <v>#DIV/0!</v>
      </c>
      <c r="AX16">
        <f t="shared" si="93"/>
        <v>374.0552377605996</v>
      </c>
      <c r="AY16">
        <f t="shared" si="93"/>
        <v>800.26999999999987</v>
      </c>
      <c r="AZ16" t="e">
        <f t="shared" si="93"/>
        <v>#DIV/0!</v>
      </c>
      <c r="BA16">
        <f t="shared" si="93"/>
        <v>158.11560975609754</v>
      </c>
      <c r="BC16">
        <f t="shared" ref="BC16:BJ16" si="94">BC6*1000/BC$4</f>
        <v>354.14917250812096</v>
      </c>
      <c r="BD16">
        <f t="shared" si="94"/>
        <v>499.02</v>
      </c>
      <c r="BE16">
        <f t="shared" si="94"/>
        <v>364.66770642766949</v>
      </c>
      <c r="BF16">
        <f t="shared" si="94"/>
        <v>1059.1654285714285</v>
      </c>
      <c r="BG16" t="e">
        <f t="shared" si="94"/>
        <v>#DIV/0!</v>
      </c>
      <c r="BH16">
        <f t="shared" si="94"/>
        <v>164.53217957308317</v>
      </c>
      <c r="BI16">
        <f t="shared" si="94"/>
        <v>105.52000000000001</v>
      </c>
      <c r="BJ16">
        <f t="shared" si="94"/>
        <v>359.66069505860133</v>
      </c>
      <c r="BL16" s="115" t="s">
        <v>539</v>
      </c>
      <c r="BM16" t="e">
        <f t="shared" ref="BM16:BQ16" si="95">BM6*1000/BM$4</f>
        <v>#DIV/0!</v>
      </c>
      <c r="BN16">
        <f t="shared" si="95"/>
        <v>366.558596491228</v>
      </c>
      <c r="BO16">
        <f t="shared" si="95"/>
        <v>2597.9200000000005</v>
      </c>
      <c r="BP16" t="e">
        <f t="shared" si="95"/>
        <v>#DIV/0!</v>
      </c>
      <c r="BQ16">
        <f t="shared" si="95"/>
        <v>158.9002574102964</v>
      </c>
      <c r="BS16">
        <f t="shared" ref="BS16:BZ16" si="96">BS6*1000/BS$4</f>
        <v>330.24138270820083</v>
      </c>
      <c r="BT16">
        <f t="shared" si="96"/>
        <v>499.02</v>
      </c>
      <c r="BU16">
        <f t="shared" si="96"/>
        <v>365.11209499575909</v>
      </c>
      <c r="BV16">
        <f t="shared" si="96"/>
        <v>1080.8380281690138</v>
      </c>
      <c r="BW16" t="e">
        <f t="shared" si="96"/>
        <v>#DIV/0!</v>
      </c>
      <c r="BX16">
        <f t="shared" si="96"/>
        <v>163.42233033586965</v>
      </c>
      <c r="BY16">
        <f t="shared" si="96"/>
        <v>103.28333333333333</v>
      </c>
      <c r="BZ16">
        <f t="shared" si="96"/>
        <v>353.40393273618389</v>
      </c>
      <c r="CC16" s="115" t="s">
        <v>539</v>
      </c>
      <c r="CD16" t="e">
        <f t="shared" ref="CD16:CH16" si="97">CD6*1000/CD$4</f>
        <v>#DIV/0!</v>
      </c>
      <c r="CE16">
        <f t="shared" si="97"/>
        <v>375.5137021276596</v>
      </c>
      <c r="CF16">
        <f t="shared" si="97"/>
        <v>864.06285714285707</v>
      </c>
      <c r="CG16" t="e">
        <f t="shared" si="97"/>
        <v>#DIV/0!</v>
      </c>
      <c r="CH16">
        <f t="shared" si="97"/>
        <v>164.54213559322031</v>
      </c>
      <c r="CJ16">
        <f t="shared" ref="CJ16:CQ16" si="98">CJ6*1000/CJ$4</f>
        <v>342.68240891555939</v>
      </c>
      <c r="CK16">
        <f t="shared" si="98"/>
        <v>499.02</v>
      </c>
      <c r="CL16">
        <f t="shared" si="98"/>
        <v>366.80056760543926</v>
      </c>
      <c r="CM16">
        <f t="shared" si="98"/>
        <v>1045.1338823529413</v>
      </c>
      <c r="CN16" t="e">
        <f t="shared" si="98"/>
        <v>#DIV/0!</v>
      </c>
      <c r="CO16">
        <f t="shared" si="98"/>
        <v>163.62929891610804</v>
      </c>
      <c r="CP16">
        <f t="shared" si="98"/>
        <v>103.28333333333333</v>
      </c>
      <c r="CQ16">
        <f t="shared" si="98"/>
        <v>351.63832850991747</v>
      </c>
      <c r="CS16" s="115" t="s">
        <v>539</v>
      </c>
      <c r="CT16" t="e">
        <f t="shared" ref="CT16:CX16" si="99">CT6*1000/CT$4</f>
        <v>#DIV/0!</v>
      </c>
      <c r="CU16">
        <f t="shared" si="99"/>
        <v>370.60447228915655</v>
      </c>
      <c r="CV16">
        <f t="shared" si="99"/>
        <v>912.65499999999997</v>
      </c>
      <c r="CW16" t="e">
        <f t="shared" si="99"/>
        <v>#DIV/0!</v>
      </c>
      <c r="CX16">
        <f t="shared" si="99"/>
        <v>193.49</v>
      </c>
      <c r="CZ16">
        <f t="shared" ref="CZ16:DG16" si="100">CZ6*1000/CZ$4</f>
        <v>401.11555654101988</v>
      </c>
      <c r="DA16">
        <f t="shared" si="100"/>
        <v>499.02</v>
      </c>
      <c r="DB16">
        <f t="shared" si="100"/>
        <v>367.9357954094499</v>
      </c>
      <c r="DC16">
        <f t="shared" si="100"/>
        <v>967.81922077922093</v>
      </c>
      <c r="DD16" t="e">
        <f t="shared" si="100"/>
        <v>#DIV/0!</v>
      </c>
      <c r="DE16">
        <f t="shared" si="100"/>
        <v>165.3210542139463</v>
      </c>
      <c r="DF16">
        <f t="shared" si="100"/>
        <v>103.28333333333333</v>
      </c>
      <c r="DG16">
        <f t="shared" si="100"/>
        <v>360.3845842310576</v>
      </c>
      <c r="DI16" s="115" t="s">
        <v>539</v>
      </c>
      <c r="DJ16" t="e">
        <f t="shared" ref="DJ16:DN16" si="101">DJ6*1000/DJ$4</f>
        <v>#DIV/0!</v>
      </c>
      <c r="DK16">
        <f t="shared" si="101"/>
        <v>361.38660655737692</v>
      </c>
      <c r="DL16">
        <f t="shared" si="101"/>
        <v>826.13766917293242</v>
      </c>
      <c r="DM16" t="e">
        <f t="shared" si="101"/>
        <v>#DIV/0!</v>
      </c>
      <c r="DN16">
        <f t="shared" si="101"/>
        <v>149.54000000000002</v>
      </c>
      <c r="DP16">
        <f t="shared" ref="DP16:DW16" si="102">DP6*1000/DP$4</f>
        <v>374.89270340188841</v>
      </c>
      <c r="DQ16">
        <f t="shared" si="102"/>
        <v>499.02</v>
      </c>
      <c r="DR16">
        <f t="shared" si="102"/>
        <v>367.05113245568384</v>
      </c>
      <c r="DS16">
        <f t="shared" si="102"/>
        <v>939.77808035714293</v>
      </c>
      <c r="DT16" t="e">
        <f t="shared" si="102"/>
        <v>#DIV/0!</v>
      </c>
      <c r="DU16">
        <f t="shared" si="102"/>
        <v>163.9692320652656</v>
      </c>
      <c r="DV16">
        <f t="shared" si="102"/>
        <v>103.28333333333333</v>
      </c>
      <c r="DW16">
        <f t="shared" si="102"/>
        <v>362.24125267958385</v>
      </c>
      <c r="DY16" s="115" t="s">
        <v>539</v>
      </c>
      <c r="DZ16" t="e">
        <f t="shared" ref="DZ16:ED16" si="103">DZ6*1000/DZ$4</f>
        <v>#DIV/0!</v>
      </c>
      <c r="EA16">
        <f t="shared" si="103"/>
        <v>369.61378854625542</v>
      </c>
      <c r="EB16">
        <f t="shared" si="103"/>
        <v>1011.7634782608695</v>
      </c>
      <c r="EC16" t="e">
        <f t="shared" si="103"/>
        <v>#DIV/0!</v>
      </c>
      <c r="ED16">
        <f t="shared" si="103"/>
        <v>149.53999999999996</v>
      </c>
      <c r="EF16">
        <f t="shared" ref="EF16:EM16" si="104">EF6*1000/EF$4</f>
        <v>364.36639841688645</v>
      </c>
      <c r="EG16">
        <f t="shared" si="104"/>
        <v>499.02</v>
      </c>
      <c r="EH16">
        <f t="shared" si="104"/>
        <v>367.25833669170169</v>
      </c>
      <c r="EI16">
        <f t="shared" si="104"/>
        <v>947.47884385382065</v>
      </c>
      <c r="EJ16" t="e">
        <f t="shared" si="104"/>
        <v>#DIV/0!</v>
      </c>
      <c r="EK16">
        <f t="shared" si="104"/>
        <v>162.46750059585287</v>
      </c>
      <c r="EL16">
        <f t="shared" si="104"/>
        <v>103.28333333333333</v>
      </c>
      <c r="EM16">
        <f t="shared" si="104"/>
        <v>362.42404051713044</v>
      </c>
      <c r="EO16" s="115" t="s">
        <v>539</v>
      </c>
      <c r="EP16" t="e">
        <f t="shared" ref="EP16:ET16" si="105">EP6*1000/EP$4</f>
        <v>#DIV/0!</v>
      </c>
      <c r="EQ16">
        <f t="shared" si="105"/>
        <v>364.00916424840392</v>
      </c>
      <c r="ER16">
        <f t="shared" si="105"/>
        <v>1013.429090909091</v>
      </c>
      <c r="ES16" t="e">
        <f t="shared" si="105"/>
        <v>#DIV/0!</v>
      </c>
      <c r="ET16" t="e">
        <f t="shared" si="105"/>
        <v>#DIV/0!</v>
      </c>
      <c r="EV16">
        <f t="shared" ref="EV16:FC16" si="106">EV6*1000/EV$4</f>
        <v>409.02657003961104</v>
      </c>
      <c r="EW16">
        <f t="shared" si="106"/>
        <v>499.02</v>
      </c>
      <c r="EX16">
        <f t="shared" si="106"/>
        <v>366.94903701657444</v>
      </c>
      <c r="EY16">
        <f t="shared" si="106"/>
        <v>953.60080771549144</v>
      </c>
      <c r="EZ16" t="e">
        <f t="shared" si="106"/>
        <v>#DIV/0!</v>
      </c>
      <c r="FA16">
        <f t="shared" si="106"/>
        <v>162.46750059585287</v>
      </c>
      <c r="FB16">
        <f t="shared" si="106"/>
        <v>103.28333333333333</v>
      </c>
      <c r="FC16">
        <f t="shared" si="106"/>
        <v>366.0364934856488</v>
      </c>
      <c r="FE16" s="115" t="s">
        <v>539</v>
      </c>
      <c r="FF16" t="e">
        <f t="shared" ref="FF16:FJ16" si="107">FF6*1000/FF$4</f>
        <v>#DIV/0!</v>
      </c>
      <c r="FG16">
        <f t="shared" si="107"/>
        <v>373.48796721311476</v>
      </c>
      <c r="FH16">
        <f t="shared" si="107"/>
        <v>1022.3778947368422</v>
      </c>
      <c r="FI16" t="e">
        <f t="shared" si="107"/>
        <v>#DIV/0!</v>
      </c>
      <c r="FJ16">
        <f t="shared" si="107"/>
        <v>149.54</v>
      </c>
      <c r="FL16">
        <f t="shared" ref="FL16:FS16" si="108">FL6*1000/FL$4</f>
        <v>353.20614683301346</v>
      </c>
      <c r="FM16">
        <f t="shared" si="108"/>
        <v>499.02</v>
      </c>
      <c r="FN16">
        <f t="shared" si="108"/>
        <v>367.53426510165576</v>
      </c>
      <c r="FO16">
        <f t="shared" si="108"/>
        <v>958.70535714285711</v>
      </c>
      <c r="FP16" t="e">
        <f t="shared" si="108"/>
        <v>#DIV/0!</v>
      </c>
      <c r="FQ16">
        <f t="shared" si="108"/>
        <v>160.99017592006194</v>
      </c>
      <c r="FR16">
        <f t="shared" si="108"/>
        <v>103.28333333333333</v>
      </c>
      <c r="FS16">
        <f t="shared" si="108"/>
        <v>364.85103111719133</v>
      </c>
      <c r="FU16" s="115" t="s">
        <v>539</v>
      </c>
      <c r="FV16" t="e">
        <f t="shared" ref="FV16:FY16" si="109">FV6*1000/FV$4</f>
        <v>#DIV/0!</v>
      </c>
      <c r="FW16">
        <f t="shared" si="109"/>
        <v>368.52239057239052</v>
      </c>
      <c r="FX16">
        <f t="shared" si="109"/>
        <v>1107.1600000000001</v>
      </c>
      <c r="FY16">
        <f t="shared" si="109"/>
        <v>140.56361792956241</v>
      </c>
      <c r="GA16">
        <f t="shared" ref="GA16:GG16" si="110">GA6*1000/GA$4</f>
        <v>365.44204080037514</v>
      </c>
      <c r="GB16">
        <f t="shared" si="110"/>
        <v>499.02</v>
      </c>
      <c r="GC16">
        <f t="shared" si="110"/>
        <v>367.61347821392741</v>
      </c>
      <c r="GD16">
        <f t="shared" si="110"/>
        <v>966.92240379546649</v>
      </c>
      <c r="GE16">
        <f t="shared" si="110"/>
        <v>159.72666358595194</v>
      </c>
      <c r="GF16">
        <f t="shared" si="110"/>
        <v>103.28333333333333</v>
      </c>
      <c r="GG16">
        <f t="shared" si="110"/>
        <v>364.89533234513488</v>
      </c>
      <c r="GI16" s="115" t="s">
        <v>539</v>
      </c>
      <c r="GJ16" t="e">
        <f t="shared" ref="GJ16:GM16" si="111">GJ6*1000/GJ$4</f>
        <v>#DIV/0!</v>
      </c>
      <c r="GK16">
        <f t="shared" si="111"/>
        <v>372.4152059925093</v>
      </c>
      <c r="GL16">
        <f t="shared" si="111"/>
        <v>918.5866666666667</v>
      </c>
      <c r="GM16">
        <f t="shared" si="111"/>
        <v>154.34577974485808</v>
      </c>
      <c r="GO16">
        <f t="shared" ref="GO16:GU16" si="112">GO6*1000/GO$4</f>
        <v>304.33297028040516</v>
      </c>
      <c r="GP16">
        <f t="shared" si="112"/>
        <v>499.02</v>
      </c>
      <c r="GQ16">
        <f t="shared" si="112"/>
        <v>367.93626457576505</v>
      </c>
      <c r="GR16">
        <f t="shared" si="112"/>
        <v>962.99000484261489</v>
      </c>
      <c r="GS16">
        <f t="shared" si="112"/>
        <v>158.63824529991047</v>
      </c>
      <c r="GT16">
        <f t="shared" si="112"/>
        <v>103.28333333333333</v>
      </c>
      <c r="GU16">
        <f t="shared" si="112"/>
        <v>359.15638139890086</v>
      </c>
      <c r="GW16" s="115" t="s">
        <v>539</v>
      </c>
      <c r="GX16">
        <f t="shared" ref="GX16:HA16" si="113">GX6*1000/GX$4</f>
        <v>496.36</v>
      </c>
      <c r="GY16">
        <f t="shared" si="113"/>
        <v>372.03766666666655</v>
      </c>
      <c r="GZ16">
        <f t="shared" si="113"/>
        <v>765.92</v>
      </c>
      <c r="HA16" t="e">
        <f t="shared" si="113"/>
        <v>#DIV/0!</v>
      </c>
      <c r="HC16">
        <f t="shared" ref="HC16:HI16" si="114">HC6*1000/HC$4</f>
        <v>415.37888452731426</v>
      </c>
      <c r="HD16">
        <f t="shared" si="114"/>
        <v>497.12</v>
      </c>
      <c r="HE16">
        <f t="shared" si="114"/>
        <v>368.25088745724429</v>
      </c>
      <c r="HF16">
        <f t="shared" si="114"/>
        <v>949.89358047016253</v>
      </c>
      <c r="HG16">
        <f t="shared" si="114"/>
        <v>158.63824529991047</v>
      </c>
      <c r="HH16">
        <f t="shared" si="114"/>
        <v>103.28333333333333</v>
      </c>
      <c r="HI16">
        <f t="shared" si="114"/>
        <v>363.37238646342826</v>
      </c>
      <c r="HK16" s="115" t="s">
        <v>539</v>
      </c>
      <c r="HL16" t="e">
        <f t="shared" ref="HL16:HO16" si="115">HL6*1000/HL$4</f>
        <v>#DIV/0!</v>
      </c>
      <c r="HM16">
        <f t="shared" si="115"/>
        <v>354.27546762589924</v>
      </c>
      <c r="HN16">
        <f t="shared" si="115"/>
        <v>846.74352941176471</v>
      </c>
      <c r="HO16">
        <f t="shared" si="115"/>
        <v>149.54</v>
      </c>
      <c r="HQ16">
        <f t="shared" ref="HQ16:HW16" si="116">HQ6*1000/HQ$4</f>
        <v>351.5129965595367</v>
      </c>
      <c r="HR16">
        <f t="shared" si="116"/>
        <v>497.12</v>
      </c>
      <c r="HS16">
        <f t="shared" si="116"/>
        <v>367.40257132162554</v>
      </c>
      <c r="HT16">
        <f t="shared" si="116"/>
        <v>944.62766194766186</v>
      </c>
      <c r="HU16">
        <f t="shared" si="116"/>
        <v>158.27220015163002</v>
      </c>
      <c r="HV16">
        <f t="shared" si="116"/>
        <v>103.28333333333333</v>
      </c>
      <c r="HW16">
        <f t="shared" si="116"/>
        <v>362.71733038238682</v>
      </c>
      <c r="HY16" s="115" t="s">
        <v>539</v>
      </c>
      <c r="HZ16" t="e">
        <f t="shared" ref="HZ16:IC16" si="117">HZ6*1000/HZ$4</f>
        <v>#DIV/0!</v>
      </c>
      <c r="IA16">
        <f t="shared" si="117"/>
        <v>367.24240143369173</v>
      </c>
      <c r="IB16">
        <f t="shared" si="117"/>
        <v>817.85703703703689</v>
      </c>
      <c r="IC16">
        <f t="shared" si="117"/>
        <v>149.53999999999996</v>
      </c>
      <c r="IE16">
        <f t="shared" ref="IE16:IK16" si="118">IE6*1000/IE$4</f>
        <v>349.26646313197159</v>
      </c>
      <c r="IF16">
        <f t="shared" si="118"/>
        <v>497.12</v>
      </c>
      <c r="IG16">
        <f t="shared" si="118"/>
        <v>367.39337422086311</v>
      </c>
      <c r="IH16">
        <f t="shared" si="118"/>
        <v>935.11986507936501</v>
      </c>
      <c r="II16">
        <f t="shared" si="118"/>
        <v>157.63855997749965</v>
      </c>
      <c r="IJ16">
        <f t="shared" si="118"/>
        <v>103.28333333333333</v>
      </c>
      <c r="IK16">
        <f t="shared" si="118"/>
        <v>361.9083658018086</v>
      </c>
      <c r="IM16" s="115" t="s">
        <v>539</v>
      </c>
      <c r="IN16" t="e">
        <f t="shared" ref="IN16:IQ16" si="119">IN6*1000/IN$4</f>
        <v>#DIV/0!</v>
      </c>
      <c r="IO16">
        <f t="shared" si="119"/>
        <v>363.10824902723726</v>
      </c>
      <c r="IP16">
        <f t="shared" si="119"/>
        <v>700.5136</v>
      </c>
      <c r="IQ16">
        <f t="shared" si="119"/>
        <v>149.54</v>
      </c>
      <c r="IS16">
        <f t="shared" ref="IS16:IY16" si="120">IS6*1000/IS$4</f>
        <v>331.18386243386237</v>
      </c>
      <c r="IT16">
        <f t="shared" si="120"/>
        <v>497.12</v>
      </c>
      <c r="IU16">
        <f t="shared" si="120"/>
        <v>367.17810683868078</v>
      </c>
      <c r="IV16">
        <f t="shared" si="120"/>
        <v>919.88569202226336</v>
      </c>
      <c r="IW16">
        <f t="shared" si="120"/>
        <v>157.04734715160996</v>
      </c>
      <c r="IX16">
        <f t="shared" si="120"/>
        <v>103.28333333333333</v>
      </c>
      <c r="IY16">
        <f t="shared" si="120"/>
        <v>360.23411284011422</v>
      </c>
      <c r="JA16" s="115" t="s">
        <v>539</v>
      </c>
      <c r="JB16">
        <f t="shared" ref="JB16:JE16" si="121">JB6*1000/JB$4</f>
        <v>496.36</v>
      </c>
      <c r="JC16">
        <f t="shared" si="121"/>
        <v>363.23844574780054</v>
      </c>
      <c r="JD16">
        <f t="shared" si="121"/>
        <v>765.91999999999985</v>
      </c>
      <c r="JE16">
        <f t="shared" si="121"/>
        <v>149.54</v>
      </c>
      <c r="JG16">
        <f t="shared" ref="JG16:JM16" si="122">JG6*1000/JG$4</f>
        <v>358.10193459657705</v>
      </c>
      <c r="JH16">
        <f t="shared" si="122"/>
        <v>496.892</v>
      </c>
      <c r="JI16">
        <f t="shared" si="122"/>
        <v>366.93191669720926</v>
      </c>
      <c r="JJ16">
        <f t="shared" si="122"/>
        <v>915.60886724386728</v>
      </c>
      <c r="JK16">
        <f t="shared" si="122"/>
        <v>156.69893506816393</v>
      </c>
      <c r="JL16">
        <f t="shared" si="122"/>
        <v>103.28333333333333</v>
      </c>
      <c r="JM16">
        <f t="shared" si="122"/>
        <v>360.099507497704</v>
      </c>
      <c r="JO16" s="115" t="s">
        <v>539</v>
      </c>
      <c r="JP16" t="e">
        <f t="shared" ref="JP16:JS16" si="123">JP6*1000/JP$4</f>
        <v>#DIV/0!</v>
      </c>
      <c r="JQ16">
        <f t="shared" si="123"/>
        <v>375.14</v>
      </c>
      <c r="JR16">
        <f t="shared" si="123"/>
        <v>870.01090909090908</v>
      </c>
      <c r="JS16">
        <f t="shared" si="123"/>
        <v>149.54</v>
      </c>
      <c r="JU16">
        <f t="shared" ref="JU16:KA16" si="124">JU6*1000/JU$4</f>
        <v>331.94526567354416</v>
      </c>
      <c r="JV16">
        <f t="shared" si="124"/>
        <v>496.892</v>
      </c>
      <c r="JW16">
        <f t="shared" si="124"/>
        <v>367.29816202291045</v>
      </c>
      <c r="JX16">
        <f t="shared" si="124"/>
        <v>914.37648999649002</v>
      </c>
      <c r="JY16">
        <f t="shared" si="124"/>
        <v>156.24755833365685</v>
      </c>
      <c r="JZ16">
        <f t="shared" si="124"/>
        <v>103.28333333333333</v>
      </c>
      <c r="KA16">
        <f t="shared" si="124"/>
        <v>358.79872907150929</v>
      </c>
      <c r="KC16" s="115" t="s">
        <v>539</v>
      </c>
      <c r="KD16">
        <f t="shared" ref="KD16:KG16" si="125">KD6*1000/KD$4</f>
        <v>496.36000000000007</v>
      </c>
      <c r="KE16">
        <f t="shared" si="125"/>
        <v>356.40544073383973</v>
      </c>
      <c r="KF16">
        <f t="shared" si="125"/>
        <v>765.92</v>
      </c>
      <c r="KG16" t="e">
        <f t="shared" si="125"/>
        <v>#DIV/0!</v>
      </c>
      <c r="KI16">
        <f t="shared" ref="KI16:KO16" si="126">KI6*1000/KI$4</f>
        <v>391.95906233630171</v>
      </c>
      <c r="KJ16">
        <f t="shared" si="126"/>
        <v>496.89253253253253</v>
      </c>
      <c r="KK16">
        <f t="shared" si="126"/>
        <v>366.93081890113916</v>
      </c>
      <c r="KL16">
        <f t="shared" si="126"/>
        <v>907.7551911468812</v>
      </c>
      <c r="KM16">
        <f t="shared" si="126"/>
        <v>156.24755833365685</v>
      </c>
      <c r="KN16">
        <f t="shared" si="126"/>
        <v>103.28333333333333</v>
      </c>
      <c r="KO16">
        <f t="shared" si="126"/>
        <v>359.70521162761548</v>
      </c>
      <c r="KQ16" s="26" t="s">
        <v>539</v>
      </c>
      <c r="KR16" s="156">
        <f t="shared" ref="KR16:KU16" si="127">KR6*1000/KR$4</f>
        <v>496.36</v>
      </c>
      <c r="KS16" s="156">
        <f t="shared" si="127"/>
        <v>365.63308284023663</v>
      </c>
      <c r="KT16" s="156">
        <f t="shared" si="127"/>
        <v>765.92</v>
      </c>
      <c r="KU16" s="156">
        <f t="shared" si="127"/>
        <v>149.54</v>
      </c>
      <c r="KV16" s="156"/>
      <c r="KW16" s="156">
        <f t="shared" ref="KW16:LC16" si="128">KW6*1000/KW$4</f>
        <v>359.08377791311403</v>
      </c>
      <c r="KX16" s="156">
        <f t="shared" si="128"/>
        <v>496.79761996161227</v>
      </c>
      <c r="KY16" s="156">
        <f t="shared" si="128"/>
        <v>366.72872377574561</v>
      </c>
      <c r="KZ16" s="156">
        <f t="shared" si="128"/>
        <v>894.47700303951365</v>
      </c>
      <c r="LA16" s="156">
        <f t="shared" si="128"/>
        <v>155.79829819604433</v>
      </c>
      <c r="LB16" s="156">
        <f t="shared" si="128"/>
        <v>103.28333333333333</v>
      </c>
      <c r="LC16" s="156">
        <f t="shared" si="128"/>
        <v>359.94590831389263</v>
      </c>
    </row>
    <row r="17" spans="2:315" x14ac:dyDescent="0.3">
      <c r="B17" s="114" t="s">
        <v>540</v>
      </c>
      <c r="C17">
        <f t="shared" si="45"/>
        <v>419.86999999999995</v>
      </c>
      <c r="D17">
        <f t="shared" si="45"/>
        <v>319.67641791044775</v>
      </c>
      <c r="E17">
        <f t="shared" si="45"/>
        <v>1952.85</v>
      </c>
      <c r="F17" t="e">
        <f t="shared" si="45"/>
        <v>#DIV/0!</v>
      </c>
      <c r="G17">
        <f t="shared" si="45"/>
        <v>175.36122807017543</v>
      </c>
      <c r="I17">
        <f t="shared" si="46"/>
        <v>419.86999999999995</v>
      </c>
      <c r="J17">
        <f t="shared" si="46"/>
        <v>319.67641791044775</v>
      </c>
      <c r="K17">
        <f t="shared" si="46"/>
        <v>1952.85</v>
      </c>
      <c r="L17" t="e">
        <f t="shared" si="46"/>
        <v>#DIV/0!</v>
      </c>
      <c r="M17">
        <f t="shared" si="46"/>
        <v>175.36122807017543</v>
      </c>
      <c r="P17" s="114" t="s">
        <v>540</v>
      </c>
      <c r="Q17" t="e">
        <f t="shared" ref="Q17:U17" si="129">Q7*1000/Q$4</f>
        <v>#DIV/0!</v>
      </c>
      <c r="R17">
        <f t="shared" si="129"/>
        <v>293.54065398447852</v>
      </c>
      <c r="S17">
        <f t="shared" si="129"/>
        <v>810.42923076923091</v>
      </c>
      <c r="T17" t="e">
        <f t="shared" si="129"/>
        <v>#DIV/0!</v>
      </c>
      <c r="U17">
        <f t="shared" si="129"/>
        <v>142.44226980728052</v>
      </c>
      <c r="W17">
        <f t="shared" ref="W17:AA17" si="130">W7*1000/W$4</f>
        <v>301.7585026389994</v>
      </c>
      <c r="X17">
        <f t="shared" si="130"/>
        <v>419.86999999999995</v>
      </c>
      <c r="Y17">
        <f t="shared" si="130"/>
        <v>301.57531135291026</v>
      </c>
      <c r="Z17">
        <f t="shared" si="130"/>
        <v>928.61068965517234</v>
      </c>
      <c r="AA17" t="e">
        <f t="shared" si="130"/>
        <v>#DIV/0!</v>
      </c>
      <c r="AB17">
        <f t="shared" ref="AB17:AD17" si="131">AB7*1000/AB$4</f>
        <v>158.70559046587218</v>
      </c>
      <c r="AC17">
        <f t="shared" si="131"/>
        <v>98.9</v>
      </c>
      <c r="AD17">
        <f t="shared" si="131"/>
        <v>306.77739527730029</v>
      </c>
      <c r="AF17" s="114" t="s">
        <v>540</v>
      </c>
      <c r="AG17" t="e">
        <f t="shared" ref="AG17:AK17" si="132">AG7*1000/AG$4</f>
        <v>#DIV/0!</v>
      </c>
      <c r="AH17">
        <f t="shared" si="132"/>
        <v>300.9733429394812</v>
      </c>
      <c r="AI17">
        <f t="shared" si="132"/>
        <v>973.82047619047626</v>
      </c>
      <c r="AJ17" t="e">
        <f t="shared" si="132"/>
        <v>#DIV/0!</v>
      </c>
      <c r="AK17">
        <f t="shared" si="132"/>
        <v>161.64941874258599</v>
      </c>
      <c r="AM17">
        <f t="shared" ref="AM17:AT17" si="133">AM7*1000/AM$4</f>
        <v>302.90906274448434</v>
      </c>
      <c r="AN17">
        <f t="shared" si="133"/>
        <v>419.86999999999995</v>
      </c>
      <c r="AO17">
        <f t="shared" si="133"/>
        <v>301.35709748861302</v>
      </c>
      <c r="AP17">
        <f t="shared" si="133"/>
        <v>947.59879999999998</v>
      </c>
      <c r="AQ17" t="e">
        <f t="shared" si="133"/>
        <v>#DIV/0!</v>
      </c>
      <c r="AR17">
        <f t="shared" si="133"/>
        <v>159.94843370477025</v>
      </c>
      <c r="AS17">
        <f t="shared" si="133"/>
        <v>98.9</v>
      </c>
      <c r="AT17">
        <f t="shared" si="133"/>
        <v>305.36014503554225</v>
      </c>
      <c r="AV17" s="114" t="s">
        <v>540</v>
      </c>
      <c r="AW17" t="e">
        <f t="shared" ref="AW17:BA17" si="134">AW7*1000/AW$4</f>
        <v>#DIV/0!</v>
      </c>
      <c r="AX17">
        <f t="shared" si="134"/>
        <v>316.01523776059963</v>
      </c>
      <c r="AY17">
        <f t="shared" si="134"/>
        <v>705.89599999999996</v>
      </c>
      <c r="AZ17" t="e">
        <f t="shared" si="134"/>
        <v>#DIV/0!</v>
      </c>
      <c r="BA17">
        <f t="shared" si="134"/>
        <v>151.49560975609754</v>
      </c>
      <c r="BC17">
        <f t="shared" ref="BC17:BJ17" si="135">BC7*1000/BC$4</f>
        <v>304.74820482133691</v>
      </c>
      <c r="BD17">
        <f t="shared" si="135"/>
        <v>419.86999999999995</v>
      </c>
      <c r="BE17">
        <f t="shared" si="135"/>
        <v>305.21158027657145</v>
      </c>
      <c r="BF17">
        <f t="shared" si="135"/>
        <v>878.54085714285702</v>
      </c>
      <c r="BG17" t="e">
        <f t="shared" si="135"/>
        <v>#DIV/0!</v>
      </c>
      <c r="BH17">
        <f t="shared" si="135"/>
        <v>157.95801091222359</v>
      </c>
      <c r="BI17">
        <f t="shared" si="135"/>
        <v>98.9</v>
      </c>
      <c r="BJ17">
        <f t="shared" si="135"/>
        <v>305.20648349289479</v>
      </c>
      <c r="BL17" s="114" t="s">
        <v>540</v>
      </c>
      <c r="BM17" t="e">
        <f t="shared" ref="BM17:BQ17" si="136">BM7*1000/BM$4</f>
        <v>#DIV/0!</v>
      </c>
      <c r="BN17">
        <f t="shared" si="136"/>
        <v>308.35635087719299</v>
      </c>
      <c r="BO17">
        <f t="shared" si="136"/>
        <v>1929.2400000000002</v>
      </c>
      <c r="BP17" t="e">
        <f t="shared" si="136"/>
        <v>#DIV/0!</v>
      </c>
      <c r="BQ17">
        <f t="shared" si="136"/>
        <v>152.28025741029643</v>
      </c>
      <c r="BS17">
        <f t="shared" ref="BS17:BZ17" si="137">BS7*1000/BS$4</f>
        <v>280.89212333121429</v>
      </c>
      <c r="BT17">
        <f t="shared" si="137"/>
        <v>419.86999999999995</v>
      </c>
      <c r="BU17">
        <f t="shared" si="137"/>
        <v>305.95065026858919</v>
      </c>
      <c r="BV17">
        <f t="shared" si="137"/>
        <v>893.3394366197183</v>
      </c>
      <c r="BW17" t="e">
        <f t="shared" si="137"/>
        <v>#DIV/0!</v>
      </c>
      <c r="BX17">
        <f t="shared" si="137"/>
        <v>156.83912996695105</v>
      </c>
      <c r="BY17">
        <f t="shared" si="137"/>
        <v>96.663333333333341</v>
      </c>
      <c r="BZ17">
        <f t="shared" si="137"/>
        <v>300.03541862430285</v>
      </c>
      <c r="CC17" s="114" t="s">
        <v>540</v>
      </c>
      <c r="CD17" t="e">
        <f t="shared" ref="CD17:CH17" si="138">CD7*1000/CD$4</f>
        <v>#DIV/0!</v>
      </c>
      <c r="CE17">
        <f t="shared" si="138"/>
        <v>317.47370212765958</v>
      </c>
      <c r="CF17">
        <f t="shared" si="138"/>
        <v>749.30857142857144</v>
      </c>
      <c r="CG17" t="e">
        <f t="shared" si="138"/>
        <v>#DIV/0!</v>
      </c>
      <c r="CH17">
        <f t="shared" si="138"/>
        <v>157.92213559322033</v>
      </c>
      <c r="CJ17">
        <f t="shared" ref="CJ17:CQ17" si="139">CJ7*1000/CJ$4</f>
        <v>295.26384054864985</v>
      </c>
      <c r="CK17">
        <f t="shared" si="139"/>
        <v>419.86999999999995</v>
      </c>
      <c r="CL17">
        <f t="shared" si="139"/>
        <v>307.82116481477829</v>
      </c>
      <c r="CM17">
        <f t="shared" si="139"/>
        <v>869.61670588235313</v>
      </c>
      <c r="CN17" t="e">
        <f t="shared" si="139"/>
        <v>#DIV/0!</v>
      </c>
      <c r="CO17">
        <f t="shared" si="139"/>
        <v>157.03929703652653</v>
      </c>
      <c r="CP17">
        <f t="shared" si="139"/>
        <v>96.663333333333341</v>
      </c>
      <c r="CQ17">
        <f t="shared" si="139"/>
        <v>299.24964240841388</v>
      </c>
      <c r="CS17" s="114" t="s">
        <v>540</v>
      </c>
      <c r="CT17" t="e">
        <f t="shared" ref="CT17:CX17" si="140">CT7*1000/CT$4</f>
        <v>#DIV/0!</v>
      </c>
      <c r="CU17">
        <f t="shared" si="140"/>
        <v>312.56447228915658</v>
      </c>
      <c r="CV17">
        <f t="shared" si="140"/>
        <v>771.1785000000001</v>
      </c>
      <c r="CW17" t="e">
        <f t="shared" si="140"/>
        <v>#DIV/0!</v>
      </c>
      <c r="CX17">
        <f t="shared" si="140"/>
        <v>186.87</v>
      </c>
      <c r="CZ17">
        <f t="shared" ref="CZ17:DG17" si="141">CZ7*1000/CZ$4</f>
        <v>338.80756984478933</v>
      </c>
      <c r="DA17">
        <f t="shared" si="141"/>
        <v>419.86999999999995</v>
      </c>
      <c r="DB17">
        <f t="shared" si="141"/>
        <v>309.28647093462371</v>
      </c>
      <c r="DC17">
        <f t="shared" si="141"/>
        <v>815.58357142857164</v>
      </c>
      <c r="DD17" t="e">
        <f t="shared" si="141"/>
        <v>#DIV/0!</v>
      </c>
      <c r="DE17">
        <f t="shared" si="141"/>
        <v>158.72427213655322</v>
      </c>
      <c r="DF17">
        <f t="shared" si="141"/>
        <v>96.663333333333341</v>
      </c>
      <c r="DG17">
        <f t="shared" si="141"/>
        <v>306.91713607760136</v>
      </c>
      <c r="DI17" s="114" t="s">
        <v>540</v>
      </c>
      <c r="DJ17" t="e">
        <f t="shared" ref="DJ17:DN17" si="142">DJ7*1000/DJ$4</f>
        <v>#DIV/0!</v>
      </c>
      <c r="DK17">
        <f t="shared" si="142"/>
        <v>303.34660655737702</v>
      </c>
      <c r="DL17">
        <f t="shared" si="142"/>
        <v>718.62195488721807</v>
      </c>
      <c r="DM17" t="e">
        <f t="shared" si="142"/>
        <v>#DIV/0!</v>
      </c>
      <c r="DN17">
        <f t="shared" si="142"/>
        <v>142.91999999999999</v>
      </c>
      <c r="DP17">
        <f t="shared" ref="DP17:DW17" si="143">DP7*1000/DP$4</f>
        <v>319.02194024058986</v>
      </c>
      <c r="DQ17">
        <f t="shared" si="143"/>
        <v>419.86999999999995</v>
      </c>
      <c r="DR17">
        <f t="shared" si="143"/>
        <v>308.48411539355828</v>
      </c>
      <c r="DS17">
        <f t="shared" si="143"/>
        <v>796.39325148809519</v>
      </c>
      <c r="DT17" t="e">
        <f t="shared" si="143"/>
        <v>#DIV/0!</v>
      </c>
      <c r="DU17">
        <f t="shared" si="143"/>
        <v>157.37046111554494</v>
      </c>
      <c r="DV17">
        <f t="shared" si="143"/>
        <v>96.663333333333341</v>
      </c>
      <c r="DW17">
        <f t="shared" si="143"/>
        <v>308.46624163018021</v>
      </c>
      <c r="DY17" s="114" t="s">
        <v>540</v>
      </c>
      <c r="DZ17" t="e">
        <f t="shared" ref="DZ17:ED17" si="144">DZ7*1000/DZ$4</f>
        <v>#DIV/0!</v>
      </c>
      <c r="EA17">
        <f t="shared" si="144"/>
        <v>311.57378854625551</v>
      </c>
      <c r="EB17">
        <f t="shared" si="144"/>
        <v>842.65913043478258</v>
      </c>
      <c r="EC17" t="e">
        <f t="shared" si="144"/>
        <v>#DIV/0!</v>
      </c>
      <c r="ED17">
        <f t="shared" si="144"/>
        <v>142.91999999999999</v>
      </c>
      <c r="EF17">
        <f t="shared" ref="EF17:EM17" si="145">EF7*1000/EF$4</f>
        <v>310.31176341248903</v>
      </c>
      <c r="EG17">
        <f t="shared" si="145"/>
        <v>419.86999999999995</v>
      </c>
      <c r="EH17">
        <f t="shared" si="145"/>
        <v>308.73393173352872</v>
      </c>
      <c r="EI17">
        <f t="shared" si="145"/>
        <v>801.34262458471756</v>
      </c>
      <c r="EJ17" t="e">
        <f t="shared" si="145"/>
        <v>#DIV/0!</v>
      </c>
      <c r="EK17">
        <f t="shared" si="145"/>
        <v>155.86652021927389</v>
      </c>
      <c r="EL17">
        <f t="shared" si="145"/>
        <v>96.663333333333341</v>
      </c>
      <c r="EM17">
        <f t="shared" si="145"/>
        <v>308.62497847811125</v>
      </c>
      <c r="EO17" s="114" t="s">
        <v>540</v>
      </c>
      <c r="EP17" t="e">
        <f t="shared" ref="EP17:ET17" si="146">EP7*1000/EP$4</f>
        <v>#DIV/0!</v>
      </c>
      <c r="EQ17">
        <f t="shared" si="146"/>
        <v>305.8053472625266</v>
      </c>
      <c r="ER17">
        <f t="shared" si="146"/>
        <v>842.53090909090895</v>
      </c>
      <c r="ES17" t="e">
        <f t="shared" si="146"/>
        <v>#DIV/0!</v>
      </c>
      <c r="ET17" t="e">
        <f t="shared" si="146"/>
        <v>#DIV/0!</v>
      </c>
      <c r="EV17">
        <f t="shared" ref="EV17:FC17" si="147">EV7*1000/EV$4</f>
        <v>343.01084623694629</v>
      </c>
      <c r="EW17">
        <f t="shared" si="147"/>
        <v>419.86999999999995</v>
      </c>
      <c r="EX17">
        <f t="shared" si="147"/>
        <v>308.45514990791906</v>
      </c>
      <c r="EY17">
        <f t="shared" si="147"/>
        <v>805.16600964436418</v>
      </c>
      <c r="EZ17" t="e">
        <f t="shared" si="147"/>
        <v>#DIV/0!</v>
      </c>
      <c r="FA17">
        <f t="shared" si="147"/>
        <v>155.86652021927389</v>
      </c>
      <c r="FB17">
        <f t="shared" si="147"/>
        <v>96.663333333333341</v>
      </c>
      <c r="FC17">
        <f t="shared" si="147"/>
        <v>311.29044173371761</v>
      </c>
      <c r="FE17" s="114" t="s">
        <v>540</v>
      </c>
      <c r="FF17" t="e">
        <f t="shared" ref="FF17:FJ17" si="148">FF7*1000/FF$4</f>
        <v>#DIV/0!</v>
      </c>
      <c r="FG17">
        <f t="shared" si="148"/>
        <v>315.44796721311474</v>
      </c>
      <c r="FH17">
        <f t="shared" si="148"/>
        <v>847.29052631578941</v>
      </c>
      <c r="FI17" t="e">
        <f t="shared" si="148"/>
        <v>#DIV/0!</v>
      </c>
      <c r="FJ17">
        <f t="shared" si="148"/>
        <v>142.91999999999999</v>
      </c>
      <c r="FL17">
        <f t="shared" ref="FL17:FS17" si="149">FL7*1000/FL$4</f>
        <v>301.27909309021112</v>
      </c>
      <c r="FM17">
        <f t="shared" si="149"/>
        <v>419.86999999999995</v>
      </c>
      <c r="FN17">
        <f t="shared" si="149"/>
        <v>309.08100046111934</v>
      </c>
      <c r="FO17">
        <f t="shared" si="149"/>
        <v>808.29243861607154</v>
      </c>
      <c r="FP17" t="e">
        <f t="shared" si="149"/>
        <v>#DIV/0!</v>
      </c>
      <c r="FQ17">
        <f t="shared" si="149"/>
        <v>154.38702202519175</v>
      </c>
      <c r="FR17">
        <f t="shared" si="149"/>
        <v>96.663333333333341</v>
      </c>
      <c r="FS17">
        <f t="shared" si="149"/>
        <v>310.36544123328713</v>
      </c>
      <c r="FU17" s="114" t="s">
        <v>540</v>
      </c>
      <c r="FV17" t="e">
        <f t="shared" ref="FV17:FY17" si="150">FV7*1000/FV$4</f>
        <v>#DIV/0!</v>
      </c>
      <c r="FW17">
        <f t="shared" si="150"/>
        <v>310.48239057239056</v>
      </c>
      <c r="FX17">
        <f t="shared" si="150"/>
        <v>911.13799999999992</v>
      </c>
      <c r="FY17">
        <f t="shared" si="150"/>
        <v>133.94361792956244</v>
      </c>
      <c r="GA17">
        <f t="shared" ref="GA17:GG17" si="151">GA7*1000/GA$4</f>
        <v>309.2717086134125</v>
      </c>
      <c r="GB17">
        <f t="shared" si="151"/>
        <v>419.86999999999995</v>
      </c>
      <c r="GC17">
        <f t="shared" si="151"/>
        <v>309.19334294748205</v>
      </c>
      <c r="GD17">
        <f t="shared" si="151"/>
        <v>813.98499736425936</v>
      </c>
      <c r="GE17">
        <f t="shared" si="151"/>
        <v>153.12246765249543</v>
      </c>
      <c r="GF17">
        <f t="shared" si="151"/>
        <v>96.663333333333341</v>
      </c>
      <c r="GG17">
        <f t="shared" si="151"/>
        <v>310.28345662376012</v>
      </c>
      <c r="GI17" s="114" t="s">
        <v>540</v>
      </c>
      <c r="GJ17" t="e">
        <f t="shared" ref="GJ17:GM17" si="152">GJ7*1000/GJ$4</f>
        <v>#DIV/0!</v>
      </c>
      <c r="GK17">
        <f t="shared" si="152"/>
        <v>314.37520599250939</v>
      </c>
      <c r="GL17">
        <f t="shared" si="152"/>
        <v>786.41333333333341</v>
      </c>
      <c r="GM17">
        <f t="shared" si="152"/>
        <v>147.7257797448581</v>
      </c>
      <c r="GO17">
        <f t="shared" ref="GO17:GU17" si="153">GO7*1000/GO$4</f>
        <v>264.91593104606261</v>
      </c>
      <c r="GP17">
        <f t="shared" si="153"/>
        <v>419.86999999999995</v>
      </c>
      <c r="GQ17">
        <f t="shared" si="153"/>
        <v>309.54168312772009</v>
      </c>
      <c r="GR17">
        <f t="shared" si="153"/>
        <v>811.74187893462488</v>
      </c>
      <c r="GS17">
        <f t="shared" si="153"/>
        <v>152.03085259887303</v>
      </c>
      <c r="GT17">
        <f t="shared" si="153"/>
        <v>96.663333333333341</v>
      </c>
      <c r="GU17">
        <f t="shared" si="153"/>
        <v>305.98438381738339</v>
      </c>
      <c r="GW17" s="114" t="s">
        <v>540</v>
      </c>
      <c r="GX17">
        <f t="shared" ref="GX17:HA17" si="154">GX7*1000/GX$4</f>
        <v>421.53</v>
      </c>
      <c r="GY17">
        <f t="shared" si="154"/>
        <v>313.99766666666659</v>
      </c>
      <c r="GZ17">
        <f t="shared" si="154"/>
        <v>682.52</v>
      </c>
      <c r="HA17" t="e">
        <f t="shared" si="154"/>
        <v>#DIV/0!</v>
      </c>
      <c r="HC17">
        <f t="shared" ref="HC17:HI17" si="155">HC7*1000/HC$4</f>
        <v>352.82402682368337</v>
      </c>
      <c r="HD17">
        <f t="shared" si="155"/>
        <v>421.05571428571426</v>
      </c>
      <c r="HE17">
        <f t="shared" si="155"/>
        <v>309.88350632617141</v>
      </c>
      <c r="HF17">
        <f t="shared" si="155"/>
        <v>803.15434900542493</v>
      </c>
      <c r="HG17">
        <f t="shared" si="155"/>
        <v>152.03085259887303</v>
      </c>
      <c r="HH17">
        <f t="shared" si="155"/>
        <v>96.663333333333341</v>
      </c>
      <c r="HI17">
        <f t="shared" si="155"/>
        <v>309.49678830218858</v>
      </c>
      <c r="HK17" s="114" t="s">
        <v>540</v>
      </c>
      <c r="HL17" t="e">
        <f t="shared" ref="HL17:HO17" si="156">HL7*1000/HL$4</f>
        <v>#DIV/0!</v>
      </c>
      <c r="HM17">
        <f t="shared" si="156"/>
        <v>296.23546762589922</v>
      </c>
      <c r="HN17">
        <f t="shared" si="156"/>
        <v>737.52235294117656</v>
      </c>
      <c r="HO17">
        <f t="shared" si="156"/>
        <v>142.91999999999999</v>
      </c>
      <c r="HQ17">
        <f t="shared" ref="HQ17:HW17" si="157">HQ7*1000/HQ$4</f>
        <v>297.78682050851722</v>
      </c>
      <c r="HR17">
        <f t="shared" si="157"/>
        <v>421.05571428571426</v>
      </c>
      <c r="HS17">
        <f t="shared" si="157"/>
        <v>309.05506241617019</v>
      </c>
      <c r="HT17">
        <f t="shared" si="157"/>
        <v>799.80376662376636</v>
      </c>
      <c r="HU17">
        <f t="shared" si="157"/>
        <v>151.66430022744504</v>
      </c>
      <c r="HV17">
        <f t="shared" si="157"/>
        <v>96.663333333333341</v>
      </c>
      <c r="HW17">
        <f t="shared" si="157"/>
        <v>308.84998558516804</v>
      </c>
      <c r="HY17" s="114" t="s">
        <v>540</v>
      </c>
      <c r="HZ17" t="e">
        <f t="shared" ref="HZ17:IC17" si="158">HZ7*1000/HZ$4</f>
        <v>#DIV/0!</v>
      </c>
      <c r="IA17">
        <f t="shared" si="158"/>
        <v>309.20240143369176</v>
      </c>
      <c r="IB17">
        <f t="shared" si="158"/>
        <v>715.67148148148124</v>
      </c>
      <c r="IC17">
        <f t="shared" si="158"/>
        <v>142.91999999999999</v>
      </c>
      <c r="IE17">
        <f t="shared" ref="IE17:IK17" si="159">IE7*1000/IE$4</f>
        <v>299.73571780385339</v>
      </c>
      <c r="IF17">
        <f t="shared" si="159"/>
        <v>421.05571428571426</v>
      </c>
      <c r="IG17">
        <f t="shared" si="159"/>
        <v>309.06352275667405</v>
      </c>
      <c r="IH17">
        <f t="shared" si="159"/>
        <v>793.49384523809488</v>
      </c>
      <c r="II17">
        <f t="shared" si="159"/>
        <v>151.02978202784416</v>
      </c>
      <c r="IJ17">
        <f t="shared" si="159"/>
        <v>96.663333333333341</v>
      </c>
      <c r="IK17">
        <f t="shared" si="159"/>
        <v>308.3018335830908</v>
      </c>
      <c r="IM17" s="114" t="s">
        <v>540</v>
      </c>
      <c r="IN17" t="e">
        <f t="shared" ref="IN17:IQ17" si="160">IN7*1000/IN$4</f>
        <v>#DIV/0!</v>
      </c>
      <c r="IO17">
        <f t="shared" si="160"/>
        <v>305.0682490272373</v>
      </c>
      <c r="IP17">
        <f t="shared" si="160"/>
        <v>613.92160000000001</v>
      </c>
      <c r="IQ17">
        <f t="shared" si="160"/>
        <v>142.91999999999999</v>
      </c>
      <c r="IS17">
        <f t="shared" ref="IS17:IY17" si="161">IS7*1000/IS$4</f>
        <v>284.31455026455018</v>
      </c>
      <c r="IT17">
        <f t="shared" si="161"/>
        <v>421.05571428571426</v>
      </c>
      <c r="IU17">
        <f t="shared" si="161"/>
        <v>308.86281634134764</v>
      </c>
      <c r="IV17">
        <f t="shared" si="161"/>
        <v>781.83330983302369</v>
      </c>
      <c r="IW17">
        <f t="shared" si="161"/>
        <v>150.43774996740973</v>
      </c>
      <c r="IX17">
        <f t="shared" si="161"/>
        <v>96.663333333333341</v>
      </c>
      <c r="IY17">
        <f t="shared" si="161"/>
        <v>306.994708138031</v>
      </c>
      <c r="JA17" s="114" t="s">
        <v>540</v>
      </c>
      <c r="JB17">
        <f t="shared" ref="JB17:JE17" si="162">JB7*1000/JB$4</f>
        <v>421.53</v>
      </c>
      <c r="JC17">
        <f t="shared" si="162"/>
        <v>305.04149560117298</v>
      </c>
      <c r="JD17">
        <f t="shared" si="162"/>
        <v>682.51999999999987</v>
      </c>
      <c r="JE17">
        <f t="shared" si="162"/>
        <v>142.91999999999999</v>
      </c>
      <c r="JG17">
        <f t="shared" ref="JG17:JM17" si="163">JG7*1000/JG$4</f>
        <v>304.54371943765284</v>
      </c>
      <c r="JH17">
        <f t="shared" si="163"/>
        <v>421.19799999999998</v>
      </c>
      <c r="JI17">
        <f t="shared" si="163"/>
        <v>308.62402131001613</v>
      </c>
      <c r="JJ17">
        <f t="shared" si="163"/>
        <v>779.07460678210612</v>
      </c>
      <c r="JK17">
        <f t="shared" si="163"/>
        <v>150.08885509468359</v>
      </c>
      <c r="JL17">
        <f t="shared" si="163"/>
        <v>96.663333333333341</v>
      </c>
      <c r="JM17">
        <f t="shared" si="163"/>
        <v>306.83997615243908</v>
      </c>
      <c r="JO17" s="114" t="s">
        <v>540</v>
      </c>
      <c r="JP17" t="e">
        <f t="shared" ref="JP17:JS17" si="164">JP7*1000/JP$4</f>
        <v>#DIV/0!</v>
      </c>
      <c r="JQ17">
        <f t="shared" si="164"/>
        <v>317.09999999999997</v>
      </c>
      <c r="JR17">
        <f t="shared" si="164"/>
        <v>753.35636363636365</v>
      </c>
      <c r="JS17">
        <f t="shared" si="164"/>
        <v>142.91999999999999</v>
      </c>
      <c r="JU17">
        <f t="shared" ref="JU17:KA17" si="165">JU7*1000/JU$4</f>
        <v>285.41212140524175</v>
      </c>
      <c r="JV17">
        <f t="shared" si="165"/>
        <v>421.19799999999998</v>
      </c>
      <c r="JW17">
        <f t="shared" si="165"/>
        <v>309.00222014906694</v>
      </c>
      <c r="JX17">
        <f t="shared" si="165"/>
        <v>778.3795191295186</v>
      </c>
      <c r="JY17">
        <f t="shared" si="165"/>
        <v>149.63685289435878</v>
      </c>
      <c r="JZ17">
        <f t="shared" si="165"/>
        <v>96.663333333333341</v>
      </c>
      <c r="KA17">
        <f t="shared" si="165"/>
        <v>305.84996934107221</v>
      </c>
      <c r="KC17" s="114" t="s">
        <v>540</v>
      </c>
      <c r="KD17">
        <f t="shared" ref="KD17:KG17" si="166">KD7*1000/KD$4</f>
        <v>421.53000000000003</v>
      </c>
      <c r="KE17">
        <f t="shared" si="166"/>
        <v>298.51079833739431</v>
      </c>
      <c r="KF17">
        <f t="shared" si="166"/>
        <v>682.52</v>
      </c>
      <c r="KG17" t="e">
        <f t="shared" si="166"/>
        <v>#DIV/0!</v>
      </c>
      <c r="KI17">
        <f t="shared" ref="KI17:KO17" si="167">KI7*1000/KI$4</f>
        <v>331.85652959664748</v>
      </c>
      <c r="KJ17">
        <f t="shared" si="167"/>
        <v>421.19766766766764</v>
      </c>
      <c r="KK17">
        <f t="shared" si="167"/>
        <v>308.64841033994395</v>
      </c>
      <c r="KL17">
        <f t="shared" si="167"/>
        <v>774.10409456740399</v>
      </c>
      <c r="KM17">
        <f t="shared" si="167"/>
        <v>149.63685289435878</v>
      </c>
      <c r="KN17">
        <f t="shared" si="167"/>
        <v>96.663333333333341</v>
      </c>
      <c r="KO17">
        <f t="shared" si="167"/>
        <v>306.56089383714891</v>
      </c>
      <c r="KQ17" s="25" t="s">
        <v>540</v>
      </c>
      <c r="KR17" s="156">
        <f t="shared" ref="KR17:KU17" si="168">KR7*1000/KR$4</f>
        <v>421.53</v>
      </c>
      <c r="KS17" s="156">
        <f t="shared" si="168"/>
        <v>307.55373372781065</v>
      </c>
      <c r="KT17" s="156">
        <f t="shared" si="168"/>
        <v>682.52</v>
      </c>
      <c r="KU17" s="156">
        <f t="shared" si="168"/>
        <v>142.91999999999999</v>
      </c>
      <c r="KV17" s="156"/>
      <c r="KW17" s="156">
        <f t="shared" ref="KW17:LC17" si="169">KW7*1000/KW$4</f>
        <v>310.12909798348892</v>
      </c>
      <c r="KX17" s="156">
        <f t="shared" si="169"/>
        <v>421.25689882094872</v>
      </c>
      <c r="KY17" s="156">
        <f t="shared" si="169"/>
        <v>308.45858090427515</v>
      </c>
      <c r="KZ17" s="156">
        <f t="shared" si="169"/>
        <v>765.53026443768977</v>
      </c>
      <c r="LA17" s="156">
        <f t="shared" si="169"/>
        <v>149.18697022386434</v>
      </c>
      <c r="LB17" s="156">
        <f t="shared" si="169"/>
        <v>96.663333333333341</v>
      </c>
      <c r="LC17" s="156">
        <f t="shared" si="169"/>
        <v>306.92183841471581</v>
      </c>
    </row>
    <row r="18" spans="2:315" x14ac:dyDescent="0.3">
      <c r="B18" s="114" t="s">
        <v>541</v>
      </c>
      <c r="C18">
        <f t="shared" si="45"/>
        <v>36.22</v>
      </c>
      <c r="D18">
        <f t="shared" si="45"/>
        <v>28.768208955223887</v>
      </c>
      <c r="E18">
        <f t="shared" si="45"/>
        <v>594.07000000000005</v>
      </c>
      <c r="F18" t="e">
        <f t="shared" si="45"/>
        <v>#DIV/0!</v>
      </c>
      <c r="G18">
        <f t="shared" si="45"/>
        <v>4.5999999999999996</v>
      </c>
      <c r="I18">
        <f t="shared" si="46"/>
        <v>36.22</v>
      </c>
      <c r="J18">
        <f t="shared" si="46"/>
        <v>28.768208955223887</v>
      </c>
      <c r="K18">
        <f t="shared" si="46"/>
        <v>594.07000000000005</v>
      </c>
      <c r="L18" t="e">
        <f t="shared" si="46"/>
        <v>#DIV/0!</v>
      </c>
      <c r="M18">
        <f t="shared" si="46"/>
        <v>4.5999999999999996</v>
      </c>
      <c r="P18" s="114" t="s">
        <v>541</v>
      </c>
      <c r="Q18" t="e">
        <f t="shared" ref="Q18:U18" si="170">Q8*1000/Q$4</f>
        <v>#DIV/0!</v>
      </c>
      <c r="R18">
        <f t="shared" si="170"/>
        <v>26.332550634109399</v>
      </c>
      <c r="S18">
        <f t="shared" si="170"/>
        <v>102.44153846153844</v>
      </c>
      <c r="T18" t="e">
        <f t="shared" si="170"/>
        <v>#DIV/0!</v>
      </c>
      <c r="U18">
        <f t="shared" si="170"/>
        <v>4.5999999999999996</v>
      </c>
      <c r="W18">
        <f t="shared" ref="W18:AA18" si="171">W8*1000/W$4</f>
        <v>27.639688381172718</v>
      </c>
      <c r="X18">
        <f t="shared" si="171"/>
        <v>36.22</v>
      </c>
      <c r="Y18">
        <f t="shared" si="171"/>
        <v>27.081320791819603</v>
      </c>
      <c r="Z18">
        <f t="shared" si="171"/>
        <v>153.29965517241379</v>
      </c>
      <c r="AA18" t="e">
        <f t="shared" si="171"/>
        <v>#DIV/0!</v>
      </c>
      <c r="AB18">
        <f t="shared" ref="AB18:AD18" si="172">AB8*1000/AB$4</f>
        <v>4.5999999999999996</v>
      </c>
      <c r="AC18">
        <f t="shared" si="172"/>
        <v>4.5999999999999996</v>
      </c>
      <c r="AD18">
        <f t="shared" si="172"/>
        <v>28.659041889079884</v>
      </c>
      <c r="AF18" s="114" t="s">
        <v>541</v>
      </c>
      <c r="AG18" t="e">
        <f t="shared" ref="AG18:AK18" si="173">AG8*1000/AG$4</f>
        <v>#DIV/0!</v>
      </c>
      <c r="AH18">
        <f t="shared" si="173"/>
        <v>25.98</v>
      </c>
      <c r="AI18">
        <f t="shared" si="173"/>
        <v>181.83095238095237</v>
      </c>
      <c r="AJ18" t="e">
        <f t="shared" si="173"/>
        <v>#DIV/0!</v>
      </c>
      <c r="AK18">
        <f t="shared" si="173"/>
        <v>4.5999999999999996</v>
      </c>
      <c r="AM18">
        <f t="shared" ref="AM18:AT18" si="174">AM8*1000/AM$4</f>
        <v>29.301631200125172</v>
      </c>
      <c r="AN18">
        <f t="shared" si="174"/>
        <v>36.22</v>
      </c>
      <c r="AO18">
        <f t="shared" si="174"/>
        <v>26.682091429526555</v>
      </c>
      <c r="AP18">
        <f t="shared" si="174"/>
        <v>165.28280000000001</v>
      </c>
      <c r="AQ18" t="e">
        <f t="shared" si="174"/>
        <v>#DIV/0!</v>
      </c>
      <c r="AR18">
        <f t="shared" si="174"/>
        <v>4.5999999999999996</v>
      </c>
      <c r="AS18">
        <f t="shared" si="174"/>
        <v>4.5999999999999996</v>
      </c>
      <c r="AT18">
        <f t="shared" si="174"/>
        <v>28.89446887181839</v>
      </c>
      <c r="AV18" s="114" t="s">
        <v>541</v>
      </c>
      <c r="AW18" t="e">
        <f t="shared" ref="AW18:BA18" si="175">AW8*1000/AW$4</f>
        <v>#DIV/0!</v>
      </c>
      <c r="AX18">
        <f t="shared" si="175"/>
        <v>25.979999999999997</v>
      </c>
      <c r="AY18">
        <f t="shared" si="175"/>
        <v>52.411999999999999</v>
      </c>
      <c r="AZ18" t="e">
        <f t="shared" si="175"/>
        <v>#DIV/0!</v>
      </c>
      <c r="BA18">
        <f t="shared" si="175"/>
        <v>4.5999999999999996</v>
      </c>
      <c r="BC18">
        <f t="shared" ref="BC18:BJ18" si="176">BC8*1000/BC$4</f>
        <v>23.065621473756195</v>
      </c>
      <c r="BD18">
        <f t="shared" si="176"/>
        <v>36.22</v>
      </c>
      <c r="BE18">
        <f t="shared" si="176"/>
        <v>26.497470510332931</v>
      </c>
      <c r="BF18">
        <f t="shared" si="176"/>
        <v>133.03399999999996</v>
      </c>
      <c r="BG18" t="e">
        <f t="shared" si="176"/>
        <v>#DIV/0!</v>
      </c>
      <c r="BH18">
        <f t="shared" si="176"/>
        <v>4.5999999999999996</v>
      </c>
      <c r="BI18">
        <f t="shared" si="176"/>
        <v>4.5999999999999996</v>
      </c>
      <c r="BJ18">
        <f t="shared" si="176"/>
        <v>27.430813334478167</v>
      </c>
      <c r="BL18" s="114" t="s">
        <v>541</v>
      </c>
      <c r="BM18" t="e">
        <f t="shared" ref="BM18:BQ18" si="177">BM8*1000/BM$4</f>
        <v>#DIV/0!</v>
      </c>
      <c r="BN18">
        <f t="shared" si="177"/>
        <v>26.083017543859654</v>
      </c>
      <c r="BO18">
        <f t="shared" si="177"/>
        <v>593.11999999999989</v>
      </c>
      <c r="BP18" t="e">
        <f t="shared" si="177"/>
        <v>#DIV/0!</v>
      </c>
      <c r="BQ18">
        <f t="shared" si="177"/>
        <v>4.5999999999999988</v>
      </c>
      <c r="BS18">
        <f t="shared" ref="BS18:BZ18" si="178">BS8*1000/BS$4</f>
        <v>23.265869357914813</v>
      </c>
      <c r="BT18">
        <f t="shared" si="178"/>
        <v>36.22</v>
      </c>
      <c r="BU18">
        <f t="shared" si="178"/>
        <v>26.400067618509095</v>
      </c>
      <c r="BV18">
        <f t="shared" si="178"/>
        <v>139.51408450704224</v>
      </c>
      <c r="BW18" t="e">
        <f t="shared" si="178"/>
        <v>#DIV/0!</v>
      </c>
      <c r="BX18">
        <f t="shared" si="178"/>
        <v>4.5999999999999996</v>
      </c>
      <c r="BY18">
        <f t="shared" si="178"/>
        <v>4.5999999999999996</v>
      </c>
      <c r="BZ18">
        <f t="shared" si="178"/>
        <v>26.545032448876118</v>
      </c>
      <c r="CC18" s="114" t="s">
        <v>541</v>
      </c>
      <c r="CD18" t="e">
        <f t="shared" ref="CD18:CH18" si="179">CD8*1000/CD$4</f>
        <v>#DIV/0!</v>
      </c>
      <c r="CE18">
        <f t="shared" si="179"/>
        <v>25.98</v>
      </c>
      <c r="CF18">
        <f t="shared" si="179"/>
        <v>71.599999999999994</v>
      </c>
      <c r="CG18" t="e">
        <f t="shared" si="179"/>
        <v>#DIV/0!</v>
      </c>
      <c r="CH18">
        <f t="shared" si="179"/>
        <v>4.5999999999999996</v>
      </c>
      <c r="CJ18">
        <f t="shared" ref="CJ18:CQ18" si="180">CJ8*1000/CJ$4</f>
        <v>22.489455636519502</v>
      </c>
      <c r="CK18">
        <f t="shared" si="180"/>
        <v>36.22</v>
      </c>
      <c r="CL18">
        <f t="shared" si="180"/>
        <v>26.331878860841936</v>
      </c>
      <c r="CM18">
        <f t="shared" si="180"/>
        <v>128.32823529411766</v>
      </c>
      <c r="CN18" t="e">
        <f t="shared" si="180"/>
        <v>#DIV/0!</v>
      </c>
      <c r="CO18">
        <f t="shared" si="180"/>
        <v>4.5999999999999996</v>
      </c>
      <c r="CP18">
        <f t="shared" si="180"/>
        <v>4.5999999999999996</v>
      </c>
      <c r="CQ18">
        <f t="shared" si="180"/>
        <v>25.877166231382784</v>
      </c>
      <c r="CS18" s="114" t="s">
        <v>541</v>
      </c>
      <c r="CT18" t="e">
        <f t="shared" ref="CT18:CX18" si="181">CT8*1000/CT$4</f>
        <v>#DIV/0!</v>
      </c>
      <c r="CU18">
        <f t="shared" si="181"/>
        <v>25.98</v>
      </c>
      <c r="CV18">
        <f t="shared" si="181"/>
        <v>96.723500000000001</v>
      </c>
      <c r="CW18" t="e">
        <f t="shared" si="181"/>
        <v>#DIV/0!</v>
      </c>
      <c r="CX18">
        <f t="shared" si="181"/>
        <v>4.5999999999999996</v>
      </c>
      <c r="CZ18">
        <f t="shared" ref="CZ18:DG18" si="182">CZ8*1000/CZ$4</f>
        <v>29.992811529933487</v>
      </c>
      <c r="DA18">
        <f t="shared" si="182"/>
        <v>36.22</v>
      </c>
      <c r="DB18">
        <f t="shared" si="182"/>
        <v>26.208239051678895</v>
      </c>
      <c r="DC18">
        <f t="shared" si="182"/>
        <v>106.61512987012986</v>
      </c>
      <c r="DD18" t="e">
        <f t="shared" si="182"/>
        <v>#DIV/0!</v>
      </c>
      <c r="DE18">
        <f t="shared" si="182"/>
        <v>4.5999999999999996</v>
      </c>
      <c r="DF18">
        <f t="shared" si="182"/>
        <v>4.5999999999999996</v>
      </c>
      <c r="DG18">
        <f t="shared" si="182"/>
        <v>26.200208430224283</v>
      </c>
      <c r="DI18" s="114" t="s">
        <v>541</v>
      </c>
      <c r="DJ18" t="e">
        <f t="shared" ref="DJ18:DN18" si="183">DJ8*1000/DJ$4</f>
        <v>#DIV/0!</v>
      </c>
      <c r="DK18">
        <f t="shared" si="183"/>
        <v>25.98</v>
      </c>
      <c r="DL18">
        <f t="shared" si="183"/>
        <v>64.76947368421051</v>
      </c>
      <c r="DM18" t="e">
        <f t="shared" si="183"/>
        <v>#DIV/0!</v>
      </c>
      <c r="DN18">
        <f t="shared" si="183"/>
        <v>4.5999999999999996</v>
      </c>
      <c r="DP18">
        <f t="shared" ref="DP18:DW18" si="184">DP8*1000/DP$4</f>
        <v>26.645104126244991</v>
      </c>
      <c r="DQ18">
        <f t="shared" si="184"/>
        <v>36.22</v>
      </c>
      <c r="DR18">
        <f t="shared" si="184"/>
        <v>26.17740857202962</v>
      </c>
      <c r="DS18">
        <f t="shared" si="184"/>
        <v>98.333177083333325</v>
      </c>
      <c r="DT18" t="e">
        <f t="shared" si="184"/>
        <v>#DIV/0!</v>
      </c>
      <c r="DU18">
        <f t="shared" si="184"/>
        <v>4.5999999999999988</v>
      </c>
      <c r="DV18">
        <f t="shared" si="184"/>
        <v>4.5999999999999996</v>
      </c>
      <c r="DW18">
        <f t="shared" si="184"/>
        <v>26.257143708461268</v>
      </c>
      <c r="DY18" s="114" t="s">
        <v>541</v>
      </c>
      <c r="DZ18" t="e">
        <f t="shared" ref="DZ18:ED18" si="185">DZ8*1000/DZ$4</f>
        <v>#DIV/0!</v>
      </c>
      <c r="EA18">
        <f t="shared" si="185"/>
        <v>25.98</v>
      </c>
      <c r="EB18">
        <f t="shared" si="185"/>
        <v>122.74782608695652</v>
      </c>
      <c r="EC18" t="e">
        <f t="shared" si="185"/>
        <v>#DIV/0!</v>
      </c>
      <c r="ED18">
        <f t="shared" si="185"/>
        <v>4.5999999999999996</v>
      </c>
      <c r="EF18">
        <f t="shared" ref="EF18:EM18" si="186">EF8*1000/EF$4</f>
        <v>27.904582233948993</v>
      </c>
      <c r="EG18">
        <f t="shared" si="186"/>
        <v>36.22</v>
      </c>
      <c r="EH18">
        <f t="shared" si="186"/>
        <v>26.161447049724195</v>
      </c>
      <c r="EI18">
        <f t="shared" si="186"/>
        <v>100.94497674418604</v>
      </c>
      <c r="EJ18" t="e">
        <f t="shared" si="186"/>
        <v>#DIV/0!</v>
      </c>
      <c r="EK18">
        <f t="shared" si="186"/>
        <v>4.5999999999999988</v>
      </c>
      <c r="EL18">
        <f t="shared" si="186"/>
        <v>4.5999999999999996</v>
      </c>
      <c r="EM18">
        <f t="shared" si="186"/>
        <v>26.398843037725705</v>
      </c>
      <c r="EO18" s="114" t="s">
        <v>541</v>
      </c>
      <c r="EP18" t="e">
        <f t="shared" ref="EP18:ET18" si="187">EP8*1000/EP$4</f>
        <v>#DIV/0!</v>
      </c>
      <c r="EQ18">
        <f t="shared" si="187"/>
        <v>26.084015283420396</v>
      </c>
      <c r="ER18">
        <f t="shared" si="187"/>
        <v>124.43272727272726</v>
      </c>
      <c r="ES18" t="e">
        <f t="shared" si="187"/>
        <v>#DIV/0!</v>
      </c>
      <c r="ET18" t="e">
        <f t="shared" si="187"/>
        <v>#DIV/0!</v>
      </c>
      <c r="EV18">
        <f t="shared" ref="EV18:FC18" si="188">EV8*1000/EV$4</f>
        <v>32.901489917176818</v>
      </c>
      <c r="EW18">
        <f t="shared" si="188"/>
        <v>36.22</v>
      </c>
      <c r="EX18">
        <f t="shared" si="188"/>
        <v>26.154076058931853</v>
      </c>
      <c r="EY18">
        <f t="shared" si="188"/>
        <v>103.12527426160338</v>
      </c>
      <c r="EZ18" t="e">
        <f t="shared" si="188"/>
        <v>#DIV/0!</v>
      </c>
      <c r="FA18">
        <f t="shared" si="188"/>
        <v>4.5999999999999988</v>
      </c>
      <c r="FB18">
        <f t="shared" si="188"/>
        <v>4.5999999999999996</v>
      </c>
      <c r="FC18">
        <f t="shared" si="188"/>
        <v>26.902903788581909</v>
      </c>
      <c r="FE18" s="114" t="s">
        <v>541</v>
      </c>
      <c r="FF18" t="e">
        <f t="shared" ref="FF18:FJ18" si="189">FF8*1000/FF$4</f>
        <v>#DIV/0!</v>
      </c>
      <c r="FG18">
        <f t="shared" si="189"/>
        <v>25.98</v>
      </c>
      <c r="FH18">
        <f t="shared" si="189"/>
        <v>128.37263157894736</v>
      </c>
      <c r="FI18" t="e">
        <f t="shared" si="189"/>
        <v>#DIV/0!</v>
      </c>
      <c r="FJ18">
        <f t="shared" si="189"/>
        <v>4.5999999999999996</v>
      </c>
      <c r="FL18">
        <f t="shared" ref="FL18:FS18" si="190">FL8*1000/FL$4</f>
        <v>25.887380038387718</v>
      </c>
      <c r="FM18">
        <f t="shared" si="190"/>
        <v>36.22</v>
      </c>
      <c r="FN18">
        <f t="shared" si="190"/>
        <v>26.138496415845729</v>
      </c>
      <c r="FO18">
        <f t="shared" si="190"/>
        <v>104.9991015625</v>
      </c>
      <c r="FP18" t="e">
        <f t="shared" si="190"/>
        <v>#DIV/0!</v>
      </c>
      <c r="FQ18">
        <f t="shared" si="190"/>
        <v>4.6000000000000005</v>
      </c>
      <c r="FR18">
        <f t="shared" si="190"/>
        <v>4.5999999999999996</v>
      </c>
      <c r="FS18">
        <f t="shared" si="190"/>
        <v>26.809074274639453</v>
      </c>
      <c r="FU18" s="114" t="s">
        <v>541</v>
      </c>
      <c r="FV18" t="e">
        <f t="shared" ref="FV18:FY18" si="191">FV8*1000/FV$4</f>
        <v>#DIV/0!</v>
      </c>
      <c r="FW18">
        <f t="shared" si="191"/>
        <v>25.979999999999997</v>
      </c>
      <c r="FX18">
        <f t="shared" si="191"/>
        <v>148.10199999999998</v>
      </c>
      <c r="FY18">
        <f t="shared" si="191"/>
        <v>4.5999999999999996</v>
      </c>
      <c r="GA18">
        <f t="shared" ref="GA18:GG18" si="192">GA8*1000/GA$4</f>
        <v>27.859625605752701</v>
      </c>
      <c r="GB18">
        <f t="shared" si="192"/>
        <v>36.22</v>
      </c>
      <c r="GC18">
        <f t="shared" si="192"/>
        <v>26.125790545230196</v>
      </c>
      <c r="GD18">
        <f t="shared" si="192"/>
        <v>107.38487084870849</v>
      </c>
      <c r="GE18">
        <f t="shared" si="192"/>
        <v>4.6000000000000005</v>
      </c>
      <c r="GF18">
        <f t="shared" si="192"/>
        <v>4.5999999999999996</v>
      </c>
      <c r="GG18">
        <f t="shared" si="192"/>
        <v>26.887822077442706</v>
      </c>
      <c r="GI18" s="114" t="s">
        <v>541</v>
      </c>
      <c r="GJ18" t="e">
        <f t="shared" ref="GJ18:GM18" si="193">GJ8*1000/GJ$4</f>
        <v>#DIV/0!</v>
      </c>
      <c r="GK18">
        <f t="shared" si="193"/>
        <v>25.980000000000004</v>
      </c>
      <c r="GL18">
        <f t="shared" si="193"/>
        <v>88</v>
      </c>
      <c r="GM18">
        <f t="shared" si="193"/>
        <v>4.5999999999999996</v>
      </c>
      <c r="GO18">
        <f t="shared" ref="GO18:GU18" si="194">GO8*1000/GO$4</f>
        <v>19.703380533945264</v>
      </c>
      <c r="GP18">
        <f t="shared" si="194"/>
        <v>36.22</v>
      </c>
      <c r="GQ18">
        <f t="shared" si="194"/>
        <v>26.115990073013698</v>
      </c>
      <c r="GR18">
        <f t="shared" si="194"/>
        <v>105.80779661016949</v>
      </c>
      <c r="GS18">
        <f t="shared" si="194"/>
        <v>4.5999999999999996</v>
      </c>
      <c r="GT18">
        <f t="shared" si="194"/>
        <v>4.5999999999999996</v>
      </c>
      <c r="GU18">
        <f t="shared" si="194"/>
        <v>26.207017099094127</v>
      </c>
      <c r="GW18" s="114" t="s">
        <v>541</v>
      </c>
      <c r="GX18">
        <f t="shared" ref="GX18:HA18" si="195">GX8*1000/GX$4</f>
        <v>36.64</v>
      </c>
      <c r="GY18">
        <f t="shared" si="195"/>
        <v>25.980000000000004</v>
      </c>
      <c r="GZ18">
        <f t="shared" si="195"/>
        <v>42.079999999999991</v>
      </c>
      <c r="HA18" t="e">
        <f t="shared" si="195"/>
        <v>#DIV/0!</v>
      </c>
      <c r="HC18">
        <f t="shared" ref="HC18:HI18" si="196">HC8*1000/HC$4</f>
        <v>28.846437684003927</v>
      </c>
      <c r="HD18">
        <f t="shared" si="196"/>
        <v>36.520000000000003</v>
      </c>
      <c r="HE18">
        <f t="shared" si="196"/>
        <v>26.105558131039754</v>
      </c>
      <c r="HF18">
        <f t="shared" si="196"/>
        <v>101.57272151898735</v>
      </c>
      <c r="HG18">
        <f t="shared" si="196"/>
        <v>4.5999999999999996</v>
      </c>
      <c r="HH18">
        <f t="shared" si="196"/>
        <v>4.5999999999999996</v>
      </c>
      <c r="HI18">
        <f t="shared" si="196"/>
        <v>26.404941594344393</v>
      </c>
      <c r="HK18" s="114" t="s">
        <v>541</v>
      </c>
      <c r="HL18" t="e">
        <f t="shared" ref="HL18:HO18" si="197">HL8*1000/HL$4</f>
        <v>#DIV/0!</v>
      </c>
      <c r="HM18">
        <f t="shared" si="197"/>
        <v>25.98</v>
      </c>
      <c r="HN18">
        <f t="shared" si="197"/>
        <v>66.390588235294103</v>
      </c>
      <c r="HO18">
        <f t="shared" si="197"/>
        <v>4.5999999999999996</v>
      </c>
      <c r="HQ18">
        <f t="shared" ref="HQ18:HW18" si="198">HQ8*1000/HQ$4</f>
        <v>25.141478560040273</v>
      </c>
      <c r="HR18">
        <f t="shared" si="198"/>
        <v>36.520000000000003</v>
      </c>
      <c r="HS18">
        <f t="shared" si="198"/>
        <v>26.097936679247638</v>
      </c>
      <c r="HT18">
        <f t="shared" si="198"/>
        <v>99.776636636636653</v>
      </c>
      <c r="HU18">
        <f t="shared" si="198"/>
        <v>4.5999999999999996</v>
      </c>
      <c r="HV18">
        <f t="shared" si="198"/>
        <v>4.5999999999999996</v>
      </c>
      <c r="HW18">
        <f t="shared" si="198"/>
        <v>26.335153928157588</v>
      </c>
      <c r="HY18" s="114" t="s">
        <v>541</v>
      </c>
      <c r="HZ18" t="e">
        <f t="shared" ref="HZ18:IC18" si="199">HZ8*1000/HZ$4</f>
        <v>#DIV/0!</v>
      </c>
      <c r="IA18">
        <f t="shared" si="199"/>
        <v>25.979999999999997</v>
      </c>
      <c r="IB18">
        <f t="shared" si="199"/>
        <v>59.759629629629636</v>
      </c>
      <c r="IC18">
        <f t="shared" si="199"/>
        <v>4.5999999999999996</v>
      </c>
      <c r="IE18">
        <f t="shared" ref="IE18:IK18" si="200">IE8*1000/IE$4</f>
        <v>23.497693032015068</v>
      </c>
      <c r="IF18">
        <f t="shared" si="200"/>
        <v>36.520000000000003</v>
      </c>
      <c r="IG18">
        <f t="shared" si="200"/>
        <v>26.091164647771389</v>
      </c>
      <c r="IH18">
        <f t="shared" si="200"/>
        <v>96.775361111111138</v>
      </c>
      <c r="II18">
        <f t="shared" si="200"/>
        <v>4.5999999999999996</v>
      </c>
      <c r="IJ18">
        <f t="shared" si="200"/>
        <v>4.5999999999999996</v>
      </c>
      <c r="IK18">
        <f t="shared" si="200"/>
        <v>26.164502822840628</v>
      </c>
      <c r="IM18" s="114" t="s">
        <v>541</v>
      </c>
      <c r="IN18" t="e">
        <f t="shared" ref="IN18:IQ18" si="201">IN8*1000/IN$4</f>
        <v>#DIV/0!</v>
      </c>
      <c r="IO18">
        <f t="shared" si="201"/>
        <v>25.980000000000004</v>
      </c>
      <c r="IP18">
        <f t="shared" si="201"/>
        <v>44.107200000000006</v>
      </c>
      <c r="IQ18">
        <f t="shared" si="201"/>
        <v>4.5999999999999996</v>
      </c>
      <c r="IS18">
        <f t="shared" ref="IS18:IY18" si="202">IS8*1000/IS$4</f>
        <v>21.749047619047619</v>
      </c>
      <c r="IT18">
        <f t="shared" si="202"/>
        <v>36.520000000000003</v>
      </c>
      <c r="IU18">
        <f t="shared" si="202"/>
        <v>26.085580184859413</v>
      </c>
      <c r="IV18">
        <f t="shared" si="202"/>
        <v>93.355350649350669</v>
      </c>
      <c r="IW18">
        <f t="shared" si="202"/>
        <v>4.6000000000000005</v>
      </c>
      <c r="IX18">
        <f t="shared" si="202"/>
        <v>4.5999999999999996</v>
      </c>
      <c r="IY18">
        <f t="shared" si="202"/>
        <v>25.923893923043352</v>
      </c>
      <c r="JA18" s="114" t="s">
        <v>541</v>
      </c>
      <c r="JB18">
        <f t="shared" ref="JB18:JE18" si="203">JB8*1000/JB$4</f>
        <v>36.64</v>
      </c>
      <c r="JC18">
        <f t="shared" si="203"/>
        <v>26.019765395894431</v>
      </c>
      <c r="JD18">
        <f t="shared" si="203"/>
        <v>42.080000000000005</v>
      </c>
      <c r="JE18">
        <f t="shared" si="203"/>
        <v>4.5999999999999996</v>
      </c>
      <c r="JG18">
        <f t="shared" ref="JG18:JM18" si="204">JG8*1000/JG$4</f>
        <v>24.633416870415648</v>
      </c>
      <c r="JH18">
        <f t="shared" si="204"/>
        <v>36.555999999999997</v>
      </c>
      <c r="JI18">
        <f t="shared" si="204"/>
        <v>26.081467406670527</v>
      </c>
      <c r="JJ18">
        <f t="shared" si="204"/>
        <v>91.931035353535378</v>
      </c>
      <c r="JK18">
        <f t="shared" si="204"/>
        <v>4.6000000000000005</v>
      </c>
      <c r="JL18">
        <f t="shared" si="204"/>
        <v>4.5999999999999996</v>
      </c>
      <c r="JM18">
        <f t="shared" si="204"/>
        <v>25.842425543901911</v>
      </c>
      <c r="JO18" s="114" t="s">
        <v>541</v>
      </c>
      <c r="JP18" t="e">
        <f t="shared" ref="JP18:JS18" si="205">JP8*1000/JP$4</f>
        <v>#DIV/0!</v>
      </c>
      <c r="JQ18">
        <f t="shared" si="205"/>
        <v>25.98</v>
      </c>
      <c r="JR18">
        <f t="shared" si="205"/>
        <v>73.38909090909091</v>
      </c>
      <c r="JS18">
        <f t="shared" si="205"/>
        <v>4.5999999999999996</v>
      </c>
      <c r="JU18">
        <f t="shared" ref="JU18:KA18" si="206">JU8*1000/JU$4</f>
        <v>21.9021110491516</v>
      </c>
      <c r="JV18">
        <f t="shared" si="206"/>
        <v>36.555999999999997</v>
      </c>
      <c r="JW18">
        <f t="shared" si="206"/>
        <v>26.076939922965352</v>
      </c>
      <c r="JX18">
        <f t="shared" si="206"/>
        <v>91.42990171990175</v>
      </c>
      <c r="JY18">
        <f t="shared" si="206"/>
        <v>4.5999999999999996</v>
      </c>
      <c r="JZ18">
        <f t="shared" si="206"/>
        <v>4.5999999999999996</v>
      </c>
      <c r="KA18">
        <f t="shared" si="206"/>
        <v>25.660375673079415</v>
      </c>
      <c r="KC18" s="114" t="s">
        <v>541</v>
      </c>
      <c r="KD18">
        <f t="shared" ref="KD18:KG18" si="207">KD8*1000/KD$4</f>
        <v>36.64</v>
      </c>
      <c r="KE18">
        <f t="shared" si="207"/>
        <v>24.931535043715073</v>
      </c>
      <c r="KF18">
        <f t="shared" si="207"/>
        <v>42.08</v>
      </c>
      <c r="KG18" t="e">
        <f t="shared" si="207"/>
        <v>#DIV/0!</v>
      </c>
      <c r="KI18">
        <f t="shared" ref="KI18:KO18" si="208">KI8*1000/KI$4</f>
        <v>26.415751702462032</v>
      </c>
      <c r="KJ18">
        <f t="shared" si="208"/>
        <v>36.555915915915918</v>
      </c>
      <c r="KK18">
        <f t="shared" si="208"/>
        <v>26.038312605431958</v>
      </c>
      <c r="KL18">
        <f t="shared" si="208"/>
        <v>89.228849765258246</v>
      </c>
      <c r="KM18">
        <f t="shared" si="208"/>
        <v>4.5999999999999996</v>
      </c>
      <c r="KN18">
        <f t="shared" si="208"/>
        <v>4.5999999999999996</v>
      </c>
      <c r="KO18">
        <f t="shared" si="208"/>
        <v>25.681024898419466</v>
      </c>
      <c r="KQ18" s="25" t="s">
        <v>541</v>
      </c>
      <c r="KR18" s="156">
        <f t="shared" ref="KR18:KU18" si="209">KR8*1000/KR$4</f>
        <v>36.64</v>
      </c>
      <c r="KS18" s="156">
        <f t="shared" si="209"/>
        <v>25.469248520710057</v>
      </c>
      <c r="KT18" s="156">
        <f t="shared" si="209"/>
        <v>42.08</v>
      </c>
      <c r="KU18" s="156">
        <f t="shared" si="209"/>
        <v>4.5999999999999996</v>
      </c>
      <c r="KV18" s="156"/>
      <c r="KW18" s="156">
        <f t="shared" ref="KW18:LC18" si="210">KW8*1000/KW$4</f>
        <v>22.724614291514417</v>
      </c>
      <c r="KX18" s="156">
        <f t="shared" si="210"/>
        <v>36.570902111324379</v>
      </c>
      <c r="KY18" s="156">
        <f t="shared" si="210"/>
        <v>26.015322486528888</v>
      </c>
      <c r="KZ18" s="156">
        <f t="shared" si="210"/>
        <v>84.814914893617015</v>
      </c>
      <c r="LA18" s="156">
        <f t="shared" si="210"/>
        <v>4.5999999999999996</v>
      </c>
      <c r="LB18" s="156">
        <f t="shared" si="210"/>
        <v>4.5999999999999996</v>
      </c>
      <c r="LC18" s="156">
        <f t="shared" si="210"/>
        <v>25.550156262569395</v>
      </c>
    </row>
    <row r="19" spans="2:315" x14ac:dyDescent="0.3">
      <c r="B19" s="114" t="s">
        <v>542</v>
      </c>
      <c r="C19">
        <f t="shared" si="45"/>
        <v>42.93</v>
      </c>
      <c r="D19">
        <f t="shared" si="45"/>
        <v>37.824776119402991</v>
      </c>
      <c r="E19">
        <f t="shared" si="45"/>
        <v>89.793333333333322</v>
      </c>
      <c r="F19" t="e">
        <f t="shared" si="45"/>
        <v>#DIV/0!</v>
      </c>
      <c r="G19">
        <f t="shared" si="45"/>
        <v>1.81</v>
      </c>
      <c r="I19">
        <f t="shared" si="46"/>
        <v>42.93</v>
      </c>
      <c r="J19">
        <f t="shared" si="46"/>
        <v>37.824776119402991</v>
      </c>
      <c r="K19">
        <f t="shared" si="46"/>
        <v>89.793333333333322</v>
      </c>
      <c r="L19" t="e">
        <f t="shared" si="46"/>
        <v>#DIV/0!</v>
      </c>
      <c r="M19">
        <f t="shared" si="46"/>
        <v>1.81</v>
      </c>
      <c r="P19" s="114" t="s">
        <v>542</v>
      </c>
      <c r="Q19" t="e">
        <f t="shared" ref="Q19:U19" si="211">Q9*1000/Q$4</f>
        <v>#DIV/0!</v>
      </c>
      <c r="R19">
        <f t="shared" si="211"/>
        <v>32.262692598902134</v>
      </c>
      <c r="S19">
        <f t="shared" si="211"/>
        <v>45.08</v>
      </c>
      <c r="T19" t="e">
        <f t="shared" si="211"/>
        <v>#DIV/0!</v>
      </c>
      <c r="U19">
        <f t="shared" si="211"/>
        <v>2.02</v>
      </c>
      <c r="W19">
        <f t="shared" ref="W19:AA19" si="212">W9*1000/W$4</f>
        <v>27.956583761116335</v>
      </c>
      <c r="X19">
        <f t="shared" si="212"/>
        <v>42.93</v>
      </c>
      <c r="Y19">
        <f t="shared" si="212"/>
        <v>33.972588489774516</v>
      </c>
      <c r="Z19">
        <f t="shared" si="212"/>
        <v>49.705517241379312</v>
      </c>
      <c r="AA19" t="e">
        <f t="shared" si="212"/>
        <v>#DIV/0!</v>
      </c>
      <c r="AB19">
        <f t="shared" ref="AB19:AD19" si="213">AB9*1000/AB$4</f>
        <v>1.9162513542795232</v>
      </c>
      <c r="AC19">
        <f t="shared" si="213"/>
        <v>2.02</v>
      </c>
      <c r="AD19">
        <f t="shared" si="213"/>
        <v>28.460002261829359</v>
      </c>
      <c r="AF19" s="114" t="s">
        <v>542</v>
      </c>
      <c r="AG19" t="e">
        <f t="shared" ref="AG19:AK19" si="214">AG9*1000/AG$4</f>
        <v>#DIV/0!</v>
      </c>
      <c r="AH19">
        <f t="shared" si="214"/>
        <v>32.059999999999995</v>
      </c>
      <c r="AI19">
        <f t="shared" si="214"/>
        <v>50.030476190476186</v>
      </c>
      <c r="AJ19" t="e">
        <f t="shared" si="214"/>
        <v>#DIV/0!</v>
      </c>
      <c r="AK19">
        <f t="shared" si="214"/>
        <v>2.02</v>
      </c>
      <c r="AM19">
        <f t="shared" ref="AM19:AT19" si="215">AM9*1000/AM$4</f>
        <v>25.168544828665308</v>
      </c>
      <c r="AN19">
        <f t="shared" si="215"/>
        <v>42.93</v>
      </c>
      <c r="AO19">
        <f t="shared" si="215"/>
        <v>33.279274163219256</v>
      </c>
      <c r="AP19">
        <f t="shared" si="215"/>
        <v>49.841999999999985</v>
      </c>
      <c r="AQ19" t="e">
        <f t="shared" si="215"/>
        <v>#DIV/0!</v>
      </c>
      <c r="AR19">
        <f t="shared" si="215"/>
        <v>1.9600525854513586</v>
      </c>
      <c r="AS19">
        <f t="shared" si="215"/>
        <v>2.02</v>
      </c>
      <c r="AT19">
        <f t="shared" si="215"/>
        <v>27.254103130016048</v>
      </c>
      <c r="AV19" s="114" t="s">
        <v>542</v>
      </c>
      <c r="AW19" t="e">
        <f t="shared" ref="AW19:BA19" si="216">AW9*1000/AW$4</f>
        <v>#DIV/0!</v>
      </c>
      <c r="AX19">
        <f t="shared" si="216"/>
        <v>32.059999999999995</v>
      </c>
      <c r="AY19">
        <f t="shared" si="216"/>
        <v>41.961999999999989</v>
      </c>
      <c r="AZ19" t="e">
        <f t="shared" si="216"/>
        <v>#DIV/0!</v>
      </c>
      <c r="BA19">
        <f t="shared" si="216"/>
        <v>2.02</v>
      </c>
      <c r="BC19">
        <f t="shared" ref="BC19:BJ19" si="217">BC9*1000/BC$4</f>
        <v>26.335346213027869</v>
      </c>
      <c r="BD19">
        <f t="shared" si="217"/>
        <v>42.93</v>
      </c>
      <c r="BE19">
        <f t="shared" si="217"/>
        <v>32.958655640765038</v>
      </c>
      <c r="BF19">
        <f t="shared" si="217"/>
        <v>47.590571428571415</v>
      </c>
      <c r="BG19" t="e">
        <f t="shared" si="217"/>
        <v>#DIV/0!</v>
      </c>
      <c r="BH19">
        <f t="shared" si="217"/>
        <v>1.9741686608595768</v>
      </c>
      <c r="BI19">
        <f t="shared" si="217"/>
        <v>2.02</v>
      </c>
      <c r="BJ19">
        <f t="shared" si="217"/>
        <v>27.023398231228271</v>
      </c>
      <c r="BL19" s="114" t="s">
        <v>542</v>
      </c>
      <c r="BM19" t="e">
        <f t="shared" ref="BM19:BQ19" si="218">BM9*1000/BM$4</f>
        <v>#DIV/0!</v>
      </c>
      <c r="BN19">
        <f t="shared" si="218"/>
        <v>32.119228070175431</v>
      </c>
      <c r="BO19">
        <f t="shared" si="218"/>
        <v>75.56</v>
      </c>
      <c r="BP19" t="e">
        <f t="shared" si="218"/>
        <v>#DIV/0!</v>
      </c>
      <c r="BQ19">
        <f t="shared" si="218"/>
        <v>2.0200000000000005</v>
      </c>
      <c r="BS19">
        <f t="shared" ref="BS19:BZ19" si="219">BS9*1000/BS$4</f>
        <v>26.083390019071832</v>
      </c>
      <c r="BT19">
        <f t="shared" si="219"/>
        <v>42.93</v>
      </c>
      <c r="BU19">
        <f t="shared" si="219"/>
        <v>32.761377108660824</v>
      </c>
      <c r="BV19">
        <f t="shared" si="219"/>
        <v>47.984507042253504</v>
      </c>
      <c r="BW19" t="e">
        <f t="shared" si="219"/>
        <v>#DIV/0!</v>
      </c>
      <c r="BX19">
        <f t="shared" si="219"/>
        <v>1.9832003689186075</v>
      </c>
      <c r="BY19">
        <f t="shared" si="219"/>
        <v>2.02</v>
      </c>
      <c r="BZ19">
        <f t="shared" si="219"/>
        <v>26.823481663004905</v>
      </c>
      <c r="CC19" s="114" t="s">
        <v>542</v>
      </c>
      <c r="CD19" t="e">
        <f t="shared" ref="CD19:CH19" si="220">CD9*1000/CD$4</f>
        <v>#DIV/0!</v>
      </c>
      <c r="CE19">
        <f t="shared" si="220"/>
        <v>32.059999999999995</v>
      </c>
      <c r="CF19">
        <f t="shared" si="220"/>
        <v>43.154285714285706</v>
      </c>
      <c r="CG19" t="e">
        <f t="shared" si="220"/>
        <v>#DIV/0!</v>
      </c>
      <c r="CH19">
        <f t="shared" si="220"/>
        <v>2.02</v>
      </c>
      <c r="CJ19">
        <f t="shared" ref="CJ19:CQ19" si="221">CJ9*1000/CJ$4</f>
        <v>24.929112730390049</v>
      </c>
      <c r="CK19">
        <f t="shared" si="221"/>
        <v>42.93</v>
      </c>
      <c r="CL19">
        <f t="shared" si="221"/>
        <v>32.647523929819023</v>
      </c>
      <c r="CM19">
        <f t="shared" si="221"/>
        <v>47.188941176470578</v>
      </c>
      <c r="CN19" t="e">
        <f t="shared" si="221"/>
        <v>#DIV/0!</v>
      </c>
      <c r="CO19">
        <f t="shared" si="221"/>
        <v>1.9900018795814798</v>
      </c>
      <c r="CP19">
        <f t="shared" si="221"/>
        <v>2.02</v>
      </c>
      <c r="CQ19">
        <f t="shared" si="221"/>
        <v>26.511519870120704</v>
      </c>
      <c r="CS19" s="114" t="s">
        <v>542</v>
      </c>
      <c r="CT19" t="e">
        <f t="shared" ref="CT19:CX19" si="222">CT9*1000/CT$4</f>
        <v>#DIV/0!</v>
      </c>
      <c r="CU19">
        <f t="shared" si="222"/>
        <v>32.06</v>
      </c>
      <c r="CV19">
        <f t="shared" si="222"/>
        <v>44.752999999999993</v>
      </c>
      <c r="CW19" t="e">
        <f t="shared" si="222"/>
        <v>#DIV/0!</v>
      </c>
      <c r="CX19">
        <f t="shared" si="222"/>
        <v>2.02</v>
      </c>
      <c r="CZ19">
        <f t="shared" ref="CZ19:DG19" si="223">CZ9*1000/CZ$4</f>
        <v>32.315175166297124</v>
      </c>
      <c r="DA19">
        <f t="shared" si="223"/>
        <v>42.93</v>
      </c>
      <c r="DB19">
        <f t="shared" si="223"/>
        <v>32.441085423147328</v>
      </c>
      <c r="DC19">
        <f t="shared" si="223"/>
        <v>45.620519480519484</v>
      </c>
      <c r="DD19" t="e">
        <f t="shared" si="223"/>
        <v>#DIV/0!</v>
      </c>
      <c r="DE19">
        <f t="shared" si="223"/>
        <v>1.9967820773930749</v>
      </c>
      <c r="DF19">
        <f t="shared" si="223"/>
        <v>2.02</v>
      </c>
      <c r="DG19">
        <f t="shared" si="223"/>
        <v>27.267239723231995</v>
      </c>
      <c r="DI19" s="114" t="s">
        <v>542</v>
      </c>
      <c r="DJ19" t="e">
        <f t="shared" ref="DJ19:DN19" si="224">DJ9*1000/DJ$4</f>
        <v>#DIV/0!</v>
      </c>
      <c r="DK19">
        <f t="shared" si="224"/>
        <v>32.06</v>
      </c>
      <c r="DL19">
        <f t="shared" si="224"/>
        <v>42.746240601503757</v>
      </c>
      <c r="DM19" t="e">
        <f t="shared" si="224"/>
        <v>#DIV/0!</v>
      </c>
      <c r="DN19">
        <f t="shared" si="224"/>
        <v>2.02</v>
      </c>
      <c r="DP19">
        <f t="shared" ref="DP19:DW19" si="225">DP9*1000/DP$4</f>
        <v>29.225659035053685</v>
      </c>
      <c r="DQ19">
        <f t="shared" si="225"/>
        <v>42.93</v>
      </c>
      <c r="DR19">
        <f t="shared" si="225"/>
        <v>32.389608490095988</v>
      </c>
      <c r="DS19">
        <f t="shared" si="225"/>
        <v>45.051651785714292</v>
      </c>
      <c r="DT19" t="e">
        <f t="shared" si="225"/>
        <v>#DIV/0!</v>
      </c>
      <c r="DU19">
        <f t="shared" si="225"/>
        <v>1.99877094972067</v>
      </c>
      <c r="DV19">
        <f t="shared" si="225"/>
        <v>2.02</v>
      </c>
      <c r="DW19">
        <f t="shared" si="225"/>
        <v>27.517867340942381</v>
      </c>
      <c r="DY19" s="114" t="s">
        <v>542</v>
      </c>
      <c r="DZ19" t="e">
        <f t="shared" ref="DZ19:ED19" si="226">DZ9*1000/DZ$4</f>
        <v>#DIV/0!</v>
      </c>
      <c r="EA19">
        <f t="shared" si="226"/>
        <v>32.059999999999995</v>
      </c>
      <c r="EB19">
        <f t="shared" si="226"/>
        <v>46.356521739130429</v>
      </c>
      <c r="EC19" t="e">
        <f t="shared" si="226"/>
        <v>#DIV/0!</v>
      </c>
      <c r="ED19">
        <f t="shared" si="226"/>
        <v>2.02</v>
      </c>
      <c r="EF19">
        <f t="shared" ref="EF19:EM19" si="227">EF9*1000/EF$4</f>
        <v>26.150052770448543</v>
      </c>
      <c r="EG19">
        <f t="shared" si="227"/>
        <v>42.93</v>
      </c>
      <c r="EH19">
        <f t="shared" si="227"/>
        <v>32.362957908448841</v>
      </c>
      <c r="EI19">
        <f t="shared" si="227"/>
        <v>45.191242524916952</v>
      </c>
      <c r="EJ19" t="e">
        <f t="shared" si="227"/>
        <v>#DIV/0!</v>
      </c>
      <c r="EK19">
        <f t="shared" si="227"/>
        <v>2.00098037657901</v>
      </c>
      <c r="EL19">
        <f t="shared" si="227"/>
        <v>2.02</v>
      </c>
      <c r="EM19">
        <f t="shared" si="227"/>
        <v>27.400219001293578</v>
      </c>
      <c r="EO19" s="114" t="s">
        <v>542</v>
      </c>
      <c r="EP19" t="e">
        <f t="shared" ref="EP19:ET19" si="228">EP9*1000/EP$4</f>
        <v>#DIV/0!</v>
      </c>
      <c r="EQ19">
        <f t="shared" si="228"/>
        <v>32.119801702456947</v>
      </c>
      <c r="ER19">
        <f t="shared" si="228"/>
        <v>46.465454545454541</v>
      </c>
      <c r="ES19" t="e">
        <f t="shared" si="228"/>
        <v>#DIV/0!</v>
      </c>
      <c r="ET19" t="e">
        <f t="shared" si="228"/>
        <v>#DIV/0!</v>
      </c>
      <c r="EV19">
        <f t="shared" ref="EV19:FC19" si="229">EV9*1000/EV$4</f>
        <v>33.114233885487927</v>
      </c>
      <c r="EW19">
        <f t="shared" si="229"/>
        <v>42.93</v>
      </c>
      <c r="EX19">
        <f t="shared" si="229"/>
        <v>32.33981104972375</v>
      </c>
      <c r="EY19">
        <f t="shared" si="229"/>
        <v>45.30952380952381</v>
      </c>
      <c r="EZ19" t="e">
        <f t="shared" si="229"/>
        <v>#DIV/0!</v>
      </c>
      <c r="FA19">
        <f t="shared" si="229"/>
        <v>2.00098037657901</v>
      </c>
      <c r="FB19">
        <f t="shared" si="229"/>
        <v>2.02</v>
      </c>
      <c r="FC19">
        <f t="shared" si="229"/>
        <v>27.843147963349352</v>
      </c>
      <c r="FE19" s="114" t="s">
        <v>542</v>
      </c>
      <c r="FF19" t="e">
        <f t="shared" ref="FF19:FJ19" si="230">FF9*1000/FF$4</f>
        <v>#DIV/0!</v>
      </c>
      <c r="FG19">
        <f t="shared" si="230"/>
        <v>32.06</v>
      </c>
      <c r="FH19">
        <f t="shared" si="230"/>
        <v>46.71473684210526</v>
      </c>
      <c r="FI19" t="e">
        <f t="shared" si="230"/>
        <v>#DIV/0!</v>
      </c>
      <c r="FJ19">
        <f t="shared" si="230"/>
        <v>2.02</v>
      </c>
      <c r="FL19">
        <f t="shared" ref="FL19:FS19" si="231">FL9*1000/FL$4</f>
        <v>26.039673704414589</v>
      </c>
      <c r="FM19">
        <f t="shared" si="231"/>
        <v>42.93</v>
      </c>
      <c r="FN19">
        <f t="shared" si="231"/>
        <v>32.314768224690823</v>
      </c>
      <c r="FO19">
        <f t="shared" si="231"/>
        <v>45.413816964285722</v>
      </c>
      <c r="FP19" t="e">
        <f t="shared" si="231"/>
        <v>#DIV/0!</v>
      </c>
      <c r="FQ19">
        <f t="shared" si="231"/>
        <v>2.0031538948701706</v>
      </c>
      <c r="FR19">
        <f t="shared" si="231"/>
        <v>2.02</v>
      </c>
      <c r="FS19">
        <f t="shared" si="231"/>
        <v>27.676515609264847</v>
      </c>
      <c r="FU19" s="114" t="s">
        <v>542</v>
      </c>
      <c r="FV19" t="e">
        <f t="shared" ref="FV19:FY19" si="232">FV9*1000/FV$4</f>
        <v>#DIV/0!</v>
      </c>
      <c r="FW19">
        <f t="shared" si="232"/>
        <v>32.059999999999988</v>
      </c>
      <c r="FX19">
        <f t="shared" si="232"/>
        <v>47.919999999999987</v>
      </c>
      <c r="FY19">
        <f t="shared" si="232"/>
        <v>2.02</v>
      </c>
      <c r="GA19">
        <f t="shared" ref="GA19:GG19" si="233">GA9*1000/GA$4</f>
        <v>28.310706581209939</v>
      </c>
      <c r="GB19">
        <f t="shared" si="233"/>
        <v>42.93</v>
      </c>
      <c r="GC19">
        <f t="shared" si="233"/>
        <v>32.294344721215367</v>
      </c>
      <c r="GD19">
        <f t="shared" si="233"/>
        <v>45.552535582498685</v>
      </c>
      <c r="GE19">
        <f t="shared" si="233"/>
        <v>2.0041959334565616</v>
      </c>
      <c r="GF19">
        <f t="shared" si="233"/>
        <v>2.02</v>
      </c>
      <c r="GG19">
        <f t="shared" si="233"/>
        <v>27.724053643932223</v>
      </c>
      <c r="GI19" s="114" t="s">
        <v>542</v>
      </c>
      <c r="GJ19" t="e">
        <f t="shared" ref="GJ19:GM19" si="234">GJ9*1000/GJ$4</f>
        <v>#DIV/0!</v>
      </c>
      <c r="GK19">
        <f t="shared" si="234"/>
        <v>32.059999999999988</v>
      </c>
      <c r="GL19">
        <f t="shared" si="234"/>
        <v>44.173333333333325</v>
      </c>
      <c r="GM19">
        <f t="shared" si="234"/>
        <v>2.02</v>
      </c>
      <c r="GO19">
        <f t="shared" ref="GO19:GU19" si="235">GO9*1000/GO$4</f>
        <v>19.713658700397371</v>
      </c>
      <c r="GP19">
        <f t="shared" si="235"/>
        <v>42.93</v>
      </c>
      <c r="GQ19">
        <f t="shared" si="235"/>
        <v>32.278591375031446</v>
      </c>
      <c r="GR19">
        <f t="shared" si="235"/>
        <v>45.440329297820824</v>
      </c>
      <c r="GS19">
        <f t="shared" si="235"/>
        <v>2.0073927010374431</v>
      </c>
      <c r="GT19">
        <f t="shared" si="235"/>
        <v>2.02</v>
      </c>
      <c r="GU19">
        <f t="shared" si="235"/>
        <v>26.964980482423552</v>
      </c>
      <c r="GW19" s="114" t="s">
        <v>542</v>
      </c>
      <c r="GX19">
        <f t="shared" ref="GX19:HA19" si="236">GX9*1000/GX$4</f>
        <v>38.19</v>
      </c>
      <c r="GY19">
        <f t="shared" si="236"/>
        <v>32.059999999999995</v>
      </c>
      <c r="GZ19">
        <f t="shared" si="236"/>
        <v>41.32</v>
      </c>
      <c r="HA19" t="e">
        <f t="shared" si="236"/>
        <v>#DIV/0!</v>
      </c>
      <c r="HC19">
        <f t="shared" ref="HC19:HI19" si="237">HC9*1000/HC$4</f>
        <v>33.708420019627077</v>
      </c>
      <c r="HD19">
        <f t="shared" si="237"/>
        <v>39.544285714285714</v>
      </c>
      <c r="HE19">
        <f t="shared" si="237"/>
        <v>32.261823000033189</v>
      </c>
      <c r="HF19">
        <f t="shared" si="237"/>
        <v>45.166509945750462</v>
      </c>
      <c r="HG19">
        <f t="shared" si="237"/>
        <v>2.0073927010374431</v>
      </c>
      <c r="HH19">
        <f t="shared" si="237"/>
        <v>2.02</v>
      </c>
      <c r="HI19">
        <f t="shared" si="237"/>
        <v>27.470656566895435</v>
      </c>
      <c r="HK19" s="114" t="s">
        <v>542</v>
      </c>
      <c r="HL19" t="e">
        <f t="shared" ref="HL19:HO19" si="238">HL9*1000/HL$4</f>
        <v>#DIV/0!</v>
      </c>
      <c r="HM19">
        <f t="shared" si="238"/>
        <v>32.06</v>
      </c>
      <c r="HN19">
        <f t="shared" si="238"/>
        <v>42.830588235294108</v>
      </c>
      <c r="HO19">
        <f t="shared" si="238"/>
        <v>2.02</v>
      </c>
      <c r="HQ19">
        <f t="shared" ref="HQ19:HW19" si="239">HQ9*1000/HQ$4</f>
        <v>28.584697490979277</v>
      </c>
      <c r="HR19">
        <f t="shared" si="239"/>
        <v>39.544285714285714</v>
      </c>
      <c r="HS19">
        <f t="shared" si="239"/>
        <v>32.249572226207917</v>
      </c>
      <c r="HT19">
        <f t="shared" si="239"/>
        <v>45.04725868725869</v>
      </c>
      <c r="HU19">
        <f t="shared" si="239"/>
        <v>2.0078999241849886</v>
      </c>
      <c r="HV19">
        <f t="shared" si="239"/>
        <v>2.02</v>
      </c>
      <c r="HW19">
        <f t="shared" si="239"/>
        <v>27.532190869061402</v>
      </c>
      <c r="HY19" s="114" t="s">
        <v>542</v>
      </c>
      <c r="HZ19" t="e">
        <f t="shared" ref="HZ19:IC19" si="240">HZ9*1000/HZ$4</f>
        <v>#DIV/0!</v>
      </c>
      <c r="IA19">
        <f t="shared" si="240"/>
        <v>32.059999999999995</v>
      </c>
      <c r="IB19">
        <f t="shared" si="240"/>
        <v>42.425925925925917</v>
      </c>
      <c r="IC19">
        <f t="shared" si="240"/>
        <v>2.02</v>
      </c>
      <c r="IE19">
        <f t="shared" ref="IE19:IK19" si="241">IE9*1000/IE$4</f>
        <v>26.033052296103136</v>
      </c>
      <c r="IF19">
        <f t="shared" si="241"/>
        <v>39.544285714285714</v>
      </c>
      <c r="IG19">
        <f t="shared" si="241"/>
        <v>32.238686816417719</v>
      </c>
      <c r="IH19">
        <f t="shared" si="241"/>
        <v>44.850658730158734</v>
      </c>
      <c r="II19">
        <f t="shared" si="241"/>
        <v>2.0087779496554634</v>
      </c>
      <c r="IJ19">
        <f t="shared" si="241"/>
        <v>2.02</v>
      </c>
      <c r="IK19">
        <f t="shared" si="241"/>
        <v>27.442029395877245</v>
      </c>
      <c r="IM19" s="114" t="s">
        <v>542</v>
      </c>
      <c r="IN19" t="e">
        <f t="shared" ref="IN19:IQ19" si="242">IN9*1000/IN$4</f>
        <v>#DIV/0!</v>
      </c>
      <c r="IO19">
        <f t="shared" si="242"/>
        <v>32.059999999999995</v>
      </c>
      <c r="IP19">
        <f t="shared" si="242"/>
        <v>42.484799999999986</v>
      </c>
      <c r="IQ19">
        <f t="shared" si="242"/>
        <v>2.02</v>
      </c>
      <c r="IS19">
        <f t="shared" ref="IS19:IY19" si="243">IS9*1000/IS$4</f>
        <v>25.120264550264544</v>
      </c>
      <c r="IT19">
        <f t="shared" si="243"/>
        <v>39.544285714285714</v>
      </c>
      <c r="IU19">
        <f t="shared" si="243"/>
        <v>32.229710312473806</v>
      </c>
      <c r="IV19">
        <f t="shared" si="243"/>
        <v>44.697031539888663</v>
      </c>
      <c r="IW19">
        <f t="shared" si="243"/>
        <v>2.0095971842002354</v>
      </c>
      <c r="IX19">
        <f t="shared" si="243"/>
        <v>2.02</v>
      </c>
      <c r="IY19">
        <f t="shared" si="243"/>
        <v>27.315510779039968</v>
      </c>
      <c r="JA19" s="114" t="s">
        <v>542</v>
      </c>
      <c r="JB19">
        <f t="shared" ref="JB19:JE19" si="244">JB9*1000/JB$4</f>
        <v>38.19</v>
      </c>
      <c r="JC19">
        <f t="shared" si="244"/>
        <v>32.177184750733133</v>
      </c>
      <c r="JD19">
        <f t="shared" si="244"/>
        <v>41.319999999999993</v>
      </c>
      <c r="JE19">
        <f t="shared" si="244"/>
        <v>2.02</v>
      </c>
      <c r="JG19">
        <f t="shared" ref="JG19:JM19" si="245">JG9*1000/JG$4</f>
        <v>28.924798288508558</v>
      </c>
      <c r="JH19">
        <f t="shared" si="245"/>
        <v>39.137999999999998</v>
      </c>
      <c r="JI19">
        <f t="shared" si="245"/>
        <v>32.226427980522537</v>
      </c>
      <c r="JJ19">
        <f t="shared" si="245"/>
        <v>44.603225108225097</v>
      </c>
      <c r="JK19">
        <f t="shared" si="245"/>
        <v>2.0100799734802974</v>
      </c>
      <c r="JL19">
        <f t="shared" si="245"/>
        <v>2.02</v>
      </c>
      <c r="JM19">
        <f t="shared" si="245"/>
        <v>27.417105801362936</v>
      </c>
      <c r="JO19" s="114" t="s">
        <v>542</v>
      </c>
      <c r="JP19" t="e">
        <f t="shared" ref="JP19:JS19" si="246">JP9*1000/JP$4</f>
        <v>#DIV/0!</v>
      </c>
      <c r="JQ19">
        <f t="shared" si="246"/>
        <v>32.059999999999995</v>
      </c>
      <c r="JR19">
        <f t="shared" si="246"/>
        <v>43.265454545454539</v>
      </c>
      <c r="JS19">
        <f t="shared" si="246"/>
        <v>2.02</v>
      </c>
      <c r="JU19">
        <f t="shared" ref="JU19:KA19" si="247">JU9*1000/JU$4</f>
        <v>24.631033219150801</v>
      </c>
      <c r="JV19">
        <f t="shared" si="247"/>
        <v>39.137999999999998</v>
      </c>
      <c r="JW19">
        <f t="shared" si="247"/>
        <v>32.219001950877896</v>
      </c>
      <c r="JX19">
        <f t="shared" si="247"/>
        <v>44.567069147069134</v>
      </c>
      <c r="JY19">
        <f t="shared" si="247"/>
        <v>2.0107054392980555</v>
      </c>
      <c r="JZ19">
        <f t="shared" si="247"/>
        <v>2.02</v>
      </c>
      <c r="KA19">
        <f t="shared" si="247"/>
        <v>27.28838405735759</v>
      </c>
      <c r="KC19" s="114" t="s">
        <v>542</v>
      </c>
      <c r="KD19">
        <f t="shared" ref="KD19:KG19" si="248">KD9*1000/KD$4</f>
        <v>38.19</v>
      </c>
      <c r="KE19">
        <f t="shared" si="248"/>
        <v>32.96310735273039</v>
      </c>
      <c r="KF19">
        <f t="shared" si="248"/>
        <v>41.319999999999993</v>
      </c>
      <c r="KG19" t="e">
        <f t="shared" si="248"/>
        <v>#DIV/0!</v>
      </c>
      <c r="KI19">
        <f t="shared" ref="KI19:KO19" si="249">KI9*1000/KI$4</f>
        <v>33.68678103719224</v>
      </c>
      <c r="KJ19">
        <f t="shared" si="249"/>
        <v>39.138948948948943</v>
      </c>
      <c r="KK19">
        <f t="shared" si="249"/>
        <v>32.244095955763285</v>
      </c>
      <c r="KL19">
        <f t="shared" si="249"/>
        <v>44.422246814218632</v>
      </c>
      <c r="KM19">
        <f t="shared" si="249"/>
        <v>2.0107054392980555</v>
      </c>
      <c r="KN19">
        <f t="shared" si="249"/>
        <v>2.02</v>
      </c>
      <c r="KO19">
        <f t="shared" si="249"/>
        <v>27.463292892047178</v>
      </c>
      <c r="KQ19" s="25" t="s">
        <v>542</v>
      </c>
      <c r="KR19" s="156">
        <f t="shared" ref="KR19:KU19" si="250">KR9*1000/KR$4</f>
        <v>38.19</v>
      </c>
      <c r="KS19" s="156">
        <f t="shared" si="250"/>
        <v>32.610100591715977</v>
      </c>
      <c r="KT19" s="156">
        <f t="shared" si="250"/>
        <v>41.32</v>
      </c>
      <c r="KU19" s="156">
        <f t="shared" si="250"/>
        <v>2.02</v>
      </c>
      <c r="KV19" s="156"/>
      <c r="KW19" s="156">
        <f t="shared" ref="KW19:LC19" si="251">KW9*1000/KW$4</f>
        <v>26.230065638110702</v>
      </c>
      <c r="KX19" s="156">
        <f t="shared" si="251"/>
        <v>38.969819029339178</v>
      </c>
      <c r="KY19" s="156">
        <f t="shared" si="251"/>
        <v>32.254820384941524</v>
      </c>
      <c r="KZ19" s="156">
        <f t="shared" si="251"/>
        <v>44.131823708206674</v>
      </c>
      <c r="LA19" s="156">
        <f t="shared" si="251"/>
        <v>2.0113279721799615</v>
      </c>
      <c r="LB19" s="156">
        <f t="shared" si="251"/>
        <v>2.02</v>
      </c>
      <c r="LC19" s="156">
        <f t="shared" si="251"/>
        <v>27.473913636607421</v>
      </c>
    </row>
    <row r="20" spans="2:315" ht="15" thickBot="1" x14ac:dyDescent="0.35">
      <c r="B20" s="118" t="s">
        <v>543</v>
      </c>
      <c r="C20">
        <f t="shared" si="45"/>
        <v>160.29000000000005</v>
      </c>
      <c r="D20">
        <f t="shared" si="45"/>
        <v>7.653582089552315</v>
      </c>
      <c r="E20">
        <f t="shared" si="45"/>
        <v>-28.580000000000556</v>
      </c>
      <c r="F20" t="e">
        <f t="shared" si="45"/>
        <v>#DIV/0!</v>
      </c>
      <c r="G20">
        <f t="shared" si="45"/>
        <v>14.774561403508788</v>
      </c>
      <c r="I20">
        <f t="shared" si="46"/>
        <v>160.29000000000005</v>
      </c>
      <c r="J20">
        <f t="shared" si="46"/>
        <v>7.653582089552315</v>
      </c>
      <c r="K20">
        <f t="shared" si="46"/>
        <v>-28.580000000000556</v>
      </c>
      <c r="L20" t="e">
        <f t="shared" si="46"/>
        <v>#DIV/0!</v>
      </c>
      <c r="M20">
        <f t="shared" si="46"/>
        <v>14.774561403508788</v>
      </c>
      <c r="P20" s="118" t="s">
        <v>543</v>
      </c>
      <c r="Q20" t="e">
        <f t="shared" ref="Q20:U20" si="252">Q10*1000/Q$4</f>
        <v>#DIV/0!</v>
      </c>
      <c r="R20">
        <f t="shared" si="252"/>
        <v>10.597801438576553</v>
      </c>
      <c r="S20">
        <f t="shared" si="252"/>
        <v>74.352307692307747</v>
      </c>
      <c r="T20" t="e">
        <f t="shared" si="252"/>
        <v>#DIV/0!</v>
      </c>
      <c r="U20">
        <f t="shared" si="252"/>
        <v>8.966702355460388</v>
      </c>
      <c r="W20">
        <f t="shared" ref="W20:AA20" si="253">W10*1000/W$4</f>
        <v>14.577703709059337</v>
      </c>
      <c r="X20">
        <f t="shared" si="253"/>
        <v>160.29000000000005</v>
      </c>
      <c r="Y20">
        <f t="shared" si="253"/>
        <v>9.6926894336654126</v>
      </c>
      <c r="Z20">
        <f t="shared" si="253"/>
        <v>63.704137931034637</v>
      </c>
      <c r="AA20" t="e">
        <f t="shared" si="253"/>
        <v>#DIV/0!</v>
      </c>
      <c r="AB20">
        <f t="shared" ref="AB20:AD20" si="254">AB10*1000/AB$4</f>
        <v>11.836023835319631</v>
      </c>
      <c r="AC20">
        <f t="shared" si="254"/>
        <v>52.499999999999986</v>
      </c>
      <c r="AD20">
        <f t="shared" si="254"/>
        <v>20.833828824753436</v>
      </c>
      <c r="AF20" s="118" t="s">
        <v>543</v>
      </c>
      <c r="AG20" t="e">
        <f t="shared" ref="AG20:AK20" si="255">AG10*1000/AG$4</f>
        <v>#DIV/0!</v>
      </c>
      <c r="AH20">
        <f t="shared" si="255"/>
        <v>15.1577809798271</v>
      </c>
      <c r="AI20">
        <f t="shared" si="255"/>
        <v>46.170952380952549</v>
      </c>
      <c r="AJ20" t="e">
        <f t="shared" si="255"/>
        <v>#DIV/0!</v>
      </c>
      <c r="AK20">
        <f t="shared" si="255"/>
        <v>10.936144721233644</v>
      </c>
      <c r="AM20">
        <f t="shared" ref="AM20:AT20" si="256">AM10*1000/AM$4</f>
        <v>15.82741980910658</v>
      </c>
      <c r="AN20">
        <f t="shared" si="256"/>
        <v>160.29000000000005</v>
      </c>
      <c r="AO20">
        <f t="shared" si="256"/>
        <v>11.673787973757738</v>
      </c>
      <c r="AP20">
        <f t="shared" si="256"/>
        <v>56.340200000000031</v>
      </c>
      <c r="AQ20" t="e">
        <f t="shared" si="256"/>
        <v>#DIV/0!</v>
      </c>
      <c r="AR20">
        <f t="shared" si="256"/>
        <v>11.456107424564912</v>
      </c>
      <c r="AS20">
        <f t="shared" si="256"/>
        <v>52.499999999999986</v>
      </c>
      <c r="AT20">
        <f t="shared" si="256"/>
        <v>18.999618780096277</v>
      </c>
      <c r="AV20" s="118" t="s">
        <v>543</v>
      </c>
      <c r="AW20" t="e">
        <f t="shared" ref="AW20:BA20" si="257">AW10*1000/AW$4</f>
        <v>#DIV/0!</v>
      </c>
      <c r="AX20">
        <f t="shared" si="257"/>
        <v>19.283743265401849</v>
      </c>
      <c r="AY20">
        <f t="shared" si="257"/>
        <v>92.342000000000198</v>
      </c>
      <c r="AZ20" t="e">
        <f t="shared" si="257"/>
        <v>#DIV/0!</v>
      </c>
      <c r="BA20">
        <f t="shared" si="257"/>
        <v>10.068536585365873</v>
      </c>
      <c r="BC20">
        <f t="shared" ref="BC20:BJ20" si="258">BC10*1000/BC$4</f>
        <v>21.717609847837316</v>
      </c>
      <c r="BD20">
        <f t="shared" si="258"/>
        <v>160.29000000000005</v>
      </c>
      <c r="BE20">
        <f t="shared" si="258"/>
        <v>13.674890510948897</v>
      </c>
      <c r="BF20">
        <f t="shared" si="258"/>
        <v>66.626428571428605</v>
      </c>
      <c r="BG20" t="e">
        <f t="shared" si="258"/>
        <v>#DIV/0!</v>
      </c>
      <c r="BH20">
        <f t="shared" si="258"/>
        <v>11.129370154111255</v>
      </c>
      <c r="BI20">
        <f t="shared" si="258"/>
        <v>52.499999999999986</v>
      </c>
      <c r="BJ20">
        <f t="shared" si="258"/>
        <v>19.68212123814013</v>
      </c>
      <c r="BL20" s="118" t="s">
        <v>543</v>
      </c>
      <c r="BM20" t="e">
        <f t="shared" ref="BM20:BQ20" si="259">BM10*1000/BM$4</f>
        <v>#DIV/0!</v>
      </c>
      <c r="BN20">
        <f t="shared" si="259"/>
        <v>17.664526315789605</v>
      </c>
      <c r="BO20">
        <f t="shared" si="259"/>
        <v>-115.84000000000043</v>
      </c>
      <c r="BP20" t="e">
        <f t="shared" si="259"/>
        <v>#DIV/0!</v>
      </c>
      <c r="BQ20">
        <f t="shared" si="259"/>
        <v>9.6901209048362063</v>
      </c>
      <c r="BS20">
        <f t="shared" ref="BS20:BZ20" si="260">BS10*1000/BS$4</f>
        <v>15.683504450095413</v>
      </c>
      <c r="BT20">
        <f t="shared" si="260"/>
        <v>160.29000000000005</v>
      </c>
      <c r="BU20">
        <f t="shared" si="260"/>
        <v>14.612516963528352</v>
      </c>
      <c r="BV20">
        <f t="shared" si="260"/>
        <v>64.056478873239655</v>
      </c>
      <c r="BW20" t="e">
        <f t="shared" si="260"/>
        <v>#DIV/0!</v>
      </c>
      <c r="BX20">
        <f t="shared" si="260"/>
        <v>10.845745907309169</v>
      </c>
      <c r="BY20">
        <f t="shared" si="260"/>
        <v>47.216666666666654</v>
      </c>
      <c r="BZ20">
        <f t="shared" si="260"/>
        <v>18.83171404427911</v>
      </c>
      <c r="CC20" s="118" t="s">
        <v>543</v>
      </c>
      <c r="CD20" t="e">
        <f t="shared" ref="CD20:CH20" si="261">CD10*1000/CD$4</f>
        <v>#DIV/0!</v>
      </c>
      <c r="CE20">
        <f t="shared" si="261"/>
        <v>20.70634042553182</v>
      </c>
      <c r="CF20">
        <f t="shared" si="261"/>
        <v>84.954285714285646</v>
      </c>
      <c r="CG20" t="e">
        <f t="shared" si="261"/>
        <v>#DIV/0!</v>
      </c>
      <c r="CH20">
        <f t="shared" si="261"/>
        <v>10.554352542372895</v>
      </c>
      <c r="CJ20">
        <f t="shared" ref="CJ20:CQ20" si="262">CJ10*1000/CJ$4</f>
        <v>20.837770252893211</v>
      </c>
      <c r="CK20">
        <f t="shared" si="262"/>
        <v>160.29000000000005</v>
      </c>
      <c r="CL20">
        <f t="shared" si="262"/>
        <v>15.601715447314932</v>
      </c>
      <c r="CM20">
        <f t="shared" si="262"/>
        <v>67.498470588235108</v>
      </c>
      <c r="CN20" t="e">
        <f t="shared" si="262"/>
        <v>#DIV/0!</v>
      </c>
      <c r="CO20">
        <f t="shared" si="262"/>
        <v>10.791888979387219</v>
      </c>
      <c r="CP20">
        <f t="shared" si="262"/>
        <v>47.216666666666654</v>
      </c>
      <c r="CQ20">
        <f t="shared" si="262"/>
        <v>19.162068327804029</v>
      </c>
      <c r="CS20" s="118" t="s">
        <v>543</v>
      </c>
      <c r="CT20" t="e">
        <f t="shared" ref="CT20:CX20" si="263">CT10*1000/CT$4</f>
        <v>#DIV/0!</v>
      </c>
      <c r="CU20">
        <f t="shared" si="263"/>
        <v>18.777556626506186</v>
      </c>
      <c r="CV20">
        <f t="shared" si="263"/>
        <v>80.421499999999924</v>
      </c>
      <c r="CW20" t="e">
        <f t="shared" si="263"/>
        <v>#DIV/0!</v>
      </c>
      <c r="CX20">
        <f t="shared" si="263"/>
        <v>14.269999999999996</v>
      </c>
      <c r="CZ20">
        <f t="shared" ref="CZ20:DG20" si="264">CZ10*1000/CZ$4</f>
        <v>22.524718403547819</v>
      </c>
      <c r="DA20">
        <f t="shared" si="264"/>
        <v>160.29000000000005</v>
      </c>
      <c r="DB20">
        <f t="shared" si="264"/>
        <v>16.602920235032258</v>
      </c>
      <c r="DC20">
        <f t="shared" si="264"/>
        <v>75.144155844155861</v>
      </c>
      <c r="DD20" t="e">
        <f t="shared" si="264"/>
        <v>#DIV/0!</v>
      </c>
      <c r="DE20">
        <f t="shared" si="264"/>
        <v>10.977342158859447</v>
      </c>
      <c r="DF20">
        <f t="shared" si="264"/>
        <v>47.216666666666654</v>
      </c>
      <c r="DG20">
        <f t="shared" si="264"/>
        <v>20.141958162093506</v>
      </c>
      <c r="DI20" s="118" t="s">
        <v>543</v>
      </c>
      <c r="DJ20" t="e">
        <f t="shared" ref="DJ20:DN20" si="265">DJ10*1000/DJ$4</f>
        <v>#DIV/0!</v>
      </c>
      <c r="DK20">
        <f t="shared" si="265"/>
        <v>15.734926229508316</v>
      </c>
      <c r="DL20">
        <f t="shared" si="265"/>
        <v>89.823082706766741</v>
      </c>
      <c r="DM20" t="e">
        <f t="shared" si="265"/>
        <v>#DIV/0!</v>
      </c>
      <c r="DN20">
        <f t="shared" si="265"/>
        <v>9.0499999999999705</v>
      </c>
      <c r="DP20">
        <f t="shared" ref="DP20:DW20" si="266">DP10*1000/DP$4</f>
        <v>21.272500323373482</v>
      </c>
      <c r="DQ20">
        <f t="shared" si="266"/>
        <v>160.29000000000005</v>
      </c>
      <c r="DR20">
        <f t="shared" si="266"/>
        <v>16.485671800436219</v>
      </c>
      <c r="DS20">
        <f t="shared" si="266"/>
        <v>78.049360119047705</v>
      </c>
      <c r="DT20" t="e">
        <f t="shared" si="266"/>
        <v>#DIV/0!</v>
      </c>
      <c r="DU20">
        <f t="shared" si="266"/>
        <v>10.81224394785842</v>
      </c>
      <c r="DV20">
        <f t="shared" si="266"/>
        <v>47.216666666666654</v>
      </c>
      <c r="DW20">
        <f t="shared" si="266"/>
        <v>20.28663866380839</v>
      </c>
      <c r="DY20" s="118" t="s">
        <v>543</v>
      </c>
      <c r="DZ20" t="e">
        <f t="shared" ref="DZ20:ED20" si="267">DZ10*1000/DZ$4</f>
        <v>#DIV/0!</v>
      </c>
      <c r="EA20">
        <f t="shared" si="267"/>
        <v>19.091453744493492</v>
      </c>
      <c r="EB20">
        <f t="shared" si="267"/>
        <v>68.549565217391347</v>
      </c>
      <c r="EC20" t="e">
        <f t="shared" si="267"/>
        <v>#DIV/0!</v>
      </c>
      <c r="ED20">
        <f t="shared" si="267"/>
        <v>9.050000000000006</v>
      </c>
      <c r="EF20">
        <f t="shared" ref="EF20:EM20" si="268">EF10*1000/EF$4</f>
        <v>20.279243623570945</v>
      </c>
      <c r="EG20">
        <f t="shared" si="268"/>
        <v>160.29000000000005</v>
      </c>
      <c r="EH20">
        <f t="shared" si="268"/>
        <v>16.696362988744394</v>
      </c>
      <c r="EI20">
        <f t="shared" si="268"/>
        <v>77.033102990033257</v>
      </c>
      <c r="EJ20" t="e">
        <f t="shared" si="268"/>
        <v>#DIV/0!</v>
      </c>
      <c r="EK20">
        <f t="shared" si="268"/>
        <v>10.628837292444548</v>
      </c>
      <c r="EL20">
        <f t="shared" si="268"/>
        <v>47.216666666666654</v>
      </c>
      <c r="EM20">
        <f t="shared" si="268"/>
        <v>20.286002602295202</v>
      </c>
      <c r="EO20" s="118" t="s">
        <v>543</v>
      </c>
      <c r="EP20" t="e">
        <f t="shared" ref="EP20:ET20" si="269">EP10*1000/EP$4</f>
        <v>#DIV/0!</v>
      </c>
      <c r="EQ20">
        <f t="shared" si="269"/>
        <v>15.84407332172567</v>
      </c>
      <c r="ER20">
        <f t="shared" si="269"/>
        <v>68.48</v>
      </c>
      <c r="ES20" t="e">
        <f t="shared" si="269"/>
        <v>#DIV/0!</v>
      </c>
      <c r="ET20" t="e">
        <f t="shared" si="269"/>
        <v>#DIV/0!</v>
      </c>
      <c r="EV20">
        <f t="shared" ref="EV20:FC20" si="270">EV10*1000/EV$4</f>
        <v>19.492764674108759</v>
      </c>
      <c r="EW20">
        <f t="shared" si="270"/>
        <v>160.29000000000005</v>
      </c>
      <c r="EX20">
        <f t="shared" si="270"/>
        <v>16.615230662983489</v>
      </c>
      <c r="EY20">
        <f t="shared" si="270"/>
        <v>76.239144062688453</v>
      </c>
      <c r="EZ20" t="e">
        <f t="shared" si="270"/>
        <v>#DIV/0!</v>
      </c>
      <c r="FA20">
        <f t="shared" si="270"/>
        <v>10.628837292444548</v>
      </c>
      <c r="FB20">
        <f t="shared" si="270"/>
        <v>47.216666666666654</v>
      </c>
      <c r="FC20">
        <f t="shared" si="270"/>
        <v>20.224513778881978</v>
      </c>
      <c r="FE20" s="118" t="s">
        <v>543</v>
      </c>
      <c r="FF20" t="e">
        <f t="shared" ref="FF20:FJ20" si="271">FF10*1000/FF$4</f>
        <v>#DIV/0!</v>
      </c>
      <c r="FG20">
        <f t="shared" si="271"/>
        <v>20.508360655737668</v>
      </c>
      <c r="FH20">
        <f t="shared" si="271"/>
        <v>67.573684210526181</v>
      </c>
      <c r="FI20" t="e">
        <f t="shared" si="271"/>
        <v>#DIV/0!</v>
      </c>
      <c r="FJ20">
        <f t="shared" si="271"/>
        <v>9.050000000000006</v>
      </c>
      <c r="FL20">
        <f t="shared" ref="FL20:FS20" si="272">FL10*1000/FL$4</f>
        <v>20.102663147792676</v>
      </c>
      <c r="FM20">
        <f t="shared" si="272"/>
        <v>160.29000000000005</v>
      </c>
      <c r="FN20">
        <f t="shared" si="272"/>
        <v>16.963662125340704</v>
      </c>
      <c r="FO20">
        <f t="shared" si="272"/>
        <v>75.596004464285585</v>
      </c>
      <c r="FP20" t="e">
        <f t="shared" si="272"/>
        <v>#DIV/0!</v>
      </c>
      <c r="FQ20">
        <f t="shared" si="272"/>
        <v>10.448411441840767</v>
      </c>
      <c r="FR20">
        <f t="shared" si="272"/>
        <v>47.216666666666654</v>
      </c>
      <c r="FS20">
        <f t="shared" si="272"/>
        <v>20.213255366179659</v>
      </c>
      <c r="FU20" s="118" t="s">
        <v>543</v>
      </c>
      <c r="FV20" t="e">
        <f t="shared" ref="FV20:FY20" si="273">FV10*1000/FV$4</f>
        <v>#DIV/0!</v>
      </c>
      <c r="FW20">
        <f t="shared" si="273"/>
        <v>18.822828282828343</v>
      </c>
      <c r="FX20">
        <f t="shared" si="273"/>
        <v>57.154000000000018</v>
      </c>
      <c r="FY20">
        <f t="shared" si="273"/>
        <v>7.4848665955176328</v>
      </c>
      <c r="GA20">
        <f t="shared" ref="GA20:GG20" si="274">GA10*1000/GA$4</f>
        <v>18.735015632327634</v>
      </c>
      <c r="GB20">
        <f t="shared" si="274"/>
        <v>160.29000000000005</v>
      </c>
      <c r="GC20">
        <f t="shared" si="274"/>
        <v>17.112702244158513</v>
      </c>
      <c r="GD20">
        <f t="shared" si="274"/>
        <v>74.57522930943577</v>
      </c>
      <c r="GE20">
        <f t="shared" si="274"/>
        <v>10.265097372590445</v>
      </c>
      <c r="GF20">
        <f t="shared" si="274"/>
        <v>47.216666666666654</v>
      </c>
      <c r="GG20">
        <f t="shared" si="274"/>
        <v>20.102448661538396</v>
      </c>
      <c r="GI20" s="118" t="s">
        <v>543</v>
      </c>
      <c r="GJ20" t="e">
        <f t="shared" ref="GJ20:GM20" si="275">GJ10*1000/GJ$4</f>
        <v>#DIV/0!</v>
      </c>
      <c r="GK20">
        <f t="shared" si="275"/>
        <v>19.280224719101152</v>
      </c>
      <c r="GL20">
        <f t="shared" si="275"/>
        <v>78.640000000000114</v>
      </c>
      <c r="GM20">
        <f t="shared" si="275"/>
        <v>13.495131476178102</v>
      </c>
      <c r="GO20">
        <f t="shared" ref="GO20:GU20" si="276">GO10*1000/GO$4</f>
        <v>19.583640230592742</v>
      </c>
      <c r="GP20">
        <f t="shared" si="276"/>
        <v>160.29000000000005</v>
      </c>
      <c r="GQ20">
        <f t="shared" si="276"/>
        <v>17.258409524152263</v>
      </c>
      <c r="GR20">
        <f t="shared" si="276"/>
        <v>74.905922518159997</v>
      </c>
      <c r="GS20">
        <f t="shared" si="276"/>
        <v>10.918452525146146</v>
      </c>
      <c r="GT20">
        <f t="shared" si="276"/>
        <v>47.216666666666654</v>
      </c>
      <c r="GU20">
        <f t="shared" si="276"/>
        <v>20.053285847635806</v>
      </c>
      <c r="GW20" s="118" t="s">
        <v>543</v>
      </c>
      <c r="GX20">
        <f t="shared" ref="GX20:HA20" si="277">GX10*1000/GX$4</f>
        <v>162.95000000000005</v>
      </c>
      <c r="GY20">
        <f t="shared" si="277"/>
        <v>20.179363636363703</v>
      </c>
      <c r="GZ20">
        <f t="shared" si="277"/>
        <v>96.320000000000036</v>
      </c>
      <c r="HA20" t="e">
        <f t="shared" si="277"/>
        <v>#DIV/0!</v>
      </c>
      <c r="HC20">
        <f t="shared" ref="HC20:HI20" si="278">HC10*1000/HC$4</f>
        <v>51.862404317958891</v>
      </c>
      <c r="HD20">
        <f t="shared" si="278"/>
        <v>162.18999999999997</v>
      </c>
      <c r="HE20">
        <f t="shared" si="278"/>
        <v>17.482478995782763</v>
      </c>
      <c r="HF20">
        <f t="shared" si="278"/>
        <v>76.32900994575084</v>
      </c>
      <c r="HG20">
        <f t="shared" si="278"/>
        <v>10.918452525146146</v>
      </c>
      <c r="HH20">
        <f t="shared" si="278"/>
        <v>47.216666666666654</v>
      </c>
      <c r="HI20">
        <f t="shared" si="278"/>
        <v>22.438583497274891</v>
      </c>
      <c r="HK20" s="118" t="s">
        <v>543</v>
      </c>
      <c r="HL20" t="e">
        <f t="shared" ref="HL20:HO20" si="279">HL10*1000/HL$4</f>
        <v>#DIV/0!</v>
      </c>
      <c r="HM20">
        <f t="shared" si="279"/>
        <v>13.447158273381392</v>
      </c>
      <c r="HN20">
        <f t="shared" si="279"/>
        <v>86.959999999999894</v>
      </c>
      <c r="HO20">
        <f t="shared" si="279"/>
        <v>13.400000000000013</v>
      </c>
      <c r="HQ20">
        <f t="shared" ref="HQ20:HW20" si="280">HQ10*1000/HQ$4</f>
        <v>17.111257027775533</v>
      </c>
      <c r="HR20">
        <f t="shared" si="280"/>
        <v>162.18999999999997</v>
      </c>
      <c r="HS20">
        <f t="shared" si="280"/>
        <v>17.237532674132453</v>
      </c>
      <c r="HT20">
        <f t="shared" si="280"/>
        <v>76.871733161733403</v>
      </c>
      <c r="HU20">
        <f t="shared" si="280"/>
        <v>11.018291382360362</v>
      </c>
      <c r="HV20">
        <f t="shared" si="280"/>
        <v>47.216666666666654</v>
      </c>
      <c r="HW20">
        <f t="shared" si="280"/>
        <v>22.144327415991022</v>
      </c>
      <c r="HY20" s="118" t="s">
        <v>543</v>
      </c>
      <c r="HZ20" t="e">
        <f t="shared" ref="HZ20:IC20" si="281">HZ10*1000/HZ$4</f>
        <v>#DIV/0!</v>
      </c>
      <c r="IA20">
        <f t="shared" si="281"/>
        <v>18.514086021505385</v>
      </c>
      <c r="IB20">
        <f t="shared" si="281"/>
        <v>90.519629629629677</v>
      </c>
      <c r="IC20">
        <f t="shared" si="281"/>
        <v>13.400000000000038</v>
      </c>
      <c r="IE20">
        <f t="shared" ref="IE20:IK20" si="282">IE10*1000/IE$4</f>
        <v>22.295922062871224</v>
      </c>
      <c r="IF20">
        <f t="shared" si="282"/>
        <v>162.18999999999997</v>
      </c>
      <c r="IG20">
        <f t="shared" si="282"/>
        <v>17.310833529342926</v>
      </c>
      <c r="IH20">
        <f t="shared" si="282"/>
        <v>77.895325396825754</v>
      </c>
      <c r="II20">
        <f t="shared" si="282"/>
        <v>11.19111681432525</v>
      </c>
      <c r="IJ20">
        <f t="shared" si="282"/>
        <v>47.216666666666654</v>
      </c>
      <c r="IK20">
        <f t="shared" si="282"/>
        <v>22.153444649671769</v>
      </c>
      <c r="IM20" s="118" t="s">
        <v>543</v>
      </c>
      <c r="IN20" t="e">
        <f t="shared" ref="IN20:IQ20" si="283">IN10*1000/IN$4</f>
        <v>#DIV/0!</v>
      </c>
      <c r="IO20">
        <f t="shared" si="283"/>
        <v>17.046147859922243</v>
      </c>
      <c r="IP20">
        <f t="shared" si="283"/>
        <v>74.022399999999962</v>
      </c>
      <c r="IQ20">
        <f t="shared" si="283"/>
        <v>13.400000000000034</v>
      </c>
      <c r="IS20">
        <f t="shared" ref="IS20:IY20" si="284">IS10*1000/IS$4</f>
        <v>19.888412698412704</v>
      </c>
      <c r="IT20">
        <f t="shared" si="284"/>
        <v>162.18999999999997</v>
      </c>
      <c r="IU20">
        <f t="shared" si="284"/>
        <v>17.297536790371908</v>
      </c>
      <c r="IV20">
        <f t="shared" si="284"/>
        <v>77.643836734694048</v>
      </c>
      <c r="IW20">
        <f t="shared" si="284"/>
        <v>11.352370182071034</v>
      </c>
      <c r="IX20">
        <f t="shared" si="284"/>
        <v>47.216666666666654</v>
      </c>
      <c r="IY20">
        <f t="shared" si="284"/>
        <v>22.030017546316714</v>
      </c>
      <c r="JA20" s="118" t="s">
        <v>543</v>
      </c>
      <c r="JB20">
        <f t="shared" ref="JB20:JE20" si="285">JB10*1000/JB$4</f>
        <v>162.95000000000005</v>
      </c>
      <c r="JC20">
        <f t="shared" si="285"/>
        <v>16.984017595307975</v>
      </c>
      <c r="JD20">
        <f t="shared" si="285"/>
        <v>96.320000000000093</v>
      </c>
      <c r="JE20">
        <f t="shared" si="285"/>
        <v>13.400000000000007</v>
      </c>
      <c r="JG20">
        <f t="shared" ref="JG20:JM20" si="286">JG10*1000/JG$4</f>
        <v>34.420137530562336</v>
      </c>
      <c r="JH20">
        <f t="shared" si="286"/>
        <v>162.41800000000003</v>
      </c>
      <c r="JI20">
        <f t="shared" si="286"/>
        <v>17.277944918582246</v>
      </c>
      <c r="JJ20">
        <f t="shared" si="286"/>
        <v>78.162619047619017</v>
      </c>
      <c r="JK20">
        <f t="shared" si="286"/>
        <v>11.447399618779308</v>
      </c>
      <c r="JL20">
        <f t="shared" si="286"/>
        <v>47.216666666666654</v>
      </c>
      <c r="JM20">
        <f t="shared" si="286"/>
        <v>22.81221122456077</v>
      </c>
      <c r="JO20" s="118" t="s">
        <v>543</v>
      </c>
      <c r="JP20" t="e">
        <f t="shared" ref="JP20:JS20" si="287">JP10*1000/JP$4</f>
        <v>#DIV/0!</v>
      </c>
      <c r="JQ20">
        <f t="shared" si="287"/>
        <v>21.786905829596453</v>
      </c>
      <c r="JR20">
        <f t="shared" si="287"/>
        <v>84.265454545454588</v>
      </c>
      <c r="JS20">
        <f t="shared" si="287"/>
        <v>13.399999999999993</v>
      </c>
      <c r="JU20">
        <f t="shared" ref="JU20:KA20" si="288">JU10*1000/JU$4</f>
        <v>21.533067792559578</v>
      </c>
      <c r="JV20">
        <f t="shared" si="288"/>
        <v>162.41800000000003</v>
      </c>
      <c r="JW20">
        <f t="shared" si="288"/>
        <v>17.479135110799842</v>
      </c>
      <c r="JX20">
        <f t="shared" si="288"/>
        <v>78.327560547560623</v>
      </c>
      <c r="JY20">
        <f t="shared" si="288"/>
        <v>11.570512676165752</v>
      </c>
      <c r="JZ20">
        <f t="shared" si="288"/>
        <v>47.216666666666654</v>
      </c>
      <c r="KA20">
        <f t="shared" si="288"/>
        <v>22.753112414841475</v>
      </c>
      <c r="KC20" s="118" t="s">
        <v>543</v>
      </c>
      <c r="KD20">
        <f t="shared" ref="KD20:KG20" si="289">KD10*1000/KD$4</f>
        <v>162.94999999999993</v>
      </c>
      <c r="KE20">
        <f t="shared" si="289"/>
        <v>17.642730399885231</v>
      </c>
      <c r="KF20">
        <f t="shared" si="289"/>
        <v>96.319999999999979</v>
      </c>
      <c r="KG20" t="e">
        <f t="shared" si="289"/>
        <v>#DIV/0!</v>
      </c>
      <c r="KI20">
        <f t="shared" ref="KI20:KO20" si="290">KI10*1000/KI$4</f>
        <v>24.380360136196867</v>
      </c>
      <c r="KJ20">
        <f t="shared" si="290"/>
        <v>162.41746746746745</v>
      </c>
      <c r="KK20">
        <f t="shared" si="290"/>
        <v>17.484652153108016</v>
      </c>
      <c r="KL20">
        <f t="shared" si="290"/>
        <v>79.130040241448839</v>
      </c>
      <c r="KM20">
        <f t="shared" si="290"/>
        <v>11.570512676165752</v>
      </c>
      <c r="KN20">
        <f t="shared" si="290"/>
        <v>47.216666666666654</v>
      </c>
      <c r="KO20">
        <f t="shared" si="290"/>
        <v>22.797595432008382</v>
      </c>
      <c r="KQ20" s="155" t="s">
        <v>543</v>
      </c>
      <c r="KR20" s="156">
        <f t="shared" ref="KR20:KU20" si="291">KR10*1000/KR$4</f>
        <v>162.94999999999993</v>
      </c>
      <c r="KS20" s="156">
        <f t="shared" si="291"/>
        <v>20.666526627218978</v>
      </c>
      <c r="KT20" s="156">
        <f t="shared" si="291"/>
        <v>96.319999999999979</v>
      </c>
      <c r="KU20" s="156">
        <f t="shared" si="291"/>
        <v>13.400000000000016</v>
      </c>
      <c r="KV20" s="156"/>
      <c r="KW20" s="156">
        <f t="shared" ref="KW20:LC20" si="292">KW10*1000/KW$4</f>
        <v>38.173362430640175</v>
      </c>
      <c r="KX20" s="156">
        <f t="shared" si="292"/>
        <v>162.51238003838782</v>
      </c>
      <c r="KY20" s="156">
        <f t="shared" si="292"/>
        <v>17.57928459413397</v>
      </c>
      <c r="KZ20" s="156">
        <f t="shared" si="292"/>
        <v>80.73931306990896</v>
      </c>
      <c r="LA20" s="156">
        <f t="shared" si="292"/>
        <v>11.693048431500451</v>
      </c>
      <c r="LB20" s="156">
        <f t="shared" si="292"/>
        <v>47.216666666666654</v>
      </c>
      <c r="LC20" s="156">
        <f t="shared" si="292"/>
        <v>23.518813182098683</v>
      </c>
    </row>
  </sheetData>
  <mergeCells count="63">
    <mergeCell ref="KC12:KO12"/>
    <mergeCell ref="AG2:AM2"/>
    <mergeCell ref="AN2:AT2"/>
    <mergeCell ref="AF12:AT12"/>
    <mergeCell ref="AW2:BC2"/>
    <mergeCell ref="FF2:FL2"/>
    <mergeCell ref="CT2:CZ2"/>
    <mergeCell ref="DA2:DG2"/>
    <mergeCell ref="CS12:DG12"/>
    <mergeCell ref="BD2:BJ2"/>
    <mergeCell ref="AV12:BJ12"/>
    <mergeCell ref="BM2:BS2"/>
    <mergeCell ref="BT2:BZ2"/>
    <mergeCell ref="BL12:BZ12"/>
    <mergeCell ref="CK2:CQ2"/>
    <mergeCell ref="CC12:CQ12"/>
    <mergeCell ref="C2:H2"/>
    <mergeCell ref="I2:N2"/>
    <mergeCell ref="B12:N12"/>
    <mergeCell ref="Q2:W2"/>
    <mergeCell ref="X2:AD2"/>
    <mergeCell ref="P12:AD12"/>
    <mergeCell ref="CD2:CJ2"/>
    <mergeCell ref="FM2:FS2"/>
    <mergeCell ref="HL2:HQ2"/>
    <mergeCell ref="HR2:HW2"/>
    <mergeCell ref="HK12:HW12"/>
    <mergeCell ref="FV2:GA2"/>
    <mergeCell ref="GB2:GG2"/>
    <mergeCell ref="FU12:GG12"/>
    <mergeCell ref="FE12:FS12"/>
    <mergeCell ref="EP2:EV2"/>
    <mergeCell ref="EW2:FC2"/>
    <mergeCell ref="EO12:FC12"/>
    <mergeCell ref="DJ2:DP2"/>
    <mergeCell ref="DQ2:DW2"/>
    <mergeCell ref="DI12:DW12"/>
    <mergeCell ref="DZ2:EF2"/>
    <mergeCell ref="EG2:EM2"/>
    <mergeCell ref="DY12:EM12"/>
    <mergeCell ref="HZ2:IE2"/>
    <mergeCell ref="GX2:HC2"/>
    <mergeCell ref="HD2:HI2"/>
    <mergeCell ref="GW12:HI12"/>
    <mergeCell ref="GJ2:GO2"/>
    <mergeCell ref="GP2:GU2"/>
    <mergeCell ref="GI12:GU12"/>
    <mergeCell ref="KR2:KW2"/>
    <mergeCell ref="KX2:LC2"/>
    <mergeCell ref="KQ12:LC12"/>
    <mergeCell ref="IF2:IK2"/>
    <mergeCell ref="HY12:IK12"/>
    <mergeCell ref="JP2:JU2"/>
    <mergeCell ref="JV2:KA2"/>
    <mergeCell ref="JO12:KA12"/>
    <mergeCell ref="IN2:IS2"/>
    <mergeCell ref="IT2:IY2"/>
    <mergeCell ref="IM12:IY12"/>
    <mergeCell ref="JB2:JG2"/>
    <mergeCell ref="JH2:JM2"/>
    <mergeCell ref="JA12:JM12"/>
    <mergeCell ref="KD2:KI2"/>
    <mergeCell ref="KJ2:K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7C3A-85F4-4013-B0E0-3EB22FC8196E}">
  <dimension ref="B1:MN25"/>
  <sheetViews>
    <sheetView topLeftCell="LQ1" zoomScale="98" zoomScaleNormal="98" workbookViewId="0">
      <selection activeCell="MG6" sqref="MG6"/>
    </sheetView>
  </sheetViews>
  <sheetFormatPr defaultRowHeight="14.4" x14ac:dyDescent="0.3"/>
  <cols>
    <col min="2" max="2" width="15.109375" bestFit="1" customWidth="1"/>
    <col min="3" max="3" width="5.109375" bestFit="1" customWidth="1"/>
    <col min="4" max="4" width="7.88671875" bestFit="1" customWidth="1"/>
    <col min="5" max="6" width="6.88671875" bestFit="1" customWidth="1"/>
    <col min="7" max="7" width="7.88671875" bestFit="1" customWidth="1"/>
    <col min="8" max="8" width="5.109375" bestFit="1" customWidth="1"/>
    <col min="9" max="9" width="7.88671875" bestFit="1" customWidth="1"/>
    <col min="10" max="11" width="6.88671875" bestFit="1" customWidth="1"/>
    <col min="12" max="12" width="7.88671875" bestFit="1" customWidth="1"/>
    <col min="14" max="14" width="15.109375" bestFit="1" customWidth="1"/>
    <col min="15" max="15" width="5.109375" bestFit="1" customWidth="1"/>
    <col min="16" max="16" width="6.88671875" bestFit="1" customWidth="1"/>
    <col min="17" max="17" width="5.44140625" bestFit="1" customWidth="1"/>
    <col min="18" max="18" width="6.88671875" bestFit="1" customWidth="1"/>
    <col min="19" max="19" width="7.88671875" bestFit="1" customWidth="1"/>
    <col min="20" max="20" width="5.109375" bestFit="1" customWidth="1"/>
    <col min="21" max="21" width="7.88671875" bestFit="1" customWidth="1"/>
    <col min="22" max="23" width="6.88671875" bestFit="1" customWidth="1"/>
    <col min="24" max="24" width="7.88671875" bestFit="1" customWidth="1"/>
    <col min="26" max="26" width="15.109375" bestFit="1" customWidth="1"/>
    <col min="27" max="28" width="6.88671875" bestFit="1" customWidth="1"/>
    <col min="29" max="29" width="5.44140625" bestFit="1" customWidth="1"/>
    <col min="30" max="30" width="6.88671875" bestFit="1" customWidth="1"/>
    <col min="31" max="31" width="7.88671875" bestFit="1" customWidth="1"/>
    <col min="32" max="32" width="6.88671875" bestFit="1" customWidth="1"/>
    <col min="33" max="33" width="7.88671875" bestFit="1" customWidth="1"/>
    <col min="34" max="34" width="6.88671875" bestFit="1" customWidth="1"/>
    <col min="35" max="36" width="7.88671875" bestFit="1" customWidth="1"/>
    <col min="38" max="38" width="15.109375" bestFit="1" customWidth="1"/>
    <col min="39" max="39" width="5.109375" bestFit="1" customWidth="1"/>
    <col min="40" max="40" width="7.88671875" bestFit="1" customWidth="1"/>
    <col min="41" max="41" width="6.88671875" bestFit="1" customWidth="1"/>
    <col min="42" max="42" width="6.44140625" bestFit="1" customWidth="1"/>
    <col min="43" max="43" width="7.88671875" bestFit="1" customWidth="1"/>
    <col min="44" max="44" width="6.88671875" bestFit="1" customWidth="1"/>
    <col min="45" max="45" width="7.88671875" bestFit="1" customWidth="1"/>
    <col min="46" max="46" width="6.88671875" bestFit="1" customWidth="1"/>
    <col min="47" max="48" width="7.88671875" bestFit="1" customWidth="1"/>
    <col min="50" max="50" width="15.109375" bestFit="1" customWidth="1"/>
    <col min="51" max="51" width="5.109375" bestFit="1" customWidth="1"/>
    <col min="52" max="54" width="6.88671875" bestFit="1" customWidth="1"/>
    <col min="55" max="55" width="7.88671875" bestFit="1" customWidth="1"/>
    <col min="56" max="56" width="6.88671875" bestFit="1" customWidth="1"/>
    <col min="57" max="57" width="7.88671875" bestFit="1" customWidth="1"/>
    <col min="58" max="58" width="6.88671875" bestFit="1" customWidth="1"/>
    <col min="59" max="60" width="7.88671875" bestFit="1" customWidth="1"/>
    <col min="62" max="62" width="15.109375" bestFit="1" customWidth="1"/>
    <col min="63" max="63" width="5.109375" bestFit="1" customWidth="1"/>
    <col min="64" max="66" width="6.88671875" bestFit="1" customWidth="1"/>
    <col min="67" max="67" width="7.88671875" bestFit="1" customWidth="1"/>
    <col min="68" max="68" width="6.88671875" bestFit="1" customWidth="1"/>
    <col min="69" max="69" width="7.88671875" bestFit="1" customWidth="1"/>
    <col min="70" max="70" width="6.88671875" bestFit="1" customWidth="1"/>
    <col min="71" max="72" width="7.88671875" bestFit="1" customWidth="1"/>
    <col min="74" max="74" width="15.109375" bestFit="1" customWidth="1"/>
    <col min="75" max="76" width="6.88671875" bestFit="1" customWidth="1"/>
    <col min="77" max="77" width="5.44140625" bestFit="1" customWidth="1"/>
    <col min="78" max="78" width="6.88671875" bestFit="1" customWidth="1"/>
    <col min="79" max="79" width="7.88671875" bestFit="1" customWidth="1"/>
    <col min="80" max="80" width="6.88671875" bestFit="1" customWidth="1"/>
    <col min="81" max="81" width="7.88671875" bestFit="1" customWidth="1"/>
    <col min="82" max="82" width="6.88671875" bestFit="1" customWidth="1"/>
    <col min="83" max="84" width="7.88671875" bestFit="1" customWidth="1"/>
    <col min="86" max="86" width="15.109375" bestFit="1" customWidth="1"/>
    <col min="87" max="87" width="5.44140625" bestFit="1" customWidth="1"/>
    <col min="88" max="88" width="6.88671875" bestFit="1" customWidth="1"/>
    <col min="89" max="89" width="5.44140625" bestFit="1" customWidth="1"/>
    <col min="90" max="90" width="6.44140625" bestFit="1" customWidth="1"/>
    <col min="91" max="91" width="7.88671875" bestFit="1" customWidth="1"/>
    <col min="92" max="92" width="6.88671875" bestFit="1" customWidth="1"/>
    <col min="93" max="93" width="7.88671875" bestFit="1" customWidth="1"/>
    <col min="94" max="94" width="6.88671875" bestFit="1" customWidth="1"/>
    <col min="95" max="95" width="7.88671875" bestFit="1" customWidth="1"/>
    <col min="96" max="96" width="9.33203125" bestFit="1" customWidth="1"/>
    <col min="98" max="98" width="15.109375" bestFit="1" customWidth="1"/>
    <col min="99" max="99" width="5.109375" bestFit="1" customWidth="1"/>
    <col min="100" max="100" width="7.88671875" bestFit="1" customWidth="1"/>
    <col min="101" max="101" width="5.44140625" bestFit="1" customWidth="1"/>
    <col min="102" max="102" width="6.88671875" bestFit="1" customWidth="1"/>
    <col min="103" max="103" width="7.88671875" bestFit="1" customWidth="1"/>
    <col min="104" max="104" width="6.88671875" bestFit="1" customWidth="1"/>
    <col min="105" max="105" width="7.88671875" bestFit="1" customWidth="1"/>
    <col min="106" max="106" width="6.88671875" bestFit="1" customWidth="1"/>
    <col min="107" max="107" width="7.88671875" bestFit="1" customWidth="1"/>
    <col min="108" max="108" width="9.33203125" bestFit="1" customWidth="1"/>
    <col min="110" max="110" width="15.109375" bestFit="1" customWidth="1"/>
    <col min="111" max="111" width="5.109375" bestFit="1" customWidth="1"/>
    <col min="112" max="112" width="6.88671875" bestFit="1" customWidth="1"/>
    <col min="113" max="113" width="5.44140625" bestFit="1" customWidth="1"/>
    <col min="114" max="114" width="6.88671875" bestFit="1" customWidth="1"/>
    <col min="115" max="115" width="6" bestFit="1" customWidth="1"/>
    <col min="116" max="116" width="7.88671875" bestFit="1" customWidth="1"/>
    <col min="117" max="117" width="6.88671875" bestFit="1" customWidth="1"/>
    <col min="118" max="118" width="7.88671875" bestFit="1" customWidth="1"/>
    <col min="119" max="119" width="6.88671875" bestFit="1" customWidth="1"/>
    <col min="120" max="120" width="7.88671875" bestFit="1" customWidth="1"/>
    <col min="121" max="121" width="7" bestFit="1" customWidth="1"/>
    <col min="122" max="122" width="9.33203125" bestFit="1" customWidth="1"/>
    <col min="124" max="124" width="15.109375" bestFit="1" customWidth="1"/>
    <col min="125" max="125" width="5.109375" bestFit="1" customWidth="1"/>
    <col min="126" max="128" width="6.88671875" bestFit="1" customWidth="1"/>
    <col min="129" max="129" width="6" bestFit="1" customWidth="1"/>
    <col min="130" max="130" width="7.88671875" bestFit="1" customWidth="1"/>
    <col min="131" max="131" width="6.88671875" bestFit="1" customWidth="1"/>
    <col min="132" max="132" width="9.33203125" bestFit="1" customWidth="1"/>
    <col min="133" max="133" width="6.88671875" bestFit="1" customWidth="1"/>
    <col min="134" max="134" width="7.88671875" bestFit="1" customWidth="1"/>
    <col min="135" max="135" width="7" bestFit="1" customWidth="1"/>
    <col min="136" max="136" width="9.33203125" bestFit="1" customWidth="1"/>
    <col min="138" max="138" width="15.109375" bestFit="1" customWidth="1"/>
    <col min="139" max="139" width="5.109375" bestFit="1" customWidth="1"/>
    <col min="140" max="140" width="6.88671875" bestFit="1" customWidth="1"/>
    <col min="141" max="141" width="5.44140625" bestFit="1" customWidth="1"/>
    <col min="142" max="142" width="6.88671875" bestFit="1" customWidth="1"/>
    <col min="143" max="143" width="6" bestFit="1" customWidth="1"/>
    <col min="144" max="144" width="7.88671875" bestFit="1" customWidth="1"/>
    <col min="145" max="145" width="6.88671875" bestFit="1" customWidth="1"/>
    <col min="146" max="146" width="9.33203125" bestFit="1" customWidth="1"/>
    <col min="147" max="148" width="7.88671875" bestFit="1" customWidth="1"/>
    <col min="149" max="149" width="7" bestFit="1" customWidth="1"/>
    <col min="150" max="150" width="9.33203125" bestFit="1" customWidth="1"/>
    <col min="152" max="152" width="15.109375" bestFit="1" customWidth="1"/>
    <col min="153" max="153" width="5.109375" bestFit="1" customWidth="1"/>
    <col min="154" max="154" width="7.88671875" bestFit="1" customWidth="1"/>
    <col min="155" max="155" width="5.44140625" bestFit="1" customWidth="1"/>
    <col min="156" max="156" width="6.88671875" bestFit="1" customWidth="1"/>
    <col min="157" max="157" width="6" bestFit="1" customWidth="1"/>
    <col min="158" max="158" width="7.88671875" bestFit="1" customWidth="1"/>
    <col min="159" max="159" width="6.88671875" bestFit="1" customWidth="1"/>
    <col min="160" max="160" width="9.33203125" bestFit="1" customWidth="1"/>
    <col min="161" max="162" width="7.88671875" bestFit="1" customWidth="1"/>
    <col min="163" max="163" width="7" bestFit="1" customWidth="1"/>
    <col min="164" max="164" width="9.33203125" bestFit="1" customWidth="1"/>
    <col min="166" max="166" width="15.109375" bestFit="1" customWidth="1"/>
    <col min="167" max="167" width="5.109375" bestFit="1" customWidth="1"/>
    <col min="168" max="168" width="7.88671875" bestFit="1" customWidth="1"/>
    <col min="169" max="170" width="6.88671875" bestFit="1" customWidth="1"/>
    <col min="171" max="171" width="6" bestFit="1" customWidth="1"/>
    <col min="172" max="172" width="7.88671875" bestFit="1" customWidth="1"/>
    <col min="173" max="173" width="6.88671875" bestFit="1" customWidth="1"/>
    <col min="174" max="174" width="9.33203125" bestFit="1" customWidth="1"/>
    <col min="175" max="176" width="7.88671875" bestFit="1" customWidth="1"/>
    <col min="177" max="177" width="7" bestFit="1" customWidth="1"/>
    <col min="178" max="178" width="9.33203125" bestFit="1" customWidth="1"/>
    <col min="179" max="179" width="3" customWidth="1"/>
    <col min="180" max="180" width="15.109375" bestFit="1" customWidth="1"/>
    <col min="181" max="181" width="5.109375" bestFit="1" customWidth="1"/>
    <col min="182" max="184" width="6.88671875" bestFit="1" customWidth="1"/>
    <col min="185" max="185" width="6" bestFit="1" customWidth="1"/>
    <col min="186" max="186" width="7.88671875" bestFit="1" customWidth="1"/>
    <col min="187" max="187" width="6.88671875" bestFit="1" customWidth="1"/>
    <col min="188" max="188" width="9.33203125" bestFit="1" customWidth="1"/>
    <col min="189" max="190" width="7.88671875" bestFit="1" customWidth="1"/>
    <col min="191" max="191" width="7" bestFit="1" customWidth="1"/>
    <col min="192" max="192" width="9.33203125" bestFit="1" customWidth="1"/>
    <col min="194" max="194" width="15.109375" bestFit="1" customWidth="1"/>
    <col min="195" max="198" width="6.88671875" bestFit="1" customWidth="1"/>
    <col min="199" max="199" width="6" bestFit="1" customWidth="1"/>
    <col min="200" max="200" width="7.88671875" bestFit="1" customWidth="1"/>
    <col min="201" max="201" width="6.88671875" bestFit="1" customWidth="1"/>
    <col min="202" max="202" width="9.33203125" bestFit="1" customWidth="1"/>
    <col min="203" max="204" width="7.88671875" bestFit="1" customWidth="1"/>
    <col min="205" max="205" width="7" bestFit="1" customWidth="1"/>
    <col min="206" max="206" width="9.33203125" bestFit="1" customWidth="1"/>
    <col min="208" max="208" width="15.109375" bestFit="1" customWidth="1"/>
    <col min="209" max="209" width="5.109375" bestFit="1" customWidth="1"/>
    <col min="210" max="210" width="6.88671875" bestFit="1" customWidth="1"/>
    <col min="211" max="211" width="5.44140625" bestFit="1" customWidth="1"/>
    <col min="212" max="212" width="6.88671875" bestFit="1" customWidth="1"/>
    <col min="213" max="213" width="6" bestFit="1" customWidth="1"/>
    <col min="214" max="214" width="7.88671875" bestFit="1" customWidth="1"/>
    <col min="215" max="215" width="6.88671875" bestFit="1" customWidth="1"/>
    <col min="216" max="216" width="9.33203125" bestFit="1" customWidth="1"/>
    <col min="217" max="218" width="7.88671875" bestFit="1" customWidth="1"/>
    <col min="219" max="219" width="7" bestFit="1" customWidth="1"/>
    <col min="220" max="220" width="9.33203125" bestFit="1" customWidth="1"/>
    <col min="221" max="221" width="3.21875" customWidth="1"/>
    <col min="222" max="222" width="15.109375" bestFit="1" customWidth="1"/>
    <col min="223" max="223" width="6.88671875" bestFit="1" customWidth="1"/>
    <col min="224" max="224" width="7.88671875" bestFit="1" customWidth="1"/>
    <col min="225" max="226" width="6.88671875" bestFit="1" customWidth="1"/>
    <col min="227" max="227" width="6" bestFit="1" customWidth="1"/>
    <col min="228" max="228" width="7.88671875" bestFit="1" customWidth="1"/>
    <col min="229" max="229" width="6.88671875" bestFit="1" customWidth="1"/>
    <col min="230" max="230" width="9.33203125" bestFit="1" customWidth="1"/>
    <col min="231" max="232" width="7.88671875" bestFit="1" customWidth="1"/>
    <col min="233" max="233" width="7" bestFit="1" customWidth="1"/>
    <col min="234" max="234" width="9.33203125" bestFit="1" customWidth="1"/>
    <col min="235" max="235" width="3.88671875" customWidth="1"/>
    <col min="236" max="236" width="15.109375" bestFit="1" customWidth="1"/>
    <col min="237" max="237" width="5.109375" bestFit="1" customWidth="1"/>
    <col min="238" max="238" width="6.88671875" bestFit="1" customWidth="1"/>
    <col min="239" max="239" width="5.44140625" bestFit="1" customWidth="1"/>
    <col min="240" max="240" width="6.88671875" bestFit="1" customWidth="1"/>
    <col min="241" max="241" width="6" bestFit="1" customWidth="1"/>
    <col min="242" max="242" width="7.88671875" bestFit="1" customWidth="1"/>
    <col min="243" max="243" width="6.88671875" bestFit="1" customWidth="1"/>
    <col min="244" max="244" width="9.33203125" bestFit="1" customWidth="1"/>
    <col min="245" max="246" width="7.88671875" bestFit="1" customWidth="1"/>
    <col min="247" max="247" width="7" bestFit="1" customWidth="1"/>
    <col min="248" max="248" width="9.33203125" bestFit="1" customWidth="1"/>
    <col min="249" max="249" width="1.5546875" customWidth="1"/>
    <col min="250" max="250" width="15.109375" bestFit="1" customWidth="1"/>
    <col min="251" max="251" width="5.109375" bestFit="1" customWidth="1"/>
    <col min="252" max="252" width="6.88671875" bestFit="1" customWidth="1"/>
    <col min="253" max="253" width="5.44140625" bestFit="1" customWidth="1"/>
    <col min="254" max="254" width="6.88671875" bestFit="1" customWidth="1"/>
    <col min="255" max="255" width="6" bestFit="1" customWidth="1"/>
    <col min="256" max="256" width="7.88671875" bestFit="1" customWidth="1"/>
    <col min="257" max="257" width="6.88671875" bestFit="1" customWidth="1"/>
    <col min="258" max="258" width="9.33203125" bestFit="1" customWidth="1"/>
    <col min="259" max="260" width="7.88671875" bestFit="1" customWidth="1"/>
    <col min="261" max="261" width="7" bestFit="1" customWidth="1"/>
    <col min="262" max="262" width="9.33203125" bestFit="1" customWidth="1"/>
    <col min="263" max="263" width="4.5546875" customWidth="1"/>
    <col min="264" max="264" width="15.109375" bestFit="1" customWidth="1"/>
    <col min="265" max="268" width="6.88671875" bestFit="1" customWidth="1"/>
    <col min="269" max="269" width="6" bestFit="1" customWidth="1"/>
    <col min="270" max="270" width="7.88671875" bestFit="1" customWidth="1"/>
    <col min="271" max="271" width="6.88671875" bestFit="1" customWidth="1"/>
    <col min="272" max="272" width="9.33203125" bestFit="1" customWidth="1"/>
    <col min="273" max="274" width="7.88671875" bestFit="1" customWidth="1"/>
    <col min="275" max="275" width="7" bestFit="1" customWidth="1"/>
    <col min="276" max="276" width="9.33203125" bestFit="1" customWidth="1"/>
    <col min="277" max="277" width="4.109375" customWidth="1"/>
    <col min="278" max="278" width="15.109375" bestFit="1" customWidth="1"/>
    <col min="279" max="279" width="5.109375" bestFit="1" customWidth="1"/>
    <col min="280" max="282" width="6.88671875" bestFit="1" customWidth="1"/>
    <col min="283" max="283" width="6" bestFit="1" customWidth="1"/>
    <col min="284" max="284" width="7.88671875" bestFit="1" customWidth="1"/>
    <col min="285" max="285" width="6.88671875" bestFit="1" customWidth="1"/>
    <col min="286" max="286" width="9.33203125" bestFit="1" customWidth="1"/>
    <col min="287" max="288" width="7.88671875" bestFit="1" customWidth="1"/>
    <col min="289" max="289" width="7" bestFit="1" customWidth="1"/>
    <col min="290" max="290" width="9.33203125" bestFit="1" customWidth="1"/>
    <col min="292" max="292" width="15.109375" bestFit="1" customWidth="1"/>
    <col min="293" max="294" width="6.88671875" bestFit="1" customWidth="1"/>
    <col min="295" max="295" width="5.44140625" bestFit="1" customWidth="1"/>
    <col min="296" max="296" width="6.88671875" bestFit="1" customWidth="1"/>
    <col min="297" max="297" width="6" bestFit="1" customWidth="1"/>
    <col min="298" max="299" width="7.88671875" bestFit="1" customWidth="1"/>
    <col min="300" max="300" width="9.33203125" bestFit="1" customWidth="1"/>
    <col min="301" max="302" width="7.88671875" bestFit="1" customWidth="1"/>
    <col min="303" max="303" width="7" bestFit="1" customWidth="1"/>
    <col min="304" max="304" width="9.33203125" bestFit="1" customWidth="1"/>
    <col min="305" max="305" width="3.21875" customWidth="1"/>
    <col min="306" max="306" width="15.109375" bestFit="1" customWidth="1"/>
    <col min="307" max="307" width="5.109375" bestFit="1" customWidth="1"/>
    <col min="308" max="308" width="6.88671875" bestFit="1" customWidth="1"/>
    <col min="309" max="309" width="5.44140625" bestFit="1" customWidth="1"/>
    <col min="310" max="310" width="6.88671875" bestFit="1" customWidth="1"/>
    <col min="311" max="311" width="6" bestFit="1" customWidth="1"/>
    <col min="312" max="313" width="7.88671875" bestFit="1" customWidth="1"/>
    <col min="314" max="314" width="9.33203125" bestFit="1" customWidth="1"/>
    <col min="315" max="316" width="7.88671875" bestFit="1" customWidth="1"/>
    <col min="317" max="317" width="7" bestFit="1" customWidth="1"/>
    <col min="318" max="318" width="9.33203125" bestFit="1" customWidth="1"/>
    <col min="319" max="319" width="2.6640625" customWidth="1"/>
    <col min="320" max="320" width="15.109375" bestFit="1" customWidth="1"/>
    <col min="321" max="322" width="6.88671875" bestFit="1" customWidth="1"/>
    <col min="323" max="323" width="5.44140625" bestFit="1" customWidth="1"/>
    <col min="324" max="324" width="6.88671875" bestFit="1" customWidth="1"/>
    <col min="325" max="325" width="6" bestFit="1" customWidth="1"/>
    <col min="326" max="327" width="7.88671875" bestFit="1" customWidth="1"/>
    <col min="328" max="328" width="9.33203125" bestFit="1" customWidth="1"/>
    <col min="329" max="330" width="7.88671875" bestFit="1" customWidth="1"/>
    <col min="331" max="331" width="7" bestFit="1" customWidth="1"/>
    <col min="332" max="332" width="9.33203125" bestFit="1" customWidth="1"/>
    <col min="333" max="333" width="4.21875" customWidth="1"/>
    <col min="334" max="334" width="17.88671875" bestFit="1" customWidth="1"/>
    <col min="335" max="336" width="6.88671875" bestFit="1" customWidth="1"/>
    <col min="337" max="337" width="6.21875" bestFit="1" customWidth="1"/>
    <col min="338" max="338" width="6.88671875" bestFit="1" customWidth="1"/>
    <col min="339" max="339" width="6" bestFit="1" customWidth="1"/>
    <col min="340" max="341" width="7.88671875" bestFit="1" customWidth="1"/>
    <col min="342" max="342" width="9.33203125" bestFit="1" customWidth="1"/>
    <col min="343" max="343" width="7.88671875" bestFit="1" customWidth="1"/>
    <col min="344" max="344" width="9.33203125" bestFit="1" customWidth="1"/>
    <col min="345" max="345" width="7" bestFit="1" customWidth="1"/>
    <col min="346" max="346" width="9.33203125" bestFit="1" customWidth="1"/>
    <col min="347" max="347" width="14.77734375" bestFit="1" customWidth="1"/>
  </cols>
  <sheetData>
    <row r="1" spans="2:352" ht="15" thickBot="1" x14ac:dyDescent="0.35"/>
    <row r="2" spans="2:352" ht="15" thickBot="1" x14ac:dyDescent="0.35">
      <c r="B2" s="14" t="s">
        <v>481</v>
      </c>
      <c r="C2" s="357">
        <v>45901</v>
      </c>
      <c r="D2" s="358"/>
      <c r="E2" s="358"/>
      <c r="F2" s="358"/>
      <c r="G2" s="359"/>
      <c r="H2" s="360" t="s">
        <v>1211</v>
      </c>
      <c r="I2" s="361"/>
      <c r="J2" s="361"/>
      <c r="K2" s="361"/>
      <c r="L2" s="362"/>
      <c r="N2" s="14" t="s">
        <v>481</v>
      </c>
      <c r="O2" s="357">
        <v>45902</v>
      </c>
      <c r="P2" s="358"/>
      <c r="Q2" s="358"/>
      <c r="R2" s="358"/>
      <c r="S2" s="359"/>
      <c r="T2" s="360" t="s">
        <v>1211</v>
      </c>
      <c r="U2" s="361"/>
      <c r="V2" s="361"/>
      <c r="W2" s="361"/>
      <c r="X2" s="362"/>
      <c r="Z2" s="14" t="s">
        <v>481</v>
      </c>
      <c r="AA2" s="357">
        <v>45903</v>
      </c>
      <c r="AB2" s="358"/>
      <c r="AC2" s="358"/>
      <c r="AD2" s="358"/>
      <c r="AE2" s="359"/>
      <c r="AF2" s="360" t="s">
        <v>1211</v>
      </c>
      <c r="AG2" s="361"/>
      <c r="AH2" s="361"/>
      <c r="AI2" s="361"/>
      <c r="AJ2" s="362"/>
      <c r="AL2" s="14" t="s">
        <v>481</v>
      </c>
      <c r="AM2" s="357">
        <v>45904</v>
      </c>
      <c r="AN2" s="358"/>
      <c r="AO2" s="358"/>
      <c r="AP2" s="358"/>
      <c r="AQ2" s="359"/>
      <c r="AR2" s="360" t="s">
        <v>1211</v>
      </c>
      <c r="AS2" s="361"/>
      <c r="AT2" s="361"/>
      <c r="AU2" s="361"/>
      <c r="AV2" s="362"/>
      <c r="AX2" s="14" t="s">
        <v>481</v>
      </c>
      <c r="AY2" s="357">
        <v>45905</v>
      </c>
      <c r="AZ2" s="358"/>
      <c r="BA2" s="358"/>
      <c r="BB2" s="358"/>
      <c r="BC2" s="359"/>
      <c r="BD2" s="360" t="s">
        <v>1211</v>
      </c>
      <c r="BE2" s="361"/>
      <c r="BF2" s="361"/>
      <c r="BG2" s="361"/>
      <c r="BH2" s="362"/>
      <c r="BJ2" s="14" t="s">
        <v>481</v>
      </c>
      <c r="BK2" s="357">
        <v>45906</v>
      </c>
      <c r="BL2" s="358"/>
      <c r="BM2" s="358"/>
      <c r="BN2" s="358"/>
      <c r="BO2" s="359"/>
      <c r="BP2" s="360" t="s">
        <v>1211</v>
      </c>
      <c r="BQ2" s="361"/>
      <c r="BR2" s="361"/>
      <c r="BS2" s="361"/>
      <c r="BT2" s="362"/>
      <c r="BV2" s="14" t="s">
        <v>481</v>
      </c>
      <c r="BW2" s="357">
        <v>45908</v>
      </c>
      <c r="BX2" s="358"/>
      <c r="BY2" s="358"/>
      <c r="BZ2" s="358"/>
      <c r="CA2" s="359"/>
      <c r="CB2" s="360" t="s">
        <v>1211</v>
      </c>
      <c r="CC2" s="361"/>
      <c r="CD2" s="361"/>
      <c r="CE2" s="361"/>
      <c r="CF2" s="362"/>
      <c r="CH2" s="14" t="s">
        <v>481</v>
      </c>
      <c r="CI2" s="357">
        <v>45909</v>
      </c>
      <c r="CJ2" s="358"/>
      <c r="CK2" s="358"/>
      <c r="CL2" s="358"/>
      <c r="CM2" s="359"/>
      <c r="CN2" s="360" t="s">
        <v>1211</v>
      </c>
      <c r="CO2" s="361"/>
      <c r="CP2" s="361"/>
      <c r="CQ2" s="361"/>
      <c r="CR2" s="362"/>
      <c r="CT2" s="14" t="s">
        <v>481</v>
      </c>
      <c r="CU2" s="357">
        <v>45910</v>
      </c>
      <c r="CV2" s="358"/>
      <c r="CW2" s="358"/>
      <c r="CX2" s="358"/>
      <c r="CY2" s="359"/>
      <c r="CZ2" s="360" t="s">
        <v>1211</v>
      </c>
      <c r="DA2" s="361"/>
      <c r="DB2" s="361"/>
      <c r="DC2" s="361"/>
      <c r="DD2" s="362"/>
      <c r="DF2" s="14" t="s">
        <v>481</v>
      </c>
      <c r="DG2" s="357">
        <v>45911</v>
      </c>
      <c r="DH2" s="358"/>
      <c r="DI2" s="358"/>
      <c r="DJ2" s="358"/>
      <c r="DK2" s="358"/>
      <c r="DL2" s="359"/>
      <c r="DM2" s="360" t="s">
        <v>1211</v>
      </c>
      <c r="DN2" s="361"/>
      <c r="DO2" s="361"/>
      <c r="DP2" s="361"/>
      <c r="DQ2" s="361"/>
      <c r="DR2" s="362"/>
      <c r="DT2" s="14" t="s">
        <v>481</v>
      </c>
      <c r="DU2" s="357">
        <v>45912</v>
      </c>
      <c r="DV2" s="358"/>
      <c r="DW2" s="358"/>
      <c r="DX2" s="358"/>
      <c r="DY2" s="358"/>
      <c r="DZ2" s="359"/>
      <c r="EA2" s="360" t="s">
        <v>1211</v>
      </c>
      <c r="EB2" s="361"/>
      <c r="EC2" s="361"/>
      <c r="ED2" s="361"/>
      <c r="EE2" s="361"/>
      <c r="EF2" s="362"/>
      <c r="EH2" s="14" t="s">
        <v>481</v>
      </c>
      <c r="EI2" s="357">
        <v>45913</v>
      </c>
      <c r="EJ2" s="358"/>
      <c r="EK2" s="358"/>
      <c r="EL2" s="358"/>
      <c r="EM2" s="358"/>
      <c r="EN2" s="359"/>
      <c r="EO2" s="360" t="s">
        <v>1211</v>
      </c>
      <c r="EP2" s="361"/>
      <c r="EQ2" s="361"/>
      <c r="ER2" s="361"/>
      <c r="ES2" s="361"/>
      <c r="ET2" s="362"/>
      <c r="EV2" s="14" t="s">
        <v>481</v>
      </c>
      <c r="EW2" s="357">
        <v>45915</v>
      </c>
      <c r="EX2" s="358"/>
      <c r="EY2" s="358"/>
      <c r="EZ2" s="358"/>
      <c r="FA2" s="358"/>
      <c r="FB2" s="359"/>
      <c r="FC2" s="360" t="s">
        <v>1211</v>
      </c>
      <c r="FD2" s="361"/>
      <c r="FE2" s="361"/>
      <c r="FF2" s="361"/>
      <c r="FG2" s="361"/>
      <c r="FH2" s="362"/>
      <c r="FJ2" s="14" t="s">
        <v>481</v>
      </c>
      <c r="FK2" s="357">
        <v>45916</v>
      </c>
      <c r="FL2" s="358"/>
      <c r="FM2" s="358"/>
      <c r="FN2" s="358"/>
      <c r="FO2" s="358"/>
      <c r="FP2" s="359"/>
      <c r="FQ2" s="360" t="s">
        <v>1211</v>
      </c>
      <c r="FR2" s="361"/>
      <c r="FS2" s="361"/>
      <c r="FT2" s="361"/>
      <c r="FU2" s="361"/>
      <c r="FV2" s="362"/>
      <c r="FX2" s="14" t="s">
        <v>481</v>
      </c>
      <c r="FY2" s="357">
        <v>45917</v>
      </c>
      <c r="FZ2" s="358"/>
      <c r="GA2" s="358"/>
      <c r="GB2" s="358"/>
      <c r="GC2" s="358"/>
      <c r="GD2" s="359"/>
      <c r="GE2" s="360" t="s">
        <v>1211</v>
      </c>
      <c r="GF2" s="361"/>
      <c r="GG2" s="361"/>
      <c r="GH2" s="361"/>
      <c r="GI2" s="361"/>
      <c r="GJ2" s="362"/>
      <c r="GL2" s="14" t="s">
        <v>481</v>
      </c>
      <c r="GM2" s="357">
        <v>45918</v>
      </c>
      <c r="GN2" s="358"/>
      <c r="GO2" s="358"/>
      <c r="GP2" s="358"/>
      <c r="GQ2" s="358"/>
      <c r="GR2" s="359"/>
      <c r="GS2" s="360" t="s">
        <v>1211</v>
      </c>
      <c r="GT2" s="361"/>
      <c r="GU2" s="361"/>
      <c r="GV2" s="361"/>
      <c r="GW2" s="361"/>
      <c r="GX2" s="362"/>
      <c r="GZ2" s="14" t="s">
        <v>481</v>
      </c>
      <c r="HA2" s="357">
        <v>45919</v>
      </c>
      <c r="HB2" s="358"/>
      <c r="HC2" s="358"/>
      <c r="HD2" s="358"/>
      <c r="HE2" s="358"/>
      <c r="HF2" s="359"/>
      <c r="HG2" s="360" t="s">
        <v>1211</v>
      </c>
      <c r="HH2" s="361"/>
      <c r="HI2" s="361"/>
      <c r="HJ2" s="361"/>
      <c r="HK2" s="361"/>
      <c r="HL2" s="362"/>
      <c r="HN2" s="14" t="s">
        <v>481</v>
      </c>
      <c r="HO2" s="357">
        <v>45920</v>
      </c>
      <c r="HP2" s="358"/>
      <c r="HQ2" s="358"/>
      <c r="HR2" s="358"/>
      <c r="HS2" s="358"/>
      <c r="HT2" s="359"/>
      <c r="HU2" s="360" t="s">
        <v>1211</v>
      </c>
      <c r="HV2" s="361"/>
      <c r="HW2" s="361"/>
      <c r="HX2" s="361"/>
      <c r="HY2" s="361"/>
      <c r="HZ2" s="362"/>
      <c r="IB2" s="14" t="s">
        <v>481</v>
      </c>
      <c r="IC2" s="357">
        <v>45922</v>
      </c>
      <c r="ID2" s="358"/>
      <c r="IE2" s="358"/>
      <c r="IF2" s="358"/>
      <c r="IG2" s="358"/>
      <c r="IH2" s="359"/>
      <c r="II2" s="360" t="s">
        <v>1211</v>
      </c>
      <c r="IJ2" s="361"/>
      <c r="IK2" s="361"/>
      <c r="IL2" s="361"/>
      <c r="IM2" s="361"/>
      <c r="IN2" s="362"/>
      <c r="IP2" s="14" t="s">
        <v>481</v>
      </c>
      <c r="IQ2" s="357">
        <v>45923</v>
      </c>
      <c r="IR2" s="358"/>
      <c r="IS2" s="358"/>
      <c r="IT2" s="358"/>
      <c r="IU2" s="358"/>
      <c r="IV2" s="359"/>
      <c r="IW2" s="360" t="s">
        <v>1211</v>
      </c>
      <c r="IX2" s="361"/>
      <c r="IY2" s="361"/>
      <c r="IZ2" s="361"/>
      <c r="JA2" s="361"/>
      <c r="JB2" s="362"/>
      <c r="JD2" s="14" t="s">
        <v>481</v>
      </c>
      <c r="JE2" s="357">
        <v>45924</v>
      </c>
      <c r="JF2" s="358"/>
      <c r="JG2" s="358"/>
      <c r="JH2" s="358"/>
      <c r="JI2" s="358"/>
      <c r="JJ2" s="359"/>
      <c r="JK2" s="360" t="s">
        <v>1211</v>
      </c>
      <c r="JL2" s="361"/>
      <c r="JM2" s="361"/>
      <c r="JN2" s="361"/>
      <c r="JO2" s="361"/>
      <c r="JP2" s="362"/>
      <c r="JR2" s="14" t="s">
        <v>481</v>
      </c>
      <c r="JS2" s="357">
        <v>45925</v>
      </c>
      <c r="JT2" s="358"/>
      <c r="JU2" s="358"/>
      <c r="JV2" s="358"/>
      <c r="JW2" s="358"/>
      <c r="JX2" s="359"/>
      <c r="JY2" s="360" t="s">
        <v>1211</v>
      </c>
      <c r="JZ2" s="361"/>
      <c r="KA2" s="361"/>
      <c r="KB2" s="361"/>
      <c r="KC2" s="361"/>
      <c r="KD2" s="362"/>
      <c r="KF2" s="14" t="s">
        <v>481</v>
      </c>
      <c r="KG2" s="357">
        <v>45926</v>
      </c>
      <c r="KH2" s="358"/>
      <c r="KI2" s="358"/>
      <c r="KJ2" s="358"/>
      <c r="KK2" s="358"/>
      <c r="KL2" s="359"/>
      <c r="KM2" s="360" t="s">
        <v>1211</v>
      </c>
      <c r="KN2" s="361"/>
      <c r="KO2" s="361"/>
      <c r="KP2" s="361"/>
      <c r="KQ2" s="361"/>
      <c r="KR2" s="362"/>
      <c r="KT2" s="14" t="s">
        <v>481</v>
      </c>
      <c r="KU2" s="357">
        <v>45928</v>
      </c>
      <c r="KV2" s="358"/>
      <c r="KW2" s="358"/>
      <c r="KX2" s="358"/>
      <c r="KY2" s="358"/>
      <c r="KZ2" s="359"/>
      <c r="LA2" s="360" t="s">
        <v>1211</v>
      </c>
      <c r="LB2" s="361"/>
      <c r="LC2" s="361"/>
      <c r="LD2" s="361"/>
      <c r="LE2" s="361"/>
      <c r="LF2" s="362"/>
      <c r="LH2" s="14" t="s">
        <v>481</v>
      </c>
      <c r="LI2" s="357">
        <v>45929</v>
      </c>
      <c r="LJ2" s="358"/>
      <c r="LK2" s="358"/>
      <c r="LL2" s="358"/>
      <c r="LM2" s="358"/>
      <c r="LN2" s="359"/>
      <c r="LO2" s="360" t="s">
        <v>1211</v>
      </c>
      <c r="LP2" s="361"/>
      <c r="LQ2" s="361"/>
      <c r="LR2" s="361"/>
      <c r="LS2" s="361"/>
      <c r="LT2" s="362"/>
      <c r="LV2" s="14" t="s">
        <v>481</v>
      </c>
      <c r="LW2" s="357">
        <v>45930</v>
      </c>
      <c r="LX2" s="358"/>
      <c r="LY2" s="358"/>
      <c r="LZ2" s="358"/>
      <c r="MA2" s="358"/>
      <c r="MB2" s="359"/>
      <c r="MC2" s="360" t="s">
        <v>1211</v>
      </c>
      <c r="MD2" s="361"/>
      <c r="ME2" s="361"/>
      <c r="MF2" s="361"/>
      <c r="MG2" s="361"/>
      <c r="MH2" s="362"/>
    </row>
    <row r="3" spans="2:352" ht="43.2" x14ac:dyDescent="0.3">
      <c r="B3" s="112" t="s">
        <v>551</v>
      </c>
      <c r="C3" s="107" t="s">
        <v>544</v>
      </c>
      <c r="D3" s="108" t="s">
        <v>548</v>
      </c>
      <c r="E3" s="108" t="s">
        <v>549</v>
      </c>
      <c r="F3" s="109" t="s">
        <v>546</v>
      </c>
      <c r="G3" s="110" t="s">
        <v>462</v>
      </c>
      <c r="H3" s="107" t="s">
        <v>544</v>
      </c>
      <c r="I3" s="108" t="s">
        <v>548</v>
      </c>
      <c r="J3" s="108" t="s">
        <v>549</v>
      </c>
      <c r="K3" s="109" t="s">
        <v>546</v>
      </c>
      <c r="L3" s="110" t="s">
        <v>462</v>
      </c>
      <c r="N3" s="112" t="s">
        <v>551</v>
      </c>
      <c r="O3" s="107" t="s">
        <v>544</v>
      </c>
      <c r="P3" s="108" t="s">
        <v>548</v>
      </c>
      <c r="Q3" s="108" t="s">
        <v>549</v>
      </c>
      <c r="R3" s="109" t="s">
        <v>546</v>
      </c>
      <c r="S3" s="110" t="s">
        <v>462</v>
      </c>
      <c r="T3" s="107" t="s">
        <v>544</v>
      </c>
      <c r="U3" s="108" t="s">
        <v>548</v>
      </c>
      <c r="V3" s="108" t="s">
        <v>549</v>
      </c>
      <c r="W3" s="109" t="s">
        <v>546</v>
      </c>
      <c r="X3" s="110" t="s">
        <v>462</v>
      </c>
      <c r="Z3" s="112" t="s">
        <v>551</v>
      </c>
      <c r="AA3" s="107" t="s">
        <v>544</v>
      </c>
      <c r="AB3" s="108" t="s">
        <v>548</v>
      </c>
      <c r="AC3" s="108" t="s">
        <v>549</v>
      </c>
      <c r="AD3" s="109" t="s">
        <v>546</v>
      </c>
      <c r="AE3" s="110" t="s">
        <v>462</v>
      </c>
      <c r="AF3" s="107" t="s">
        <v>544</v>
      </c>
      <c r="AG3" s="108" t="s">
        <v>548</v>
      </c>
      <c r="AH3" s="108" t="s">
        <v>549</v>
      </c>
      <c r="AI3" s="109" t="s">
        <v>546</v>
      </c>
      <c r="AJ3" s="110" t="s">
        <v>462</v>
      </c>
      <c r="AL3" s="112" t="s">
        <v>551</v>
      </c>
      <c r="AM3" s="107" t="s">
        <v>544</v>
      </c>
      <c r="AN3" s="108" t="s">
        <v>548</v>
      </c>
      <c r="AO3" s="108" t="s">
        <v>549</v>
      </c>
      <c r="AP3" s="109" t="s">
        <v>546</v>
      </c>
      <c r="AQ3" s="110" t="s">
        <v>462</v>
      </c>
      <c r="AR3" s="107" t="s">
        <v>544</v>
      </c>
      <c r="AS3" s="108" t="s">
        <v>548</v>
      </c>
      <c r="AT3" s="108" t="s">
        <v>549</v>
      </c>
      <c r="AU3" s="109" t="s">
        <v>546</v>
      </c>
      <c r="AV3" s="110" t="s">
        <v>462</v>
      </c>
      <c r="AX3" s="112" t="s">
        <v>551</v>
      </c>
      <c r="AY3" s="107" t="s">
        <v>544</v>
      </c>
      <c r="AZ3" s="108" t="s">
        <v>548</v>
      </c>
      <c r="BA3" s="108" t="s">
        <v>549</v>
      </c>
      <c r="BB3" s="109" t="s">
        <v>546</v>
      </c>
      <c r="BC3" s="110" t="s">
        <v>462</v>
      </c>
      <c r="BD3" s="107" t="s">
        <v>544</v>
      </c>
      <c r="BE3" s="108" t="s">
        <v>548</v>
      </c>
      <c r="BF3" s="108" t="s">
        <v>549</v>
      </c>
      <c r="BG3" s="109" t="s">
        <v>546</v>
      </c>
      <c r="BH3" s="110" t="s">
        <v>462</v>
      </c>
      <c r="BJ3" s="112" t="s">
        <v>551</v>
      </c>
      <c r="BK3" s="107" t="s">
        <v>544</v>
      </c>
      <c r="BL3" s="108" t="s">
        <v>548</v>
      </c>
      <c r="BM3" s="108" t="s">
        <v>549</v>
      </c>
      <c r="BN3" s="109" t="s">
        <v>546</v>
      </c>
      <c r="BO3" s="110" t="s">
        <v>462</v>
      </c>
      <c r="BP3" s="107" t="s">
        <v>544</v>
      </c>
      <c r="BQ3" s="108" t="s">
        <v>548</v>
      </c>
      <c r="BR3" s="108" t="s">
        <v>549</v>
      </c>
      <c r="BS3" s="109" t="s">
        <v>546</v>
      </c>
      <c r="BT3" s="110" t="s">
        <v>462</v>
      </c>
      <c r="BV3" s="112" t="s">
        <v>551</v>
      </c>
      <c r="BW3" s="107" t="s">
        <v>544</v>
      </c>
      <c r="BX3" s="108" t="s">
        <v>548</v>
      </c>
      <c r="BY3" s="108" t="s">
        <v>549</v>
      </c>
      <c r="BZ3" s="109" t="s">
        <v>546</v>
      </c>
      <c r="CA3" s="110" t="s">
        <v>462</v>
      </c>
      <c r="CB3" s="107" t="s">
        <v>544</v>
      </c>
      <c r="CC3" s="108" t="s">
        <v>548</v>
      </c>
      <c r="CD3" s="108" t="s">
        <v>549</v>
      </c>
      <c r="CE3" s="109" t="s">
        <v>546</v>
      </c>
      <c r="CF3" s="110" t="s">
        <v>462</v>
      </c>
      <c r="CH3" s="112" t="s">
        <v>551</v>
      </c>
      <c r="CI3" s="107" t="s">
        <v>544</v>
      </c>
      <c r="CJ3" s="108" t="s">
        <v>548</v>
      </c>
      <c r="CK3" s="108" t="s">
        <v>549</v>
      </c>
      <c r="CL3" s="109" t="s">
        <v>546</v>
      </c>
      <c r="CM3" s="110" t="s">
        <v>462</v>
      </c>
      <c r="CN3" s="107" t="s">
        <v>544</v>
      </c>
      <c r="CO3" s="108" t="s">
        <v>548</v>
      </c>
      <c r="CP3" s="108" t="s">
        <v>549</v>
      </c>
      <c r="CQ3" s="109" t="s">
        <v>546</v>
      </c>
      <c r="CR3" s="110" t="s">
        <v>462</v>
      </c>
      <c r="CT3" s="112" t="s">
        <v>551</v>
      </c>
      <c r="CU3" s="107" t="s">
        <v>544</v>
      </c>
      <c r="CV3" s="108" t="s">
        <v>548</v>
      </c>
      <c r="CW3" s="108" t="s">
        <v>549</v>
      </c>
      <c r="CX3" s="109" t="s">
        <v>546</v>
      </c>
      <c r="CY3" s="110" t="s">
        <v>462</v>
      </c>
      <c r="CZ3" s="107" t="s">
        <v>544</v>
      </c>
      <c r="DA3" s="108" t="s">
        <v>548</v>
      </c>
      <c r="DB3" s="108" t="s">
        <v>549</v>
      </c>
      <c r="DC3" s="109" t="s">
        <v>546</v>
      </c>
      <c r="DD3" s="110" t="s">
        <v>462</v>
      </c>
      <c r="DF3" s="112" t="s">
        <v>551</v>
      </c>
      <c r="DG3" s="107" t="s">
        <v>544</v>
      </c>
      <c r="DH3" s="108" t="s">
        <v>548</v>
      </c>
      <c r="DI3" s="108" t="s">
        <v>549</v>
      </c>
      <c r="DJ3" s="109" t="s">
        <v>546</v>
      </c>
      <c r="DK3" s="109" t="s">
        <v>547</v>
      </c>
      <c r="DL3" s="110" t="s">
        <v>462</v>
      </c>
      <c r="DM3" s="107" t="s">
        <v>544</v>
      </c>
      <c r="DN3" s="108" t="s">
        <v>548</v>
      </c>
      <c r="DO3" s="108" t="s">
        <v>549</v>
      </c>
      <c r="DP3" s="109" t="s">
        <v>546</v>
      </c>
      <c r="DQ3" s="109" t="s">
        <v>547</v>
      </c>
      <c r="DR3" s="110" t="s">
        <v>462</v>
      </c>
      <c r="DT3" s="112" t="s">
        <v>551</v>
      </c>
      <c r="DU3" s="107" t="s">
        <v>544</v>
      </c>
      <c r="DV3" s="108" t="s">
        <v>548</v>
      </c>
      <c r="DW3" s="108" t="s">
        <v>549</v>
      </c>
      <c r="DX3" s="109" t="s">
        <v>546</v>
      </c>
      <c r="DY3" s="109" t="s">
        <v>547</v>
      </c>
      <c r="DZ3" s="110" t="s">
        <v>462</v>
      </c>
      <c r="EA3" s="107" t="s">
        <v>544</v>
      </c>
      <c r="EB3" s="108" t="s">
        <v>548</v>
      </c>
      <c r="EC3" s="108" t="s">
        <v>549</v>
      </c>
      <c r="ED3" s="109" t="s">
        <v>546</v>
      </c>
      <c r="EE3" s="109" t="s">
        <v>547</v>
      </c>
      <c r="EF3" s="110" t="s">
        <v>462</v>
      </c>
      <c r="EH3" s="112" t="s">
        <v>551</v>
      </c>
      <c r="EI3" s="107" t="s">
        <v>544</v>
      </c>
      <c r="EJ3" s="108" t="s">
        <v>548</v>
      </c>
      <c r="EK3" s="108" t="s">
        <v>549</v>
      </c>
      <c r="EL3" s="109" t="s">
        <v>546</v>
      </c>
      <c r="EM3" s="109" t="s">
        <v>547</v>
      </c>
      <c r="EN3" s="110" t="s">
        <v>462</v>
      </c>
      <c r="EO3" s="107" t="s">
        <v>544</v>
      </c>
      <c r="EP3" s="108" t="s">
        <v>548</v>
      </c>
      <c r="EQ3" s="108" t="s">
        <v>549</v>
      </c>
      <c r="ER3" s="109" t="s">
        <v>546</v>
      </c>
      <c r="ES3" s="109" t="s">
        <v>547</v>
      </c>
      <c r="ET3" s="110" t="s">
        <v>462</v>
      </c>
      <c r="EV3" s="112" t="s">
        <v>551</v>
      </c>
      <c r="EW3" s="107" t="s">
        <v>544</v>
      </c>
      <c r="EX3" s="108" t="s">
        <v>548</v>
      </c>
      <c r="EY3" s="108" t="s">
        <v>549</v>
      </c>
      <c r="EZ3" s="109" t="s">
        <v>546</v>
      </c>
      <c r="FA3" s="109" t="s">
        <v>547</v>
      </c>
      <c r="FB3" s="110" t="s">
        <v>462</v>
      </c>
      <c r="FC3" s="107" t="s">
        <v>544</v>
      </c>
      <c r="FD3" s="108" t="s">
        <v>548</v>
      </c>
      <c r="FE3" s="108" t="s">
        <v>549</v>
      </c>
      <c r="FF3" s="109" t="s">
        <v>546</v>
      </c>
      <c r="FG3" s="109" t="s">
        <v>547</v>
      </c>
      <c r="FH3" s="110" t="s">
        <v>462</v>
      </c>
      <c r="FJ3" s="112" t="s">
        <v>551</v>
      </c>
      <c r="FK3" s="107" t="s">
        <v>544</v>
      </c>
      <c r="FL3" s="108" t="s">
        <v>548</v>
      </c>
      <c r="FM3" s="108" t="s">
        <v>549</v>
      </c>
      <c r="FN3" s="109" t="s">
        <v>546</v>
      </c>
      <c r="FO3" s="109" t="s">
        <v>547</v>
      </c>
      <c r="FP3" s="110" t="s">
        <v>462</v>
      </c>
      <c r="FQ3" s="107" t="s">
        <v>544</v>
      </c>
      <c r="FR3" s="108" t="s">
        <v>548</v>
      </c>
      <c r="FS3" s="108" t="s">
        <v>549</v>
      </c>
      <c r="FT3" s="109" t="s">
        <v>546</v>
      </c>
      <c r="FU3" s="109" t="s">
        <v>547</v>
      </c>
      <c r="FV3" s="110" t="s">
        <v>462</v>
      </c>
      <c r="FX3" s="112" t="s">
        <v>551</v>
      </c>
      <c r="FY3" s="107" t="s">
        <v>544</v>
      </c>
      <c r="FZ3" s="108" t="s">
        <v>548</v>
      </c>
      <c r="GA3" s="108" t="s">
        <v>549</v>
      </c>
      <c r="GB3" s="109" t="s">
        <v>546</v>
      </c>
      <c r="GC3" s="109" t="s">
        <v>547</v>
      </c>
      <c r="GD3" s="110" t="s">
        <v>462</v>
      </c>
      <c r="GE3" s="107" t="s">
        <v>544</v>
      </c>
      <c r="GF3" s="108" t="s">
        <v>548</v>
      </c>
      <c r="GG3" s="108" t="s">
        <v>549</v>
      </c>
      <c r="GH3" s="109" t="s">
        <v>546</v>
      </c>
      <c r="GI3" s="109" t="s">
        <v>547</v>
      </c>
      <c r="GJ3" s="110" t="s">
        <v>462</v>
      </c>
      <c r="GL3" s="112" t="s">
        <v>551</v>
      </c>
      <c r="GM3" s="107" t="s">
        <v>544</v>
      </c>
      <c r="GN3" s="108" t="s">
        <v>548</v>
      </c>
      <c r="GO3" s="108" t="s">
        <v>549</v>
      </c>
      <c r="GP3" s="109" t="s">
        <v>546</v>
      </c>
      <c r="GQ3" s="109" t="s">
        <v>547</v>
      </c>
      <c r="GR3" s="110" t="s">
        <v>462</v>
      </c>
      <c r="GS3" s="107" t="s">
        <v>544</v>
      </c>
      <c r="GT3" s="108" t="s">
        <v>548</v>
      </c>
      <c r="GU3" s="108" t="s">
        <v>549</v>
      </c>
      <c r="GV3" s="109" t="s">
        <v>546</v>
      </c>
      <c r="GW3" s="109" t="s">
        <v>547</v>
      </c>
      <c r="GX3" s="110" t="s">
        <v>462</v>
      </c>
      <c r="GZ3" s="112" t="s">
        <v>551</v>
      </c>
      <c r="HA3" s="107" t="s">
        <v>544</v>
      </c>
      <c r="HB3" s="108" t="s">
        <v>548</v>
      </c>
      <c r="HC3" s="108" t="s">
        <v>549</v>
      </c>
      <c r="HD3" s="109" t="s">
        <v>546</v>
      </c>
      <c r="HE3" s="109" t="s">
        <v>547</v>
      </c>
      <c r="HF3" s="110" t="s">
        <v>462</v>
      </c>
      <c r="HG3" s="107" t="s">
        <v>544</v>
      </c>
      <c r="HH3" s="108" t="s">
        <v>548</v>
      </c>
      <c r="HI3" s="108" t="s">
        <v>549</v>
      </c>
      <c r="HJ3" s="109" t="s">
        <v>546</v>
      </c>
      <c r="HK3" s="109" t="s">
        <v>547</v>
      </c>
      <c r="HL3" s="110" t="s">
        <v>462</v>
      </c>
      <c r="HN3" s="112" t="s">
        <v>551</v>
      </c>
      <c r="HO3" s="107" t="s">
        <v>544</v>
      </c>
      <c r="HP3" s="108" t="s">
        <v>548</v>
      </c>
      <c r="HQ3" s="108" t="s">
        <v>549</v>
      </c>
      <c r="HR3" s="109" t="s">
        <v>546</v>
      </c>
      <c r="HS3" s="109" t="s">
        <v>547</v>
      </c>
      <c r="HT3" s="110" t="s">
        <v>462</v>
      </c>
      <c r="HU3" s="107" t="s">
        <v>544</v>
      </c>
      <c r="HV3" s="108" t="s">
        <v>548</v>
      </c>
      <c r="HW3" s="108" t="s">
        <v>549</v>
      </c>
      <c r="HX3" s="109" t="s">
        <v>546</v>
      </c>
      <c r="HY3" s="109" t="s">
        <v>547</v>
      </c>
      <c r="HZ3" s="110" t="s">
        <v>462</v>
      </c>
      <c r="IB3" s="112" t="s">
        <v>551</v>
      </c>
      <c r="IC3" s="107" t="s">
        <v>544</v>
      </c>
      <c r="ID3" s="108" t="s">
        <v>548</v>
      </c>
      <c r="IE3" s="108" t="s">
        <v>549</v>
      </c>
      <c r="IF3" s="109" t="s">
        <v>546</v>
      </c>
      <c r="IG3" s="109" t="s">
        <v>547</v>
      </c>
      <c r="IH3" s="110" t="s">
        <v>462</v>
      </c>
      <c r="II3" s="107" t="s">
        <v>544</v>
      </c>
      <c r="IJ3" s="108" t="s">
        <v>548</v>
      </c>
      <c r="IK3" s="108" t="s">
        <v>549</v>
      </c>
      <c r="IL3" s="109" t="s">
        <v>546</v>
      </c>
      <c r="IM3" s="109" t="s">
        <v>547</v>
      </c>
      <c r="IN3" s="110" t="s">
        <v>462</v>
      </c>
      <c r="IP3" s="112" t="s">
        <v>551</v>
      </c>
      <c r="IQ3" s="107" t="s">
        <v>544</v>
      </c>
      <c r="IR3" s="108" t="s">
        <v>548</v>
      </c>
      <c r="IS3" s="108" t="s">
        <v>549</v>
      </c>
      <c r="IT3" s="109" t="s">
        <v>546</v>
      </c>
      <c r="IU3" s="109" t="s">
        <v>547</v>
      </c>
      <c r="IV3" s="110" t="s">
        <v>462</v>
      </c>
      <c r="IW3" s="107" t="s">
        <v>544</v>
      </c>
      <c r="IX3" s="108" t="s">
        <v>548</v>
      </c>
      <c r="IY3" s="108" t="s">
        <v>549</v>
      </c>
      <c r="IZ3" s="109" t="s">
        <v>546</v>
      </c>
      <c r="JA3" s="109" t="s">
        <v>547</v>
      </c>
      <c r="JB3" s="110" t="s">
        <v>462</v>
      </c>
      <c r="JD3" s="112" t="s">
        <v>551</v>
      </c>
      <c r="JE3" s="107" t="s">
        <v>544</v>
      </c>
      <c r="JF3" s="108" t="s">
        <v>548</v>
      </c>
      <c r="JG3" s="108" t="s">
        <v>549</v>
      </c>
      <c r="JH3" s="109" t="s">
        <v>546</v>
      </c>
      <c r="JI3" s="109" t="s">
        <v>547</v>
      </c>
      <c r="JJ3" s="110" t="s">
        <v>462</v>
      </c>
      <c r="JK3" s="107" t="s">
        <v>544</v>
      </c>
      <c r="JL3" s="108" t="s">
        <v>548</v>
      </c>
      <c r="JM3" s="108" t="s">
        <v>549</v>
      </c>
      <c r="JN3" s="109" t="s">
        <v>546</v>
      </c>
      <c r="JO3" s="109" t="s">
        <v>547</v>
      </c>
      <c r="JP3" s="110" t="s">
        <v>462</v>
      </c>
      <c r="JR3" s="112" t="s">
        <v>551</v>
      </c>
      <c r="JS3" s="107" t="s">
        <v>544</v>
      </c>
      <c r="JT3" s="108" t="s">
        <v>548</v>
      </c>
      <c r="JU3" s="108" t="s">
        <v>549</v>
      </c>
      <c r="JV3" s="109" t="s">
        <v>546</v>
      </c>
      <c r="JW3" s="109" t="s">
        <v>547</v>
      </c>
      <c r="JX3" s="110" t="s">
        <v>462</v>
      </c>
      <c r="JY3" s="107" t="s">
        <v>544</v>
      </c>
      <c r="JZ3" s="108" t="s">
        <v>548</v>
      </c>
      <c r="KA3" s="108" t="s">
        <v>549</v>
      </c>
      <c r="KB3" s="109" t="s">
        <v>546</v>
      </c>
      <c r="KC3" s="109" t="s">
        <v>547</v>
      </c>
      <c r="KD3" s="110" t="s">
        <v>462</v>
      </c>
      <c r="KF3" s="112" t="s">
        <v>551</v>
      </c>
      <c r="KG3" s="107" t="s">
        <v>544</v>
      </c>
      <c r="KH3" s="108" t="s">
        <v>548</v>
      </c>
      <c r="KI3" s="108" t="s">
        <v>549</v>
      </c>
      <c r="KJ3" s="109" t="s">
        <v>546</v>
      </c>
      <c r="KK3" s="109" t="s">
        <v>547</v>
      </c>
      <c r="KL3" s="110" t="s">
        <v>462</v>
      </c>
      <c r="KM3" s="107" t="s">
        <v>544</v>
      </c>
      <c r="KN3" s="108" t="s">
        <v>548</v>
      </c>
      <c r="KO3" s="108" t="s">
        <v>549</v>
      </c>
      <c r="KP3" s="109" t="s">
        <v>546</v>
      </c>
      <c r="KQ3" s="109" t="s">
        <v>547</v>
      </c>
      <c r="KR3" s="110" t="s">
        <v>462</v>
      </c>
      <c r="KT3" s="112" t="s">
        <v>551</v>
      </c>
      <c r="KU3" s="107" t="s">
        <v>544</v>
      </c>
      <c r="KV3" s="108" t="s">
        <v>548</v>
      </c>
      <c r="KW3" s="108" t="s">
        <v>549</v>
      </c>
      <c r="KX3" s="109" t="s">
        <v>546</v>
      </c>
      <c r="KY3" s="109" t="s">
        <v>547</v>
      </c>
      <c r="KZ3" s="110" t="s">
        <v>462</v>
      </c>
      <c r="LA3" s="107" t="s">
        <v>544</v>
      </c>
      <c r="LB3" s="108" t="s">
        <v>548</v>
      </c>
      <c r="LC3" s="108" t="s">
        <v>549</v>
      </c>
      <c r="LD3" s="109" t="s">
        <v>546</v>
      </c>
      <c r="LE3" s="109" t="s">
        <v>547</v>
      </c>
      <c r="LF3" s="110" t="s">
        <v>462</v>
      </c>
      <c r="LH3" s="112" t="s">
        <v>551</v>
      </c>
      <c r="LI3" s="107" t="s">
        <v>544</v>
      </c>
      <c r="LJ3" s="108" t="s">
        <v>548</v>
      </c>
      <c r="LK3" s="108" t="s">
        <v>549</v>
      </c>
      <c r="LL3" s="109" t="s">
        <v>546</v>
      </c>
      <c r="LM3" s="109" t="s">
        <v>547</v>
      </c>
      <c r="LN3" s="110" t="s">
        <v>462</v>
      </c>
      <c r="LO3" s="107" t="s">
        <v>544</v>
      </c>
      <c r="LP3" s="108" t="s">
        <v>548</v>
      </c>
      <c r="LQ3" s="108" t="s">
        <v>549</v>
      </c>
      <c r="LR3" s="109" t="s">
        <v>546</v>
      </c>
      <c r="LS3" s="109" t="s">
        <v>547</v>
      </c>
      <c r="LT3" s="110" t="s">
        <v>462</v>
      </c>
      <c r="LV3" s="112" t="s">
        <v>551</v>
      </c>
      <c r="LW3" s="107" t="s">
        <v>544</v>
      </c>
      <c r="LX3" s="108" t="s">
        <v>548</v>
      </c>
      <c r="LY3" s="108" t="s">
        <v>549</v>
      </c>
      <c r="LZ3" s="109" t="s">
        <v>546</v>
      </c>
      <c r="MA3" s="109" t="s">
        <v>547</v>
      </c>
      <c r="MB3" s="110" t="s">
        <v>462</v>
      </c>
      <c r="MC3" s="107" t="s">
        <v>544</v>
      </c>
      <c r="MD3" s="108" t="s">
        <v>548</v>
      </c>
      <c r="ME3" s="108" t="s">
        <v>549</v>
      </c>
      <c r="MF3" s="109" t="s">
        <v>546</v>
      </c>
      <c r="MG3" s="109" t="s">
        <v>547</v>
      </c>
      <c r="MH3" s="110" t="s">
        <v>462</v>
      </c>
    </row>
    <row r="4" spans="2:352" x14ac:dyDescent="0.3">
      <c r="B4" s="113" t="s">
        <v>550</v>
      </c>
      <c r="C4" s="77">
        <v>0</v>
      </c>
      <c r="D4" s="78">
        <v>11725</v>
      </c>
      <c r="E4" s="78">
        <v>1120</v>
      </c>
      <c r="F4" s="78">
        <v>4283</v>
      </c>
      <c r="G4" s="79">
        <v>17128</v>
      </c>
      <c r="H4" s="80">
        <v>0</v>
      </c>
      <c r="I4" s="80">
        <v>11725</v>
      </c>
      <c r="J4" s="80">
        <v>1120</v>
      </c>
      <c r="K4" s="78">
        <v>4283</v>
      </c>
      <c r="L4" s="79">
        <v>17128</v>
      </c>
      <c r="N4" s="113" t="s">
        <v>550</v>
      </c>
      <c r="O4" s="77">
        <v>0</v>
      </c>
      <c r="P4" s="78">
        <v>7929</v>
      </c>
      <c r="Q4" s="78">
        <v>525</v>
      </c>
      <c r="R4" s="78">
        <v>3096</v>
      </c>
      <c r="S4" s="79">
        <v>11550</v>
      </c>
      <c r="T4" s="80">
        <v>0</v>
      </c>
      <c r="U4" s="80">
        <v>19654</v>
      </c>
      <c r="V4" s="80">
        <v>1645</v>
      </c>
      <c r="W4" s="78">
        <v>7379</v>
      </c>
      <c r="X4" s="79">
        <v>28678</v>
      </c>
      <c r="Y4" s="17"/>
      <c r="Z4" s="113" t="s">
        <v>550</v>
      </c>
      <c r="AA4" s="77">
        <v>2000</v>
      </c>
      <c r="AB4" s="78">
        <v>8990</v>
      </c>
      <c r="AC4" s="78">
        <v>665</v>
      </c>
      <c r="AD4" s="78">
        <v>2660</v>
      </c>
      <c r="AE4" s="79">
        <v>14315</v>
      </c>
      <c r="AF4" s="80">
        <v>2000</v>
      </c>
      <c r="AG4" s="80">
        <v>28644</v>
      </c>
      <c r="AH4" s="80">
        <v>2310</v>
      </c>
      <c r="AI4" s="78">
        <v>10039</v>
      </c>
      <c r="AJ4" s="79">
        <v>42993</v>
      </c>
      <c r="AK4" s="17"/>
      <c r="AL4" s="113" t="s">
        <v>550</v>
      </c>
      <c r="AM4" s="77">
        <v>0</v>
      </c>
      <c r="AN4" s="78">
        <v>13470</v>
      </c>
      <c r="AO4" s="78">
        <v>1015</v>
      </c>
      <c r="AP4" s="78">
        <v>748</v>
      </c>
      <c r="AQ4" s="79">
        <v>15233</v>
      </c>
      <c r="AR4" s="80">
        <v>2000</v>
      </c>
      <c r="AS4" s="80">
        <v>42114</v>
      </c>
      <c r="AT4" s="80">
        <v>3325</v>
      </c>
      <c r="AU4" s="78">
        <v>10787</v>
      </c>
      <c r="AV4" s="79">
        <v>58226</v>
      </c>
      <c r="AW4" s="17"/>
      <c r="AX4" s="113" t="s">
        <v>550</v>
      </c>
      <c r="AY4" s="77">
        <v>0</v>
      </c>
      <c r="AZ4" s="78">
        <v>8641</v>
      </c>
      <c r="BA4" s="78">
        <v>1260</v>
      </c>
      <c r="BB4" s="78">
        <v>2996</v>
      </c>
      <c r="BC4" s="79">
        <v>12897</v>
      </c>
      <c r="BD4" s="80">
        <v>2000</v>
      </c>
      <c r="BE4" s="80">
        <v>50755</v>
      </c>
      <c r="BF4" s="80">
        <v>4585</v>
      </c>
      <c r="BG4" s="78">
        <v>13783</v>
      </c>
      <c r="BH4" s="79">
        <v>71123</v>
      </c>
      <c r="BI4" s="17"/>
      <c r="BJ4" s="113" t="s">
        <v>550</v>
      </c>
      <c r="BK4" s="77">
        <v>0</v>
      </c>
      <c r="BL4" s="78">
        <v>7997</v>
      </c>
      <c r="BM4" s="78">
        <v>1085</v>
      </c>
      <c r="BN4" s="78">
        <v>3464</v>
      </c>
      <c r="BO4" s="79">
        <v>12546</v>
      </c>
      <c r="BP4" s="80">
        <v>2000</v>
      </c>
      <c r="BQ4" s="80">
        <v>58752</v>
      </c>
      <c r="BR4" s="80">
        <v>5670</v>
      </c>
      <c r="BS4" s="78">
        <v>17247</v>
      </c>
      <c r="BT4" s="79">
        <v>83669</v>
      </c>
      <c r="BU4" s="17"/>
      <c r="BV4" s="113" t="s">
        <v>550</v>
      </c>
      <c r="BW4" s="77">
        <v>1100</v>
      </c>
      <c r="BX4" s="78">
        <v>7735</v>
      </c>
      <c r="BY4" s="78">
        <v>455</v>
      </c>
      <c r="BZ4" s="78">
        <v>3558</v>
      </c>
      <c r="CA4" s="79">
        <v>12848</v>
      </c>
      <c r="CB4" s="80">
        <v>3100</v>
      </c>
      <c r="CC4" s="80">
        <v>66487</v>
      </c>
      <c r="CD4" s="80">
        <v>6125</v>
      </c>
      <c r="CE4" s="78">
        <v>20805</v>
      </c>
      <c r="CF4" s="79">
        <v>96517</v>
      </c>
      <c r="CG4" s="17"/>
      <c r="CH4" s="113" t="s">
        <v>550</v>
      </c>
      <c r="CI4" s="77">
        <v>400</v>
      </c>
      <c r="CJ4" s="78">
        <v>9375</v>
      </c>
      <c r="CK4" s="78">
        <v>995</v>
      </c>
      <c r="CL4" s="78">
        <v>0</v>
      </c>
      <c r="CM4" s="79">
        <v>10770</v>
      </c>
      <c r="CN4" s="80">
        <v>3500</v>
      </c>
      <c r="CO4" s="80">
        <v>75862</v>
      </c>
      <c r="CP4" s="80">
        <v>7120</v>
      </c>
      <c r="CQ4" s="78">
        <v>20805</v>
      </c>
      <c r="CR4" s="79">
        <v>107287</v>
      </c>
      <c r="CS4" s="17"/>
      <c r="CT4" s="113" t="s">
        <v>550</v>
      </c>
      <c r="CU4" s="77">
        <v>0</v>
      </c>
      <c r="CV4" s="78">
        <v>10325</v>
      </c>
      <c r="CW4" s="78">
        <v>770</v>
      </c>
      <c r="CX4" s="78">
        <v>3588</v>
      </c>
      <c r="CY4" s="79">
        <v>14683</v>
      </c>
      <c r="CZ4" s="80">
        <v>3500</v>
      </c>
      <c r="DA4" s="80">
        <v>86187</v>
      </c>
      <c r="DB4" s="80">
        <v>7890</v>
      </c>
      <c r="DC4" s="78">
        <v>24393</v>
      </c>
      <c r="DD4" s="79">
        <v>121970</v>
      </c>
      <c r="DE4" s="17"/>
      <c r="DF4" s="113" t="s">
        <v>550</v>
      </c>
      <c r="DG4" s="77">
        <v>0</v>
      </c>
      <c r="DH4" s="78">
        <v>6813</v>
      </c>
      <c r="DI4" s="78">
        <v>490</v>
      </c>
      <c r="DJ4" s="78">
        <v>5708</v>
      </c>
      <c r="DK4" s="78">
        <v>475</v>
      </c>
      <c r="DL4" s="79">
        <v>13486</v>
      </c>
      <c r="DM4" s="80">
        <v>3500</v>
      </c>
      <c r="DN4" s="80">
        <v>93000</v>
      </c>
      <c r="DO4" s="80">
        <v>8380</v>
      </c>
      <c r="DP4" s="78">
        <v>30101</v>
      </c>
      <c r="DQ4" s="144">
        <v>475</v>
      </c>
      <c r="DR4" s="79">
        <v>135456</v>
      </c>
      <c r="DS4" s="17"/>
      <c r="DT4" s="113" t="s">
        <v>550</v>
      </c>
      <c r="DU4" s="77">
        <v>0</v>
      </c>
      <c r="DV4" s="78">
        <v>7245</v>
      </c>
      <c r="DW4" s="78">
        <v>1120</v>
      </c>
      <c r="DX4" s="78">
        <v>5013</v>
      </c>
      <c r="DY4" s="78">
        <v>0</v>
      </c>
      <c r="DZ4" s="79">
        <v>13378</v>
      </c>
      <c r="EA4" s="80">
        <v>3500</v>
      </c>
      <c r="EB4" s="80">
        <v>100245</v>
      </c>
      <c r="EC4" s="80">
        <v>9500</v>
      </c>
      <c r="ED4" s="78">
        <v>35114</v>
      </c>
      <c r="EE4" s="144">
        <v>475</v>
      </c>
      <c r="EF4" s="79">
        <v>148834</v>
      </c>
      <c r="EG4" s="17"/>
      <c r="EH4" s="113" t="s">
        <v>550</v>
      </c>
      <c r="EI4" s="77">
        <v>0</v>
      </c>
      <c r="EJ4" s="78">
        <v>8219</v>
      </c>
      <c r="EK4" s="78">
        <v>770</v>
      </c>
      <c r="EL4" s="78">
        <v>2784</v>
      </c>
      <c r="EM4" s="78">
        <v>0</v>
      </c>
      <c r="EN4" s="79">
        <v>11773</v>
      </c>
      <c r="EO4" s="80">
        <v>3500</v>
      </c>
      <c r="EP4" s="80">
        <v>108464</v>
      </c>
      <c r="EQ4" s="80">
        <v>10270</v>
      </c>
      <c r="ER4" s="78">
        <v>37898</v>
      </c>
      <c r="ES4" s="144">
        <v>475</v>
      </c>
      <c r="ET4" s="79">
        <v>160607</v>
      </c>
      <c r="EU4" s="17"/>
      <c r="EV4" s="113" t="s">
        <v>550</v>
      </c>
      <c r="EW4" s="77">
        <v>0</v>
      </c>
      <c r="EX4" s="78">
        <v>12145</v>
      </c>
      <c r="EY4" s="78">
        <v>770</v>
      </c>
      <c r="EZ4" s="78">
        <v>4268</v>
      </c>
      <c r="FA4" s="78">
        <v>0</v>
      </c>
      <c r="FB4" s="79">
        <v>17183</v>
      </c>
      <c r="FC4" s="80">
        <v>3500</v>
      </c>
      <c r="FD4" s="80">
        <v>120609</v>
      </c>
      <c r="FE4" s="80">
        <v>11040</v>
      </c>
      <c r="FF4" s="78">
        <v>42166</v>
      </c>
      <c r="FG4" s="144">
        <v>475</v>
      </c>
      <c r="FH4" s="79">
        <v>177790</v>
      </c>
      <c r="FI4" s="17"/>
      <c r="FJ4" s="113" t="s">
        <v>550</v>
      </c>
      <c r="FK4" s="77">
        <v>0</v>
      </c>
      <c r="FL4" s="78">
        <v>11553</v>
      </c>
      <c r="FM4" s="78">
        <v>1038</v>
      </c>
      <c r="FN4" s="78">
        <v>3848</v>
      </c>
      <c r="FO4" s="78">
        <v>0</v>
      </c>
      <c r="FP4" s="79">
        <v>16439</v>
      </c>
      <c r="FQ4" s="80">
        <v>3500</v>
      </c>
      <c r="FR4" s="80">
        <v>132162</v>
      </c>
      <c r="FS4" s="80">
        <v>12078</v>
      </c>
      <c r="FT4" s="78">
        <v>46014</v>
      </c>
      <c r="FU4" s="144">
        <v>475</v>
      </c>
      <c r="FV4" s="79">
        <v>194229</v>
      </c>
      <c r="FW4" s="17"/>
      <c r="FX4" s="113" t="s">
        <v>550</v>
      </c>
      <c r="FY4" s="77">
        <v>0</v>
      </c>
      <c r="FZ4" s="78">
        <v>7392</v>
      </c>
      <c r="GA4" s="78">
        <v>1549</v>
      </c>
      <c r="GB4" s="78">
        <v>6496</v>
      </c>
      <c r="GC4" s="78">
        <v>0</v>
      </c>
      <c r="GD4" s="79">
        <v>15437</v>
      </c>
      <c r="GE4" s="80">
        <v>3500</v>
      </c>
      <c r="GF4" s="80">
        <v>139554</v>
      </c>
      <c r="GG4" s="80">
        <v>13627</v>
      </c>
      <c r="GH4" s="78">
        <v>52510</v>
      </c>
      <c r="GI4" s="144">
        <v>475</v>
      </c>
      <c r="GJ4" s="79">
        <v>209666</v>
      </c>
      <c r="GK4" s="17"/>
      <c r="GL4" s="113" t="s">
        <v>550</v>
      </c>
      <c r="GM4" s="77">
        <v>2000</v>
      </c>
      <c r="GN4" s="78">
        <v>8839</v>
      </c>
      <c r="GO4" s="78">
        <v>1280</v>
      </c>
      <c r="GP4" s="78">
        <v>2656</v>
      </c>
      <c r="GQ4" s="78">
        <v>0</v>
      </c>
      <c r="GR4" s="79">
        <v>14775</v>
      </c>
      <c r="GS4" s="80">
        <v>5500</v>
      </c>
      <c r="GT4" s="80">
        <v>148393</v>
      </c>
      <c r="GU4" s="80">
        <v>14907</v>
      </c>
      <c r="GV4" s="78">
        <v>55166</v>
      </c>
      <c r="GW4" s="144">
        <v>475</v>
      </c>
      <c r="GX4" s="79">
        <v>224441</v>
      </c>
      <c r="GY4" s="17"/>
      <c r="GZ4" s="113" t="s">
        <v>550</v>
      </c>
      <c r="HA4" s="77">
        <v>0</v>
      </c>
      <c r="HB4" s="78">
        <v>7615</v>
      </c>
      <c r="HC4" s="78">
        <v>909</v>
      </c>
      <c r="HD4" s="78">
        <v>7050</v>
      </c>
      <c r="HE4" s="78">
        <v>0</v>
      </c>
      <c r="HF4" s="79">
        <v>15574</v>
      </c>
      <c r="HG4" s="80">
        <v>5500</v>
      </c>
      <c r="HH4" s="80">
        <v>156008</v>
      </c>
      <c r="HI4" s="80">
        <v>15816</v>
      </c>
      <c r="HJ4" s="78">
        <v>62216</v>
      </c>
      <c r="HK4" s="144">
        <v>475</v>
      </c>
      <c r="HL4" s="79">
        <v>240015</v>
      </c>
      <c r="HM4" s="17"/>
      <c r="HN4" s="113" t="s">
        <v>550</v>
      </c>
      <c r="HO4" s="77">
        <v>1100</v>
      </c>
      <c r="HP4" s="78">
        <v>12732</v>
      </c>
      <c r="HQ4" s="78">
        <v>1190</v>
      </c>
      <c r="HR4" s="78">
        <v>6324</v>
      </c>
      <c r="HS4" s="78">
        <v>0</v>
      </c>
      <c r="HT4" s="79">
        <v>21346</v>
      </c>
      <c r="HU4" s="80">
        <v>6600</v>
      </c>
      <c r="HV4" s="80">
        <v>168740</v>
      </c>
      <c r="HW4" s="80">
        <v>17006</v>
      </c>
      <c r="HX4" s="78">
        <v>68540</v>
      </c>
      <c r="HY4" s="144">
        <v>475</v>
      </c>
      <c r="HZ4" s="79">
        <v>261361</v>
      </c>
      <c r="IA4" s="17"/>
      <c r="IB4" s="113" t="s">
        <v>550</v>
      </c>
      <c r="IC4" s="77">
        <v>0</v>
      </c>
      <c r="ID4" s="78">
        <v>8794</v>
      </c>
      <c r="IE4" s="78">
        <v>875</v>
      </c>
      <c r="IF4" s="78">
        <v>6020</v>
      </c>
      <c r="IG4" s="78">
        <v>0</v>
      </c>
      <c r="IH4" s="79">
        <v>15689</v>
      </c>
      <c r="II4" s="80">
        <v>6600</v>
      </c>
      <c r="IJ4" s="80">
        <v>177534</v>
      </c>
      <c r="IK4" s="80">
        <v>17881</v>
      </c>
      <c r="IL4" s="78">
        <v>74560</v>
      </c>
      <c r="IM4" s="144">
        <v>475</v>
      </c>
      <c r="IN4" s="79">
        <v>277050</v>
      </c>
      <c r="IO4" s="17"/>
      <c r="IP4" s="113" t="s">
        <v>550</v>
      </c>
      <c r="IQ4" s="77">
        <v>0</v>
      </c>
      <c r="IR4" s="78">
        <v>7419</v>
      </c>
      <c r="IS4" s="78">
        <v>735</v>
      </c>
      <c r="IT4" s="78">
        <v>2128</v>
      </c>
      <c r="IU4" s="78">
        <v>0</v>
      </c>
      <c r="IV4" s="79">
        <v>10282</v>
      </c>
      <c r="IW4" s="80">
        <v>6600</v>
      </c>
      <c r="IX4" s="80">
        <v>184953</v>
      </c>
      <c r="IY4" s="80">
        <v>18616</v>
      </c>
      <c r="IZ4" s="78">
        <v>76688</v>
      </c>
      <c r="JA4" s="144">
        <v>475</v>
      </c>
      <c r="JB4" s="79">
        <v>287332</v>
      </c>
      <c r="JC4" s="17"/>
      <c r="JD4" s="113" t="s">
        <v>550</v>
      </c>
      <c r="JE4" s="77">
        <v>2300</v>
      </c>
      <c r="JF4" s="78">
        <v>6514</v>
      </c>
      <c r="JG4" s="78">
        <v>1540</v>
      </c>
      <c r="JH4" s="78">
        <v>5328</v>
      </c>
      <c r="JI4" s="78">
        <v>0</v>
      </c>
      <c r="JJ4" s="79">
        <v>15682</v>
      </c>
      <c r="JK4" s="80">
        <v>8900</v>
      </c>
      <c r="JL4" s="80">
        <v>191467</v>
      </c>
      <c r="JM4" s="80">
        <v>20156</v>
      </c>
      <c r="JN4" s="78">
        <v>82016</v>
      </c>
      <c r="JO4" s="144">
        <v>475</v>
      </c>
      <c r="JP4" s="79">
        <v>303014</v>
      </c>
      <c r="JQ4" s="17"/>
      <c r="JR4" s="113" t="s">
        <v>550</v>
      </c>
      <c r="JS4" s="77">
        <v>0</v>
      </c>
      <c r="JT4" s="78">
        <v>6146</v>
      </c>
      <c r="JU4" s="78">
        <v>1693</v>
      </c>
      <c r="JV4" s="78">
        <v>5307</v>
      </c>
      <c r="JW4" s="78">
        <v>0</v>
      </c>
      <c r="JX4" s="79">
        <v>13146</v>
      </c>
      <c r="JY4" s="80">
        <v>8900</v>
      </c>
      <c r="JZ4" s="80">
        <v>197613</v>
      </c>
      <c r="KA4" s="80">
        <v>21849</v>
      </c>
      <c r="KB4" s="78">
        <v>87323</v>
      </c>
      <c r="KC4" s="144">
        <v>475</v>
      </c>
      <c r="KD4" s="79">
        <v>316160</v>
      </c>
      <c r="KE4" s="17"/>
      <c r="KF4" s="113" t="s">
        <v>550</v>
      </c>
      <c r="KG4" s="77">
        <v>3000</v>
      </c>
      <c r="KH4" s="78">
        <v>7500</v>
      </c>
      <c r="KI4" s="78">
        <v>805</v>
      </c>
      <c r="KJ4" s="78">
        <v>1956</v>
      </c>
      <c r="KK4" s="78">
        <v>0</v>
      </c>
      <c r="KL4" s="79">
        <v>13261</v>
      </c>
      <c r="KM4" s="80">
        <v>11900</v>
      </c>
      <c r="KN4" s="80">
        <v>205113</v>
      </c>
      <c r="KO4" s="80">
        <v>22654</v>
      </c>
      <c r="KP4" s="78">
        <v>89279</v>
      </c>
      <c r="KQ4" s="144">
        <v>475</v>
      </c>
      <c r="KR4" s="79">
        <v>329421</v>
      </c>
      <c r="KT4" s="113" t="s">
        <v>550</v>
      </c>
      <c r="KU4" s="77">
        <v>0</v>
      </c>
      <c r="KV4" s="78">
        <v>6053</v>
      </c>
      <c r="KW4" s="78">
        <v>735</v>
      </c>
      <c r="KX4" s="78">
        <v>4552</v>
      </c>
      <c r="KY4" s="78">
        <v>0</v>
      </c>
      <c r="KZ4" s="79">
        <v>11340</v>
      </c>
      <c r="LA4" s="80">
        <v>11900</v>
      </c>
      <c r="LB4" s="80">
        <v>211166</v>
      </c>
      <c r="LC4" s="80">
        <v>23389</v>
      </c>
      <c r="LD4" s="78">
        <v>93831</v>
      </c>
      <c r="LE4" s="144">
        <v>475</v>
      </c>
      <c r="LF4" s="79">
        <v>340761</v>
      </c>
      <c r="LG4" s="17"/>
      <c r="LH4" s="113" t="s">
        <v>550</v>
      </c>
      <c r="LI4" s="77">
        <v>2700</v>
      </c>
      <c r="LJ4" s="78">
        <v>5314</v>
      </c>
      <c r="LK4" s="78">
        <v>735</v>
      </c>
      <c r="LL4" s="78">
        <v>2240</v>
      </c>
      <c r="LM4" s="78">
        <v>0</v>
      </c>
      <c r="LN4" s="79">
        <v>10989</v>
      </c>
      <c r="LO4" s="80">
        <v>14600</v>
      </c>
      <c r="LP4" s="80">
        <v>216480</v>
      </c>
      <c r="LQ4" s="80">
        <v>24124</v>
      </c>
      <c r="LR4" s="78">
        <v>96071</v>
      </c>
      <c r="LS4" s="144">
        <v>475</v>
      </c>
      <c r="LT4" s="79">
        <v>351750</v>
      </c>
      <c r="LU4" s="17"/>
      <c r="LV4" s="113" t="s">
        <v>550</v>
      </c>
      <c r="LW4" s="77">
        <v>2000</v>
      </c>
      <c r="LX4" s="78">
        <v>4696</v>
      </c>
      <c r="LY4" s="78">
        <v>945</v>
      </c>
      <c r="LZ4" s="78">
        <v>4058</v>
      </c>
      <c r="MA4" s="78">
        <v>0</v>
      </c>
      <c r="MB4" s="79">
        <v>11699</v>
      </c>
      <c r="MC4" s="80">
        <v>16600</v>
      </c>
      <c r="MD4" s="80">
        <v>221176</v>
      </c>
      <c r="ME4" s="80">
        <v>25069</v>
      </c>
      <c r="MF4" s="78">
        <v>100129</v>
      </c>
      <c r="MG4" s="144">
        <v>475</v>
      </c>
      <c r="MH4" s="79">
        <v>363449</v>
      </c>
      <c r="MI4" s="17">
        <f>MC4-LW4-LO4</f>
        <v>0</v>
      </c>
      <c r="MJ4" s="17">
        <f t="shared" ref="MJ4:MJ10" si="0">MD4-LX4-LP4</f>
        <v>0</v>
      </c>
      <c r="MK4" s="17">
        <f t="shared" ref="MK4:MK10" si="1">ME4-LY4-LQ4</f>
        <v>0</v>
      </c>
      <c r="ML4" s="17">
        <f t="shared" ref="ML4:ML10" si="2">MF4-LZ4-LR4</f>
        <v>0</v>
      </c>
      <c r="MM4" s="17">
        <f t="shared" ref="MM4:MM10" si="3">MG4-MA4-LS4</f>
        <v>0</v>
      </c>
      <c r="MN4" s="17">
        <f t="shared" ref="MN4:MN10" si="4">MH4-MB4-LT4</f>
        <v>0</v>
      </c>
    </row>
    <row r="5" spans="2:352" x14ac:dyDescent="0.3">
      <c r="B5" s="114" t="s">
        <v>499</v>
      </c>
      <c r="C5" s="31">
        <v>0</v>
      </c>
      <c r="D5" s="18">
        <v>4370.5452000000005</v>
      </c>
      <c r="E5" s="18">
        <v>1055.9482499999999</v>
      </c>
      <c r="F5" s="18">
        <v>698.24176999999997</v>
      </c>
      <c r="G5" s="19">
        <v>6124.7352199999996</v>
      </c>
      <c r="H5" s="28">
        <v>0</v>
      </c>
      <c r="I5" s="18">
        <v>4370.5452000000005</v>
      </c>
      <c r="J5" s="18">
        <v>1055.9482499999999</v>
      </c>
      <c r="K5" s="51">
        <v>698.24176999999997</v>
      </c>
      <c r="L5" s="19">
        <v>6124.7352199999996</v>
      </c>
      <c r="N5" s="114" t="s">
        <v>499</v>
      </c>
      <c r="O5" s="31">
        <v>0</v>
      </c>
      <c r="P5" s="18">
        <v>2934.8830099999996</v>
      </c>
      <c r="Q5" s="18">
        <v>470.39299999999997</v>
      </c>
      <c r="R5" s="18">
        <v>504.46224000000001</v>
      </c>
      <c r="S5" s="19">
        <v>3909.7382499999994</v>
      </c>
      <c r="T5" s="28">
        <v>0</v>
      </c>
      <c r="U5" s="18">
        <v>7305.4282099999991</v>
      </c>
      <c r="V5" s="18">
        <v>1526.3412499999997</v>
      </c>
      <c r="W5" s="51">
        <v>1202.7040100000002</v>
      </c>
      <c r="X5" s="19">
        <v>10034.473469999999</v>
      </c>
      <c r="Y5" s="17"/>
      <c r="Z5" s="114" t="s">
        <v>499</v>
      </c>
      <c r="AA5" s="31">
        <v>1318.62</v>
      </c>
      <c r="AB5" s="18">
        <v>3533.5958500000002</v>
      </c>
      <c r="AC5" s="18">
        <v>584.01980000000003</v>
      </c>
      <c r="AD5" s="18">
        <v>376.10859999999997</v>
      </c>
      <c r="AE5" s="19">
        <v>5812.3442500000001</v>
      </c>
      <c r="AF5" s="28">
        <v>1318.62</v>
      </c>
      <c r="AG5" s="18">
        <v>10839.02406</v>
      </c>
      <c r="AH5" s="18">
        <v>2110.3610500000004</v>
      </c>
      <c r="AI5" s="51">
        <v>1578.8126100000002</v>
      </c>
      <c r="AJ5" s="19">
        <v>15846.817719999999</v>
      </c>
      <c r="AK5" s="17"/>
      <c r="AL5" s="114" t="s">
        <v>499</v>
      </c>
      <c r="AM5" s="31">
        <v>0</v>
      </c>
      <c r="AN5" s="18">
        <v>3263.7525000000001</v>
      </c>
      <c r="AO5" s="18">
        <v>896.43399999999997</v>
      </c>
      <c r="AP5" s="18">
        <v>105.3588</v>
      </c>
      <c r="AQ5" s="19">
        <v>4265.5452999999998</v>
      </c>
      <c r="AR5" s="28">
        <v>1318.62</v>
      </c>
      <c r="AS5" s="18">
        <v>14102.77656</v>
      </c>
      <c r="AT5" s="18">
        <v>3006.7950500000002</v>
      </c>
      <c r="AU5" s="51">
        <v>1684.1714100000002</v>
      </c>
      <c r="AV5" s="19">
        <v>20112.363020000001</v>
      </c>
      <c r="AW5" s="17"/>
      <c r="AX5" s="114" t="s">
        <v>499</v>
      </c>
      <c r="AY5" s="31">
        <v>0</v>
      </c>
      <c r="AZ5" s="18">
        <v>3303.5119300000001</v>
      </c>
      <c r="BA5" s="18">
        <v>1132.4866</v>
      </c>
      <c r="BB5" s="18">
        <v>430.85644000000002</v>
      </c>
      <c r="BC5" s="19">
        <v>4866.8549700000003</v>
      </c>
      <c r="BD5" s="28">
        <v>1318.62</v>
      </c>
      <c r="BE5" s="18">
        <v>17406.288490000006</v>
      </c>
      <c r="BF5" s="18">
        <v>4139.2816500000008</v>
      </c>
      <c r="BG5" s="51">
        <v>2115.0278499999999</v>
      </c>
      <c r="BH5" s="19">
        <v>24979.217990000005</v>
      </c>
      <c r="BI5" s="17"/>
      <c r="BJ5" s="114" t="s">
        <v>499</v>
      </c>
      <c r="BK5" s="31">
        <v>0</v>
      </c>
      <c r="BL5" s="18">
        <v>3042.5707099999995</v>
      </c>
      <c r="BM5" s="18">
        <v>976.6942499999999</v>
      </c>
      <c r="BN5" s="18">
        <v>482.42796000000004</v>
      </c>
      <c r="BO5" s="19">
        <v>4501.6929199999995</v>
      </c>
      <c r="BP5" s="28">
        <v>1318.62</v>
      </c>
      <c r="BQ5" s="18">
        <v>20448.859200000003</v>
      </c>
      <c r="BR5" s="18">
        <v>5115.9759000000004</v>
      </c>
      <c r="BS5" s="51">
        <v>2597.4558099999999</v>
      </c>
      <c r="BT5" s="19">
        <v>29480.910910000002</v>
      </c>
      <c r="BU5" s="17"/>
      <c r="BV5" s="114" t="s">
        <v>499</v>
      </c>
      <c r="BW5" s="31">
        <v>725.23</v>
      </c>
      <c r="BX5" s="18">
        <v>2937.0823999999998</v>
      </c>
      <c r="BY5" s="18">
        <v>477.36079999999998</v>
      </c>
      <c r="BZ5" s="18">
        <v>524.38391999999988</v>
      </c>
      <c r="CA5" s="19">
        <v>4664.0571200000004</v>
      </c>
      <c r="CB5" s="28">
        <v>2043.85</v>
      </c>
      <c r="CC5" s="18">
        <v>23385.941600000006</v>
      </c>
      <c r="CD5" s="18">
        <v>5593.3367000000007</v>
      </c>
      <c r="CE5" s="51">
        <v>3121.8397300000001</v>
      </c>
      <c r="CF5" s="19">
        <v>34144.968030000004</v>
      </c>
      <c r="CG5" s="17"/>
      <c r="CH5" s="114" t="s">
        <v>499</v>
      </c>
      <c r="CI5" s="31">
        <v>263.72000000000003</v>
      </c>
      <c r="CJ5" s="18">
        <v>3722.2078500000002</v>
      </c>
      <c r="CK5" s="18">
        <v>771.77139999999986</v>
      </c>
      <c r="CL5" s="18">
        <v>0</v>
      </c>
      <c r="CM5" s="19">
        <v>4757.6992499999997</v>
      </c>
      <c r="CN5" s="28">
        <v>2307.5700000000002</v>
      </c>
      <c r="CO5" s="18">
        <v>27108.149450000012</v>
      </c>
      <c r="CP5" s="18">
        <v>6365.1081000000013</v>
      </c>
      <c r="CQ5" s="51">
        <v>3121.8397300000001</v>
      </c>
      <c r="CR5" s="19">
        <v>38902.667280000016</v>
      </c>
      <c r="CS5" s="17"/>
      <c r="CT5" s="114" t="s">
        <v>499</v>
      </c>
      <c r="CU5" s="31">
        <v>0</v>
      </c>
      <c r="CV5" s="18">
        <v>3975.2139000000002</v>
      </c>
      <c r="CW5" s="18">
        <v>688.72860000000014</v>
      </c>
      <c r="CX5" s="18">
        <v>584.62871999999993</v>
      </c>
      <c r="CY5" s="19">
        <v>5248.5712199999998</v>
      </c>
      <c r="CZ5" s="28">
        <v>2307.5700000000002</v>
      </c>
      <c r="DA5" s="18">
        <v>31083.363350000011</v>
      </c>
      <c r="DB5" s="18">
        <v>7053.8367000000007</v>
      </c>
      <c r="DC5" s="51">
        <v>3706.4684499999998</v>
      </c>
      <c r="DD5" s="19">
        <v>44151.238500000014</v>
      </c>
      <c r="DE5" s="17"/>
      <c r="DF5" s="114" t="s">
        <v>499</v>
      </c>
      <c r="DG5" s="31">
        <v>0</v>
      </c>
      <c r="DH5" s="18">
        <v>2692.1119899999999</v>
      </c>
      <c r="DI5" s="18">
        <v>532.34299999999996</v>
      </c>
      <c r="DJ5" s="18">
        <v>1066.08762</v>
      </c>
      <c r="DK5" s="18">
        <v>75.0595</v>
      </c>
      <c r="DL5" s="19">
        <v>4365.6021099999998</v>
      </c>
      <c r="DM5" s="28">
        <v>2307.5700000000002</v>
      </c>
      <c r="DN5" s="18">
        <v>33775.475340000005</v>
      </c>
      <c r="DO5" s="18">
        <v>7586.1797000000006</v>
      </c>
      <c r="DP5" s="51">
        <v>4772.5560700000005</v>
      </c>
      <c r="DQ5" s="143">
        <v>75.0595</v>
      </c>
      <c r="DR5" s="19">
        <v>48516.840610000007</v>
      </c>
      <c r="DS5" s="17"/>
      <c r="DT5" s="114" t="s">
        <v>499</v>
      </c>
      <c r="DU5" s="31">
        <v>0</v>
      </c>
      <c r="DV5" s="18">
        <v>2792.5495499999997</v>
      </c>
      <c r="DW5" s="18">
        <v>1082.1348</v>
      </c>
      <c r="DX5" s="18">
        <v>816.81822</v>
      </c>
      <c r="DY5" s="18">
        <v>0</v>
      </c>
      <c r="DZ5" s="19">
        <v>4691.5025699999997</v>
      </c>
      <c r="EA5" s="28">
        <v>2307.5700000000002</v>
      </c>
      <c r="EB5" s="18">
        <v>36568.024890000001</v>
      </c>
      <c r="EC5" s="18">
        <v>8668.3145000000004</v>
      </c>
      <c r="ED5" s="51">
        <v>5589.3742899999997</v>
      </c>
      <c r="EE5" s="143">
        <v>75.0595</v>
      </c>
      <c r="EF5" s="19">
        <v>53208.343180000003</v>
      </c>
      <c r="EG5" s="17"/>
      <c r="EH5" s="114" t="s">
        <v>499</v>
      </c>
      <c r="EI5" s="31">
        <v>0</v>
      </c>
      <c r="EJ5" s="18">
        <v>3145.4732600000002</v>
      </c>
      <c r="EK5" s="18">
        <v>674.90745000000004</v>
      </c>
      <c r="EL5" s="18">
        <v>399.36816000000005</v>
      </c>
      <c r="EM5" s="18">
        <v>0</v>
      </c>
      <c r="EN5" s="19">
        <v>4219.7488700000004</v>
      </c>
      <c r="EO5" s="28">
        <v>2307.5700000000002</v>
      </c>
      <c r="EP5" s="18">
        <v>39713.498149999999</v>
      </c>
      <c r="EQ5" s="18">
        <v>9343.221950000001</v>
      </c>
      <c r="ER5" s="51">
        <v>5988.7424499999997</v>
      </c>
      <c r="ES5" s="143">
        <v>75.0595</v>
      </c>
      <c r="ET5" s="19">
        <v>57428.092049999999</v>
      </c>
      <c r="EU5" s="17"/>
      <c r="EV5" s="114" t="s">
        <v>499</v>
      </c>
      <c r="EW5" s="31">
        <v>0</v>
      </c>
      <c r="EX5" s="18">
        <v>4732.3867499999997</v>
      </c>
      <c r="EY5" s="18">
        <v>658.05179999999996</v>
      </c>
      <c r="EZ5" s="18">
        <v>633.83911999999998</v>
      </c>
      <c r="FA5" s="18">
        <v>0</v>
      </c>
      <c r="FB5" s="19">
        <v>6024.2776699999995</v>
      </c>
      <c r="FC5" s="28">
        <v>2307.5700000000002</v>
      </c>
      <c r="FD5" s="18">
        <v>44445.884899999997</v>
      </c>
      <c r="FE5" s="18">
        <v>10001.273749999998</v>
      </c>
      <c r="FF5" s="51">
        <v>6622.5815700000003</v>
      </c>
      <c r="FG5" s="143">
        <v>75.0595</v>
      </c>
      <c r="FH5" s="19">
        <v>63452.369720000002</v>
      </c>
      <c r="FI5" s="17"/>
      <c r="FJ5" s="114" t="s">
        <v>499</v>
      </c>
      <c r="FK5" s="31">
        <v>0</v>
      </c>
      <c r="FL5" s="18">
        <v>4373.6643400000003</v>
      </c>
      <c r="FM5" s="18">
        <v>803.87142000000006</v>
      </c>
      <c r="FN5" s="18">
        <v>571.02552000000003</v>
      </c>
      <c r="FO5" s="18">
        <v>0</v>
      </c>
      <c r="FP5" s="19">
        <v>5748.5612800000008</v>
      </c>
      <c r="FQ5" s="28">
        <v>2307.5700000000002</v>
      </c>
      <c r="FR5" s="18">
        <v>48819.549239999993</v>
      </c>
      <c r="FS5" s="18">
        <v>10805.145169999998</v>
      </c>
      <c r="FT5" s="51">
        <v>7193.6070899999995</v>
      </c>
      <c r="FU5" s="143">
        <v>75.0595</v>
      </c>
      <c r="FV5" s="19">
        <v>69200.930999999997</v>
      </c>
      <c r="FW5" s="17"/>
      <c r="FX5" s="114" t="s">
        <v>499</v>
      </c>
      <c r="FY5" s="31">
        <v>0</v>
      </c>
      <c r="FZ5" s="18">
        <v>2747.0255299999994</v>
      </c>
      <c r="GA5" s="18">
        <v>803.82442999999989</v>
      </c>
      <c r="GB5" s="18">
        <v>1027.6638399999999</v>
      </c>
      <c r="GC5" s="18">
        <v>0</v>
      </c>
      <c r="GD5" s="19">
        <v>4578.5137999999997</v>
      </c>
      <c r="GE5" s="28">
        <v>2307.5700000000002</v>
      </c>
      <c r="GF5" s="18">
        <v>51566.574769999977</v>
      </c>
      <c r="GG5" s="18">
        <v>11608.969599999999</v>
      </c>
      <c r="GH5" s="51">
        <v>8221.2709299999988</v>
      </c>
      <c r="GI5" s="143">
        <v>75.0595</v>
      </c>
      <c r="GJ5" s="19">
        <v>73779.444799999968</v>
      </c>
      <c r="GK5" s="17"/>
      <c r="GL5" s="114" t="s">
        <v>499</v>
      </c>
      <c r="GM5" s="31">
        <v>1318.62</v>
      </c>
      <c r="GN5" s="18">
        <v>3406.963130000001</v>
      </c>
      <c r="GO5" s="18">
        <v>918.45349999999996</v>
      </c>
      <c r="GP5" s="18">
        <v>432.76864</v>
      </c>
      <c r="GQ5" s="18">
        <v>0</v>
      </c>
      <c r="GR5" s="19">
        <v>6076.8052700000007</v>
      </c>
      <c r="GS5" s="28">
        <v>3626.19</v>
      </c>
      <c r="GT5" s="18">
        <v>54973.537899999967</v>
      </c>
      <c r="GU5" s="18">
        <v>12527.423099999996</v>
      </c>
      <c r="GV5" s="51">
        <v>8654.039569999999</v>
      </c>
      <c r="GW5" s="143">
        <v>75.0595</v>
      </c>
      <c r="GX5" s="19">
        <v>79856.250069999965</v>
      </c>
      <c r="GY5" s="17"/>
      <c r="GZ5" s="114" t="s">
        <v>499</v>
      </c>
      <c r="HA5" s="31">
        <v>0</v>
      </c>
      <c r="HB5" s="18">
        <v>2916.26235</v>
      </c>
      <c r="HC5" s="18">
        <v>722.31126000000006</v>
      </c>
      <c r="HD5" s="18">
        <v>1148.7270000000001</v>
      </c>
      <c r="HE5" s="18">
        <v>0</v>
      </c>
      <c r="HF5" s="19">
        <v>4787.3006100000002</v>
      </c>
      <c r="HG5" s="28">
        <v>3626.19</v>
      </c>
      <c r="HH5" s="18">
        <v>57889.800249999978</v>
      </c>
      <c r="HI5" s="18">
        <v>13249.734359999993</v>
      </c>
      <c r="HJ5" s="51">
        <v>9802.766569999998</v>
      </c>
      <c r="HK5" s="143">
        <v>75.0595</v>
      </c>
      <c r="HL5" s="19">
        <v>84643.550679999971</v>
      </c>
      <c r="HM5" s="17"/>
      <c r="HN5" s="114" t="s">
        <v>499</v>
      </c>
      <c r="HO5" s="31">
        <v>721.94100000000003</v>
      </c>
      <c r="HP5" s="18">
        <v>4882.1836900000008</v>
      </c>
      <c r="HQ5" s="18">
        <v>994.34135000000015</v>
      </c>
      <c r="HR5" s="18">
        <v>1030.43256</v>
      </c>
      <c r="HS5" s="18">
        <v>0</v>
      </c>
      <c r="HT5" s="19">
        <v>7628.8986000000014</v>
      </c>
      <c r="HU5" s="28">
        <v>4348.1310000000003</v>
      </c>
      <c r="HV5" s="18">
        <v>62771.983939999969</v>
      </c>
      <c r="HW5" s="18">
        <v>14244.07570999999</v>
      </c>
      <c r="HX5" s="51">
        <v>10833.199130000003</v>
      </c>
      <c r="HY5" s="143">
        <v>75.0595</v>
      </c>
      <c r="HZ5" s="19">
        <v>92272.449279999972</v>
      </c>
      <c r="IA5" s="17"/>
      <c r="IB5" s="114" t="s">
        <v>499</v>
      </c>
      <c r="IC5" s="31">
        <v>0</v>
      </c>
      <c r="ID5" s="18">
        <v>3310.4771099999998</v>
      </c>
      <c r="IE5" s="18">
        <v>811.73225000000002</v>
      </c>
      <c r="IF5" s="18">
        <v>980.89880000000005</v>
      </c>
      <c r="IG5" s="18">
        <v>0</v>
      </c>
      <c r="IH5" s="19">
        <v>5103.1081599999998</v>
      </c>
      <c r="II5" s="28">
        <v>4348.1310000000003</v>
      </c>
      <c r="IJ5" s="18">
        <v>66082.461049999969</v>
      </c>
      <c r="IK5" s="18">
        <v>15055.807959999993</v>
      </c>
      <c r="IL5" s="51">
        <v>11814.097930000002</v>
      </c>
      <c r="IM5" s="143">
        <v>75.0595</v>
      </c>
      <c r="IN5" s="19">
        <v>97375.55743999996</v>
      </c>
      <c r="IO5" s="17"/>
      <c r="IP5" s="114" t="s">
        <v>499</v>
      </c>
      <c r="IQ5" s="31">
        <v>0</v>
      </c>
      <c r="IR5" s="18">
        <v>2894.2217300000007</v>
      </c>
      <c r="IS5" s="18">
        <v>557.55630000000008</v>
      </c>
      <c r="IT5" s="18">
        <v>346.73632000000003</v>
      </c>
      <c r="IU5" s="18">
        <v>0</v>
      </c>
      <c r="IV5" s="19">
        <v>3798.5143500000008</v>
      </c>
      <c r="IW5" s="28">
        <v>4348.1310000000003</v>
      </c>
      <c r="IX5" s="18">
        <v>68976.682779999959</v>
      </c>
      <c r="IY5" s="18">
        <v>15613.364259999993</v>
      </c>
      <c r="IZ5" s="51">
        <v>12160.834250000002</v>
      </c>
      <c r="JA5" s="143">
        <v>75.0595</v>
      </c>
      <c r="JB5" s="19">
        <v>101174.07178999994</v>
      </c>
      <c r="JC5" s="17"/>
      <c r="JD5" s="114" t="s">
        <v>499</v>
      </c>
      <c r="JE5" s="31">
        <v>1516.413</v>
      </c>
      <c r="JF5" s="18">
        <v>2558.2979399999999</v>
      </c>
      <c r="JG5" s="18">
        <v>1133.0606</v>
      </c>
      <c r="JH5" s="18">
        <v>855.93312000000014</v>
      </c>
      <c r="JI5" s="18">
        <v>0</v>
      </c>
      <c r="JJ5" s="19">
        <v>6063.7046599999994</v>
      </c>
      <c r="JK5" s="28">
        <v>5864.5439999999999</v>
      </c>
      <c r="JL5" s="18">
        <v>71534.980719999934</v>
      </c>
      <c r="JM5" s="18">
        <v>16746.424859999996</v>
      </c>
      <c r="JN5" s="51">
        <v>13016.767370000003</v>
      </c>
      <c r="JO5" s="143">
        <v>75.0595</v>
      </c>
      <c r="JP5" s="19">
        <v>107237.77644999993</v>
      </c>
      <c r="JQ5" s="17"/>
      <c r="JR5" s="114" t="s">
        <v>499</v>
      </c>
      <c r="JS5" s="31">
        <v>0</v>
      </c>
      <c r="JT5" s="18">
        <v>2526.5885800000005</v>
      </c>
      <c r="JU5" s="18">
        <v>1066.88249</v>
      </c>
      <c r="JV5" s="18">
        <v>820.85375999999997</v>
      </c>
      <c r="JW5" s="18">
        <v>0</v>
      </c>
      <c r="JX5" s="19">
        <v>4414.3248300000005</v>
      </c>
      <c r="JY5" s="28">
        <v>5864.5439999999999</v>
      </c>
      <c r="JZ5" s="18">
        <v>74061.569299999945</v>
      </c>
      <c r="KA5" s="18">
        <v>17813.307349999995</v>
      </c>
      <c r="KB5" s="51">
        <v>13837.621130000003</v>
      </c>
      <c r="KC5" s="143">
        <v>75.0595</v>
      </c>
      <c r="KD5" s="19">
        <v>111652.10127999993</v>
      </c>
      <c r="KE5" s="17"/>
      <c r="KF5" s="114" t="s">
        <v>499</v>
      </c>
      <c r="KG5" s="31">
        <v>1977.93</v>
      </c>
      <c r="KH5" s="18">
        <v>3103.87761</v>
      </c>
      <c r="KI5" s="18">
        <v>733.68750000000011</v>
      </c>
      <c r="KJ5" s="18">
        <v>293.83032000000003</v>
      </c>
      <c r="KK5" s="18">
        <v>0</v>
      </c>
      <c r="KL5" s="19">
        <v>6109.3254299999999</v>
      </c>
      <c r="KM5" s="28">
        <v>7842.4740000000002</v>
      </c>
      <c r="KN5" s="18">
        <v>77165.446909999941</v>
      </c>
      <c r="KO5" s="18">
        <v>18546.994849999999</v>
      </c>
      <c r="KP5" s="51">
        <v>14131.451450000002</v>
      </c>
      <c r="KQ5" s="143">
        <v>75.0595</v>
      </c>
      <c r="KR5" s="19">
        <v>117761.42670999996</v>
      </c>
      <c r="KT5" s="114" t="s">
        <v>499</v>
      </c>
      <c r="KU5" s="31">
        <v>0</v>
      </c>
      <c r="KV5" s="18">
        <v>2610.8472299999999</v>
      </c>
      <c r="KW5" s="18">
        <v>672.46934999999996</v>
      </c>
      <c r="KX5" s="18">
        <v>723.84927999999991</v>
      </c>
      <c r="KY5" s="18">
        <v>0</v>
      </c>
      <c r="KZ5" s="19">
        <v>4007.1658599999996</v>
      </c>
      <c r="LA5" s="28">
        <v>7842.4740000000002</v>
      </c>
      <c r="LB5" s="18">
        <v>79776.29413999994</v>
      </c>
      <c r="LC5" s="18">
        <v>19219.464199999995</v>
      </c>
      <c r="LD5" s="51">
        <v>14855.300730000004</v>
      </c>
      <c r="LE5" s="143">
        <v>75.0595</v>
      </c>
      <c r="LF5" s="19">
        <v>121768.59256999994</v>
      </c>
      <c r="LG5" s="17"/>
      <c r="LH5" s="114" t="s">
        <v>499</v>
      </c>
      <c r="LI5" s="31">
        <v>1780.1369999999999</v>
      </c>
      <c r="LJ5" s="18">
        <v>2362.2545700000005</v>
      </c>
      <c r="LK5" s="18">
        <v>715.24459999999999</v>
      </c>
      <c r="LL5" s="18">
        <v>400.93759999999997</v>
      </c>
      <c r="LM5" s="18">
        <v>0</v>
      </c>
      <c r="LN5" s="19">
        <v>5258.5737700000009</v>
      </c>
      <c r="LO5" s="28">
        <v>9622.6110000000008</v>
      </c>
      <c r="LP5" s="18">
        <v>82138.548709999945</v>
      </c>
      <c r="LQ5" s="18">
        <v>19934.708799999997</v>
      </c>
      <c r="LR5" s="51">
        <v>15256.238330000004</v>
      </c>
      <c r="LS5" s="143">
        <v>75.0595</v>
      </c>
      <c r="LT5" s="19">
        <v>127027.16633999995</v>
      </c>
      <c r="LU5" s="17"/>
      <c r="LV5" s="114" t="s">
        <v>499</v>
      </c>
      <c r="LW5" s="31">
        <v>1318.6</v>
      </c>
      <c r="LX5" s="18">
        <v>1870.4715600000002</v>
      </c>
      <c r="LY5" s="18">
        <v>1029.4704000000002</v>
      </c>
      <c r="LZ5" s="18">
        <v>722.14099999999996</v>
      </c>
      <c r="MA5" s="18">
        <v>0</v>
      </c>
      <c r="MB5" s="19">
        <v>4940.6829600000001</v>
      </c>
      <c r="MC5" s="28">
        <v>10941.210999999999</v>
      </c>
      <c r="MD5" s="18">
        <v>84009.020269999935</v>
      </c>
      <c r="ME5" s="18">
        <v>20964.179199999999</v>
      </c>
      <c r="MF5" s="51">
        <v>15978.379330000003</v>
      </c>
      <c r="MG5" s="143">
        <v>75.0595</v>
      </c>
      <c r="MH5" s="19">
        <v>131967.84929999994</v>
      </c>
      <c r="MI5" s="17">
        <f t="shared" ref="MI5:MI10" si="5">MC5-LW5-LO5</f>
        <v>0</v>
      </c>
      <c r="MJ5" s="17">
        <f t="shared" si="0"/>
        <v>0</v>
      </c>
      <c r="MK5" s="17">
        <f t="shared" si="1"/>
        <v>0</v>
      </c>
      <c r="ML5" s="17">
        <f t="shared" si="2"/>
        <v>0</v>
      </c>
      <c r="MM5" s="17">
        <f t="shared" si="3"/>
        <v>0</v>
      </c>
      <c r="MN5" s="17">
        <f t="shared" si="4"/>
        <v>0</v>
      </c>
    </row>
    <row r="6" spans="2:352" x14ac:dyDescent="0.3">
      <c r="B6" s="115" t="s">
        <v>539</v>
      </c>
      <c r="C6" s="32">
        <v>0</v>
      </c>
      <c r="D6" s="21">
        <v>3949.5155</v>
      </c>
      <c r="E6" s="21">
        <v>918.26139999999953</v>
      </c>
      <c r="F6" s="21">
        <v>631.91381999999999</v>
      </c>
      <c r="G6" s="23">
        <v>5499.6907199999996</v>
      </c>
      <c r="H6" s="29">
        <v>0</v>
      </c>
      <c r="I6" s="21">
        <v>3949.5155</v>
      </c>
      <c r="J6" s="21">
        <v>918.26139999999953</v>
      </c>
      <c r="K6" s="52">
        <v>631.91381999999999</v>
      </c>
      <c r="L6" s="23">
        <v>5499.6907199999996</v>
      </c>
      <c r="N6" s="115" t="s">
        <v>539</v>
      </c>
      <c r="O6" s="32">
        <v>0</v>
      </c>
      <c r="P6" s="21">
        <v>2678.9501700000001</v>
      </c>
      <c r="Q6" s="21">
        <v>403.96300000000002</v>
      </c>
      <c r="R6" s="21">
        <v>456.78384</v>
      </c>
      <c r="S6" s="23">
        <v>3539.6970100000003</v>
      </c>
      <c r="T6" s="29">
        <v>0</v>
      </c>
      <c r="U6" s="21">
        <v>6628.4656700000005</v>
      </c>
      <c r="V6" s="21">
        <v>1322.2243999999994</v>
      </c>
      <c r="W6" s="52">
        <v>1088.69766</v>
      </c>
      <c r="X6" s="23">
        <v>9039.3877300000004</v>
      </c>
      <c r="Y6" s="17"/>
      <c r="Z6" s="115" t="s">
        <v>539</v>
      </c>
      <c r="AA6" s="32">
        <v>941.46666000000016</v>
      </c>
      <c r="AB6" s="21">
        <v>3194.5744878999994</v>
      </c>
      <c r="AC6" s="21">
        <v>498.96413664999972</v>
      </c>
      <c r="AD6" s="21">
        <v>350.17135999999999</v>
      </c>
      <c r="AE6" s="23">
        <v>4985.1766445499998</v>
      </c>
      <c r="AF6" s="29">
        <v>941.46666000000016</v>
      </c>
      <c r="AG6" s="21">
        <v>9823.1103089599983</v>
      </c>
      <c r="AH6" s="21">
        <v>1821.183981749999</v>
      </c>
      <c r="AI6" s="52">
        <v>1438.8690200000001</v>
      </c>
      <c r="AJ6" s="23">
        <v>14024.629970709997</v>
      </c>
      <c r="AK6" s="17"/>
      <c r="AL6" s="115" t="s">
        <v>539</v>
      </c>
      <c r="AM6" s="32">
        <v>0</v>
      </c>
      <c r="AN6" s="21">
        <v>3008.1153860999993</v>
      </c>
      <c r="AO6" s="21">
        <v>766.9999116499996</v>
      </c>
      <c r="AP6" s="21">
        <v>99.03055999999998</v>
      </c>
      <c r="AQ6" s="23">
        <v>3874.1458577499989</v>
      </c>
      <c r="AR6" s="29">
        <v>941.46666000000016</v>
      </c>
      <c r="AS6" s="21">
        <v>12831.225695059993</v>
      </c>
      <c r="AT6" s="21">
        <v>2588.1838933999984</v>
      </c>
      <c r="AU6" s="52">
        <v>1537.8995799999998</v>
      </c>
      <c r="AV6" s="23">
        <v>17898.775828459991</v>
      </c>
      <c r="AW6" s="17"/>
      <c r="AX6" s="115" t="s">
        <v>539</v>
      </c>
      <c r="AY6" s="32">
        <v>0</v>
      </c>
      <c r="AZ6" s="21">
        <v>3014.1240085499994</v>
      </c>
      <c r="BA6" s="21">
        <v>973.32450809999943</v>
      </c>
      <c r="BB6" s="21">
        <v>399.74479999999994</v>
      </c>
      <c r="BC6" s="23">
        <v>4387.1933166499985</v>
      </c>
      <c r="BD6" s="29">
        <v>941.46666000000016</v>
      </c>
      <c r="BE6" s="21">
        <v>15845.349703609994</v>
      </c>
      <c r="BF6" s="21">
        <v>3561.5084014999975</v>
      </c>
      <c r="BG6" s="52">
        <v>1937.64438</v>
      </c>
      <c r="BH6" s="23">
        <v>22285.969145109997</v>
      </c>
      <c r="BI6" s="17"/>
      <c r="BJ6" s="115" t="s">
        <v>539</v>
      </c>
      <c r="BK6" s="32">
        <v>0</v>
      </c>
      <c r="BL6" s="21">
        <v>2759.1171000999993</v>
      </c>
      <c r="BM6" s="21">
        <v>861.36290799999961</v>
      </c>
      <c r="BN6" s="21">
        <v>450.58119999999997</v>
      </c>
      <c r="BO6" s="23">
        <v>4071.061208099999</v>
      </c>
      <c r="BP6" s="29">
        <v>941.46666000000016</v>
      </c>
      <c r="BQ6" s="21">
        <v>18604.466803709998</v>
      </c>
      <c r="BR6" s="21">
        <v>4422.8713094999985</v>
      </c>
      <c r="BS6" s="52">
        <v>2388.2255799999998</v>
      </c>
      <c r="BT6" s="23">
        <v>26357.030353209997</v>
      </c>
      <c r="BU6" s="17"/>
      <c r="BV6" s="115" t="s">
        <v>539</v>
      </c>
      <c r="BW6" s="32">
        <v>521.89866300000006</v>
      </c>
      <c r="BX6" s="21">
        <v>2685.9651773499995</v>
      </c>
      <c r="BY6" s="21">
        <v>425.15284104999984</v>
      </c>
      <c r="BZ6" s="21">
        <v>484.10483999999991</v>
      </c>
      <c r="CA6" s="23">
        <v>4117.1215213999994</v>
      </c>
      <c r="CB6" s="29">
        <v>1463.3653230000002</v>
      </c>
      <c r="CC6" s="21">
        <v>21290.431981060006</v>
      </c>
      <c r="CD6" s="21">
        <v>4848.024150549998</v>
      </c>
      <c r="CE6" s="52">
        <v>2872.3304199999993</v>
      </c>
      <c r="CF6" s="23">
        <v>30474.151874610005</v>
      </c>
      <c r="CG6" s="17"/>
      <c r="CH6" s="115" t="s">
        <v>539</v>
      </c>
      <c r="CI6" s="32">
        <v>189.78133200000002</v>
      </c>
      <c r="CJ6" s="21">
        <v>3355.4747583499998</v>
      </c>
      <c r="CK6" s="21">
        <v>693.71928174999971</v>
      </c>
      <c r="CL6" s="21">
        <v>0</v>
      </c>
      <c r="CM6" s="23">
        <v>4238.9753720999997</v>
      </c>
      <c r="CN6" s="29">
        <v>1653.1466550000002</v>
      </c>
      <c r="CO6" s="21">
        <v>24645.906739410002</v>
      </c>
      <c r="CP6" s="21">
        <v>5541.7434322999979</v>
      </c>
      <c r="CQ6" s="52">
        <v>2872.3304199999993</v>
      </c>
      <c r="CR6" s="23">
        <v>34713.127246709999</v>
      </c>
      <c r="CS6" s="17"/>
      <c r="CT6" s="115" t="s">
        <v>539</v>
      </c>
      <c r="CU6" s="32">
        <v>0</v>
      </c>
      <c r="CV6" s="21">
        <v>3610.4292388499994</v>
      </c>
      <c r="CW6" s="21">
        <v>591.20519919999958</v>
      </c>
      <c r="CX6" s="21">
        <v>529.37351999999987</v>
      </c>
      <c r="CY6" s="23">
        <v>4731.0079580499987</v>
      </c>
      <c r="CZ6" s="29">
        <v>1653.1466550000002</v>
      </c>
      <c r="DA6" s="21">
        <v>28256.335978259998</v>
      </c>
      <c r="DB6" s="21">
        <v>6132.9486314999967</v>
      </c>
      <c r="DC6" s="52">
        <v>3401.7039399999994</v>
      </c>
      <c r="DD6" s="23">
        <v>39444.135204759994</v>
      </c>
      <c r="DE6" s="17"/>
      <c r="DF6" s="115" t="s">
        <v>539</v>
      </c>
      <c r="DG6" s="32">
        <v>0</v>
      </c>
      <c r="DH6" s="21">
        <v>2432.6379779500003</v>
      </c>
      <c r="DI6" s="21">
        <v>477.5251963999998</v>
      </c>
      <c r="DJ6" s="21">
        <v>983.46919999999989</v>
      </c>
      <c r="DK6" s="21">
        <v>42.77375</v>
      </c>
      <c r="DL6" s="23">
        <v>3936.40612435</v>
      </c>
      <c r="DM6" s="29">
        <v>1653.1466550000002</v>
      </c>
      <c r="DN6" s="21">
        <v>30688.973956210008</v>
      </c>
      <c r="DO6" s="21">
        <v>6610.4738278999976</v>
      </c>
      <c r="DP6" s="52">
        <v>4385.173139999999</v>
      </c>
      <c r="DQ6" s="145">
        <v>42.77375</v>
      </c>
      <c r="DR6" s="23">
        <v>43380.541329110005</v>
      </c>
      <c r="DS6" s="17"/>
      <c r="DT6" s="115" t="s">
        <v>539</v>
      </c>
      <c r="DU6" s="32">
        <v>0</v>
      </c>
      <c r="DV6" s="21">
        <v>2561.5792240499995</v>
      </c>
      <c r="DW6" s="21">
        <v>946.46921419999956</v>
      </c>
      <c r="DX6" s="21">
        <v>739.61801999999989</v>
      </c>
      <c r="DY6" s="21">
        <v>0</v>
      </c>
      <c r="DZ6" s="23">
        <v>4247.6664582499989</v>
      </c>
      <c r="EA6" s="29">
        <v>1653.1466550000002</v>
      </c>
      <c r="EB6" s="21">
        <v>33250.553180260016</v>
      </c>
      <c r="EC6" s="21">
        <v>7556.9430420999961</v>
      </c>
      <c r="ED6" s="52">
        <v>5124.7911599999989</v>
      </c>
      <c r="EE6" s="145">
        <v>42.77375</v>
      </c>
      <c r="EF6" s="23">
        <v>47628.207787360006</v>
      </c>
      <c r="EG6" s="17"/>
      <c r="EH6" s="115" t="s">
        <v>539</v>
      </c>
      <c r="EI6" s="32">
        <v>0</v>
      </c>
      <c r="EJ6" s="21">
        <v>2866.9009754200001</v>
      </c>
      <c r="EK6" s="21">
        <v>626.25632964999977</v>
      </c>
      <c r="EL6" s="21">
        <v>370.72031999999996</v>
      </c>
      <c r="EM6" s="21">
        <v>0</v>
      </c>
      <c r="EN6" s="23">
        <v>3863.8776250699998</v>
      </c>
      <c r="EO6" s="29">
        <v>1653.1466550000002</v>
      </c>
      <c r="EP6" s="21">
        <v>36117.454155680003</v>
      </c>
      <c r="EQ6" s="21">
        <v>8183.1993717499954</v>
      </c>
      <c r="ER6" s="52">
        <v>5495.5114799999983</v>
      </c>
      <c r="ES6" s="145">
        <v>42.77375</v>
      </c>
      <c r="ET6" s="23">
        <v>51492.085412429995</v>
      </c>
      <c r="EU6" s="17"/>
      <c r="EV6" s="115" t="s">
        <v>539</v>
      </c>
      <c r="EW6" s="32">
        <v>0</v>
      </c>
      <c r="EX6" s="21">
        <v>4291.9895469500007</v>
      </c>
      <c r="EY6" s="21">
        <v>586.70147409999959</v>
      </c>
      <c r="EZ6" s="21">
        <v>584.2600799999999</v>
      </c>
      <c r="FA6" s="21">
        <v>0</v>
      </c>
      <c r="FB6" s="23">
        <v>5462.95110105</v>
      </c>
      <c r="FC6" s="29">
        <v>1653.1466550000002</v>
      </c>
      <c r="FD6" s="21">
        <v>40409.443702629986</v>
      </c>
      <c r="FE6" s="21">
        <v>8769.9008458499957</v>
      </c>
      <c r="FF6" s="52">
        <v>6079.7715599999992</v>
      </c>
      <c r="FG6" s="145">
        <v>42.77375</v>
      </c>
      <c r="FH6" s="23">
        <v>56955.036513479979</v>
      </c>
      <c r="FI6" s="17"/>
      <c r="FJ6" s="115" t="s">
        <v>539</v>
      </c>
      <c r="FK6" s="32">
        <v>0</v>
      </c>
      <c r="FL6" s="21">
        <v>3975.0007526999998</v>
      </c>
      <c r="FM6" s="21">
        <v>705.96288917999959</v>
      </c>
      <c r="FN6" s="21">
        <v>526.44063999999992</v>
      </c>
      <c r="FO6" s="21">
        <v>0</v>
      </c>
      <c r="FP6" s="23">
        <v>5207.404281879999</v>
      </c>
      <c r="FQ6" s="29">
        <v>1653.1466550000002</v>
      </c>
      <c r="FR6" s="21">
        <v>44384.444455329984</v>
      </c>
      <c r="FS6" s="21">
        <v>9475.8637350299978</v>
      </c>
      <c r="FT6" s="52">
        <v>6606.2121999999981</v>
      </c>
      <c r="FU6" s="145">
        <v>42.77375</v>
      </c>
      <c r="FV6" s="23">
        <v>62162.44079535998</v>
      </c>
      <c r="FW6" s="17"/>
      <c r="FX6" s="115" t="s">
        <v>539</v>
      </c>
      <c r="FY6" s="32">
        <v>0</v>
      </c>
      <c r="FZ6" s="21">
        <v>2494.2464473099994</v>
      </c>
      <c r="GA6" s="21">
        <v>809.61027835999982</v>
      </c>
      <c r="GB6" s="21">
        <v>935.69951999999989</v>
      </c>
      <c r="GC6" s="21">
        <v>0</v>
      </c>
      <c r="GD6" s="23">
        <v>4239.556245669999</v>
      </c>
      <c r="GE6" s="29">
        <v>1653.1466550000002</v>
      </c>
      <c r="GF6" s="21">
        <v>46878.690902639981</v>
      </c>
      <c r="GG6" s="21">
        <v>10285.474013389996</v>
      </c>
      <c r="GH6" s="52">
        <v>7541.9117199999991</v>
      </c>
      <c r="GI6" s="145">
        <v>42.77375</v>
      </c>
      <c r="GJ6" s="23">
        <v>66401.997041029972</v>
      </c>
      <c r="GK6" s="17"/>
      <c r="GL6" s="115" t="s">
        <v>539</v>
      </c>
      <c r="GM6" s="32">
        <v>941.46666000000016</v>
      </c>
      <c r="GN6" s="21">
        <v>3106.7380224899994</v>
      </c>
      <c r="GO6" s="21">
        <v>812.66903244999958</v>
      </c>
      <c r="GP6" s="21">
        <v>391.86623999999995</v>
      </c>
      <c r="GQ6" s="21">
        <v>0</v>
      </c>
      <c r="GR6" s="23">
        <v>5252.7399549399988</v>
      </c>
      <c r="GS6" s="29">
        <v>2594.6133150000005</v>
      </c>
      <c r="GT6" s="21">
        <v>49985.428925129963</v>
      </c>
      <c r="GU6" s="21">
        <v>11098.143045839995</v>
      </c>
      <c r="GV6" s="52">
        <v>7933.7779599999985</v>
      </c>
      <c r="GW6" s="145">
        <v>42.77375</v>
      </c>
      <c r="GX6" s="23">
        <v>71654.736995969943</v>
      </c>
      <c r="GY6" s="17"/>
      <c r="GZ6" s="115" t="s">
        <v>539</v>
      </c>
      <c r="HA6" s="32">
        <v>0</v>
      </c>
      <c r="HB6" s="21">
        <v>2660.5257683499995</v>
      </c>
      <c r="HC6" s="21">
        <v>646.6945389399998</v>
      </c>
      <c r="HD6" s="21">
        <v>1040.1569999999997</v>
      </c>
      <c r="HE6" s="21">
        <v>0</v>
      </c>
      <c r="HF6" s="23">
        <v>4347.3773072899985</v>
      </c>
      <c r="HG6" s="29">
        <v>2594.6133150000005</v>
      </c>
      <c r="HH6" s="21">
        <v>52645.954693479965</v>
      </c>
      <c r="HI6" s="21">
        <v>11744.837584779994</v>
      </c>
      <c r="HJ6" s="52">
        <v>8973.9349599999969</v>
      </c>
      <c r="HK6" s="145">
        <v>42.77375</v>
      </c>
      <c r="HL6" s="23">
        <v>76002.11430325995</v>
      </c>
      <c r="HM6" s="17"/>
      <c r="HN6" s="115" t="s">
        <v>539</v>
      </c>
      <c r="HO6" s="32">
        <v>517.80666300000007</v>
      </c>
      <c r="HP6" s="21">
        <v>4446.4500092399985</v>
      </c>
      <c r="HQ6" s="21">
        <v>904.06123679999962</v>
      </c>
      <c r="HR6" s="21">
        <v>933.04295999999977</v>
      </c>
      <c r="HS6" s="21">
        <v>0</v>
      </c>
      <c r="HT6" s="23">
        <v>6801.3608690399979</v>
      </c>
      <c r="HU6" s="29">
        <v>3112.4199780000008</v>
      </c>
      <c r="HV6" s="21">
        <v>57092.433213369972</v>
      </c>
      <c r="HW6" s="21">
        <v>12648.898821579995</v>
      </c>
      <c r="HX6" s="52">
        <v>9906.9779199999957</v>
      </c>
      <c r="HY6" s="145">
        <v>42.77375</v>
      </c>
      <c r="HZ6" s="23">
        <v>82803.503682949944</v>
      </c>
      <c r="IA6" s="17"/>
      <c r="IB6" s="115" t="s">
        <v>539</v>
      </c>
      <c r="IC6" s="32">
        <v>0</v>
      </c>
      <c r="ID6" s="21">
        <v>3005.8695729300002</v>
      </c>
      <c r="IE6" s="21">
        <v>705.06702629999972</v>
      </c>
      <c r="IF6" s="21">
        <v>888.19079999999985</v>
      </c>
      <c r="IG6" s="21">
        <v>0</v>
      </c>
      <c r="IH6" s="23">
        <v>4599.1273992299994</v>
      </c>
      <c r="II6" s="29">
        <v>3112.4199780000008</v>
      </c>
      <c r="IJ6" s="21">
        <v>60098.302786299973</v>
      </c>
      <c r="IK6" s="21">
        <v>13353.96584787999</v>
      </c>
      <c r="IL6" s="52">
        <v>10795.168719999998</v>
      </c>
      <c r="IM6" s="145">
        <v>42.77375</v>
      </c>
      <c r="IN6" s="23">
        <v>87402.631082179956</v>
      </c>
      <c r="IO6" s="17"/>
      <c r="IP6" s="115" t="s">
        <v>539</v>
      </c>
      <c r="IQ6" s="32">
        <v>0</v>
      </c>
      <c r="IR6" s="21">
        <v>2626.7354475499997</v>
      </c>
      <c r="IS6" s="21">
        <v>516.21538989999988</v>
      </c>
      <c r="IT6" s="21">
        <v>313.96511999999996</v>
      </c>
      <c r="IU6" s="21">
        <v>0</v>
      </c>
      <c r="IV6" s="23">
        <v>3456.9159574499995</v>
      </c>
      <c r="IW6" s="29">
        <v>3112.4199780000008</v>
      </c>
      <c r="IX6" s="21">
        <v>62725.038233849962</v>
      </c>
      <c r="IY6" s="21">
        <v>13870.181237779991</v>
      </c>
      <c r="IZ6" s="52">
        <v>11109.133839999999</v>
      </c>
      <c r="JA6" s="145">
        <v>42.77375</v>
      </c>
      <c r="JB6" s="23">
        <v>90859.54703962995</v>
      </c>
      <c r="JC6" s="17"/>
      <c r="JD6" s="115" t="s">
        <v>539</v>
      </c>
      <c r="JE6" s="32">
        <v>1082.6866590000002</v>
      </c>
      <c r="JF6" s="21">
        <v>2308.9779654299996</v>
      </c>
      <c r="JG6" s="21">
        <v>1004.8010965999995</v>
      </c>
      <c r="JH6" s="21">
        <v>783.07871999999986</v>
      </c>
      <c r="JI6" s="21">
        <v>0</v>
      </c>
      <c r="JJ6" s="23">
        <v>5179.5444410299988</v>
      </c>
      <c r="JK6" s="29">
        <v>4195.1066369999999</v>
      </c>
      <c r="JL6" s="21">
        <v>65034.016199279984</v>
      </c>
      <c r="JM6" s="21">
        <v>14874.982334379991</v>
      </c>
      <c r="JN6" s="52">
        <v>11892.212559999998</v>
      </c>
      <c r="JO6" s="145">
        <v>42.77375</v>
      </c>
      <c r="JP6" s="23">
        <v>96039.091480659976</v>
      </c>
      <c r="JQ6" s="17"/>
      <c r="JR6" s="115" t="s">
        <v>539</v>
      </c>
      <c r="JS6" s="32">
        <v>0</v>
      </c>
      <c r="JT6" s="21">
        <v>2291.5533155399999</v>
      </c>
      <c r="JU6" s="21">
        <v>926.79525279999973</v>
      </c>
      <c r="JV6" s="21">
        <v>763.43635999999992</v>
      </c>
      <c r="JW6" s="21">
        <v>0</v>
      </c>
      <c r="JX6" s="23">
        <v>3981.7849283399992</v>
      </c>
      <c r="JY6" s="29">
        <v>4195.1066369999999</v>
      </c>
      <c r="JZ6" s="21">
        <v>67325.569514819974</v>
      </c>
      <c r="KA6" s="21">
        <v>15801.777587179989</v>
      </c>
      <c r="KB6" s="52">
        <v>12655.648919999996</v>
      </c>
      <c r="KC6" s="145">
        <v>42.77375</v>
      </c>
      <c r="KD6" s="23">
        <v>100020.87640899995</v>
      </c>
      <c r="KE6" s="17"/>
      <c r="KF6" s="115" t="s">
        <v>539</v>
      </c>
      <c r="KG6" s="32">
        <v>1412.1999900000001</v>
      </c>
      <c r="KH6" s="21">
        <v>2806.3255520399998</v>
      </c>
      <c r="KI6" s="21">
        <v>647.0500452499997</v>
      </c>
      <c r="KJ6" s="21">
        <v>282.44639999999998</v>
      </c>
      <c r="KK6" s="21">
        <v>0</v>
      </c>
      <c r="KL6" s="23">
        <v>5148.0219872899997</v>
      </c>
      <c r="KM6" s="29">
        <v>5607.3066269999999</v>
      </c>
      <c r="KN6" s="21">
        <v>70131.895066859957</v>
      </c>
      <c r="KO6" s="21">
        <v>16448.827632429988</v>
      </c>
      <c r="KP6" s="52">
        <v>12938.095319999999</v>
      </c>
      <c r="KQ6" s="145">
        <v>42.77375</v>
      </c>
      <c r="KR6" s="23">
        <v>105168.89839628994</v>
      </c>
      <c r="KT6" s="115" t="s">
        <v>539</v>
      </c>
      <c r="KU6" s="32">
        <v>0</v>
      </c>
      <c r="KV6" s="21">
        <v>2357.98184305</v>
      </c>
      <c r="KW6" s="21">
        <v>616.20630959999983</v>
      </c>
      <c r="KX6" s="21">
        <v>689.63103999999998</v>
      </c>
      <c r="KY6" s="21">
        <v>0</v>
      </c>
      <c r="KZ6" s="23">
        <v>3663.8191926499994</v>
      </c>
      <c r="LA6" s="29">
        <v>5607.3066269999999</v>
      </c>
      <c r="LB6" s="21">
        <v>72489.876909909974</v>
      </c>
      <c r="LC6" s="21">
        <v>17065.033942029986</v>
      </c>
      <c r="LD6" s="52">
        <v>13627.726359999997</v>
      </c>
      <c r="LE6" s="145">
        <v>42.77375</v>
      </c>
      <c r="LF6" s="23">
        <v>108832.71758893995</v>
      </c>
      <c r="LG6" s="17"/>
      <c r="LH6" s="115" t="s">
        <v>539</v>
      </c>
      <c r="LI6" s="32">
        <v>1270.9799909999999</v>
      </c>
      <c r="LJ6" s="21">
        <v>2122.2633532599993</v>
      </c>
      <c r="LK6" s="21">
        <v>626.60626034999973</v>
      </c>
      <c r="LL6" s="21">
        <v>375.46879999999993</v>
      </c>
      <c r="LM6" s="21">
        <v>0</v>
      </c>
      <c r="LN6" s="23">
        <v>4395.3184046099987</v>
      </c>
      <c r="LO6" s="29">
        <v>6878.2866180000001</v>
      </c>
      <c r="LP6" s="21">
        <v>74612.14026316996</v>
      </c>
      <c r="LQ6" s="21">
        <v>17691.640202379986</v>
      </c>
      <c r="LR6" s="52">
        <v>14003.195159999996</v>
      </c>
      <c r="LS6" s="145">
        <v>42.77375</v>
      </c>
      <c r="LT6" s="23">
        <v>113228.03599354994</v>
      </c>
      <c r="LU6" s="17"/>
      <c r="LV6" s="115" t="s">
        <v>539</v>
      </c>
      <c r="LW6" s="32">
        <v>948.9066600000001</v>
      </c>
      <c r="LX6" s="21">
        <v>1710.6311317399995</v>
      </c>
      <c r="LY6" s="21">
        <v>923.94454634999977</v>
      </c>
      <c r="LZ6" s="21">
        <v>676.81183999999985</v>
      </c>
      <c r="MA6" s="21">
        <v>0</v>
      </c>
      <c r="MB6" s="23">
        <v>4260.2941780899991</v>
      </c>
      <c r="MC6" s="29">
        <v>7827.1932779999997</v>
      </c>
      <c r="MD6" s="21">
        <v>76322.742597449964</v>
      </c>
      <c r="ME6" s="21">
        <v>18615.584748729991</v>
      </c>
      <c r="MF6" s="52">
        <v>14680.006999999996</v>
      </c>
      <c r="MG6" s="145">
        <v>42.77375</v>
      </c>
      <c r="MH6" s="23">
        <v>117488.30137417995</v>
      </c>
      <c r="MI6" s="17">
        <f t="shared" si="5"/>
        <v>0</v>
      </c>
      <c r="MJ6" s="17">
        <f t="shared" si="0"/>
        <v>-2.8797459992347285E-2</v>
      </c>
      <c r="MK6" s="17">
        <f t="shared" si="1"/>
        <v>0</v>
      </c>
      <c r="ML6" s="17">
        <f t="shared" si="2"/>
        <v>0</v>
      </c>
      <c r="MM6" s="17">
        <f t="shared" si="3"/>
        <v>0</v>
      </c>
      <c r="MN6" s="17">
        <f t="shared" si="4"/>
        <v>-2.8797459992347285E-2</v>
      </c>
    </row>
    <row r="7" spans="2:352" x14ac:dyDescent="0.3">
      <c r="B7" s="114" t="s">
        <v>540</v>
      </c>
      <c r="C7" s="31">
        <v>0</v>
      </c>
      <c r="D7" s="18">
        <v>3348.43705</v>
      </c>
      <c r="E7" s="18">
        <v>784.90404999999953</v>
      </c>
      <c r="F7" s="18">
        <v>617.69425999999987</v>
      </c>
      <c r="G7" s="19">
        <v>4751.0353599999999</v>
      </c>
      <c r="H7" s="28">
        <v>0</v>
      </c>
      <c r="I7" s="18">
        <v>3348.43705</v>
      </c>
      <c r="J7" s="18">
        <v>784.90404999999953</v>
      </c>
      <c r="K7" s="51">
        <v>617.69425999999987</v>
      </c>
      <c r="L7" s="19">
        <v>4751.0353599999999</v>
      </c>
      <c r="N7" s="114" t="s">
        <v>540</v>
      </c>
      <c r="O7" s="31">
        <v>0</v>
      </c>
      <c r="P7" s="18">
        <v>2273.0572900000006</v>
      </c>
      <c r="Q7" s="18">
        <v>350.58799999999979</v>
      </c>
      <c r="R7" s="18">
        <v>446.50511999999992</v>
      </c>
      <c r="S7" s="19">
        <v>3070.1504100000002</v>
      </c>
      <c r="T7" s="28">
        <v>0</v>
      </c>
      <c r="U7" s="18">
        <v>5621.4943400000002</v>
      </c>
      <c r="V7" s="18">
        <v>1135.4920499999992</v>
      </c>
      <c r="W7" s="51">
        <v>1064.1993799999998</v>
      </c>
      <c r="X7" s="19">
        <v>7821.1857699999991</v>
      </c>
      <c r="Y7" s="17"/>
      <c r="Z7" s="114" t="s">
        <v>540</v>
      </c>
      <c r="AA7" s="31">
        <v>803.18000000000006</v>
      </c>
      <c r="AB7" s="18">
        <v>2731.8616499999994</v>
      </c>
      <c r="AC7" s="18">
        <v>435.57429999999971</v>
      </c>
      <c r="AD7" s="18">
        <v>341.34015999999997</v>
      </c>
      <c r="AE7" s="19">
        <v>4311.9561099999992</v>
      </c>
      <c r="AF7" s="28">
        <v>803.18000000000006</v>
      </c>
      <c r="AG7" s="18">
        <v>8353.3559899999982</v>
      </c>
      <c r="AH7" s="18">
        <v>1571.0663499999989</v>
      </c>
      <c r="AI7" s="51">
        <v>1405.5395399999998</v>
      </c>
      <c r="AJ7" s="19">
        <v>12133.141879999997</v>
      </c>
      <c r="AK7" s="17"/>
      <c r="AL7" s="114" t="s">
        <v>540</v>
      </c>
      <c r="AM7" s="31">
        <v>0</v>
      </c>
      <c r="AN7" s="18">
        <v>2517.2389499999995</v>
      </c>
      <c r="AO7" s="18">
        <v>668.44924999999967</v>
      </c>
      <c r="AP7" s="18">
        <v>96.547199999999989</v>
      </c>
      <c r="AQ7" s="19">
        <v>3282.2353999999991</v>
      </c>
      <c r="AR7" s="28">
        <v>803.18000000000006</v>
      </c>
      <c r="AS7" s="18">
        <v>10870.594939999995</v>
      </c>
      <c r="AT7" s="18">
        <v>2239.5155999999988</v>
      </c>
      <c r="AU7" s="51">
        <v>1502.08674</v>
      </c>
      <c r="AV7" s="19">
        <v>15415.377279999995</v>
      </c>
      <c r="AW7" s="17"/>
      <c r="AX7" s="114" t="s">
        <v>540</v>
      </c>
      <c r="AY7" s="31">
        <v>0</v>
      </c>
      <c r="AZ7" s="18">
        <v>2562.4962299999988</v>
      </c>
      <c r="BA7" s="18">
        <v>843.96234999999945</v>
      </c>
      <c r="BB7" s="18">
        <v>389.79807999999997</v>
      </c>
      <c r="BC7" s="19">
        <v>3796.2566599999982</v>
      </c>
      <c r="BD7" s="28">
        <v>803.18000000000006</v>
      </c>
      <c r="BE7" s="18">
        <v>13433.091169999998</v>
      </c>
      <c r="BF7" s="18">
        <v>3083.4779499999977</v>
      </c>
      <c r="BG7" s="51">
        <v>1891.8848199999995</v>
      </c>
      <c r="BH7" s="19">
        <v>19211.633939999996</v>
      </c>
      <c r="BI7" s="17"/>
      <c r="BJ7" s="114" t="s">
        <v>540</v>
      </c>
      <c r="BK7" s="31">
        <v>0</v>
      </c>
      <c r="BL7" s="18">
        <v>2349.9852099999998</v>
      </c>
      <c r="BM7" s="18">
        <v>726.51529999999968</v>
      </c>
      <c r="BN7" s="18">
        <v>439.08071999999999</v>
      </c>
      <c r="BO7" s="19">
        <v>3515.5812299999993</v>
      </c>
      <c r="BP7" s="28">
        <v>803.18000000000006</v>
      </c>
      <c r="BQ7" s="18">
        <v>15783.076379999993</v>
      </c>
      <c r="BR7" s="18">
        <v>3809.9932499999977</v>
      </c>
      <c r="BS7" s="51">
        <v>2330.9655399999992</v>
      </c>
      <c r="BT7" s="19">
        <v>22727.215169999989</v>
      </c>
      <c r="BU7" s="17"/>
      <c r="BV7" s="114" t="s">
        <v>540</v>
      </c>
      <c r="BW7" s="31">
        <v>445.84100000000007</v>
      </c>
      <c r="BX7" s="18">
        <v>2282.2939999999994</v>
      </c>
      <c r="BY7" s="18">
        <v>354.01554999999973</v>
      </c>
      <c r="BZ7" s="18">
        <v>472.29227999999989</v>
      </c>
      <c r="CA7" s="19">
        <v>3554.442829999999</v>
      </c>
      <c r="CB7" s="28">
        <v>1249.0210000000002</v>
      </c>
      <c r="CC7" s="18">
        <v>18065.37038</v>
      </c>
      <c r="CD7" s="18">
        <v>4164.0087999999969</v>
      </c>
      <c r="CE7" s="51">
        <v>2803.2578199999994</v>
      </c>
      <c r="CF7" s="19">
        <v>26281.657999999996</v>
      </c>
      <c r="CG7" s="17"/>
      <c r="CH7" s="114" t="s">
        <v>540</v>
      </c>
      <c r="CI7" s="31">
        <v>162.12400000000002</v>
      </c>
      <c r="CJ7" s="18">
        <v>2871.1042499999994</v>
      </c>
      <c r="CK7" s="18">
        <v>574.6695999999996</v>
      </c>
      <c r="CL7" s="18">
        <v>0</v>
      </c>
      <c r="CM7" s="19">
        <v>3607.8978499999989</v>
      </c>
      <c r="CN7" s="28">
        <v>1411.1450000000002</v>
      </c>
      <c r="CO7" s="18">
        <v>20936.474630000001</v>
      </c>
      <c r="CP7" s="18">
        <v>4738.6783999999971</v>
      </c>
      <c r="CQ7" s="51">
        <v>2803.2578199999998</v>
      </c>
      <c r="CR7" s="19">
        <v>29889.555849999997</v>
      </c>
      <c r="CS7" s="17"/>
      <c r="CT7" s="114" t="s">
        <v>540</v>
      </c>
      <c r="CU7" s="31">
        <v>0</v>
      </c>
      <c r="CV7" s="18">
        <v>3080.5109999999995</v>
      </c>
      <c r="CW7" s="18">
        <v>513.3453499999996</v>
      </c>
      <c r="CX7" s="18">
        <v>517.4613599999999</v>
      </c>
      <c r="CY7" s="19">
        <v>4111.3177099999994</v>
      </c>
      <c r="CZ7" s="28">
        <v>1411.1450000000002</v>
      </c>
      <c r="DA7" s="18">
        <v>24016.985630000003</v>
      </c>
      <c r="DB7" s="18">
        <v>5252.0237499999967</v>
      </c>
      <c r="DC7" s="51">
        <v>3320.7191799999991</v>
      </c>
      <c r="DD7" s="19">
        <v>34000.87356</v>
      </c>
      <c r="DE7" s="17"/>
      <c r="DF7" s="114" t="s">
        <v>540</v>
      </c>
      <c r="DG7" s="31">
        <v>0</v>
      </c>
      <c r="DH7" s="18">
        <v>2080.7700899999995</v>
      </c>
      <c r="DI7" s="18">
        <v>394.39574999999985</v>
      </c>
      <c r="DJ7" s="18">
        <v>964.51863999999989</v>
      </c>
      <c r="DK7" s="18">
        <v>41.196750000000002</v>
      </c>
      <c r="DL7" s="19">
        <v>3480.8812299999991</v>
      </c>
      <c r="DM7" s="28">
        <v>1411.1450000000002</v>
      </c>
      <c r="DN7" s="18">
        <v>26097.755720000005</v>
      </c>
      <c r="DO7" s="18">
        <v>5646.4194999999972</v>
      </c>
      <c r="DP7" s="51">
        <v>4285.2378199999994</v>
      </c>
      <c r="DQ7" s="143">
        <v>41.196750000000002</v>
      </c>
      <c r="DR7" s="19">
        <v>37481.754790000006</v>
      </c>
      <c r="DS7" s="17"/>
      <c r="DT7" s="114" t="s">
        <v>540</v>
      </c>
      <c r="DU7" s="31">
        <v>0</v>
      </c>
      <c r="DV7" s="18">
        <v>2165.6393499999995</v>
      </c>
      <c r="DW7" s="18">
        <v>804.53229999999974</v>
      </c>
      <c r="DX7" s="18">
        <v>722.97485999999992</v>
      </c>
      <c r="DY7" s="18">
        <v>0</v>
      </c>
      <c r="DZ7" s="19">
        <v>3693.1465099999991</v>
      </c>
      <c r="EA7" s="28">
        <v>1411.1450000000002</v>
      </c>
      <c r="EB7" s="18">
        <v>28263.395069999999</v>
      </c>
      <c r="EC7" s="18">
        <v>6450.9517999999971</v>
      </c>
      <c r="ED7" s="51">
        <v>5008.2126799999996</v>
      </c>
      <c r="EE7" s="143">
        <v>41.196750000000002</v>
      </c>
      <c r="EF7" s="19">
        <v>41174.901299999998</v>
      </c>
      <c r="EG7" s="17"/>
      <c r="EH7" s="114" t="s">
        <v>540</v>
      </c>
      <c r="EI7" s="31">
        <v>0</v>
      </c>
      <c r="EJ7" s="18">
        <v>2439.8815499999996</v>
      </c>
      <c r="EK7" s="18">
        <v>500.26899999999983</v>
      </c>
      <c r="EL7" s="18">
        <v>361.47743999999994</v>
      </c>
      <c r="EM7" s="18">
        <v>0</v>
      </c>
      <c r="EN7" s="19">
        <v>3301.6279899999995</v>
      </c>
      <c r="EO7" s="28">
        <v>1411.1450000000002</v>
      </c>
      <c r="EP7" s="18">
        <v>30703.276620000004</v>
      </c>
      <c r="EQ7" s="18">
        <v>6951.2207999999964</v>
      </c>
      <c r="ER7" s="51">
        <v>5369.6901200000002</v>
      </c>
      <c r="ES7" s="143">
        <v>41.196750000000002</v>
      </c>
      <c r="ET7" s="19">
        <v>44476.529290000006</v>
      </c>
      <c r="EU7" s="17"/>
      <c r="EV7" s="114" t="s">
        <v>540</v>
      </c>
      <c r="EW7" s="31">
        <v>0</v>
      </c>
      <c r="EX7" s="18">
        <v>3662.8287499999988</v>
      </c>
      <c r="EY7" s="18">
        <v>489.4728999999997</v>
      </c>
      <c r="EZ7" s="18">
        <v>570.09031999999991</v>
      </c>
      <c r="FA7" s="18">
        <v>0</v>
      </c>
      <c r="FB7" s="19">
        <v>4722.3919699999988</v>
      </c>
      <c r="FC7" s="28">
        <v>1411.1450000000002</v>
      </c>
      <c r="FD7" s="18">
        <v>34366.105370000012</v>
      </c>
      <c r="FE7" s="18">
        <v>7440.6936999999962</v>
      </c>
      <c r="FF7" s="51">
        <v>5939.7804399999986</v>
      </c>
      <c r="FG7" s="143">
        <v>41.196750000000002</v>
      </c>
      <c r="FH7" s="19">
        <v>49198.921260000003</v>
      </c>
      <c r="FI7" s="17"/>
      <c r="FJ7" s="114" t="s">
        <v>540</v>
      </c>
      <c r="FK7" s="31">
        <v>0</v>
      </c>
      <c r="FL7" s="18">
        <v>3380.6894899999993</v>
      </c>
      <c r="FM7" s="18">
        <v>599.70206999999971</v>
      </c>
      <c r="FN7" s="18">
        <v>513.66527999999994</v>
      </c>
      <c r="FO7" s="18">
        <v>0</v>
      </c>
      <c r="FP7" s="19">
        <v>4494.0568399999993</v>
      </c>
      <c r="FQ7" s="28">
        <v>1411.1450000000002</v>
      </c>
      <c r="FR7" s="18">
        <v>37746.794860000009</v>
      </c>
      <c r="FS7" s="18">
        <v>8040.3957699999964</v>
      </c>
      <c r="FT7" s="51">
        <v>6453.4457199999979</v>
      </c>
      <c r="FU7" s="143">
        <v>41.196750000000002</v>
      </c>
      <c r="FV7" s="19">
        <v>53692.9781</v>
      </c>
      <c r="FW7" s="17"/>
      <c r="FX7" s="114" t="s">
        <v>540</v>
      </c>
      <c r="FY7" s="31">
        <v>0</v>
      </c>
      <c r="FZ7" s="18">
        <v>2122.1069199999997</v>
      </c>
      <c r="GA7" s="18">
        <v>598.95706999999982</v>
      </c>
      <c r="GB7" s="18">
        <v>914.13279999999986</v>
      </c>
      <c r="GC7" s="18">
        <v>0</v>
      </c>
      <c r="GD7" s="19">
        <v>3635.1967899999995</v>
      </c>
      <c r="GE7" s="28">
        <v>1411.1450000000002</v>
      </c>
      <c r="GF7" s="18">
        <v>39868.901780000022</v>
      </c>
      <c r="GG7" s="18">
        <v>8639.3528399999959</v>
      </c>
      <c r="GH7" s="51">
        <v>7367.5785199999982</v>
      </c>
      <c r="GI7" s="143">
        <v>41.196750000000002</v>
      </c>
      <c r="GJ7" s="19">
        <v>57328.174890000009</v>
      </c>
      <c r="GK7" s="17"/>
      <c r="GL7" s="114" t="s">
        <v>540</v>
      </c>
      <c r="GM7" s="31">
        <v>803.18000000000006</v>
      </c>
      <c r="GN7" s="18">
        <v>2646.5406899999989</v>
      </c>
      <c r="GO7" s="18">
        <v>686.25719999999956</v>
      </c>
      <c r="GP7" s="18">
        <v>383.04831999999993</v>
      </c>
      <c r="GQ7" s="18">
        <v>0</v>
      </c>
      <c r="GR7" s="19">
        <v>4519.0262099999982</v>
      </c>
      <c r="GS7" s="28">
        <v>2214.3250000000003</v>
      </c>
      <c r="GT7" s="18">
        <v>42515.442470000016</v>
      </c>
      <c r="GU7" s="18">
        <v>9325.6100399999996</v>
      </c>
      <c r="GV7" s="51">
        <v>7750.626839999999</v>
      </c>
      <c r="GW7" s="143">
        <v>41.196750000000002</v>
      </c>
      <c r="GX7" s="19">
        <v>61847.201100000013</v>
      </c>
      <c r="GY7" s="17"/>
      <c r="GZ7" s="114" t="s">
        <v>540</v>
      </c>
      <c r="HA7" s="31">
        <v>0</v>
      </c>
      <c r="HB7" s="18">
        <v>2261.7715499999995</v>
      </c>
      <c r="HC7" s="18">
        <v>538.62845999999968</v>
      </c>
      <c r="HD7" s="18">
        <v>1016.7509999999997</v>
      </c>
      <c r="HE7" s="18">
        <v>0</v>
      </c>
      <c r="HF7" s="19">
        <v>3817.1510099999991</v>
      </c>
      <c r="HG7" s="28">
        <v>2214.3250000000003</v>
      </c>
      <c r="HH7" s="18">
        <v>44777.214020000029</v>
      </c>
      <c r="HI7" s="18">
        <v>9864.2384999999977</v>
      </c>
      <c r="HJ7" s="51">
        <v>8767.3778399999992</v>
      </c>
      <c r="HK7" s="143">
        <v>41.196750000000002</v>
      </c>
      <c r="HL7" s="19">
        <v>65664.352110000022</v>
      </c>
      <c r="HM7" s="17"/>
      <c r="HN7" s="114" t="s">
        <v>540</v>
      </c>
      <c r="HO7" s="31">
        <v>441.74900000000008</v>
      </c>
      <c r="HP7" s="18">
        <v>3773.775419999999</v>
      </c>
      <c r="HQ7" s="18">
        <v>739.16859999999963</v>
      </c>
      <c r="HR7" s="18">
        <v>912.04727999999977</v>
      </c>
      <c r="HS7" s="18">
        <v>0</v>
      </c>
      <c r="HT7" s="19">
        <v>5866.7402999999986</v>
      </c>
      <c r="HU7" s="28">
        <v>2656.0740000000005</v>
      </c>
      <c r="HV7" s="18">
        <v>48550.989440000012</v>
      </c>
      <c r="HW7" s="18">
        <v>10603.407099999997</v>
      </c>
      <c r="HX7" s="51">
        <v>9679.4251199999981</v>
      </c>
      <c r="HY7" s="143">
        <v>41.196750000000002</v>
      </c>
      <c r="HZ7" s="19">
        <v>71531.092410000012</v>
      </c>
      <c r="IA7" s="17"/>
      <c r="IB7" s="114" t="s">
        <v>540</v>
      </c>
      <c r="IC7" s="31">
        <v>0</v>
      </c>
      <c r="ID7" s="18">
        <v>2555.0536500000003</v>
      </c>
      <c r="IE7" s="18">
        <v>603.50184999999965</v>
      </c>
      <c r="IF7" s="18">
        <v>868.20439999999974</v>
      </c>
      <c r="IG7" s="18">
        <v>0</v>
      </c>
      <c r="IH7" s="19">
        <v>4026.7598999999996</v>
      </c>
      <c r="II7" s="28">
        <v>2656.0740000000005</v>
      </c>
      <c r="IJ7" s="18">
        <v>51106.043090000006</v>
      </c>
      <c r="IK7" s="18">
        <v>11206.908949999994</v>
      </c>
      <c r="IL7" s="51">
        <v>10547.629519999999</v>
      </c>
      <c r="IM7" s="143">
        <v>41.196750000000002</v>
      </c>
      <c r="IN7" s="19">
        <v>75557.852310000002</v>
      </c>
      <c r="IO7" s="17"/>
      <c r="IP7" s="114" t="s">
        <v>540</v>
      </c>
      <c r="IQ7" s="31">
        <v>0</v>
      </c>
      <c r="IR7" s="18">
        <v>2247.101099999999</v>
      </c>
      <c r="IS7" s="18">
        <v>399.26214999999991</v>
      </c>
      <c r="IT7" s="18">
        <v>306.90015999999991</v>
      </c>
      <c r="IU7" s="18">
        <v>0</v>
      </c>
      <c r="IV7" s="19">
        <v>2953.2634099999987</v>
      </c>
      <c r="IW7" s="28">
        <v>2656.0740000000005</v>
      </c>
      <c r="IX7" s="18">
        <v>53353.144190000006</v>
      </c>
      <c r="IY7" s="18">
        <v>11606.17109999999</v>
      </c>
      <c r="IZ7" s="51">
        <v>10854.529679999996</v>
      </c>
      <c r="JA7" s="143">
        <v>41.196750000000002</v>
      </c>
      <c r="JB7" s="19">
        <v>78511.115719999987</v>
      </c>
      <c r="JC7" s="17"/>
      <c r="JD7" s="114" t="s">
        <v>540</v>
      </c>
      <c r="JE7" s="31">
        <v>923.65700000000015</v>
      </c>
      <c r="JF7" s="18">
        <v>1981.5766299999989</v>
      </c>
      <c r="JG7" s="18">
        <v>845.37389999999959</v>
      </c>
      <c r="JH7" s="18">
        <v>765.3897599999998</v>
      </c>
      <c r="JI7" s="18">
        <v>0</v>
      </c>
      <c r="JJ7" s="19">
        <v>4515.9972899999984</v>
      </c>
      <c r="JK7" s="28">
        <v>3579.7310000000007</v>
      </c>
      <c r="JL7" s="18">
        <v>55334.720820000002</v>
      </c>
      <c r="JM7" s="18">
        <v>12451.544999999991</v>
      </c>
      <c r="JN7" s="51">
        <v>11619.919439999998</v>
      </c>
      <c r="JO7" s="143">
        <v>41.196750000000002</v>
      </c>
      <c r="JP7" s="19">
        <v>83027.113010000001</v>
      </c>
      <c r="JQ7" s="17"/>
      <c r="JR7" s="114" t="s">
        <v>540</v>
      </c>
      <c r="JS7" s="31">
        <v>0</v>
      </c>
      <c r="JT7" s="18">
        <v>1970.9206599999995</v>
      </c>
      <c r="JU7" s="18">
        <v>752.08207999999968</v>
      </c>
      <c r="JV7" s="18">
        <v>745.81711999999993</v>
      </c>
      <c r="JW7" s="18">
        <v>0</v>
      </c>
      <c r="JX7" s="19">
        <v>3468.8198599999987</v>
      </c>
      <c r="JY7" s="28">
        <v>3579.7310000000007</v>
      </c>
      <c r="JZ7" s="18">
        <v>57305.641480000006</v>
      </c>
      <c r="KA7" s="18">
        <v>13203.627079999991</v>
      </c>
      <c r="KB7" s="51">
        <v>12365.736559999999</v>
      </c>
      <c r="KC7" s="143">
        <v>41.196750000000002</v>
      </c>
      <c r="KD7" s="19">
        <v>86495.932870000004</v>
      </c>
      <c r="KE7" s="17"/>
      <c r="KF7" s="114" t="s">
        <v>540</v>
      </c>
      <c r="KG7" s="31">
        <v>1204.77</v>
      </c>
      <c r="KH7" s="18">
        <v>2416.7015699999993</v>
      </c>
      <c r="KI7" s="18">
        <v>545.61604999999963</v>
      </c>
      <c r="KJ7" s="18">
        <v>275.95247999999998</v>
      </c>
      <c r="KK7" s="18">
        <v>0</v>
      </c>
      <c r="KL7" s="19">
        <v>4443.0400999999983</v>
      </c>
      <c r="KM7" s="28">
        <v>4784.5010000000002</v>
      </c>
      <c r="KN7" s="18">
        <v>59722.343050000003</v>
      </c>
      <c r="KO7" s="18">
        <v>13749.24312999999</v>
      </c>
      <c r="KP7" s="51">
        <v>12641.689039999997</v>
      </c>
      <c r="KQ7" s="143">
        <v>41.196750000000002</v>
      </c>
      <c r="KR7" s="19">
        <v>90938.972969999988</v>
      </c>
      <c r="KT7" s="114" t="s">
        <v>540</v>
      </c>
      <c r="KU7" s="31">
        <v>0</v>
      </c>
      <c r="KV7" s="18">
        <v>2039.1166599999992</v>
      </c>
      <c r="KW7" s="18">
        <v>498.61209999999977</v>
      </c>
      <c r="KX7" s="18">
        <v>674.51839999999993</v>
      </c>
      <c r="KY7" s="18">
        <v>0</v>
      </c>
      <c r="KZ7" s="19">
        <v>3212.247159999999</v>
      </c>
      <c r="LA7" s="28">
        <v>4784.5010000000002</v>
      </c>
      <c r="LB7" s="18">
        <v>61761.459710000003</v>
      </c>
      <c r="LC7" s="18">
        <v>14247.85522999999</v>
      </c>
      <c r="LD7" s="51">
        <v>13316.207439999998</v>
      </c>
      <c r="LE7" s="143">
        <v>41.196750000000002</v>
      </c>
      <c r="LF7" s="19">
        <v>94151.220129999987</v>
      </c>
      <c r="LG7" s="17"/>
      <c r="LH7" s="114" t="s">
        <v>540</v>
      </c>
      <c r="LI7" s="31">
        <v>1084.2929999999999</v>
      </c>
      <c r="LJ7" s="18">
        <v>1842.2347099999993</v>
      </c>
      <c r="LK7" s="18">
        <v>531.64159999999958</v>
      </c>
      <c r="LL7" s="18">
        <v>368.03199999999993</v>
      </c>
      <c r="LM7" s="18">
        <v>0</v>
      </c>
      <c r="LN7" s="19">
        <v>3826.2013099999986</v>
      </c>
      <c r="LO7" s="28">
        <v>5868.7939999999999</v>
      </c>
      <c r="LP7" s="18">
        <v>63603.69442</v>
      </c>
      <c r="LQ7" s="18">
        <v>14779.496829999991</v>
      </c>
      <c r="LR7" s="51">
        <v>13684.239439999998</v>
      </c>
      <c r="LS7" s="143">
        <v>41.196750000000002</v>
      </c>
      <c r="LT7" s="19">
        <v>97977.421439999976</v>
      </c>
      <c r="LU7" s="17"/>
      <c r="LV7" s="114" t="s">
        <v>540</v>
      </c>
      <c r="LW7" s="31">
        <v>810.62000000000012</v>
      </c>
      <c r="LX7" s="18">
        <v>1455.7443199999998</v>
      </c>
      <c r="LY7" s="18">
        <v>760.57694999999956</v>
      </c>
      <c r="LZ7" s="18">
        <v>663.33927999999992</v>
      </c>
      <c r="MA7" s="18">
        <v>0</v>
      </c>
      <c r="MB7" s="19">
        <v>3690.2805499999995</v>
      </c>
      <c r="MC7" s="28">
        <v>6679.4139999999998</v>
      </c>
      <c r="MD7" s="18">
        <v>65059.438739999991</v>
      </c>
      <c r="ME7" s="18">
        <v>15540.07377999999</v>
      </c>
      <c r="MF7" s="51">
        <v>14347.578719999998</v>
      </c>
      <c r="MG7" s="143">
        <v>41.196750000000002</v>
      </c>
      <c r="MH7" s="19">
        <v>101667.70198999997</v>
      </c>
      <c r="MI7" s="17">
        <f t="shared" si="5"/>
        <v>0</v>
      </c>
      <c r="MJ7" s="17">
        <f t="shared" si="0"/>
        <v>0</v>
      </c>
      <c r="MK7" s="17">
        <f t="shared" si="1"/>
        <v>0</v>
      </c>
      <c r="ML7" s="17">
        <f t="shared" si="2"/>
        <v>0</v>
      </c>
      <c r="MM7" s="17">
        <f t="shared" si="3"/>
        <v>0</v>
      </c>
      <c r="MN7" s="17">
        <f t="shared" si="4"/>
        <v>0</v>
      </c>
    </row>
    <row r="8" spans="2:352" x14ac:dyDescent="0.3">
      <c r="B8" s="114" t="s">
        <v>541</v>
      </c>
      <c r="C8" s="31">
        <v>0</v>
      </c>
      <c r="D8" s="18">
        <v>297.35124999999999</v>
      </c>
      <c r="E8" s="18">
        <v>77.646450000000002</v>
      </c>
      <c r="F8" s="18">
        <v>6.4245000000000001</v>
      </c>
      <c r="G8" s="19">
        <v>381.42220000000003</v>
      </c>
      <c r="H8" s="28">
        <v>0</v>
      </c>
      <c r="I8" s="18">
        <v>297.35124999999999</v>
      </c>
      <c r="J8" s="18">
        <v>77.646450000000002</v>
      </c>
      <c r="K8" s="51">
        <v>6.4245000000000001</v>
      </c>
      <c r="L8" s="19">
        <v>381.42220000000003</v>
      </c>
      <c r="N8" s="114" t="s">
        <v>541</v>
      </c>
      <c r="O8" s="31">
        <v>0</v>
      </c>
      <c r="P8" s="18">
        <v>201.14886999999999</v>
      </c>
      <c r="Q8" s="18">
        <v>27.791749999999997</v>
      </c>
      <c r="R8" s="18">
        <v>4.6440000000000001</v>
      </c>
      <c r="S8" s="19">
        <v>233.58462</v>
      </c>
      <c r="T8" s="28">
        <v>0</v>
      </c>
      <c r="U8" s="18">
        <v>498.50011999999998</v>
      </c>
      <c r="V8" s="18">
        <v>105.43819999999999</v>
      </c>
      <c r="W8" s="51">
        <v>11.0685</v>
      </c>
      <c r="X8" s="19">
        <v>615.00681999999995</v>
      </c>
      <c r="Y8" s="17"/>
      <c r="Z8" s="114" t="s">
        <v>541</v>
      </c>
      <c r="AA8" s="31">
        <v>72.44</v>
      </c>
      <c r="AB8" s="18">
        <v>229.0504</v>
      </c>
      <c r="AC8" s="18">
        <v>31.231549999999999</v>
      </c>
      <c r="AD8" s="18">
        <v>3.99</v>
      </c>
      <c r="AE8" s="19">
        <v>336.71195</v>
      </c>
      <c r="AF8" s="28">
        <v>72.44</v>
      </c>
      <c r="AG8" s="18">
        <v>727.55052000000023</v>
      </c>
      <c r="AH8" s="18">
        <v>136.66974999999999</v>
      </c>
      <c r="AI8" s="51">
        <v>15.0585</v>
      </c>
      <c r="AJ8" s="19">
        <v>951.71877000000029</v>
      </c>
      <c r="AK8" s="17"/>
      <c r="AL8" s="114" t="s">
        <v>541</v>
      </c>
      <c r="AM8" s="31">
        <v>0</v>
      </c>
      <c r="AN8" s="18">
        <v>270.35960000000006</v>
      </c>
      <c r="AO8" s="18">
        <v>49.362249999999996</v>
      </c>
      <c r="AP8" s="18">
        <v>1.1220000000000001</v>
      </c>
      <c r="AQ8" s="19">
        <v>320.84385000000009</v>
      </c>
      <c r="AR8" s="28">
        <v>72.44</v>
      </c>
      <c r="AS8" s="18">
        <v>997.91012000000001</v>
      </c>
      <c r="AT8" s="18">
        <v>186.03200000000001</v>
      </c>
      <c r="AU8" s="51">
        <v>16.180499999999999</v>
      </c>
      <c r="AV8" s="19">
        <v>1272.5626199999999</v>
      </c>
      <c r="AW8" s="17"/>
      <c r="AX8" s="114" t="s">
        <v>541</v>
      </c>
      <c r="AY8" s="31">
        <v>0</v>
      </c>
      <c r="AZ8" s="18">
        <v>223.36152000000001</v>
      </c>
      <c r="BA8" s="18">
        <v>67.891599999999997</v>
      </c>
      <c r="BB8" s="18">
        <v>4.4939999999999998</v>
      </c>
      <c r="BC8" s="19">
        <v>295.74712</v>
      </c>
      <c r="BD8" s="28">
        <v>72.44</v>
      </c>
      <c r="BE8" s="18">
        <v>1221.2716399999997</v>
      </c>
      <c r="BF8" s="18">
        <v>253.92360000000002</v>
      </c>
      <c r="BG8" s="51">
        <v>20.674499999999998</v>
      </c>
      <c r="BH8" s="19">
        <v>1568.3097399999999</v>
      </c>
      <c r="BI8" s="17"/>
      <c r="BJ8" s="114" t="s">
        <v>541</v>
      </c>
      <c r="BK8" s="31">
        <v>0</v>
      </c>
      <c r="BL8" s="18">
        <v>200.74769000000001</v>
      </c>
      <c r="BM8" s="18">
        <v>79.8</v>
      </c>
      <c r="BN8" s="18">
        <v>5.1959999999999997</v>
      </c>
      <c r="BO8" s="19">
        <v>285.74369000000002</v>
      </c>
      <c r="BP8" s="28">
        <v>72.44</v>
      </c>
      <c r="BQ8" s="18">
        <v>1422.0193299999994</v>
      </c>
      <c r="BR8" s="18">
        <v>333.72360000000003</v>
      </c>
      <c r="BS8" s="51">
        <v>25.8705</v>
      </c>
      <c r="BT8" s="19">
        <v>1854.0534299999995</v>
      </c>
      <c r="BU8" s="17"/>
      <c r="BV8" s="114" t="s">
        <v>541</v>
      </c>
      <c r="BW8" s="31">
        <v>39.841999999999999</v>
      </c>
      <c r="BX8" s="18">
        <v>201.70780000000002</v>
      </c>
      <c r="BY8" s="18">
        <v>47.517049999999998</v>
      </c>
      <c r="BZ8" s="18">
        <v>5.3369999999999997</v>
      </c>
      <c r="CA8" s="19">
        <v>294.40384999999998</v>
      </c>
      <c r="CB8" s="28">
        <v>112.282</v>
      </c>
      <c r="CC8" s="18">
        <v>1623.7271299999998</v>
      </c>
      <c r="CD8" s="18">
        <v>381.24065000000007</v>
      </c>
      <c r="CE8" s="51">
        <v>31.2075</v>
      </c>
      <c r="CF8" s="19">
        <v>2148.4572799999996</v>
      </c>
      <c r="CG8" s="17"/>
      <c r="CH8" s="114" t="s">
        <v>541</v>
      </c>
      <c r="CI8" s="31">
        <v>14.488</v>
      </c>
      <c r="CJ8" s="18">
        <v>240.52529999999999</v>
      </c>
      <c r="CK8" s="18">
        <v>67.527050000000003</v>
      </c>
      <c r="CL8" s="18">
        <v>0</v>
      </c>
      <c r="CM8" s="19">
        <v>322.54034999999999</v>
      </c>
      <c r="CN8" s="28">
        <v>126.77</v>
      </c>
      <c r="CO8" s="18">
        <v>1864.25243</v>
      </c>
      <c r="CP8" s="18">
        <v>448.76770000000005</v>
      </c>
      <c r="CQ8" s="51">
        <v>31.2075</v>
      </c>
      <c r="CR8" s="19">
        <v>2470.9976299999998</v>
      </c>
      <c r="CS8" s="17"/>
      <c r="CT8" s="114" t="s">
        <v>541</v>
      </c>
      <c r="CU8" s="31">
        <v>0</v>
      </c>
      <c r="CV8" s="18">
        <v>264.69730000000004</v>
      </c>
      <c r="CW8" s="18">
        <v>40.364100000000008</v>
      </c>
      <c r="CX8" s="18">
        <v>5.3819999999999997</v>
      </c>
      <c r="CY8" s="19">
        <v>310.44340000000005</v>
      </c>
      <c r="CZ8" s="28">
        <v>126.77</v>
      </c>
      <c r="DA8" s="18">
        <v>2128.9497299999994</v>
      </c>
      <c r="DB8" s="18">
        <v>489.13180000000006</v>
      </c>
      <c r="DC8" s="51">
        <v>36.589500000000001</v>
      </c>
      <c r="DD8" s="19">
        <v>2781.4410299999995</v>
      </c>
      <c r="DE8" s="17"/>
      <c r="DF8" s="114" t="s">
        <v>541</v>
      </c>
      <c r="DG8" s="31">
        <v>0</v>
      </c>
      <c r="DH8" s="18">
        <v>173.23716000000002</v>
      </c>
      <c r="DI8" s="18">
        <v>57.3125</v>
      </c>
      <c r="DJ8" s="18">
        <v>8.5619999999999994</v>
      </c>
      <c r="DK8" s="18">
        <v>0.71250000000000002</v>
      </c>
      <c r="DL8" s="19">
        <v>239.82416000000003</v>
      </c>
      <c r="DM8" s="28">
        <v>126.77</v>
      </c>
      <c r="DN8" s="18">
        <v>2302.1868899999999</v>
      </c>
      <c r="DO8" s="18">
        <v>546.4443</v>
      </c>
      <c r="DP8" s="51">
        <v>45.151499999999999</v>
      </c>
      <c r="DQ8" s="143">
        <v>0.71250000000000002</v>
      </c>
      <c r="DR8" s="19">
        <v>3021.2651900000001</v>
      </c>
      <c r="DS8" s="17"/>
      <c r="DT8" s="114" t="s">
        <v>541</v>
      </c>
      <c r="DU8" s="31">
        <v>0</v>
      </c>
      <c r="DV8" s="18">
        <v>198.7902</v>
      </c>
      <c r="DW8" s="18">
        <v>85.726799999999983</v>
      </c>
      <c r="DX8" s="18">
        <v>7.5194999999999999</v>
      </c>
      <c r="DY8" s="18">
        <v>0</v>
      </c>
      <c r="DZ8" s="19">
        <v>292.03649999999999</v>
      </c>
      <c r="EA8" s="28">
        <v>126.77</v>
      </c>
      <c r="EB8" s="18">
        <v>2500.9770900000008</v>
      </c>
      <c r="EC8" s="18">
        <v>632.17109999999991</v>
      </c>
      <c r="ED8" s="51">
        <v>52.670999999999999</v>
      </c>
      <c r="EE8" s="143">
        <v>0.71250000000000002</v>
      </c>
      <c r="EF8" s="19">
        <v>3313.3016900000007</v>
      </c>
      <c r="EG8" s="17"/>
      <c r="EH8" s="114" t="s">
        <v>541</v>
      </c>
      <c r="EI8" s="31">
        <v>0</v>
      </c>
      <c r="EJ8" s="18">
        <v>211.24275000000003</v>
      </c>
      <c r="EK8" s="18">
        <v>83.941549999999992</v>
      </c>
      <c r="EL8" s="18">
        <v>4.1760000000000002</v>
      </c>
      <c r="EM8" s="18">
        <v>0</v>
      </c>
      <c r="EN8" s="19">
        <v>299.3603</v>
      </c>
      <c r="EO8" s="28">
        <v>126.77</v>
      </c>
      <c r="EP8" s="18">
        <v>2712.2198400000002</v>
      </c>
      <c r="EQ8" s="18">
        <v>716.1126499999998</v>
      </c>
      <c r="ER8" s="51">
        <v>56.847000000000001</v>
      </c>
      <c r="ES8" s="143">
        <v>0.71250000000000002</v>
      </c>
      <c r="ET8" s="19">
        <v>3612.6619900000005</v>
      </c>
      <c r="EU8" s="17"/>
      <c r="EV8" s="114" t="s">
        <v>541</v>
      </c>
      <c r="EW8" s="31">
        <v>0</v>
      </c>
      <c r="EX8" s="18">
        <v>309.23550000000017</v>
      </c>
      <c r="EY8" s="18">
        <v>57.606499999999997</v>
      </c>
      <c r="EZ8" s="18">
        <v>6.4020000000000001</v>
      </c>
      <c r="FA8" s="18">
        <v>0</v>
      </c>
      <c r="FB8" s="19">
        <v>373.24400000000014</v>
      </c>
      <c r="FC8" s="28">
        <v>126.77</v>
      </c>
      <c r="FD8" s="18">
        <v>3021.4553400000009</v>
      </c>
      <c r="FE8" s="18">
        <v>773.71914999999967</v>
      </c>
      <c r="FF8" s="51">
        <v>63.249000000000002</v>
      </c>
      <c r="FG8" s="143">
        <v>0.71250000000000002</v>
      </c>
      <c r="FH8" s="19">
        <v>3985.9059900000007</v>
      </c>
      <c r="FI8" s="17"/>
      <c r="FJ8" s="114" t="s">
        <v>541</v>
      </c>
      <c r="FK8" s="31">
        <v>0</v>
      </c>
      <c r="FL8" s="18">
        <v>295.25781000000001</v>
      </c>
      <c r="FM8" s="18">
        <v>54.141520000000007</v>
      </c>
      <c r="FN8" s="18">
        <v>5.7720000000000002</v>
      </c>
      <c r="FO8" s="18">
        <v>0</v>
      </c>
      <c r="FP8" s="19">
        <v>355.17133000000001</v>
      </c>
      <c r="FQ8" s="28">
        <v>126.77</v>
      </c>
      <c r="FR8" s="18">
        <v>3316.7131500000005</v>
      </c>
      <c r="FS8" s="18">
        <v>827.86066999999946</v>
      </c>
      <c r="FT8" s="51">
        <v>69.021000000000001</v>
      </c>
      <c r="FU8" s="143">
        <v>0.71250000000000002</v>
      </c>
      <c r="FV8" s="19">
        <v>4341.0773199999994</v>
      </c>
      <c r="FW8" s="17"/>
      <c r="FX8" s="114" t="s">
        <v>541</v>
      </c>
      <c r="FY8" s="31">
        <v>0</v>
      </c>
      <c r="FZ8" s="18">
        <v>182.51597000000001</v>
      </c>
      <c r="GA8" s="18">
        <v>123.52817999999999</v>
      </c>
      <c r="GB8" s="18">
        <v>9.7439999999999998</v>
      </c>
      <c r="GC8" s="18">
        <v>0</v>
      </c>
      <c r="GD8" s="19">
        <v>315.78814999999997</v>
      </c>
      <c r="GE8" s="28">
        <v>126.77</v>
      </c>
      <c r="GF8" s="18">
        <v>3499.2291199999995</v>
      </c>
      <c r="GG8" s="18">
        <v>951.38884999999959</v>
      </c>
      <c r="GH8" s="51">
        <v>78.765000000000001</v>
      </c>
      <c r="GI8" s="143">
        <v>0.71250000000000002</v>
      </c>
      <c r="GJ8" s="19">
        <v>4656.8654699999988</v>
      </c>
      <c r="GK8" s="17"/>
      <c r="GL8" s="114" t="s">
        <v>541</v>
      </c>
      <c r="GM8" s="31">
        <v>72.44</v>
      </c>
      <c r="GN8" s="18">
        <v>229.18993999999995</v>
      </c>
      <c r="GO8" s="18">
        <v>61.762949999999996</v>
      </c>
      <c r="GP8" s="18">
        <v>3.984</v>
      </c>
      <c r="GQ8" s="18">
        <v>0</v>
      </c>
      <c r="GR8" s="19">
        <v>367.37688999999989</v>
      </c>
      <c r="GS8" s="28">
        <v>199.21</v>
      </c>
      <c r="GT8" s="18">
        <v>3728.4190600000011</v>
      </c>
      <c r="GU8" s="18">
        <v>1013.1517999999995</v>
      </c>
      <c r="GV8" s="51">
        <v>82.748999999999995</v>
      </c>
      <c r="GW8" s="143">
        <v>0.71250000000000002</v>
      </c>
      <c r="GX8" s="19">
        <v>5024.2423600000002</v>
      </c>
      <c r="GY8" s="17"/>
      <c r="GZ8" s="114" t="s">
        <v>541</v>
      </c>
      <c r="HA8" s="31">
        <v>0</v>
      </c>
      <c r="HB8" s="18">
        <v>198.06549999999999</v>
      </c>
      <c r="HC8" s="18">
        <v>61.366259999999997</v>
      </c>
      <c r="HD8" s="18">
        <v>10.574999999999999</v>
      </c>
      <c r="HE8" s="18">
        <v>0</v>
      </c>
      <c r="HF8" s="19">
        <v>270.00675999999999</v>
      </c>
      <c r="HG8" s="28">
        <v>199.21</v>
      </c>
      <c r="HH8" s="18">
        <v>3926.4845600000003</v>
      </c>
      <c r="HI8" s="18">
        <v>1074.5180599999997</v>
      </c>
      <c r="HJ8" s="51">
        <v>93.323999999999998</v>
      </c>
      <c r="HK8" s="143">
        <v>0.71250000000000002</v>
      </c>
      <c r="HL8" s="19">
        <v>5294.2491199999986</v>
      </c>
      <c r="HM8" s="17"/>
      <c r="HN8" s="114" t="s">
        <v>541</v>
      </c>
      <c r="HO8" s="31">
        <v>39.841999999999999</v>
      </c>
      <c r="HP8" s="18">
        <v>331.08785</v>
      </c>
      <c r="HQ8" s="18">
        <v>102.10419999999999</v>
      </c>
      <c r="HR8" s="18">
        <v>9.4860000000000007</v>
      </c>
      <c r="HS8" s="18">
        <v>0</v>
      </c>
      <c r="HT8" s="19">
        <v>482.52004999999997</v>
      </c>
      <c r="HU8" s="28">
        <v>239.05199999999999</v>
      </c>
      <c r="HV8" s="18">
        <v>4257.5724100000007</v>
      </c>
      <c r="HW8" s="18">
        <v>1176.6222599999996</v>
      </c>
      <c r="HX8" s="51">
        <v>102.81</v>
      </c>
      <c r="HY8" s="143">
        <v>0.71250000000000002</v>
      </c>
      <c r="HZ8" s="19">
        <v>5776.7691700000005</v>
      </c>
      <c r="IA8" s="17"/>
      <c r="IB8" s="114" t="s">
        <v>541</v>
      </c>
      <c r="IC8" s="31">
        <v>0</v>
      </c>
      <c r="ID8" s="18">
        <v>217.64849999999998</v>
      </c>
      <c r="IE8" s="18">
        <v>58.199400000000004</v>
      </c>
      <c r="IF8" s="18">
        <v>9.0299999999999994</v>
      </c>
      <c r="IG8" s="18">
        <v>0</v>
      </c>
      <c r="IH8" s="19">
        <v>284.87789999999995</v>
      </c>
      <c r="II8" s="28">
        <v>239.05199999999999</v>
      </c>
      <c r="IJ8" s="18">
        <v>4475.22091</v>
      </c>
      <c r="IK8" s="18">
        <v>1234.8216599999996</v>
      </c>
      <c r="IL8" s="51">
        <v>111.84</v>
      </c>
      <c r="IM8" s="143">
        <v>0.71250000000000002</v>
      </c>
      <c r="IN8" s="19">
        <v>6061.6470699999991</v>
      </c>
      <c r="IO8" s="17"/>
      <c r="IP8" s="114" t="s">
        <v>541</v>
      </c>
      <c r="IQ8" s="31">
        <v>0</v>
      </c>
      <c r="IR8" s="18">
        <v>186.65168000000003</v>
      </c>
      <c r="IS8" s="18">
        <v>75.937750000000008</v>
      </c>
      <c r="IT8" s="18">
        <v>3.1920000000000002</v>
      </c>
      <c r="IU8" s="18">
        <v>0</v>
      </c>
      <c r="IV8" s="19">
        <v>265.78143000000006</v>
      </c>
      <c r="IW8" s="28">
        <v>239.05199999999999</v>
      </c>
      <c r="IX8" s="18">
        <v>4661.8725900000009</v>
      </c>
      <c r="IY8" s="18">
        <v>1310.7594099999997</v>
      </c>
      <c r="IZ8" s="51">
        <v>115.032</v>
      </c>
      <c r="JA8" s="143">
        <v>0.71250000000000002</v>
      </c>
      <c r="JB8" s="19">
        <v>6327.4285</v>
      </c>
      <c r="JC8" s="17"/>
      <c r="JD8" s="114" t="s">
        <v>541</v>
      </c>
      <c r="JE8" s="31">
        <v>83.305999999999997</v>
      </c>
      <c r="JF8" s="18">
        <v>159.52945000000003</v>
      </c>
      <c r="JG8" s="18">
        <v>81.225200000000001</v>
      </c>
      <c r="JH8" s="18">
        <v>7.992</v>
      </c>
      <c r="JI8" s="18">
        <v>0</v>
      </c>
      <c r="JJ8" s="19">
        <v>332.05265000000003</v>
      </c>
      <c r="JK8" s="28">
        <v>322.358</v>
      </c>
      <c r="JL8" s="18">
        <v>4821.402039999999</v>
      </c>
      <c r="JM8" s="18">
        <v>1391.98461</v>
      </c>
      <c r="JN8" s="51">
        <v>123.024</v>
      </c>
      <c r="JO8" s="143">
        <v>0.71250000000000002</v>
      </c>
      <c r="JP8" s="19">
        <v>6659.4811499999987</v>
      </c>
      <c r="JQ8" s="17"/>
      <c r="JR8" s="114" t="s">
        <v>541</v>
      </c>
      <c r="JS8" s="31">
        <v>0</v>
      </c>
      <c r="JT8" s="18">
        <v>158.58467999999999</v>
      </c>
      <c r="JU8" s="18">
        <v>85.940739999999991</v>
      </c>
      <c r="JV8" s="18">
        <v>7.9604999999999997</v>
      </c>
      <c r="JW8" s="18">
        <v>0</v>
      </c>
      <c r="JX8" s="19">
        <v>252.48591999999999</v>
      </c>
      <c r="JY8" s="28">
        <v>322.358</v>
      </c>
      <c r="JZ8" s="18">
        <v>4979.9867199999999</v>
      </c>
      <c r="KA8" s="18">
        <v>1477.9253499999998</v>
      </c>
      <c r="KB8" s="51">
        <v>130.9845</v>
      </c>
      <c r="KC8" s="143">
        <v>0.71250000000000002</v>
      </c>
      <c r="KD8" s="19">
        <v>6911.9670699999988</v>
      </c>
      <c r="KE8" s="17"/>
      <c r="KF8" s="114" t="s">
        <v>541</v>
      </c>
      <c r="KG8" s="31">
        <v>108.66</v>
      </c>
      <c r="KH8" s="18">
        <v>191.67336</v>
      </c>
      <c r="KI8" s="18">
        <v>60.56785</v>
      </c>
      <c r="KJ8" s="18">
        <v>2.9340000000000002</v>
      </c>
      <c r="KK8" s="18">
        <v>0</v>
      </c>
      <c r="KL8" s="19">
        <v>363.83521000000002</v>
      </c>
      <c r="KM8" s="28">
        <v>431.01799999999997</v>
      </c>
      <c r="KN8" s="18">
        <v>5171.6600799999997</v>
      </c>
      <c r="KO8" s="18">
        <v>1538.4931999999997</v>
      </c>
      <c r="KP8" s="51">
        <v>133.91849999999999</v>
      </c>
      <c r="KQ8" s="143">
        <v>0.71250000000000002</v>
      </c>
      <c r="KR8" s="19">
        <v>7275.802279999999</v>
      </c>
      <c r="KT8" s="114" t="s">
        <v>541</v>
      </c>
      <c r="KU8" s="31">
        <v>0</v>
      </c>
      <c r="KV8" s="18">
        <v>156.98140000000001</v>
      </c>
      <c r="KW8" s="18">
        <v>78.034599999999998</v>
      </c>
      <c r="KX8" s="18">
        <v>6.8280000000000003</v>
      </c>
      <c r="KY8" s="18">
        <v>0</v>
      </c>
      <c r="KZ8" s="19">
        <v>241.84400000000002</v>
      </c>
      <c r="LA8" s="28">
        <v>431.01799999999997</v>
      </c>
      <c r="LB8" s="18">
        <v>5328.6414799999993</v>
      </c>
      <c r="LC8" s="18">
        <v>1616.5277999999996</v>
      </c>
      <c r="LD8" s="51">
        <v>140.7465</v>
      </c>
      <c r="LE8" s="143">
        <v>0.71250000000000002</v>
      </c>
      <c r="LF8" s="19">
        <v>7517.646279999999</v>
      </c>
      <c r="LG8" s="17"/>
      <c r="LH8" s="114" t="s">
        <v>541</v>
      </c>
      <c r="LI8" s="31">
        <v>97.793999999999997</v>
      </c>
      <c r="LJ8" s="18">
        <v>137.00901999999999</v>
      </c>
      <c r="LK8" s="18">
        <v>57.970849999999999</v>
      </c>
      <c r="LL8" s="18">
        <v>3.36</v>
      </c>
      <c r="LM8" s="18">
        <v>0</v>
      </c>
      <c r="LN8" s="19">
        <v>296.13387</v>
      </c>
      <c r="LO8" s="28">
        <v>528.81200000000001</v>
      </c>
      <c r="LP8" s="18">
        <v>5465.6504999999979</v>
      </c>
      <c r="LQ8" s="18">
        <v>1674.4986499999995</v>
      </c>
      <c r="LR8" s="51">
        <v>144.10650000000001</v>
      </c>
      <c r="LS8" s="143">
        <v>0.71250000000000002</v>
      </c>
      <c r="LT8" s="19">
        <v>7813.7801499999969</v>
      </c>
      <c r="LU8" s="17"/>
      <c r="LV8" s="114" t="s">
        <v>541</v>
      </c>
      <c r="LW8" s="31">
        <v>72.44</v>
      </c>
      <c r="LX8" s="18">
        <v>126.81648000000001</v>
      </c>
      <c r="LY8" s="18">
        <v>113.40734999999998</v>
      </c>
      <c r="LZ8" s="18">
        <v>6.0869999999999997</v>
      </c>
      <c r="MA8" s="18">
        <v>0</v>
      </c>
      <c r="MB8" s="19">
        <v>318.75082999999995</v>
      </c>
      <c r="MC8" s="28">
        <v>601.25199999999995</v>
      </c>
      <c r="MD8" s="18">
        <v>5592.4669799999983</v>
      </c>
      <c r="ME8" s="18">
        <v>1787.9059999999993</v>
      </c>
      <c r="MF8" s="51">
        <v>150.1935</v>
      </c>
      <c r="MG8" s="143">
        <v>0.71250000000000002</v>
      </c>
      <c r="MH8" s="19">
        <v>8132.5309799999968</v>
      </c>
      <c r="MI8" s="17">
        <f t="shared" si="5"/>
        <v>0</v>
      </c>
      <c r="MJ8" s="17">
        <f t="shared" si="0"/>
        <v>0</v>
      </c>
      <c r="MK8" s="17">
        <f t="shared" si="1"/>
        <v>0</v>
      </c>
      <c r="ML8" s="17">
        <f t="shared" si="2"/>
        <v>0</v>
      </c>
      <c r="MM8" s="17">
        <f t="shared" si="3"/>
        <v>0</v>
      </c>
      <c r="MN8" s="17">
        <f t="shared" si="4"/>
        <v>0</v>
      </c>
    </row>
    <row r="9" spans="2:352" x14ac:dyDescent="0.3">
      <c r="B9" s="114" t="s">
        <v>542</v>
      </c>
      <c r="C9" s="31">
        <v>0</v>
      </c>
      <c r="D9" s="18">
        <v>303.72720000000032</v>
      </c>
      <c r="E9" s="18">
        <v>55.710900000000095</v>
      </c>
      <c r="F9" s="18">
        <v>7.7950600000001229</v>
      </c>
      <c r="G9" s="19">
        <v>367.23316000000057</v>
      </c>
      <c r="H9" s="28">
        <v>0</v>
      </c>
      <c r="I9" s="18">
        <v>303.72720000000032</v>
      </c>
      <c r="J9" s="18">
        <v>55.710900000000095</v>
      </c>
      <c r="K9" s="51">
        <v>7.7950600000001229</v>
      </c>
      <c r="L9" s="19">
        <v>367.23316000000057</v>
      </c>
      <c r="N9" s="114" t="s">
        <v>542</v>
      </c>
      <c r="O9" s="31">
        <v>0</v>
      </c>
      <c r="P9" s="18">
        <v>204.7440100000002</v>
      </c>
      <c r="Q9" s="18">
        <v>25.58325000000022</v>
      </c>
      <c r="R9" s="18">
        <v>5.6347200000000885</v>
      </c>
      <c r="S9" s="19">
        <v>235.96198000000052</v>
      </c>
      <c r="T9" s="28">
        <v>0</v>
      </c>
      <c r="U9" s="18">
        <v>508.47121000000061</v>
      </c>
      <c r="V9" s="18">
        <v>81.294150000000329</v>
      </c>
      <c r="W9" s="51">
        <v>13.429780000000212</v>
      </c>
      <c r="X9" s="19">
        <v>603.19514000000106</v>
      </c>
      <c r="Y9" s="17"/>
      <c r="Z9" s="114" t="s">
        <v>542</v>
      </c>
      <c r="AA9" s="31">
        <v>65.84666</v>
      </c>
      <c r="AB9" s="18">
        <v>233.66243789999996</v>
      </c>
      <c r="AC9" s="18">
        <v>32.158286649999994</v>
      </c>
      <c r="AD9" s="18">
        <v>4.8412000000000006</v>
      </c>
      <c r="AE9" s="19">
        <v>336.50858454999997</v>
      </c>
      <c r="AF9" s="28">
        <v>65.84666</v>
      </c>
      <c r="AG9" s="18">
        <v>742.20379896000009</v>
      </c>
      <c r="AH9" s="18">
        <v>113.44788174999998</v>
      </c>
      <c r="AI9" s="51">
        <v>18.270979999999998</v>
      </c>
      <c r="AJ9" s="19">
        <v>939.7693207100001</v>
      </c>
      <c r="AK9" s="17"/>
      <c r="AL9" s="114" t="s">
        <v>542</v>
      </c>
      <c r="AM9" s="31">
        <v>0</v>
      </c>
      <c r="AN9" s="18">
        <v>220.51683609999995</v>
      </c>
      <c r="AO9" s="18">
        <v>49.188411649999992</v>
      </c>
      <c r="AP9" s="18">
        <v>1.3613600000000001</v>
      </c>
      <c r="AQ9" s="19">
        <v>271.06660774999995</v>
      </c>
      <c r="AR9" s="28">
        <v>65.84666</v>
      </c>
      <c r="AS9" s="18">
        <v>962.72063506000018</v>
      </c>
      <c r="AT9" s="18">
        <v>162.6362934</v>
      </c>
      <c r="AU9" s="51">
        <v>19.632339999999999</v>
      </c>
      <c r="AV9" s="19">
        <v>1210.8359284600001</v>
      </c>
      <c r="AW9" s="17"/>
      <c r="AX9" s="114" t="s">
        <v>542</v>
      </c>
      <c r="AY9" s="31">
        <v>0</v>
      </c>
      <c r="AZ9" s="18">
        <v>228.26625854999998</v>
      </c>
      <c r="BA9" s="18">
        <v>61.470558099999998</v>
      </c>
      <c r="BB9" s="18">
        <v>5.4527200000000002</v>
      </c>
      <c r="BC9" s="19">
        <v>295.18953664999998</v>
      </c>
      <c r="BD9" s="28">
        <v>65.84666</v>
      </c>
      <c r="BE9" s="18">
        <v>1190.9868936100004</v>
      </c>
      <c r="BF9" s="18">
        <v>224.10685149999995</v>
      </c>
      <c r="BG9" s="51">
        <v>25.085060000000002</v>
      </c>
      <c r="BH9" s="19">
        <v>1506.0254651100004</v>
      </c>
      <c r="BI9" s="17"/>
      <c r="BJ9" s="114" t="s">
        <v>542</v>
      </c>
      <c r="BK9" s="31">
        <v>0</v>
      </c>
      <c r="BL9" s="18">
        <v>208.38420009999996</v>
      </c>
      <c r="BM9" s="18">
        <v>55.047607999999997</v>
      </c>
      <c r="BN9" s="18">
        <v>6.3044800000000008</v>
      </c>
      <c r="BO9" s="19">
        <v>269.73628809999997</v>
      </c>
      <c r="BP9" s="28">
        <v>65.84666</v>
      </c>
      <c r="BQ9" s="18">
        <v>1399.37109371</v>
      </c>
      <c r="BR9" s="18">
        <v>279.15445949999997</v>
      </c>
      <c r="BS9" s="51">
        <v>31.389540000000004</v>
      </c>
      <c r="BT9" s="19">
        <v>1775.7617532099998</v>
      </c>
      <c r="BU9" s="17"/>
      <c r="BV9" s="114" t="s">
        <v>542</v>
      </c>
      <c r="BW9" s="31">
        <v>36.215662999999999</v>
      </c>
      <c r="BX9" s="18">
        <v>201.96337735</v>
      </c>
      <c r="BY9" s="18">
        <v>23.620241050000001</v>
      </c>
      <c r="BZ9" s="18">
        <v>6.4755600000000006</v>
      </c>
      <c r="CA9" s="19">
        <v>268.27484139999996</v>
      </c>
      <c r="CB9" s="28">
        <v>102.06232300000001</v>
      </c>
      <c r="CC9" s="18">
        <v>1601.3344710599999</v>
      </c>
      <c r="CD9" s="18">
        <v>302.77470054999998</v>
      </c>
      <c r="CE9" s="51">
        <v>37.865100000000005</v>
      </c>
      <c r="CF9" s="19">
        <v>2044.0365946100001</v>
      </c>
      <c r="CG9" s="17"/>
      <c r="CH9" s="114" t="s">
        <v>542</v>
      </c>
      <c r="CI9" s="31">
        <v>13.169332000000001</v>
      </c>
      <c r="CJ9" s="18">
        <v>243.84520834999995</v>
      </c>
      <c r="CK9" s="18">
        <v>51.522631750000002</v>
      </c>
      <c r="CL9" s="18">
        <v>0</v>
      </c>
      <c r="CM9" s="19">
        <v>308.53717209999996</v>
      </c>
      <c r="CN9" s="28">
        <v>115.231655</v>
      </c>
      <c r="CO9" s="18">
        <v>1845.1796794099998</v>
      </c>
      <c r="CP9" s="18">
        <v>354.29733229999999</v>
      </c>
      <c r="CQ9" s="51">
        <v>37.865100000000005</v>
      </c>
      <c r="CR9" s="19">
        <v>2352.5737667099997</v>
      </c>
      <c r="CS9" s="17"/>
      <c r="CT9" s="114" t="s">
        <v>542</v>
      </c>
      <c r="CU9" s="31">
        <v>0</v>
      </c>
      <c r="CV9" s="18">
        <v>265.22093884999998</v>
      </c>
      <c r="CW9" s="18">
        <v>37.495749199999992</v>
      </c>
      <c r="CX9" s="18">
        <v>6.5301599999999995</v>
      </c>
      <c r="CY9" s="19">
        <v>309.24684804999998</v>
      </c>
      <c r="CZ9" s="28">
        <v>115.231655</v>
      </c>
      <c r="DA9" s="18">
        <v>2110.4006182600001</v>
      </c>
      <c r="DB9" s="18">
        <v>391.79308150000003</v>
      </c>
      <c r="DC9" s="51">
        <v>44.395260000000007</v>
      </c>
      <c r="DD9" s="19">
        <v>2661.8206147600004</v>
      </c>
      <c r="DE9" s="17"/>
      <c r="DF9" s="114" t="s">
        <v>542</v>
      </c>
      <c r="DG9" s="31">
        <v>0</v>
      </c>
      <c r="DH9" s="18">
        <v>178.63072794999997</v>
      </c>
      <c r="DI9" s="18">
        <v>25.816946399999999</v>
      </c>
      <c r="DJ9" s="18">
        <v>10.388560000000002</v>
      </c>
      <c r="DK9" s="18">
        <v>0.86450000000000005</v>
      </c>
      <c r="DL9" s="19">
        <v>215.70073434999998</v>
      </c>
      <c r="DM9" s="28">
        <v>115.231655</v>
      </c>
      <c r="DN9" s="18">
        <v>2289.0313462100007</v>
      </c>
      <c r="DO9" s="18">
        <v>417.61002789999998</v>
      </c>
      <c r="DP9" s="51">
        <v>54.783820000000006</v>
      </c>
      <c r="DQ9" s="143">
        <v>0.86450000000000005</v>
      </c>
      <c r="DR9" s="19">
        <v>2877.5213491100012</v>
      </c>
      <c r="DS9" s="17"/>
      <c r="DT9" s="114" t="s">
        <v>542</v>
      </c>
      <c r="DU9" s="31">
        <v>0</v>
      </c>
      <c r="DV9" s="18">
        <v>197.14967404999999</v>
      </c>
      <c r="DW9" s="18">
        <v>56.2101142</v>
      </c>
      <c r="DX9" s="18">
        <v>9.1236599999999992</v>
      </c>
      <c r="DY9" s="18">
        <v>0</v>
      </c>
      <c r="DZ9" s="19">
        <v>262.48344824999998</v>
      </c>
      <c r="EA9" s="28">
        <v>115.231655</v>
      </c>
      <c r="EB9" s="18">
        <v>2486.1810202599991</v>
      </c>
      <c r="EC9" s="18">
        <v>473.82014210000006</v>
      </c>
      <c r="ED9" s="51">
        <v>63.907480000000007</v>
      </c>
      <c r="EE9" s="143">
        <v>0.86450000000000005</v>
      </c>
      <c r="EF9" s="19">
        <v>3140.004797359999</v>
      </c>
      <c r="EG9" s="17"/>
      <c r="EH9" s="114" t="s">
        <v>542</v>
      </c>
      <c r="EI9" s="31">
        <v>0</v>
      </c>
      <c r="EJ9" s="18">
        <v>215.77667542000003</v>
      </c>
      <c r="EK9" s="18">
        <v>42.04577965</v>
      </c>
      <c r="EL9" s="18">
        <v>5.0668800000000003</v>
      </c>
      <c r="EM9" s="18">
        <v>0</v>
      </c>
      <c r="EN9" s="19">
        <v>262.88933507000007</v>
      </c>
      <c r="EO9" s="28">
        <v>115.231655</v>
      </c>
      <c r="EP9" s="18">
        <v>2701.9576956799983</v>
      </c>
      <c r="EQ9" s="18">
        <v>515.8659217500001</v>
      </c>
      <c r="ER9" s="51">
        <v>68.97435999999999</v>
      </c>
      <c r="ES9" s="143">
        <v>0.86450000000000005</v>
      </c>
      <c r="ET9" s="19">
        <v>3402.894132429999</v>
      </c>
      <c r="EU9" s="17"/>
      <c r="EV9" s="114" t="s">
        <v>542</v>
      </c>
      <c r="EW9" s="31">
        <v>0</v>
      </c>
      <c r="EX9" s="18">
        <v>319.92529694999985</v>
      </c>
      <c r="EY9" s="18">
        <v>39.622074099999999</v>
      </c>
      <c r="EZ9" s="18">
        <v>7.76776</v>
      </c>
      <c r="FA9" s="18">
        <v>0</v>
      </c>
      <c r="FB9" s="19">
        <v>367.31513104999988</v>
      </c>
      <c r="FC9" s="28">
        <v>115.231655</v>
      </c>
      <c r="FD9" s="18">
        <v>3021.8829926299986</v>
      </c>
      <c r="FE9" s="18">
        <v>555.48799585000006</v>
      </c>
      <c r="FF9" s="51">
        <v>76.74212</v>
      </c>
      <c r="FG9" s="143">
        <v>0.86450000000000005</v>
      </c>
      <c r="FH9" s="19">
        <v>3770.2092634799988</v>
      </c>
      <c r="FI9" s="17"/>
      <c r="FJ9" s="114" t="s">
        <v>542</v>
      </c>
      <c r="FK9" s="31">
        <v>0</v>
      </c>
      <c r="FL9" s="18">
        <v>299.05345270000004</v>
      </c>
      <c r="FM9" s="18">
        <v>52.119299179999992</v>
      </c>
      <c r="FN9" s="18">
        <v>7.0033600000000007</v>
      </c>
      <c r="FO9" s="18">
        <v>0</v>
      </c>
      <c r="FP9" s="19">
        <v>358.17611188000001</v>
      </c>
      <c r="FQ9" s="28">
        <v>115.231655</v>
      </c>
      <c r="FR9" s="18">
        <v>3320.9364453299991</v>
      </c>
      <c r="FS9" s="18">
        <v>607.60729502999993</v>
      </c>
      <c r="FT9" s="51">
        <v>83.745480000000001</v>
      </c>
      <c r="FU9" s="143">
        <v>0.86450000000000005</v>
      </c>
      <c r="FV9" s="19">
        <v>4128.3853753599988</v>
      </c>
      <c r="FW9" s="17"/>
      <c r="FX9" s="114" t="s">
        <v>542</v>
      </c>
      <c r="FY9" s="31">
        <v>0</v>
      </c>
      <c r="FZ9" s="18">
        <v>189.62355730999997</v>
      </c>
      <c r="GA9" s="18">
        <v>87.125028360000002</v>
      </c>
      <c r="GB9" s="18">
        <v>11.822719999999999</v>
      </c>
      <c r="GC9" s="18">
        <v>0</v>
      </c>
      <c r="GD9" s="19">
        <v>288.57130566999996</v>
      </c>
      <c r="GE9" s="28">
        <v>115.231655</v>
      </c>
      <c r="GF9" s="18">
        <v>3510.5600026399993</v>
      </c>
      <c r="GG9" s="18">
        <v>694.73232339000003</v>
      </c>
      <c r="GH9" s="51">
        <v>95.568200000000019</v>
      </c>
      <c r="GI9" s="143">
        <v>0.86450000000000005</v>
      </c>
      <c r="GJ9" s="19">
        <v>4416.9566810299984</v>
      </c>
      <c r="GK9" s="17"/>
      <c r="GL9" s="114" t="s">
        <v>542</v>
      </c>
      <c r="GM9" s="31">
        <v>65.84666</v>
      </c>
      <c r="GN9" s="18">
        <v>231.00739248999997</v>
      </c>
      <c r="GO9" s="18">
        <v>64.648882450000002</v>
      </c>
      <c r="GP9" s="18">
        <v>4.83392</v>
      </c>
      <c r="GQ9" s="18">
        <v>0</v>
      </c>
      <c r="GR9" s="19">
        <v>366.33685493999991</v>
      </c>
      <c r="GS9" s="28">
        <v>181.078315</v>
      </c>
      <c r="GT9" s="18">
        <v>3741.5673951300009</v>
      </c>
      <c r="GU9" s="18">
        <v>759.38120584000023</v>
      </c>
      <c r="GV9" s="51">
        <v>100.40212000000001</v>
      </c>
      <c r="GW9" s="143">
        <v>0.86450000000000005</v>
      </c>
      <c r="GX9" s="19">
        <v>4783.2935359700004</v>
      </c>
      <c r="GY9" s="17"/>
      <c r="GZ9" s="114" t="s">
        <v>542</v>
      </c>
      <c r="HA9" s="31">
        <v>0</v>
      </c>
      <c r="HB9" s="18">
        <v>200.68871834999999</v>
      </c>
      <c r="HC9" s="18">
        <v>46.69981894</v>
      </c>
      <c r="HD9" s="18">
        <v>12.831</v>
      </c>
      <c r="HE9" s="18">
        <v>0</v>
      </c>
      <c r="HF9" s="19">
        <v>260.21953729000001</v>
      </c>
      <c r="HG9" s="28">
        <v>181.078315</v>
      </c>
      <c r="HH9" s="18">
        <v>3942.2561134800012</v>
      </c>
      <c r="HI9" s="18">
        <v>806.08102478000035</v>
      </c>
      <c r="HJ9" s="51">
        <v>113.23312000000003</v>
      </c>
      <c r="HK9" s="143">
        <v>0.86450000000000005</v>
      </c>
      <c r="HL9" s="19">
        <v>5043.513073260001</v>
      </c>
      <c r="HM9" s="17"/>
      <c r="HN9" s="114" t="s">
        <v>542</v>
      </c>
      <c r="HO9" s="31">
        <v>36.215662999999999</v>
      </c>
      <c r="HP9" s="18">
        <v>341.58673923999993</v>
      </c>
      <c r="HQ9" s="18">
        <v>62.788436799999992</v>
      </c>
      <c r="HR9" s="18">
        <v>11.509679999999999</v>
      </c>
      <c r="HS9" s="18">
        <v>0</v>
      </c>
      <c r="HT9" s="19">
        <v>452.10051903999994</v>
      </c>
      <c r="HU9" s="28">
        <v>217.29397800000001</v>
      </c>
      <c r="HV9" s="18">
        <v>4283.8713633700017</v>
      </c>
      <c r="HW9" s="18">
        <v>868.86946158000046</v>
      </c>
      <c r="HX9" s="51">
        <v>124.74280000000002</v>
      </c>
      <c r="HY9" s="143">
        <v>0.86450000000000005</v>
      </c>
      <c r="HZ9" s="19">
        <v>5495.6421029500016</v>
      </c>
      <c r="IA9" s="17"/>
      <c r="IB9" s="114" t="s">
        <v>542</v>
      </c>
      <c r="IC9" s="31">
        <v>0</v>
      </c>
      <c r="ID9" s="18">
        <v>233.16742293000004</v>
      </c>
      <c r="IE9" s="18">
        <v>43.3657763</v>
      </c>
      <c r="IF9" s="18">
        <v>10.9564</v>
      </c>
      <c r="IG9" s="18">
        <v>0</v>
      </c>
      <c r="IH9" s="19">
        <v>287.48959923000001</v>
      </c>
      <c r="II9" s="28">
        <v>217.29397800000001</v>
      </c>
      <c r="IJ9" s="18">
        <v>4517.0387863000005</v>
      </c>
      <c r="IK9" s="18">
        <v>912.23523788000057</v>
      </c>
      <c r="IL9" s="51">
        <v>135.69920000000002</v>
      </c>
      <c r="IM9" s="143">
        <v>0.86450000000000005</v>
      </c>
      <c r="IN9" s="19">
        <v>5783.1317021800005</v>
      </c>
      <c r="IO9" s="17"/>
      <c r="IP9" s="114" t="s">
        <v>542</v>
      </c>
      <c r="IQ9" s="31">
        <v>0</v>
      </c>
      <c r="IR9" s="18">
        <v>192.98266755</v>
      </c>
      <c r="IS9" s="18">
        <v>41.015489899999999</v>
      </c>
      <c r="IT9" s="18">
        <v>3.87296</v>
      </c>
      <c r="IU9" s="18">
        <v>0</v>
      </c>
      <c r="IV9" s="19">
        <v>237.87111745000001</v>
      </c>
      <c r="IW9" s="28">
        <v>217.29397800000001</v>
      </c>
      <c r="IX9" s="18">
        <v>4710.0214538500031</v>
      </c>
      <c r="IY9" s="18">
        <v>953.25072778000072</v>
      </c>
      <c r="IZ9" s="51">
        <v>139.57216</v>
      </c>
      <c r="JA9" s="143">
        <v>0.86450000000000005</v>
      </c>
      <c r="JB9" s="19">
        <v>6021.0028196300027</v>
      </c>
      <c r="JC9" s="17"/>
      <c r="JD9" s="114" t="s">
        <v>542</v>
      </c>
      <c r="JE9" s="31">
        <v>75.723658999999998</v>
      </c>
      <c r="JF9" s="18">
        <v>167.87188543000002</v>
      </c>
      <c r="JG9" s="18">
        <v>78.201996600000001</v>
      </c>
      <c r="JH9" s="18">
        <v>9.6969600000000007</v>
      </c>
      <c r="JI9" s="18">
        <v>0</v>
      </c>
      <c r="JJ9" s="19">
        <v>331.49450103000004</v>
      </c>
      <c r="JK9" s="28">
        <v>293.01763699999998</v>
      </c>
      <c r="JL9" s="18">
        <v>4877.8933392800045</v>
      </c>
      <c r="JM9" s="18">
        <v>1031.4527243800007</v>
      </c>
      <c r="JN9" s="51">
        <v>149.26912000000002</v>
      </c>
      <c r="JO9" s="143">
        <v>0.86450000000000005</v>
      </c>
      <c r="JP9" s="19">
        <v>6352.4973206600052</v>
      </c>
      <c r="JQ9" s="17"/>
      <c r="JR9" s="114" t="s">
        <v>542</v>
      </c>
      <c r="JS9" s="31">
        <v>0</v>
      </c>
      <c r="JT9" s="18">
        <v>162.04797553999998</v>
      </c>
      <c r="JU9" s="18">
        <v>88.772432799999976</v>
      </c>
      <c r="JV9" s="18">
        <v>9.6587399999999999</v>
      </c>
      <c r="JW9" s="18">
        <v>0</v>
      </c>
      <c r="JX9" s="19">
        <v>260.47914833999999</v>
      </c>
      <c r="JY9" s="28">
        <v>293.01763699999998</v>
      </c>
      <c r="JZ9" s="18">
        <v>5039.9413148200028</v>
      </c>
      <c r="KA9" s="18">
        <v>1120.2251571800009</v>
      </c>
      <c r="KB9" s="51">
        <v>158.92786000000004</v>
      </c>
      <c r="KC9" s="143">
        <v>0.86450000000000005</v>
      </c>
      <c r="KD9" s="19">
        <v>6612.9764690000029</v>
      </c>
      <c r="KE9" s="17"/>
      <c r="KF9" s="114" t="s">
        <v>542</v>
      </c>
      <c r="KG9" s="31">
        <v>98.769990000000007</v>
      </c>
      <c r="KH9" s="18">
        <v>197.95062204000001</v>
      </c>
      <c r="KI9" s="18">
        <v>40.866145249999995</v>
      </c>
      <c r="KJ9" s="18">
        <v>3.55992</v>
      </c>
      <c r="KK9" s="18">
        <v>0</v>
      </c>
      <c r="KL9" s="19">
        <v>341.14667728999996</v>
      </c>
      <c r="KM9" s="28">
        <v>391.78762699999999</v>
      </c>
      <c r="KN9" s="18">
        <v>5237.8919368600045</v>
      </c>
      <c r="KO9" s="18">
        <v>1161.0913024300012</v>
      </c>
      <c r="KP9" s="51">
        <v>162.48778000000004</v>
      </c>
      <c r="KQ9" s="143">
        <v>0.86450000000000005</v>
      </c>
      <c r="KR9" s="19">
        <v>6954.1231462900059</v>
      </c>
      <c r="KT9" s="114" t="s">
        <v>542</v>
      </c>
      <c r="KU9" s="31">
        <v>0</v>
      </c>
      <c r="KV9" s="18">
        <v>161.88378305000001</v>
      </c>
      <c r="KW9" s="18">
        <v>39.559609599999995</v>
      </c>
      <c r="KX9" s="18">
        <v>8.2846399999999996</v>
      </c>
      <c r="KY9" s="18">
        <v>0</v>
      </c>
      <c r="KZ9" s="19">
        <v>209.72803264999999</v>
      </c>
      <c r="LA9" s="28">
        <v>391.78762699999999</v>
      </c>
      <c r="LB9" s="18">
        <v>5399.775719910006</v>
      </c>
      <c r="LC9" s="18">
        <v>1200.6509120300007</v>
      </c>
      <c r="LD9" s="51">
        <v>170.77242000000004</v>
      </c>
      <c r="LE9" s="143">
        <v>0.86450000000000005</v>
      </c>
      <c r="LF9" s="19">
        <v>7163.8511789400063</v>
      </c>
      <c r="LG9" s="17"/>
      <c r="LH9" s="114" t="s">
        <v>542</v>
      </c>
      <c r="LI9" s="31">
        <v>88.892990999999995</v>
      </c>
      <c r="LJ9" s="18">
        <v>143.01962325999997</v>
      </c>
      <c r="LK9" s="18">
        <v>36.99381034999999</v>
      </c>
      <c r="LL9" s="18">
        <v>4.0768000000000004</v>
      </c>
      <c r="LM9" s="18">
        <v>0</v>
      </c>
      <c r="LN9" s="19">
        <v>272.98322460999992</v>
      </c>
      <c r="LO9" s="28">
        <v>480.68061800000004</v>
      </c>
      <c r="LP9" s="18">
        <v>5542.7953431700062</v>
      </c>
      <c r="LQ9" s="18">
        <v>1237.6447223800005</v>
      </c>
      <c r="LR9" s="51">
        <v>174.84922000000006</v>
      </c>
      <c r="LS9" s="143">
        <v>0.86450000000000005</v>
      </c>
      <c r="LT9" s="19">
        <v>7436.8344035500068</v>
      </c>
      <c r="LU9" s="17"/>
      <c r="LV9" s="114" t="s">
        <v>542</v>
      </c>
      <c r="LW9" s="31">
        <v>65.84666</v>
      </c>
      <c r="LX9" s="18">
        <v>128.07033173999997</v>
      </c>
      <c r="LY9" s="18">
        <v>49.960246349999991</v>
      </c>
      <c r="LZ9" s="18">
        <v>7.3855600000000008</v>
      </c>
      <c r="MA9" s="18">
        <v>0</v>
      </c>
      <c r="MB9" s="19">
        <v>251.26279808999993</v>
      </c>
      <c r="MC9" s="28">
        <v>546.52727800000002</v>
      </c>
      <c r="MD9" s="18">
        <v>5670.8368774500013</v>
      </c>
      <c r="ME9" s="18">
        <v>1287.6049687300003</v>
      </c>
      <c r="MF9" s="51">
        <v>182.23478000000003</v>
      </c>
      <c r="MG9" s="143">
        <v>0.86450000000000005</v>
      </c>
      <c r="MH9" s="19">
        <v>7688.0684041800005</v>
      </c>
      <c r="MI9" s="17">
        <f t="shared" si="5"/>
        <v>0</v>
      </c>
      <c r="MJ9" s="17">
        <f t="shared" si="0"/>
        <v>-2.8797460005080211E-2</v>
      </c>
      <c r="MK9" s="17">
        <f t="shared" si="1"/>
        <v>0</v>
      </c>
      <c r="ML9" s="17">
        <f t="shared" si="2"/>
        <v>0</v>
      </c>
      <c r="MM9" s="17">
        <f t="shared" si="3"/>
        <v>0</v>
      </c>
      <c r="MN9" s="17">
        <f t="shared" si="4"/>
        <v>-2.8797460005989706E-2</v>
      </c>
    </row>
    <row r="10" spans="2:352" ht="15" thickBot="1" x14ac:dyDescent="0.35">
      <c r="B10" s="118" t="s">
        <v>543</v>
      </c>
      <c r="C10" s="31">
        <v>0</v>
      </c>
      <c r="D10" s="18">
        <v>421.0297000000005</v>
      </c>
      <c r="E10" s="18">
        <v>137.68685000000039</v>
      </c>
      <c r="F10" s="18">
        <v>66.327949999999987</v>
      </c>
      <c r="G10" s="19">
        <v>625.04449999999997</v>
      </c>
      <c r="H10" s="28">
        <v>0</v>
      </c>
      <c r="I10" s="28">
        <v>421.0297000000005</v>
      </c>
      <c r="J10" s="28">
        <v>137.68685000000039</v>
      </c>
      <c r="K10" s="82">
        <v>66.327949999999987</v>
      </c>
      <c r="L10" s="19">
        <v>625.04449999999997</v>
      </c>
      <c r="N10" s="118" t="s">
        <v>543</v>
      </c>
      <c r="O10" s="31">
        <v>0</v>
      </c>
      <c r="P10" s="18">
        <v>255.93283999999949</v>
      </c>
      <c r="Q10" s="18">
        <v>66.42999999999995</v>
      </c>
      <c r="R10" s="18">
        <v>47.678400000000011</v>
      </c>
      <c r="S10" s="19">
        <v>370.04123999999911</v>
      </c>
      <c r="T10" s="28">
        <v>0</v>
      </c>
      <c r="U10" s="28">
        <v>676.96253999999863</v>
      </c>
      <c r="V10" s="28">
        <v>204.11685000000034</v>
      </c>
      <c r="W10" s="82">
        <v>114.00635000000011</v>
      </c>
      <c r="X10" s="19">
        <v>995.08573999999862</v>
      </c>
      <c r="Y10" s="17"/>
      <c r="Z10" s="118" t="s">
        <v>543</v>
      </c>
      <c r="AA10" s="31">
        <v>377.15333999999973</v>
      </c>
      <c r="AB10" s="18">
        <v>339.02136210000072</v>
      </c>
      <c r="AC10" s="18">
        <v>85.055663350000316</v>
      </c>
      <c r="AD10" s="18">
        <v>25.937239999999974</v>
      </c>
      <c r="AE10" s="19">
        <v>827.16760545000034</v>
      </c>
      <c r="AF10" s="28">
        <v>377.15333999999973</v>
      </c>
      <c r="AG10" s="28">
        <v>1015.9137510400014</v>
      </c>
      <c r="AH10" s="28">
        <v>289.17706825000141</v>
      </c>
      <c r="AI10" s="82">
        <v>139.94359000000009</v>
      </c>
      <c r="AJ10" s="19">
        <v>1822.1877492900021</v>
      </c>
      <c r="AK10" s="17"/>
      <c r="AL10" s="118" t="s">
        <v>543</v>
      </c>
      <c r="AM10" s="31">
        <v>0</v>
      </c>
      <c r="AN10" s="18">
        <v>255.63711390000071</v>
      </c>
      <c r="AO10" s="18">
        <v>129.43408835000037</v>
      </c>
      <c r="AP10" s="18">
        <v>6.3282400000000223</v>
      </c>
      <c r="AQ10" s="19">
        <v>391.3994422500009</v>
      </c>
      <c r="AR10" s="28">
        <v>377.15333999999973</v>
      </c>
      <c r="AS10" s="28">
        <v>1271.5508649400072</v>
      </c>
      <c r="AT10" s="28">
        <v>418.61115660000178</v>
      </c>
      <c r="AU10" s="82">
        <v>146.27183000000036</v>
      </c>
      <c r="AV10" s="19">
        <v>2213.5871915400094</v>
      </c>
      <c r="AW10" s="17"/>
      <c r="AX10" s="118" t="s">
        <v>543</v>
      </c>
      <c r="AY10" s="31">
        <v>0</v>
      </c>
      <c r="AZ10" s="18">
        <v>289.3879214500007</v>
      </c>
      <c r="BA10" s="18">
        <v>159.16209190000052</v>
      </c>
      <c r="BB10" s="18">
        <v>31.111640000000079</v>
      </c>
      <c r="BC10" s="19">
        <v>479.66165335000187</v>
      </c>
      <c r="BD10" s="28">
        <v>377.15333999999973</v>
      </c>
      <c r="BE10" s="28">
        <v>1560.938786390012</v>
      </c>
      <c r="BF10" s="28">
        <v>577.77324850000332</v>
      </c>
      <c r="BG10" s="82">
        <v>177.38346999999999</v>
      </c>
      <c r="BH10" s="19">
        <v>2693.2488448900076</v>
      </c>
      <c r="BI10" s="17"/>
      <c r="BJ10" s="118" t="s">
        <v>543</v>
      </c>
      <c r="BK10" s="31">
        <v>0</v>
      </c>
      <c r="BL10" s="18">
        <v>283.45360990000017</v>
      </c>
      <c r="BM10" s="18">
        <v>115.33134200000029</v>
      </c>
      <c r="BN10" s="18">
        <v>31.846760000000074</v>
      </c>
      <c r="BO10" s="19">
        <v>430.63171190000048</v>
      </c>
      <c r="BP10" s="28">
        <v>377.15333999999973</v>
      </c>
      <c r="BQ10" s="28">
        <v>1844.3923962900044</v>
      </c>
      <c r="BR10" s="28">
        <v>693.1045905000019</v>
      </c>
      <c r="BS10" s="82">
        <v>209.23023000000012</v>
      </c>
      <c r="BT10" s="19">
        <v>3123.8805567900054</v>
      </c>
      <c r="BU10" s="17"/>
      <c r="BV10" s="118" t="s">
        <v>543</v>
      </c>
      <c r="BW10" s="31">
        <v>203.33133699999996</v>
      </c>
      <c r="BX10" s="18">
        <v>251.11722265000026</v>
      </c>
      <c r="BY10" s="18">
        <v>52.207958950000148</v>
      </c>
      <c r="BZ10" s="18">
        <v>40.279079999999965</v>
      </c>
      <c r="CA10" s="19">
        <v>546.93559860000096</v>
      </c>
      <c r="CB10" s="28">
        <v>580.48467699999969</v>
      </c>
      <c r="CC10" s="28">
        <v>2095.5096189399992</v>
      </c>
      <c r="CD10" s="28">
        <v>745.31254945000273</v>
      </c>
      <c r="CE10" s="82">
        <v>249.50931000000082</v>
      </c>
      <c r="CF10" s="19">
        <v>3670.816155389999</v>
      </c>
      <c r="CG10" s="17"/>
      <c r="CH10" s="118" t="s">
        <v>543</v>
      </c>
      <c r="CI10" s="31">
        <v>73.938668000000007</v>
      </c>
      <c r="CJ10" s="18">
        <v>366.73309165000046</v>
      </c>
      <c r="CK10" s="18">
        <v>78.052118250000149</v>
      </c>
      <c r="CL10" s="18">
        <v>0</v>
      </c>
      <c r="CM10" s="19">
        <v>518.72387789999993</v>
      </c>
      <c r="CN10" s="28">
        <v>654.42334499999993</v>
      </c>
      <c r="CO10" s="28">
        <v>2462.2427105900097</v>
      </c>
      <c r="CP10" s="28">
        <v>823.36466770000334</v>
      </c>
      <c r="CQ10" s="82">
        <v>249.50931000000082</v>
      </c>
      <c r="CR10" s="19">
        <v>4189.5400332900172</v>
      </c>
      <c r="CS10" s="17"/>
      <c r="CT10" s="118" t="s">
        <v>543</v>
      </c>
      <c r="CU10" s="31">
        <v>0</v>
      </c>
      <c r="CV10" s="18">
        <v>364.78466115000083</v>
      </c>
      <c r="CW10" s="18">
        <v>97.523400800000559</v>
      </c>
      <c r="CX10" s="18">
        <v>55.255200000000059</v>
      </c>
      <c r="CY10" s="19">
        <v>517.56326195000111</v>
      </c>
      <c r="CZ10" s="28">
        <v>654.42334499999993</v>
      </c>
      <c r="DA10" s="28">
        <v>2827.0273717400123</v>
      </c>
      <c r="DB10" s="28">
        <v>920.88806850000401</v>
      </c>
      <c r="DC10" s="82">
        <v>304.76451000000043</v>
      </c>
      <c r="DD10" s="19">
        <v>4707.1032952400201</v>
      </c>
      <c r="DE10" s="17"/>
      <c r="DF10" s="118" t="s">
        <v>543</v>
      </c>
      <c r="DG10" s="31">
        <v>0</v>
      </c>
      <c r="DH10" s="18">
        <v>259.4740120499996</v>
      </c>
      <c r="DI10" s="18">
        <v>54.817803600000161</v>
      </c>
      <c r="DJ10" s="18">
        <v>82.618420000000128</v>
      </c>
      <c r="DK10" s="18">
        <v>32.28575</v>
      </c>
      <c r="DL10" s="19">
        <v>429.19598564999978</v>
      </c>
      <c r="DM10" s="28">
        <v>654.42334499999993</v>
      </c>
      <c r="DN10" s="28">
        <v>3086.5013837899969</v>
      </c>
      <c r="DO10" s="28">
        <v>975.70587210000303</v>
      </c>
      <c r="DP10" s="82">
        <v>387.38293000000158</v>
      </c>
      <c r="DQ10" s="146">
        <v>32.28575</v>
      </c>
      <c r="DR10" s="19">
        <v>5136.2992808900017</v>
      </c>
      <c r="DS10" s="17"/>
      <c r="DT10" s="118" t="s">
        <v>543</v>
      </c>
      <c r="DU10" s="31">
        <v>0</v>
      </c>
      <c r="DV10" s="18">
        <v>230.97032595000019</v>
      </c>
      <c r="DW10" s="18">
        <v>135.66558580000049</v>
      </c>
      <c r="DX10" s="18">
        <v>77.200200000000109</v>
      </c>
      <c r="DY10" s="18">
        <v>0</v>
      </c>
      <c r="DZ10" s="19">
        <v>443.83611175000078</v>
      </c>
      <c r="EA10" s="28">
        <v>654.42334499999993</v>
      </c>
      <c r="EB10" s="28">
        <v>3317.4717097399844</v>
      </c>
      <c r="EC10" s="28">
        <v>1111.3714579000043</v>
      </c>
      <c r="ED10" s="82">
        <v>464.58313000000089</v>
      </c>
      <c r="EE10" s="146">
        <v>32.28575</v>
      </c>
      <c r="EF10" s="19">
        <v>5580.135392639997</v>
      </c>
      <c r="EG10" s="17"/>
      <c r="EH10" s="118" t="s">
        <v>543</v>
      </c>
      <c r="EI10" s="31">
        <v>0</v>
      </c>
      <c r="EJ10" s="18">
        <v>278.57228458000009</v>
      </c>
      <c r="EK10" s="18">
        <v>48.651120350000269</v>
      </c>
      <c r="EL10" s="18">
        <v>28.647840000000087</v>
      </c>
      <c r="EM10" s="18">
        <v>0</v>
      </c>
      <c r="EN10" s="19">
        <v>355.87124493000056</v>
      </c>
      <c r="EO10" s="28">
        <v>654.42334499999993</v>
      </c>
      <c r="EP10" s="28">
        <v>3596.0439943199963</v>
      </c>
      <c r="EQ10" s="28">
        <v>1160.0225782500056</v>
      </c>
      <c r="ER10" s="82">
        <v>493.23097000000143</v>
      </c>
      <c r="ES10" s="146">
        <v>32.28575</v>
      </c>
      <c r="ET10" s="19">
        <v>5936.0066375700044</v>
      </c>
      <c r="EU10" s="17"/>
      <c r="EV10" s="118" t="s">
        <v>543</v>
      </c>
      <c r="EW10" s="31">
        <v>0</v>
      </c>
      <c r="EX10" s="18">
        <v>440.39720304999901</v>
      </c>
      <c r="EY10" s="18">
        <v>71.350325900000371</v>
      </c>
      <c r="EZ10" s="18">
        <v>49.579040000000077</v>
      </c>
      <c r="FA10" s="18">
        <v>0</v>
      </c>
      <c r="FB10" s="19">
        <v>561.32656894999946</v>
      </c>
      <c r="FC10" s="28">
        <v>654.42334499999993</v>
      </c>
      <c r="FD10" s="28">
        <v>4036.4411973700117</v>
      </c>
      <c r="FE10" s="28">
        <v>1231.3729041500028</v>
      </c>
      <c r="FF10" s="82">
        <v>542.81001000000106</v>
      </c>
      <c r="FG10" s="146">
        <v>32.28575</v>
      </c>
      <c r="FH10" s="19">
        <v>6497.3332065200229</v>
      </c>
      <c r="FI10" s="17"/>
      <c r="FJ10" s="118" t="s">
        <v>543</v>
      </c>
      <c r="FK10" s="31">
        <v>0</v>
      </c>
      <c r="FL10" s="18">
        <v>398.66358730000047</v>
      </c>
      <c r="FM10" s="18">
        <v>97.908530820000465</v>
      </c>
      <c r="FN10" s="18">
        <v>44.584880000000112</v>
      </c>
      <c r="FO10" s="18">
        <v>0</v>
      </c>
      <c r="FP10" s="19">
        <v>541.15699812000184</v>
      </c>
      <c r="FQ10" s="28">
        <v>654.42334499999993</v>
      </c>
      <c r="FR10" s="28">
        <v>4435.1047846700094</v>
      </c>
      <c r="FS10" s="28">
        <v>1329.2814349700002</v>
      </c>
      <c r="FT10" s="82">
        <v>587.3948900000014</v>
      </c>
      <c r="FU10" s="146">
        <v>32.28575</v>
      </c>
      <c r="FV10" s="19">
        <v>7038.4902046400166</v>
      </c>
      <c r="FW10" s="17"/>
      <c r="FX10" s="118" t="s">
        <v>543</v>
      </c>
      <c r="FY10" s="31">
        <v>0</v>
      </c>
      <c r="FZ10" s="18">
        <v>252.77908269</v>
      </c>
      <c r="GA10" s="18">
        <v>-5.7858483599999317</v>
      </c>
      <c r="GB10" s="18">
        <v>91.964320000000043</v>
      </c>
      <c r="GC10" s="18">
        <v>0</v>
      </c>
      <c r="GD10" s="19">
        <v>338.95755433000068</v>
      </c>
      <c r="GE10" s="28">
        <v>654.42334499999993</v>
      </c>
      <c r="GF10" s="28">
        <v>4687.8838673599967</v>
      </c>
      <c r="GG10" s="28">
        <v>1323.4955866100026</v>
      </c>
      <c r="GH10" s="82">
        <v>679.35920999999962</v>
      </c>
      <c r="GI10" s="146">
        <v>32.28575</v>
      </c>
      <c r="GJ10" s="19">
        <v>7377.4477589699964</v>
      </c>
      <c r="GK10" s="17"/>
      <c r="GL10" s="118" t="s">
        <v>543</v>
      </c>
      <c r="GM10" s="31">
        <v>377.15333999999973</v>
      </c>
      <c r="GN10" s="18">
        <v>300.22510751000164</v>
      </c>
      <c r="GO10" s="18">
        <v>105.78446755000039</v>
      </c>
      <c r="GP10" s="18">
        <v>40.902400000000057</v>
      </c>
      <c r="GQ10" s="18">
        <v>0</v>
      </c>
      <c r="GR10" s="19">
        <v>824.06531506000192</v>
      </c>
      <c r="GS10" s="28">
        <v>1031.5766849999995</v>
      </c>
      <c r="GT10" s="28">
        <v>4988.1089748700033</v>
      </c>
      <c r="GU10" s="28">
        <v>1429.2800541600009</v>
      </c>
      <c r="GV10" s="82">
        <v>720.26161000000047</v>
      </c>
      <c r="GW10" s="146">
        <v>32.28575</v>
      </c>
      <c r="GX10" s="19">
        <v>8201.5130740300228</v>
      </c>
      <c r="GY10" s="17"/>
      <c r="GZ10" s="118" t="s">
        <v>543</v>
      </c>
      <c r="HA10" s="31">
        <v>0</v>
      </c>
      <c r="HB10" s="18">
        <v>255.73658165000052</v>
      </c>
      <c r="HC10" s="18">
        <v>75.616721060000259</v>
      </c>
      <c r="HD10" s="18">
        <v>108.57000000000039</v>
      </c>
      <c r="HE10" s="18">
        <v>0</v>
      </c>
      <c r="HF10" s="19">
        <v>439.92330271000174</v>
      </c>
      <c r="HG10" s="28">
        <v>1031.5766849999995</v>
      </c>
      <c r="HH10" s="28">
        <v>5243.8455565200129</v>
      </c>
      <c r="HI10" s="28">
        <v>1504.8967752199987</v>
      </c>
      <c r="HJ10" s="82">
        <v>828.83161000000109</v>
      </c>
      <c r="HK10" s="146">
        <v>32.28575</v>
      </c>
      <c r="HL10" s="19">
        <v>8641.4363767400209</v>
      </c>
      <c r="HM10" s="17"/>
      <c r="HN10" s="118" t="s">
        <v>543</v>
      </c>
      <c r="HO10" s="31">
        <v>204.13433699999996</v>
      </c>
      <c r="HP10" s="18">
        <v>435.73368076000224</v>
      </c>
      <c r="HQ10" s="18">
        <v>90.280113200000528</v>
      </c>
      <c r="HR10" s="18">
        <v>97.3896000000002</v>
      </c>
      <c r="HS10" s="18">
        <v>0</v>
      </c>
      <c r="HT10" s="19">
        <v>827.5377309600035</v>
      </c>
      <c r="HU10" s="28">
        <v>1235.7110219999995</v>
      </c>
      <c r="HV10" s="28">
        <v>5679.5507266299974</v>
      </c>
      <c r="HW10" s="28">
        <v>1595.1768884199955</v>
      </c>
      <c r="HX10" s="82">
        <v>926.22121000000698</v>
      </c>
      <c r="HY10" s="146">
        <v>32.28575</v>
      </c>
      <c r="HZ10" s="19">
        <v>9468.9455970500276</v>
      </c>
      <c r="IA10" s="17"/>
      <c r="IB10" s="118" t="s">
        <v>543</v>
      </c>
      <c r="IC10" s="31">
        <v>0</v>
      </c>
      <c r="ID10" s="18">
        <v>304.60753706999958</v>
      </c>
      <c r="IE10" s="18">
        <v>106.6652237000003</v>
      </c>
      <c r="IF10" s="18">
        <v>92.708000000000197</v>
      </c>
      <c r="IG10" s="18">
        <v>0</v>
      </c>
      <c r="IH10" s="19">
        <v>503.98076077000042</v>
      </c>
      <c r="II10" s="28">
        <v>1235.7110219999995</v>
      </c>
      <c r="IJ10" s="28">
        <v>5984.1582636999956</v>
      </c>
      <c r="IK10" s="28">
        <v>1701.8421121200026</v>
      </c>
      <c r="IL10" s="82">
        <v>1018.9292100000039</v>
      </c>
      <c r="IM10" s="146">
        <v>32.28575</v>
      </c>
      <c r="IN10" s="19">
        <v>9972.9263578200043</v>
      </c>
      <c r="IO10" s="17"/>
      <c r="IP10" s="118" t="s">
        <v>543</v>
      </c>
      <c r="IQ10" s="31">
        <v>0</v>
      </c>
      <c r="IR10" s="18">
        <v>267.486282450001</v>
      </c>
      <c r="IS10" s="18">
        <v>41.340910100000201</v>
      </c>
      <c r="IT10" s="18">
        <v>32.771200000000078</v>
      </c>
      <c r="IU10" s="18">
        <v>0</v>
      </c>
      <c r="IV10" s="19">
        <v>341.59839255000134</v>
      </c>
      <c r="IW10" s="28">
        <v>1235.7110219999995</v>
      </c>
      <c r="IX10" s="28">
        <v>6251.644546149997</v>
      </c>
      <c r="IY10" s="28">
        <v>1743.1830222200024</v>
      </c>
      <c r="IZ10" s="82">
        <v>1051.7004100000031</v>
      </c>
      <c r="JA10" s="146">
        <v>32.28575</v>
      </c>
      <c r="JB10" s="19">
        <v>10314.524750369994</v>
      </c>
      <c r="JC10" s="17"/>
      <c r="JD10" s="118" t="s">
        <v>543</v>
      </c>
      <c r="JE10" s="31">
        <v>433.72634099999982</v>
      </c>
      <c r="JF10" s="18">
        <v>249.31997457000034</v>
      </c>
      <c r="JG10" s="18">
        <v>128.25950340000054</v>
      </c>
      <c r="JH10" s="18">
        <v>72.854400000000282</v>
      </c>
      <c r="JI10" s="18">
        <v>0</v>
      </c>
      <c r="JJ10" s="19">
        <v>884.16021897000064</v>
      </c>
      <c r="JK10" s="28">
        <v>1669.437363</v>
      </c>
      <c r="JL10" s="28">
        <v>6500.9645207199501</v>
      </c>
      <c r="JM10" s="28">
        <v>1871.4425256200047</v>
      </c>
      <c r="JN10" s="82">
        <v>1124.5548100000051</v>
      </c>
      <c r="JO10" s="146">
        <v>32.28575</v>
      </c>
      <c r="JP10" s="19">
        <v>11198.684969339956</v>
      </c>
      <c r="JQ10" s="17"/>
      <c r="JR10" s="118" t="s">
        <v>543</v>
      </c>
      <c r="JS10" s="31">
        <v>0</v>
      </c>
      <c r="JT10" s="18">
        <v>235.03526446000069</v>
      </c>
      <c r="JU10" s="18">
        <v>140.08723720000023</v>
      </c>
      <c r="JV10" s="18">
        <v>57.417400000000043</v>
      </c>
      <c r="JW10" s="18">
        <v>0</v>
      </c>
      <c r="JX10" s="19">
        <v>432.53990166000131</v>
      </c>
      <c r="JY10" s="28">
        <v>1669.437363</v>
      </c>
      <c r="JZ10" s="28">
        <v>6735.9997851799708</v>
      </c>
      <c r="KA10" s="28">
        <v>2011.529762820006</v>
      </c>
      <c r="KB10" s="82">
        <v>1181.9722100000072</v>
      </c>
      <c r="KC10" s="146">
        <v>32.28575</v>
      </c>
      <c r="KD10" s="19">
        <v>11631.224870999984</v>
      </c>
      <c r="KE10" s="17"/>
      <c r="KF10" s="118" t="s">
        <v>543</v>
      </c>
      <c r="KG10" s="31">
        <v>565.73000999999999</v>
      </c>
      <c r="KH10" s="18">
        <v>297.55205796000018</v>
      </c>
      <c r="KI10" s="18">
        <v>86.637454750000416</v>
      </c>
      <c r="KJ10" s="18">
        <v>11.383920000000046</v>
      </c>
      <c r="KK10" s="18">
        <v>0</v>
      </c>
      <c r="KL10" s="19">
        <v>961.30344271000013</v>
      </c>
      <c r="KM10" s="28">
        <v>2235.1673730000002</v>
      </c>
      <c r="KN10" s="28">
        <v>7033.5518431399832</v>
      </c>
      <c r="KO10" s="28">
        <v>2098.1672175700114</v>
      </c>
      <c r="KP10" s="82">
        <v>1193.3561300000038</v>
      </c>
      <c r="KQ10" s="146">
        <v>32.28575</v>
      </c>
      <c r="KR10" s="19">
        <v>12592.52831371002</v>
      </c>
      <c r="KT10" s="118" t="s">
        <v>543</v>
      </c>
      <c r="KU10" s="31">
        <v>0</v>
      </c>
      <c r="KV10" s="18">
        <v>252.8653869499999</v>
      </c>
      <c r="KW10" s="18">
        <v>56.263040400000136</v>
      </c>
      <c r="KX10" s="18">
        <v>34.218239999999923</v>
      </c>
      <c r="KY10" s="18">
        <v>0</v>
      </c>
      <c r="KZ10" s="19">
        <v>343.34666735000019</v>
      </c>
      <c r="LA10" s="28">
        <v>2235.1673730000002</v>
      </c>
      <c r="LB10" s="28">
        <v>7286.4172300899663</v>
      </c>
      <c r="LC10" s="28">
        <v>2154.4302579700088</v>
      </c>
      <c r="LD10" s="82">
        <v>1227.5743700000075</v>
      </c>
      <c r="LE10" s="146">
        <v>32.28575</v>
      </c>
      <c r="LF10" s="19">
        <v>12935.874981059984</v>
      </c>
      <c r="LG10" s="17"/>
      <c r="LH10" s="118" t="s">
        <v>543</v>
      </c>
      <c r="LI10" s="31">
        <v>509.15700900000002</v>
      </c>
      <c r="LJ10" s="18">
        <v>239.99121674000116</v>
      </c>
      <c r="LK10" s="18">
        <v>88.638339650000262</v>
      </c>
      <c r="LL10" s="18">
        <v>25.468800000000044</v>
      </c>
      <c r="LM10" s="18">
        <v>0</v>
      </c>
      <c r="LN10" s="19">
        <v>863.25536539000223</v>
      </c>
      <c r="LO10" s="28">
        <v>2744.3243820000007</v>
      </c>
      <c r="LP10" s="28">
        <v>7526.4084468299843</v>
      </c>
      <c r="LQ10" s="28">
        <v>2243.0685976200111</v>
      </c>
      <c r="LR10" s="82">
        <v>1253.0431700000081</v>
      </c>
      <c r="LS10" s="146">
        <v>32.28575</v>
      </c>
      <c r="LT10" s="19">
        <v>13799.130346450009</v>
      </c>
      <c r="LU10" s="17"/>
      <c r="LV10" s="118" t="s">
        <v>543</v>
      </c>
      <c r="LW10" s="31">
        <v>369.69333999999981</v>
      </c>
      <c r="LX10" s="18">
        <v>159.84042826000064</v>
      </c>
      <c r="LY10" s="18">
        <v>105.52585365000039</v>
      </c>
      <c r="LZ10" s="18">
        <v>45.329160000000115</v>
      </c>
      <c r="MA10" s="18">
        <v>0</v>
      </c>
      <c r="MB10" s="19">
        <v>680.38878191000094</v>
      </c>
      <c r="MC10" s="28">
        <v>3114.0177219999996</v>
      </c>
      <c r="MD10" s="28">
        <v>7686.2776725499716</v>
      </c>
      <c r="ME10" s="28">
        <v>2348.594451270008</v>
      </c>
      <c r="MF10" s="82">
        <v>1298.3723300000074</v>
      </c>
      <c r="MG10" s="146">
        <v>32.28575</v>
      </c>
      <c r="MH10" s="19">
        <v>14479.547925819992</v>
      </c>
      <c r="MI10" s="17">
        <f t="shared" si="5"/>
        <v>0</v>
      </c>
      <c r="MJ10" s="17">
        <f t="shared" si="0"/>
        <v>2.8797459986890317E-2</v>
      </c>
      <c r="MK10" s="17">
        <f t="shared" si="1"/>
        <v>-3.637978807091713E-12</v>
      </c>
      <c r="ML10" s="17">
        <f t="shared" si="2"/>
        <v>0</v>
      </c>
      <c r="MM10" s="17">
        <f t="shared" si="3"/>
        <v>0</v>
      </c>
      <c r="MN10" s="17">
        <f t="shared" si="4"/>
        <v>2.8797459981433349E-2</v>
      </c>
    </row>
    <row r="11" spans="2:352" ht="15" thickBot="1" x14ac:dyDescent="0.35">
      <c r="B11" s="116" t="s">
        <v>460</v>
      </c>
      <c r="C11" s="57" t="s">
        <v>478</v>
      </c>
      <c r="D11" s="58">
        <v>9.6333450572711268E-2</v>
      </c>
      <c r="E11" s="58">
        <v>0.13039166455363735</v>
      </c>
      <c r="F11" s="58">
        <v>9.4992813162695769E-2</v>
      </c>
      <c r="G11" s="59">
        <v>0.10205249329945729</v>
      </c>
      <c r="H11" s="60" t="s">
        <v>478</v>
      </c>
      <c r="I11" s="58">
        <v>9.6333450572711268E-2</v>
      </c>
      <c r="J11" s="58">
        <v>0.13039166455363735</v>
      </c>
      <c r="K11" s="61">
        <v>9.4992813162695769E-2</v>
      </c>
      <c r="L11" s="59">
        <v>0.10205249329945729</v>
      </c>
      <c r="N11" s="116" t="s">
        <v>460</v>
      </c>
      <c r="O11" s="57" t="s">
        <v>478</v>
      </c>
      <c r="P11" s="58">
        <v>8.7203762169722573E-2</v>
      </c>
      <c r="Q11" s="58">
        <v>0.14122233961814898</v>
      </c>
      <c r="R11" s="58">
        <v>9.4513317785688E-2</v>
      </c>
      <c r="S11" s="59">
        <v>9.4646039284087408E-2</v>
      </c>
      <c r="T11" s="60" t="s">
        <v>478</v>
      </c>
      <c r="U11" s="58">
        <v>9.2665689202631796E-2</v>
      </c>
      <c r="V11" s="58">
        <v>0.13372949856396818</v>
      </c>
      <c r="W11" s="61">
        <v>9.479169359383785E-2</v>
      </c>
      <c r="X11" s="59">
        <v>9.916671193311738E-2</v>
      </c>
      <c r="Z11" s="116" t="s">
        <v>460</v>
      </c>
      <c r="AA11" s="57">
        <v>0.28602124948810104</v>
      </c>
      <c r="AB11" s="58">
        <v>9.5942313861388739E-2</v>
      </c>
      <c r="AC11" s="58">
        <v>0.14563832142334954</v>
      </c>
      <c r="AD11" s="58">
        <v>6.8962102967068492E-2</v>
      </c>
      <c r="AE11" s="59">
        <v>0.1423122185940725</v>
      </c>
      <c r="AF11" s="60">
        <v>0.28602124948810104</v>
      </c>
      <c r="AG11" s="58">
        <v>9.3727419130759035E-2</v>
      </c>
      <c r="AH11" s="58">
        <v>0.13702729599278823</v>
      </c>
      <c r="AI11" s="61">
        <v>8.8638505363850664E-2</v>
      </c>
      <c r="AJ11" s="59">
        <v>0.1149876133799564</v>
      </c>
      <c r="AL11" s="116" t="s">
        <v>460</v>
      </c>
      <c r="AM11" s="57" t="s">
        <v>478</v>
      </c>
      <c r="AN11" s="58">
        <v>7.8326133461406988E-2</v>
      </c>
      <c r="AO11" s="58">
        <v>0.14438775007418322</v>
      </c>
      <c r="AP11" s="58">
        <v>6.006370611662265E-2</v>
      </c>
      <c r="AQ11" s="59">
        <v>9.1758360238256273E-2</v>
      </c>
      <c r="AR11" s="60">
        <v>0.28602124948810104</v>
      </c>
      <c r="AS11" s="58">
        <v>9.0163157554841611E-2</v>
      </c>
      <c r="AT11" s="58">
        <v>0.13922171270037237</v>
      </c>
      <c r="AU11" s="61">
        <v>8.685091620216992E-2</v>
      </c>
      <c r="AV11" s="59">
        <v>0.11006102014660281</v>
      </c>
      <c r="AX11" s="116" t="s">
        <v>460</v>
      </c>
      <c r="AY11" s="57" t="s">
        <v>478</v>
      </c>
      <c r="AZ11" s="58">
        <v>8.7600083663085387E-2</v>
      </c>
      <c r="BA11" s="58">
        <v>0.14054214142577981</v>
      </c>
      <c r="BB11" s="58">
        <v>7.2208831322099015E-2</v>
      </c>
      <c r="BC11" s="59">
        <v>9.8556800296434932E-2</v>
      </c>
      <c r="BD11" s="60">
        <v>0.28602124948810104</v>
      </c>
      <c r="BE11" s="58">
        <v>8.9676715819502734E-2</v>
      </c>
      <c r="BF11" s="58">
        <v>0.13958297534549338</v>
      </c>
      <c r="BG11" s="61">
        <v>8.3868148591991348E-2</v>
      </c>
      <c r="BH11" s="59">
        <v>0.10781958210093698</v>
      </c>
      <c r="BJ11" s="116" t="s">
        <v>460</v>
      </c>
      <c r="BK11" s="57" t="s">
        <v>478</v>
      </c>
      <c r="BL11" s="58">
        <v>9.3162538168258452E-2</v>
      </c>
      <c r="BM11" s="58">
        <v>0.11808336334528467</v>
      </c>
      <c r="BN11" s="58">
        <v>6.6013503860763115E-2</v>
      </c>
      <c r="BO11" s="59">
        <v>9.5659948280079607E-2</v>
      </c>
      <c r="BP11" s="60">
        <v>0.28602124948810104</v>
      </c>
      <c r="BQ11" s="58">
        <v>9.0195368761207192E-2</v>
      </c>
      <c r="BR11" s="58">
        <v>0.13547847058857371</v>
      </c>
      <c r="BS11" s="61">
        <v>8.0551988293498675E-2</v>
      </c>
      <c r="BT11" s="59">
        <v>0.10596282341229751</v>
      </c>
      <c r="BV11" s="116" t="s">
        <v>460</v>
      </c>
      <c r="BW11" s="57">
        <v>0.28036807219778548</v>
      </c>
      <c r="BX11" s="58">
        <v>8.5498868758329793E-2</v>
      </c>
      <c r="BY11" s="58">
        <v>0.1093679224393795</v>
      </c>
      <c r="BZ11" s="58">
        <v>7.681219515655624E-2</v>
      </c>
      <c r="CA11" s="59">
        <v>0.11726605925443746</v>
      </c>
      <c r="CB11" s="60">
        <v>0.28401530298211697</v>
      </c>
      <c r="CC11" s="58">
        <v>8.9605526892276119E-2</v>
      </c>
      <c r="CD11" s="58">
        <v>0.13325007762361288</v>
      </c>
      <c r="CE11" s="61">
        <v>7.9923805057090749E-2</v>
      </c>
      <c r="CF11" s="59">
        <v>0.10750679725823128</v>
      </c>
      <c r="CH11" s="116" t="s">
        <v>460</v>
      </c>
      <c r="CI11" s="57">
        <v>0.28036807219778553</v>
      </c>
      <c r="CJ11" s="58">
        <v>9.852568863127846E-2</v>
      </c>
      <c r="CK11" s="58">
        <v>0.1011337272280369</v>
      </c>
      <c r="CL11" s="58" t="s">
        <v>478</v>
      </c>
      <c r="CM11" s="59">
        <v>0.10902830352296858</v>
      </c>
      <c r="CN11" s="60">
        <v>0.28359848021945155</v>
      </c>
      <c r="CO11" s="58">
        <v>9.0830350302278137E-2</v>
      </c>
      <c r="CP11" s="58">
        <v>0.12935595983043921</v>
      </c>
      <c r="CQ11" s="61">
        <v>7.9923805057090749E-2</v>
      </c>
      <c r="CR11" s="59">
        <v>0.10769287368231105</v>
      </c>
      <c r="CT11" s="116" t="s">
        <v>460</v>
      </c>
      <c r="CU11" s="57" t="s">
        <v>478</v>
      </c>
      <c r="CV11" s="58">
        <v>9.1764788091025951E-2</v>
      </c>
      <c r="CW11" s="58">
        <v>0.14159917389810811</v>
      </c>
      <c r="CX11" s="58">
        <v>9.4513317785688097E-2</v>
      </c>
      <c r="CY11" s="59">
        <v>9.8610315123055736E-2</v>
      </c>
      <c r="CZ11" s="60">
        <v>0.28359848021945155</v>
      </c>
      <c r="DA11" s="58">
        <v>9.0949854425583301E-2</v>
      </c>
      <c r="DB11" s="58">
        <v>0.13055137333984551</v>
      </c>
      <c r="DC11" s="61">
        <v>8.2225038230124545E-2</v>
      </c>
      <c r="DD11" s="59">
        <v>0.10661316545491739</v>
      </c>
      <c r="DF11" s="116" t="s">
        <v>460</v>
      </c>
      <c r="DG11" s="57" t="s">
        <v>478</v>
      </c>
      <c r="DH11" s="58">
        <v>9.6383067648682624E-2</v>
      </c>
      <c r="DI11" s="58">
        <v>0.10297459269681421</v>
      </c>
      <c r="DJ11" s="58">
        <v>7.7496838393077042E-2</v>
      </c>
      <c r="DK11" s="58">
        <v>0.43013542589545628</v>
      </c>
      <c r="DL11" s="59">
        <v>9.8313124933412627E-2</v>
      </c>
      <c r="DM11" s="60">
        <v>0.28359848021945155</v>
      </c>
      <c r="DN11" s="58">
        <v>9.1382914754560979E-2</v>
      </c>
      <c r="DO11" s="58">
        <v>0.12861623513874881</v>
      </c>
      <c r="DP11" s="61">
        <v>8.1168858850096559E-2</v>
      </c>
      <c r="DQ11" s="61">
        <v>0.43013542589545628</v>
      </c>
      <c r="DR11" s="59">
        <v>0.10586631809308988</v>
      </c>
      <c r="DT11" s="116" t="s">
        <v>460</v>
      </c>
      <c r="DU11" s="57" t="s">
        <v>478</v>
      </c>
      <c r="DV11" s="58">
        <v>8.2709481717164232E-2</v>
      </c>
      <c r="DW11" s="58">
        <v>0.1253684714695438</v>
      </c>
      <c r="DX11" s="58">
        <v>9.4513317785688111E-2</v>
      </c>
      <c r="DY11" s="58" t="s">
        <v>478</v>
      </c>
      <c r="DZ11" s="59">
        <v>9.4604256339563472E-2</v>
      </c>
      <c r="EA11" s="60">
        <v>0.28359848021945155</v>
      </c>
      <c r="EB11" s="58">
        <v>9.0720560372599998E-2</v>
      </c>
      <c r="EC11" s="58">
        <v>0.12821079090981347</v>
      </c>
      <c r="ED11" s="61">
        <v>8.3118987188099167E-2</v>
      </c>
      <c r="EE11" s="61">
        <v>0.43013542589545628</v>
      </c>
      <c r="EF11" s="59">
        <v>0.10487331608433662</v>
      </c>
      <c r="EH11" s="116" t="s">
        <v>460</v>
      </c>
      <c r="EI11" s="57" t="s">
        <v>478</v>
      </c>
      <c r="EJ11" s="58">
        <v>8.8562916150811619E-2</v>
      </c>
      <c r="EK11" s="58">
        <v>7.2085617590975273E-2</v>
      </c>
      <c r="EL11" s="58">
        <v>7.1732909303536083E-2</v>
      </c>
      <c r="EM11" s="58" t="s">
        <v>478</v>
      </c>
      <c r="EN11" s="59">
        <v>8.4334697607253706E-2</v>
      </c>
      <c r="EO11" s="60">
        <v>0.28359848021945155</v>
      </c>
      <c r="EP11" s="58">
        <v>9.0549666028853629E-2</v>
      </c>
      <c r="EQ11" s="58">
        <v>0.12415659014179851</v>
      </c>
      <c r="ER11" s="61">
        <v>8.2359689720836377E-2</v>
      </c>
      <c r="ES11" s="61">
        <v>0.43013542589545628</v>
      </c>
      <c r="ET11" s="59">
        <v>0.10336416247995486</v>
      </c>
      <c r="EV11" s="116" t="s">
        <v>460</v>
      </c>
      <c r="EW11" s="57" t="s">
        <v>478</v>
      </c>
      <c r="EX11" s="58">
        <v>9.3060273032418372E-2</v>
      </c>
      <c r="EY11" s="58">
        <v>0.10842661003282777</v>
      </c>
      <c r="EZ11" s="58">
        <v>7.8220227239997553E-2</v>
      </c>
      <c r="FA11" s="58" t="s">
        <v>478</v>
      </c>
      <c r="FB11" s="59">
        <v>9.3177406437508964E-2</v>
      </c>
      <c r="FC11" s="60">
        <v>0.28359848021945155</v>
      </c>
      <c r="FD11" s="58">
        <v>9.0816983539684495E-2</v>
      </c>
      <c r="FE11" s="58">
        <v>0.12312160780020674</v>
      </c>
      <c r="FF11" s="61">
        <v>8.1963506868515779E-2</v>
      </c>
      <c r="FG11" s="61">
        <v>0.43013542589545628</v>
      </c>
      <c r="FH11" s="59">
        <v>0.10239701425165343</v>
      </c>
      <c r="FJ11" s="116" t="s">
        <v>460</v>
      </c>
      <c r="FK11" s="57" t="s">
        <v>478</v>
      </c>
      <c r="FL11" s="58">
        <v>9.1150933475612914E-2</v>
      </c>
      <c r="FM11" s="58">
        <v>0.12179625793886348</v>
      </c>
      <c r="FN11" s="58">
        <v>7.8078611968165818E-2</v>
      </c>
      <c r="FO11" s="58" t="s">
        <v>478</v>
      </c>
      <c r="FP11" s="59">
        <v>9.4137814969940059E-2</v>
      </c>
      <c r="FQ11" s="60">
        <v>0.28359848021945155</v>
      </c>
      <c r="FR11" s="58">
        <v>9.084690157352239E-2</v>
      </c>
      <c r="FS11" s="58">
        <v>0.12302300561964596</v>
      </c>
      <c r="FT11" s="61">
        <v>8.165512553730557E-2</v>
      </c>
      <c r="FU11" s="61">
        <v>0.43013542589545628</v>
      </c>
      <c r="FV11" s="59">
        <v>0.10171091780022463</v>
      </c>
      <c r="FX11" s="116" t="s">
        <v>460</v>
      </c>
      <c r="FY11" s="57" t="s">
        <v>478</v>
      </c>
      <c r="FZ11" s="58">
        <v>9.2019196738226186E-2</v>
      </c>
      <c r="GA11" s="58">
        <v>-7.1979006161829798E-3</v>
      </c>
      <c r="GB11" s="58">
        <v>8.9488718412044199E-2</v>
      </c>
      <c r="GC11" s="58" t="s">
        <v>478</v>
      </c>
      <c r="GD11" s="59">
        <v>7.4032222930069724E-2</v>
      </c>
      <c r="GE11" s="60">
        <v>0.28359848021945155</v>
      </c>
      <c r="GF11" s="58">
        <v>9.0909351421325724E-2</v>
      </c>
      <c r="GG11" s="58">
        <v>0.11400629273850478</v>
      </c>
      <c r="GH11" s="61">
        <v>8.2634329385858074E-2</v>
      </c>
      <c r="GI11" s="61">
        <v>0.43013542589545628</v>
      </c>
      <c r="GJ11" s="59">
        <v>9.9993267487559073E-2</v>
      </c>
      <c r="GK11" s="17"/>
      <c r="GL11" s="116" t="s">
        <v>460</v>
      </c>
      <c r="GM11" s="57">
        <v>0.28602124948810104</v>
      </c>
      <c r="GN11" s="58">
        <v>8.8121032149238887E-2</v>
      </c>
      <c r="GO11" s="58">
        <v>0.11517672647553784</v>
      </c>
      <c r="GP11" s="58">
        <v>9.4513317785688111E-2</v>
      </c>
      <c r="GQ11" s="58" t="s">
        <v>478</v>
      </c>
      <c r="GR11" s="59">
        <v>0.13560831365261139</v>
      </c>
      <c r="GS11" s="60">
        <v>0.28447949087058305</v>
      </c>
      <c r="GT11" s="58">
        <v>9.0736546444284902E-2</v>
      </c>
      <c r="GU11" s="58">
        <v>0.11409210359950255</v>
      </c>
      <c r="GV11" s="61">
        <v>8.3228370308919275E-2</v>
      </c>
      <c r="GW11" s="61">
        <v>0.43013542589545628</v>
      </c>
      <c r="GX11" s="59">
        <v>0.10270345861270451</v>
      </c>
      <c r="GZ11" s="116" t="s">
        <v>460</v>
      </c>
      <c r="HA11" s="57" t="s">
        <v>478</v>
      </c>
      <c r="HB11" s="58">
        <v>8.7693270000211238E-2</v>
      </c>
      <c r="HC11" s="58">
        <v>0.1046871691575184</v>
      </c>
      <c r="HD11" s="58">
        <v>9.4513317785688319E-2</v>
      </c>
      <c r="HE11" s="58" t="s">
        <v>478</v>
      </c>
      <c r="HF11" s="59">
        <v>9.1893812097586597E-2</v>
      </c>
      <c r="HG11" s="60">
        <v>0.28447949087058305</v>
      </c>
      <c r="HH11" s="58">
        <v>9.0583238046671524E-2</v>
      </c>
      <c r="HI11" s="58">
        <v>0.113579392184886</v>
      </c>
      <c r="HJ11" s="61">
        <v>8.4550785136159906E-2</v>
      </c>
      <c r="HK11" s="61">
        <v>0.43013542589545628</v>
      </c>
      <c r="HL11" s="59">
        <v>0.10209208270822062</v>
      </c>
      <c r="HN11" s="116" t="s">
        <v>460</v>
      </c>
      <c r="HO11" s="57">
        <v>0.28275764501531281</v>
      </c>
      <c r="HP11" s="58">
        <v>8.9249751428341323E-2</v>
      </c>
      <c r="HQ11" s="58">
        <v>9.0793884011763679E-2</v>
      </c>
      <c r="HR11" s="58">
        <v>9.4513317785688181E-2</v>
      </c>
      <c r="HS11" s="58" t="s">
        <v>478</v>
      </c>
      <c r="HT11" s="59">
        <v>0.10847407658033406</v>
      </c>
      <c r="HU11" s="60">
        <v>0.28419360456251191</v>
      </c>
      <c r="HV11" s="58">
        <v>9.0479069963102399E-2</v>
      </c>
      <c r="HW11" s="58">
        <v>0.11198879596660025</v>
      </c>
      <c r="HX11" s="61">
        <v>8.5498401615738295E-2</v>
      </c>
      <c r="HY11" s="61">
        <v>0.43013542589545628</v>
      </c>
      <c r="HZ11" s="59">
        <v>0.10261942400939843</v>
      </c>
      <c r="IA11" s="17"/>
      <c r="IB11" s="116" t="s">
        <v>460</v>
      </c>
      <c r="IC11" s="57" t="s">
        <v>478</v>
      </c>
      <c r="ID11" s="58">
        <v>9.2013183281004343E-2</v>
      </c>
      <c r="IE11" s="58">
        <v>0.13140444241312366</v>
      </c>
      <c r="IF11" s="58">
        <v>9.4513317785688181E-2</v>
      </c>
      <c r="IG11" s="58" t="s">
        <v>478</v>
      </c>
      <c r="IH11" s="59">
        <v>9.8759568672359951E-2</v>
      </c>
      <c r="II11" s="60">
        <v>0.28419360456251191</v>
      </c>
      <c r="IJ11" s="58">
        <v>9.0555923139306244E-2</v>
      </c>
      <c r="IK11" s="58">
        <v>0.11303558843480382</v>
      </c>
      <c r="IL11" s="61">
        <v>8.6246890455563011E-2</v>
      </c>
      <c r="IM11" s="61">
        <v>0.43013542589545628</v>
      </c>
      <c r="IN11" s="59">
        <v>0.10241714265887553</v>
      </c>
      <c r="IP11" s="116" t="s">
        <v>460</v>
      </c>
      <c r="IQ11" s="57" t="s">
        <v>478</v>
      </c>
      <c r="IR11" s="58">
        <v>9.2420798198485282E-2</v>
      </c>
      <c r="IS11" s="58">
        <v>7.4146611023855696E-2</v>
      </c>
      <c r="IT11" s="58">
        <v>9.4513317785688195E-2</v>
      </c>
      <c r="IU11" s="58" t="s">
        <v>478</v>
      </c>
      <c r="IV11" s="59">
        <v>8.9929472702926935E-2</v>
      </c>
      <c r="IW11" s="60">
        <v>0.28419360456251191</v>
      </c>
      <c r="IX11" s="58">
        <v>9.0634172218596223E-2</v>
      </c>
      <c r="IY11" s="58">
        <v>0.11164685542409827</v>
      </c>
      <c r="IZ11" s="61">
        <v>8.6482587327428043E-2</v>
      </c>
      <c r="JA11" s="61">
        <v>0.43013542589545628</v>
      </c>
      <c r="JB11" s="59">
        <v>0.10194830125824275</v>
      </c>
      <c r="JD11" s="116" t="s">
        <v>460</v>
      </c>
      <c r="JE11" s="57">
        <v>0.28602124948810109</v>
      </c>
      <c r="JF11" s="58">
        <v>9.7455409970740287E-2</v>
      </c>
      <c r="JG11" s="58">
        <v>0.11319739067795716</v>
      </c>
      <c r="JH11" s="58">
        <v>8.511693063121599E-2</v>
      </c>
      <c r="JI11" s="58" t="s">
        <v>478</v>
      </c>
      <c r="JJ11" s="59">
        <v>0.14581188704695269</v>
      </c>
      <c r="JK11" s="60">
        <v>0.28466618427621992</v>
      </c>
      <c r="JL11" s="58">
        <v>9.0878119421962653E-2</v>
      </c>
      <c r="JM11" s="58">
        <v>0.11175176440734379</v>
      </c>
      <c r="JN11" s="61">
        <v>8.6392786936623639E-2</v>
      </c>
      <c r="JO11" s="61">
        <v>0.43013542589545628</v>
      </c>
      <c r="JP11" s="59">
        <v>0.10442854505251133</v>
      </c>
      <c r="JR11" s="116" t="s">
        <v>460</v>
      </c>
      <c r="JS11" s="57" t="s">
        <v>478</v>
      </c>
      <c r="JT11" s="58">
        <v>9.3024747408618713E-2</v>
      </c>
      <c r="JU11" s="58">
        <v>0.13130521731592038</v>
      </c>
      <c r="JV11" s="58">
        <v>6.994839129444938E-2</v>
      </c>
      <c r="JW11" s="58" t="s">
        <v>478</v>
      </c>
      <c r="JX11" s="59">
        <v>9.7985517223480187E-2</v>
      </c>
      <c r="JY11" s="60">
        <v>0.28466618427621992</v>
      </c>
      <c r="JZ11" s="58">
        <v>9.0951351002225872E-2</v>
      </c>
      <c r="KA11" s="58">
        <v>0.11292286846552425</v>
      </c>
      <c r="KB11" s="61">
        <v>8.5417298168215347E-2</v>
      </c>
      <c r="KC11" s="61">
        <v>0.43013542589545628</v>
      </c>
      <c r="KD11" s="59">
        <v>0.10417381077165153</v>
      </c>
      <c r="KF11" s="116" t="s">
        <v>460</v>
      </c>
      <c r="KG11" s="57">
        <v>0.2860212494881012</v>
      </c>
      <c r="KH11" s="58">
        <v>9.5864623334809967E-2</v>
      </c>
      <c r="KI11" s="58">
        <v>0.11808495408467556</v>
      </c>
      <c r="KJ11" s="58">
        <v>3.8743176674211309E-2</v>
      </c>
      <c r="KK11" s="58" t="s">
        <v>478</v>
      </c>
      <c r="KL11" s="59">
        <v>0.15735017781005653</v>
      </c>
      <c r="KM11" s="60">
        <v>0.28500794175409444</v>
      </c>
      <c r="KN11" s="58">
        <v>9.1148980855944459E-2</v>
      </c>
      <c r="KO11" s="58">
        <v>0.11312707177303236</v>
      </c>
      <c r="KP11" s="61">
        <v>8.4446819509117269E-2</v>
      </c>
      <c r="KQ11" s="61">
        <v>0.43013542589545628</v>
      </c>
      <c r="KR11" s="59">
        <v>0.1069325386547877</v>
      </c>
      <c r="KT11" s="116" t="s">
        <v>460</v>
      </c>
      <c r="KU11" s="57" t="s">
        <v>478</v>
      </c>
      <c r="KV11" s="58">
        <v>9.6851851017724963E-2</v>
      </c>
      <c r="KW11" s="58">
        <v>8.3666326799875915E-2</v>
      </c>
      <c r="KX11" s="58">
        <v>4.7272603490052412E-2</v>
      </c>
      <c r="KY11" s="58" t="s">
        <v>478</v>
      </c>
      <c r="KZ11" s="59">
        <v>8.568316844015042E-2</v>
      </c>
      <c r="LA11" s="60">
        <v>0.28500794175409444</v>
      </c>
      <c r="LB11" s="58">
        <v>9.1335619291903744E-2</v>
      </c>
      <c r="LC11" s="58">
        <v>0.11209627050737499</v>
      </c>
      <c r="LD11" s="61">
        <v>8.2635443893838104E-2</v>
      </c>
      <c r="LE11" s="61">
        <v>0.43013542589545628</v>
      </c>
      <c r="LF11" s="59">
        <v>0.10623326350449244</v>
      </c>
      <c r="LH11" s="116" t="s">
        <v>460</v>
      </c>
      <c r="LI11" s="57">
        <v>0.2860212494881012</v>
      </c>
      <c r="LJ11" s="58">
        <v>0.10159413798488327</v>
      </c>
      <c r="LK11" s="58">
        <v>0.12392731053125079</v>
      </c>
      <c r="LL11" s="58">
        <v>6.3523101849265434E-2</v>
      </c>
      <c r="LM11" s="58" t="s">
        <v>478</v>
      </c>
      <c r="LN11" s="59">
        <v>0.16416150141600125</v>
      </c>
      <c r="LO11" s="60">
        <v>0.28519539883717637</v>
      </c>
      <c r="LP11" s="58">
        <v>9.1630648033518072E-2</v>
      </c>
      <c r="LQ11" s="58">
        <v>0.11252076065540578</v>
      </c>
      <c r="LR11" s="61">
        <v>8.2133166963969925E-2</v>
      </c>
      <c r="LS11" s="61">
        <v>0.43013542589545628</v>
      </c>
      <c r="LT11" s="59">
        <v>0.10863133252548011</v>
      </c>
      <c r="LV11" s="116" t="s">
        <v>460</v>
      </c>
      <c r="LW11" s="57">
        <v>0.28036807219778542</v>
      </c>
      <c r="LX11" s="58">
        <v>8.5454615658524427E-2</v>
      </c>
      <c r="LY11" s="58">
        <v>0.10250499057573717</v>
      </c>
      <c r="LZ11" s="58">
        <v>6.2770511575994323E-2</v>
      </c>
      <c r="MA11" s="58" t="s">
        <v>478</v>
      </c>
      <c r="MB11" s="59">
        <v>0.13771148390181281</v>
      </c>
      <c r="MC11" s="60">
        <v>0.28461362476237773</v>
      </c>
      <c r="MD11" s="58">
        <v>9.1493480674417316E-2</v>
      </c>
      <c r="ME11" s="58">
        <v>0.1120289246177598</v>
      </c>
      <c r="MF11" s="61">
        <v>8.1258074000175026E-2</v>
      </c>
      <c r="MG11" s="61">
        <v>0.43013542589545628</v>
      </c>
      <c r="MH11" s="59">
        <v>0.10972026900964278</v>
      </c>
    </row>
    <row r="12" spans="2:352" ht="15" thickBot="1" x14ac:dyDescent="0.35">
      <c r="B12" s="377" t="s">
        <v>482</v>
      </c>
      <c r="C12" s="369"/>
      <c r="D12" s="369"/>
      <c r="E12" s="369"/>
      <c r="F12" s="369"/>
      <c r="G12" s="369"/>
      <c r="H12" s="369"/>
      <c r="I12" s="369"/>
      <c r="J12" s="369"/>
      <c r="K12" s="369"/>
      <c r="L12" s="370"/>
      <c r="N12" s="377" t="s">
        <v>482</v>
      </c>
      <c r="O12" s="369"/>
      <c r="P12" s="369"/>
      <c r="Q12" s="369"/>
      <c r="R12" s="369"/>
      <c r="S12" s="369"/>
      <c r="T12" s="369"/>
      <c r="U12" s="369"/>
      <c r="V12" s="369"/>
      <c r="W12" s="369"/>
      <c r="X12" s="370"/>
      <c r="Z12" s="377" t="s">
        <v>482</v>
      </c>
      <c r="AA12" s="369"/>
      <c r="AB12" s="369"/>
      <c r="AC12" s="369"/>
      <c r="AD12" s="369"/>
      <c r="AE12" s="369"/>
      <c r="AF12" s="369"/>
      <c r="AG12" s="369"/>
      <c r="AH12" s="369"/>
      <c r="AI12" s="369"/>
      <c r="AJ12" s="370"/>
      <c r="AL12" s="377" t="s">
        <v>482</v>
      </c>
      <c r="AM12" s="369"/>
      <c r="AN12" s="369"/>
      <c r="AO12" s="369"/>
      <c r="AP12" s="369"/>
      <c r="AQ12" s="369"/>
      <c r="AR12" s="369"/>
      <c r="AS12" s="369"/>
      <c r="AT12" s="369"/>
      <c r="AU12" s="369"/>
      <c r="AV12" s="370"/>
      <c r="AX12" s="377" t="s">
        <v>482</v>
      </c>
      <c r="AY12" s="369"/>
      <c r="AZ12" s="369"/>
      <c r="BA12" s="369"/>
      <c r="BB12" s="369"/>
      <c r="BC12" s="369"/>
      <c r="BD12" s="369"/>
      <c r="BE12" s="369"/>
      <c r="BF12" s="369"/>
      <c r="BG12" s="369"/>
      <c r="BH12" s="370"/>
      <c r="BJ12" s="377" t="s">
        <v>482</v>
      </c>
      <c r="BK12" s="369"/>
      <c r="BL12" s="369"/>
      <c r="BM12" s="369"/>
      <c r="BN12" s="369"/>
      <c r="BO12" s="369"/>
      <c r="BP12" s="369"/>
      <c r="BQ12" s="369"/>
      <c r="BR12" s="369"/>
      <c r="BS12" s="369"/>
      <c r="BT12" s="370"/>
      <c r="BV12" s="377" t="s">
        <v>482</v>
      </c>
      <c r="BW12" s="369"/>
      <c r="BX12" s="369"/>
      <c r="BY12" s="369"/>
      <c r="BZ12" s="369"/>
      <c r="CA12" s="369"/>
      <c r="CB12" s="369"/>
      <c r="CC12" s="369"/>
      <c r="CD12" s="369"/>
      <c r="CE12" s="369"/>
      <c r="CF12" s="370"/>
      <c r="CH12" s="377" t="s">
        <v>482</v>
      </c>
      <c r="CI12" s="369"/>
      <c r="CJ12" s="369"/>
      <c r="CK12" s="369"/>
      <c r="CL12" s="369"/>
      <c r="CM12" s="369"/>
      <c r="CN12" s="369"/>
      <c r="CO12" s="369"/>
      <c r="CP12" s="369"/>
      <c r="CQ12" s="369"/>
      <c r="CR12" s="370"/>
      <c r="CT12" s="377" t="s">
        <v>482</v>
      </c>
      <c r="CU12" s="369"/>
      <c r="CV12" s="369"/>
      <c r="CW12" s="369"/>
      <c r="CX12" s="369"/>
      <c r="CY12" s="369"/>
      <c r="CZ12" s="369"/>
      <c r="DA12" s="369"/>
      <c r="DB12" s="369"/>
      <c r="DC12" s="369"/>
      <c r="DD12" s="370"/>
      <c r="DF12" s="377" t="s">
        <v>482</v>
      </c>
      <c r="DG12" s="369"/>
      <c r="DH12" s="369"/>
      <c r="DI12" s="369"/>
      <c r="DJ12" s="369"/>
      <c r="DK12" s="369"/>
      <c r="DL12" s="369"/>
      <c r="DM12" s="369"/>
      <c r="DN12" s="369"/>
      <c r="DO12" s="369"/>
      <c r="DP12" s="369"/>
      <c r="DQ12" s="369"/>
      <c r="DR12" s="370"/>
      <c r="DT12" s="377" t="s">
        <v>482</v>
      </c>
      <c r="DU12" s="369"/>
      <c r="DV12" s="369"/>
      <c r="DW12" s="369"/>
      <c r="DX12" s="369"/>
      <c r="DY12" s="369"/>
      <c r="DZ12" s="369"/>
      <c r="EA12" s="369"/>
      <c r="EB12" s="369"/>
      <c r="EC12" s="369"/>
      <c r="ED12" s="369"/>
      <c r="EE12" s="369"/>
      <c r="EF12" s="370"/>
      <c r="EH12" s="377" t="s">
        <v>482</v>
      </c>
      <c r="EI12" s="369"/>
      <c r="EJ12" s="369"/>
      <c r="EK12" s="369"/>
      <c r="EL12" s="369"/>
      <c r="EM12" s="369"/>
      <c r="EN12" s="369"/>
      <c r="EO12" s="369"/>
      <c r="EP12" s="369"/>
      <c r="EQ12" s="369"/>
      <c r="ER12" s="369"/>
      <c r="ES12" s="369"/>
      <c r="ET12" s="370"/>
      <c r="EV12" s="377" t="s">
        <v>482</v>
      </c>
      <c r="EW12" s="369"/>
      <c r="EX12" s="369"/>
      <c r="EY12" s="369"/>
      <c r="EZ12" s="369"/>
      <c r="FA12" s="369"/>
      <c r="FB12" s="369"/>
      <c r="FC12" s="369"/>
      <c r="FD12" s="369"/>
      <c r="FE12" s="369"/>
      <c r="FF12" s="369"/>
      <c r="FG12" s="369"/>
      <c r="FH12" s="370"/>
      <c r="FJ12" s="377" t="s">
        <v>482</v>
      </c>
      <c r="FK12" s="369"/>
      <c r="FL12" s="369"/>
      <c r="FM12" s="369"/>
      <c r="FN12" s="369"/>
      <c r="FO12" s="369"/>
      <c r="FP12" s="369"/>
      <c r="FQ12" s="369"/>
      <c r="FR12" s="369"/>
      <c r="FS12" s="369"/>
      <c r="FT12" s="369"/>
      <c r="FU12" s="369"/>
      <c r="FV12" s="370"/>
      <c r="FX12" s="377" t="s">
        <v>482</v>
      </c>
      <c r="FY12" s="369"/>
      <c r="FZ12" s="369"/>
      <c r="GA12" s="369"/>
      <c r="GB12" s="369"/>
      <c r="GC12" s="369"/>
      <c r="GD12" s="369"/>
      <c r="GE12" s="369"/>
      <c r="GF12" s="369"/>
      <c r="GG12" s="369"/>
      <c r="GH12" s="369"/>
      <c r="GI12" s="369"/>
      <c r="GJ12" s="370"/>
      <c r="GL12" s="377" t="s">
        <v>482</v>
      </c>
      <c r="GM12" s="369"/>
      <c r="GN12" s="369"/>
      <c r="GO12" s="369"/>
      <c r="GP12" s="369"/>
      <c r="GQ12" s="369"/>
      <c r="GR12" s="369"/>
      <c r="GS12" s="369"/>
      <c r="GT12" s="369"/>
      <c r="GU12" s="369"/>
      <c r="GV12" s="369"/>
      <c r="GW12" s="369"/>
      <c r="GX12" s="370"/>
      <c r="GZ12" s="377" t="s">
        <v>482</v>
      </c>
      <c r="HA12" s="369"/>
      <c r="HB12" s="369"/>
      <c r="HC12" s="369"/>
      <c r="HD12" s="369"/>
      <c r="HE12" s="369"/>
      <c r="HF12" s="369"/>
      <c r="HG12" s="369"/>
      <c r="HH12" s="369"/>
      <c r="HI12" s="369"/>
      <c r="HJ12" s="369"/>
      <c r="HK12" s="369"/>
      <c r="HL12" s="370"/>
      <c r="HN12" s="377" t="s">
        <v>482</v>
      </c>
      <c r="HO12" s="369"/>
      <c r="HP12" s="369"/>
      <c r="HQ12" s="369"/>
      <c r="HR12" s="369"/>
      <c r="HS12" s="369"/>
      <c r="HT12" s="369"/>
      <c r="HU12" s="369"/>
      <c r="HV12" s="369"/>
      <c r="HW12" s="369"/>
      <c r="HX12" s="369"/>
      <c r="HY12" s="369"/>
      <c r="HZ12" s="370"/>
      <c r="IB12" s="377" t="s">
        <v>482</v>
      </c>
      <c r="IC12" s="369"/>
      <c r="ID12" s="369"/>
      <c r="IE12" s="369"/>
      <c r="IF12" s="369"/>
      <c r="IG12" s="369"/>
      <c r="IH12" s="369"/>
      <c r="II12" s="369"/>
      <c r="IJ12" s="369"/>
      <c r="IK12" s="369"/>
      <c r="IL12" s="369"/>
      <c r="IM12" s="369"/>
      <c r="IN12" s="370"/>
      <c r="IP12" s="377" t="s">
        <v>482</v>
      </c>
      <c r="IQ12" s="369"/>
      <c r="IR12" s="369"/>
      <c r="IS12" s="369"/>
      <c r="IT12" s="369"/>
      <c r="IU12" s="369"/>
      <c r="IV12" s="369"/>
      <c r="IW12" s="369"/>
      <c r="IX12" s="369"/>
      <c r="IY12" s="369"/>
      <c r="IZ12" s="369"/>
      <c r="JA12" s="369"/>
      <c r="JB12" s="370"/>
      <c r="JD12" s="377" t="s">
        <v>482</v>
      </c>
      <c r="JE12" s="369"/>
      <c r="JF12" s="369"/>
      <c r="JG12" s="369"/>
      <c r="JH12" s="369"/>
      <c r="JI12" s="369"/>
      <c r="JJ12" s="369"/>
      <c r="JK12" s="369"/>
      <c r="JL12" s="369"/>
      <c r="JM12" s="369"/>
      <c r="JN12" s="369"/>
      <c r="JO12" s="369"/>
      <c r="JP12" s="370"/>
      <c r="JR12" s="377" t="s">
        <v>482</v>
      </c>
      <c r="JS12" s="369"/>
      <c r="JT12" s="369"/>
      <c r="JU12" s="369"/>
      <c r="JV12" s="369"/>
      <c r="JW12" s="369"/>
      <c r="JX12" s="369"/>
      <c r="JY12" s="369"/>
      <c r="JZ12" s="369"/>
      <c r="KA12" s="369"/>
      <c r="KB12" s="369"/>
      <c r="KC12" s="369"/>
      <c r="KD12" s="370"/>
      <c r="KF12" s="377" t="s">
        <v>482</v>
      </c>
      <c r="KG12" s="369"/>
      <c r="KH12" s="369"/>
      <c r="KI12" s="369"/>
      <c r="KJ12" s="369"/>
      <c r="KK12" s="369"/>
      <c r="KL12" s="369"/>
      <c r="KM12" s="369"/>
      <c r="KN12" s="369"/>
      <c r="KO12" s="369"/>
      <c r="KP12" s="369"/>
      <c r="KQ12" s="369"/>
      <c r="KR12" s="370"/>
      <c r="KT12" s="377" t="s">
        <v>482</v>
      </c>
      <c r="KU12" s="369"/>
      <c r="KV12" s="369"/>
      <c r="KW12" s="369"/>
      <c r="KX12" s="369"/>
      <c r="KY12" s="369"/>
      <c r="KZ12" s="369"/>
      <c r="LA12" s="369"/>
      <c r="LB12" s="369"/>
      <c r="LC12" s="369"/>
      <c r="LD12" s="369"/>
      <c r="LE12" s="369"/>
      <c r="LF12" s="370"/>
      <c r="LH12" s="377" t="s">
        <v>482</v>
      </c>
      <c r="LI12" s="369"/>
      <c r="LJ12" s="369"/>
      <c r="LK12" s="369"/>
      <c r="LL12" s="369"/>
      <c r="LM12" s="369"/>
      <c r="LN12" s="369"/>
      <c r="LO12" s="369"/>
      <c r="LP12" s="369"/>
      <c r="LQ12" s="369"/>
      <c r="LR12" s="369"/>
      <c r="LS12" s="369"/>
      <c r="LT12" s="370"/>
      <c r="LV12" s="377" t="s">
        <v>482</v>
      </c>
      <c r="LW12" s="369"/>
      <c r="LX12" s="369"/>
      <c r="LY12" s="369"/>
      <c r="LZ12" s="369"/>
      <c r="MA12" s="369"/>
      <c r="MB12" s="369"/>
      <c r="MC12" s="369"/>
      <c r="MD12" s="369"/>
      <c r="ME12" s="369"/>
      <c r="MF12" s="369"/>
      <c r="MG12" s="369"/>
      <c r="MH12" s="370"/>
    </row>
    <row r="13" spans="2:352" ht="15" thickBot="1" x14ac:dyDescent="0.35"/>
    <row r="14" spans="2:352" x14ac:dyDescent="0.3">
      <c r="B14" s="113" t="s">
        <v>550</v>
      </c>
      <c r="C14" s="17">
        <f t="shared" ref="C14:F14" si="6">C4</f>
        <v>0</v>
      </c>
      <c r="D14" s="17">
        <f t="shared" si="6"/>
        <v>11725</v>
      </c>
      <c r="E14" s="17">
        <f t="shared" si="6"/>
        <v>1120</v>
      </c>
      <c r="F14" s="17">
        <f t="shared" si="6"/>
        <v>4283</v>
      </c>
      <c r="G14" s="17">
        <f>G4</f>
        <v>17128</v>
      </c>
      <c r="H14" s="17">
        <f t="shared" ref="H14:L14" si="7">H4</f>
        <v>0</v>
      </c>
      <c r="I14" s="17">
        <f t="shared" si="7"/>
        <v>11725</v>
      </c>
      <c r="J14" s="17">
        <f t="shared" si="7"/>
        <v>1120</v>
      </c>
      <c r="K14" s="17">
        <f t="shared" si="7"/>
        <v>4283</v>
      </c>
      <c r="L14" s="17">
        <f t="shared" si="7"/>
        <v>17128</v>
      </c>
      <c r="N14" s="113" t="s">
        <v>550</v>
      </c>
      <c r="O14" s="17">
        <f t="shared" ref="O14:R14" si="8">O4</f>
        <v>0</v>
      </c>
      <c r="P14" s="17">
        <f t="shared" si="8"/>
        <v>7929</v>
      </c>
      <c r="Q14" s="17">
        <f t="shared" si="8"/>
        <v>525</v>
      </c>
      <c r="R14" s="17">
        <f t="shared" si="8"/>
        <v>3096</v>
      </c>
      <c r="S14" s="17">
        <f>S4</f>
        <v>11550</v>
      </c>
      <c r="T14" s="17">
        <f t="shared" ref="T14:X14" si="9">T4</f>
        <v>0</v>
      </c>
      <c r="U14" s="17">
        <f t="shared" si="9"/>
        <v>19654</v>
      </c>
      <c r="V14" s="17">
        <f t="shared" si="9"/>
        <v>1645</v>
      </c>
      <c r="W14" s="17">
        <f t="shared" si="9"/>
        <v>7379</v>
      </c>
      <c r="X14" s="17">
        <f t="shared" si="9"/>
        <v>28678</v>
      </c>
      <c r="Z14" s="113" t="s">
        <v>550</v>
      </c>
      <c r="AA14" s="17">
        <f t="shared" ref="AA14:AD14" si="10">AA4</f>
        <v>2000</v>
      </c>
      <c r="AB14" s="17">
        <f t="shared" si="10"/>
        <v>8990</v>
      </c>
      <c r="AC14" s="17">
        <f t="shared" si="10"/>
        <v>665</v>
      </c>
      <c r="AD14" s="17">
        <f t="shared" si="10"/>
        <v>2660</v>
      </c>
      <c r="AE14" s="17">
        <f>AE4</f>
        <v>14315</v>
      </c>
      <c r="AF14" s="17">
        <f t="shared" ref="AF14:AJ14" si="11">AF4</f>
        <v>2000</v>
      </c>
      <c r="AG14" s="17">
        <f t="shared" si="11"/>
        <v>28644</v>
      </c>
      <c r="AH14" s="17">
        <f t="shared" si="11"/>
        <v>2310</v>
      </c>
      <c r="AI14" s="17">
        <f t="shared" si="11"/>
        <v>10039</v>
      </c>
      <c r="AJ14" s="17">
        <f t="shared" si="11"/>
        <v>42993</v>
      </c>
      <c r="AL14" s="113" t="s">
        <v>550</v>
      </c>
      <c r="AM14" s="17">
        <f t="shared" ref="AM14:AP14" si="12">AM4</f>
        <v>0</v>
      </c>
      <c r="AN14" s="17">
        <f t="shared" si="12"/>
        <v>13470</v>
      </c>
      <c r="AO14" s="17">
        <f t="shared" si="12"/>
        <v>1015</v>
      </c>
      <c r="AP14" s="17">
        <f t="shared" si="12"/>
        <v>748</v>
      </c>
      <c r="AQ14" s="17">
        <f>AQ4</f>
        <v>15233</v>
      </c>
      <c r="AR14" s="17">
        <f t="shared" ref="AR14:AV14" si="13">AR4</f>
        <v>2000</v>
      </c>
      <c r="AS14" s="17">
        <f t="shared" si="13"/>
        <v>42114</v>
      </c>
      <c r="AT14" s="17">
        <f t="shared" si="13"/>
        <v>3325</v>
      </c>
      <c r="AU14" s="17">
        <f t="shared" si="13"/>
        <v>10787</v>
      </c>
      <c r="AV14" s="17">
        <f t="shared" si="13"/>
        <v>58226</v>
      </c>
      <c r="AX14" s="113" t="s">
        <v>550</v>
      </c>
      <c r="AY14" s="17">
        <f t="shared" ref="AY14:BB14" si="14">AY4</f>
        <v>0</v>
      </c>
      <c r="AZ14" s="17">
        <f t="shared" si="14"/>
        <v>8641</v>
      </c>
      <c r="BA14" s="17">
        <f t="shared" si="14"/>
        <v>1260</v>
      </c>
      <c r="BB14" s="17">
        <f t="shared" si="14"/>
        <v>2996</v>
      </c>
      <c r="BC14" s="17">
        <f>BC4</f>
        <v>12897</v>
      </c>
      <c r="BD14" s="17">
        <f t="shared" ref="BD14:BH14" si="15">BD4</f>
        <v>2000</v>
      </c>
      <c r="BE14" s="17">
        <f t="shared" si="15"/>
        <v>50755</v>
      </c>
      <c r="BF14" s="17">
        <f t="shared" si="15"/>
        <v>4585</v>
      </c>
      <c r="BG14" s="17">
        <f t="shared" si="15"/>
        <v>13783</v>
      </c>
      <c r="BH14" s="17">
        <f t="shared" si="15"/>
        <v>71123</v>
      </c>
      <c r="BJ14" s="113" t="s">
        <v>550</v>
      </c>
      <c r="BK14" s="17">
        <f t="shared" ref="BK14:BN14" si="16">BK4</f>
        <v>0</v>
      </c>
      <c r="BL14" s="17">
        <f t="shared" si="16"/>
        <v>7997</v>
      </c>
      <c r="BM14" s="17">
        <f t="shared" si="16"/>
        <v>1085</v>
      </c>
      <c r="BN14" s="17">
        <f t="shared" si="16"/>
        <v>3464</v>
      </c>
      <c r="BO14" s="17">
        <f>BO4</f>
        <v>12546</v>
      </c>
      <c r="BP14" s="17">
        <f t="shared" ref="BP14:BT14" si="17">BP4</f>
        <v>2000</v>
      </c>
      <c r="BQ14" s="17">
        <f t="shared" si="17"/>
        <v>58752</v>
      </c>
      <c r="BR14" s="17">
        <f t="shared" si="17"/>
        <v>5670</v>
      </c>
      <c r="BS14" s="17">
        <f t="shared" si="17"/>
        <v>17247</v>
      </c>
      <c r="BT14" s="17">
        <f t="shared" si="17"/>
        <v>83669</v>
      </c>
      <c r="BV14" s="113" t="s">
        <v>550</v>
      </c>
      <c r="BW14" s="17">
        <f t="shared" ref="BW14:BZ14" si="18">BW4</f>
        <v>1100</v>
      </c>
      <c r="BX14" s="17">
        <f t="shared" si="18"/>
        <v>7735</v>
      </c>
      <c r="BY14" s="17">
        <f t="shared" si="18"/>
        <v>455</v>
      </c>
      <c r="BZ14" s="17">
        <f t="shared" si="18"/>
        <v>3558</v>
      </c>
      <c r="CA14" s="17">
        <f>CA4</f>
        <v>12848</v>
      </c>
      <c r="CB14" s="17">
        <f t="shared" ref="CB14:CF14" si="19">CB4</f>
        <v>3100</v>
      </c>
      <c r="CC14" s="17">
        <f t="shared" si="19"/>
        <v>66487</v>
      </c>
      <c r="CD14" s="17">
        <f t="shared" si="19"/>
        <v>6125</v>
      </c>
      <c r="CE14" s="17">
        <f t="shared" si="19"/>
        <v>20805</v>
      </c>
      <c r="CF14" s="17">
        <f t="shared" si="19"/>
        <v>96517</v>
      </c>
      <c r="CH14" s="113" t="s">
        <v>550</v>
      </c>
      <c r="CI14" s="17">
        <f t="shared" ref="CI14:CL14" si="20">CI4</f>
        <v>400</v>
      </c>
      <c r="CJ14" s="17">
        <f t="shared" si="20"/>
        <v>9375</v>
      </c>
      <c r="CK14" s="17">
        <f t="shared" si="20"/>
        <v>995</v>
      </c>
      <c r="CL14" s="17">
        <f t="shared" si="20"/>
        <v>0</v>
      </c>
      <c r="CM14" s="17">
        <f>CM4</f>
        <v>10770</v>
      </c>
      <c r="CN14" s="17">
        <f t="shared" ref="CN14:CR14" si="21">CN4</f>
        <v>3500</v>
      </c>
      <c r="CO14" s="17">
        <f t="shared" si="21"/>
        <v>75862</v>
      </c>
      <c r="CP14" s="17">
        <f t="shared" si="21"/>
        <v>7120</v>
      </c>
      <c r="CQ14" s="17">
        <f t="shared" si="21"/>
        <v>20805</v>
      </c>
      <c r="CR14" s="17">
        <f t="shared" si="21"/>
        <v>107287</v>
      </c>
      <c r="CT14" s="113" t="s">
        <v>550</v>
      </c>
      <c r="CU14" s="17">
        <f t="shared" ref="CU14:CX14" si="22">CU4</f>
        <v>0</v>
      </c>
      <c r="CV14" s="17">
        <f t="shared" si="22"/>
        <v>10325</v>
      </c>
      <c r="CW14" s="17">
        <f t="shared" si="22"/>
        <v>770</v>
      </c>
      <c r="CX14" s="17">
        <f t="shared" si="22"/>
        <v>3588</v>
      </c>
      <c r="CY14" s="17">
        <f>CY4</f>
        <v>14683</v>
      </c>
      <c r="CZ14" s="17">
        <f t="shared" ref="CZ14:DD14" si="23">CZ4</f>
        <v>3500</v>
      </c>
      <c r="DA14" s="17">
        <f t="shared" si="23"/>
        <v>86187</v>
      </c>
      <c r="DB14" s="17">
        <f t="shared" si="23"/>
        <v>7890</v>
      </c>
      <c r="DC14" s="17">
        <f t="shared" si="23"/>
        <v>24393</v>
      </c>
      <c r="DD14" s="17">
        <f t="shared" si="23"/>
        <v>121970</v>
      </c>
      <c r="DF14" s="113" t="s">
        <v>550</v>
      </c>
      <c r="DG14" s="17">
        <f t="shared" ref="DG14:DJ14" si="24">DG4</f>
        <v>0</v>
      </c>
      <c r="DH14" s="17">
        <f t="shared" si="24"/>
        <v>6813</v>
      </c>
      <c r="DI14" s="17">
        <f t="shared" si="24"/>
        <v>490</v>
      </c>
      <c r="DJ14" s="17">
        <f t="shared" si="24"/>
        <v>5708</v>
      </c>
      <c r="DK14" s="17">
        <f>DK4</f>
        <v>475</v>
      </c>
      <c r="DL14" s="17">
        <f t="shared" ref="DL14:DP14" si="25">DL4</f>
        <v>13486</v>
      </c>
      <c r="DM14" s="17">
        <f t="shared" si="25"/>
        <v>3500</v>
      </c>
      <c r="DN14" s="17">
        <f t="shared" si="25"/>
        <v>93000</v>
      </c>
      <c r="DO14" s="17">
        <f t="shared" si="25"/>
        <v>8380</v>
      </c>
      <c r="DP14" s="17">
        <f t="shared" si="25"/>
        <v>30101</v>
      </c>
      <c r="DQ14" s="17">
        <f t="shared" ref="DQ14:DR14" si="26">DQ4</f>
        <v>475</v>
      </c>
      <c r="DR14" s="17">
        <f t="shared" si="26"/>
        <v>135456</v>
      </c>
      <c r="DT14" s="113" t="s">
        <v>550</v>
      </c>
      <c r="DU14" s="17">
        <f t="shared" ref="DU14:DX14" si="27">DU4</f>
        <v>0</v>
      </c>
      <c r="DV14" s="17">
        <f t="shared" si="27"/>
        <v>7245</v>
      </c>
      <c r="DW14" s="17">
        <f t="shared" si="27"/>
        <v>1120</v>
      </c>
      <c r="DX14" s="17">
        <f t="shared" si="27"/>
        <v>5013</v>
      </c>
      <c r="DY14" s="17">
        <f>DY4</f>
        <v>0</v>
      </c>
      <c r="DZ14" s="17">
        <f t="shared" ref="DZ14:EF14" si="28">DZ4</f>
        <v>13378</v>
      </c>
      <c r="EA14" s="17">
        <f t="shared" si="28"/>
        <v>3500</v>
      </c>
      <c r="EB14" s="17">
        <f t="shared" si="28"/>
        <v>100245</v>
      </c>
      <c r="EC14" s="17">
        <f t="shared" si="28"/>
        <v>9500</v>
      </c>
      <c r="ED14" s="17">
        <f t="shared" si="28"/>
        <v>35114</v>
      </c>
      <c r="EE14" s="17">
        <f t="shared" si="28"/>
        <v>475</v>
      </c>
      <c r="EF14" s="17">
        <f t="shared" si="28"/>
        <v>148834</v>
      </c>
      <c r="EH14" s="113" t="s">
        <v>550</v>
      </c>
      <c r="EI14" s="17">
        <f t="shared" ref="EI14:EL14" si="29">EI4</f>
        <v>0</v>
      </c>
      <c r="EJ14" s="17">
        <f t="shared" si="29"/>
        <v>8219</v>
      </c>
      <c r="EK14" s="17">
        <f t="shared" si="29"/>
        <v>770</v>
      </c>
      <c r="EL14" s="17">
        <f t="shared" si="29"/>
        <v>2784</v>
      </c>
      <c r="EM14" s="17">
        <f>EM4</f>
        <v>0</v>
      </c>
      <c r="EN14" s="17">
        <f t="shared" ref="EN14:ET14" si="30">EN4</f>
        <v>11773</v>
      </c>
      <c r="EO14" s="17">
        <f t="shared" si="30"/>
        <v>3500</v>
      </c>
      <c r="EP14" s="17">
        <f t="shared" si="30"/>
        <v>108464</v>
      </c>
      <c r="EQ14" s="17">
        <f t="shared" si="30"/>
        <v>10270</v>
      </c>
      <c r="ER14" s="17">
        <f t="shared" si="30"/>
        <v>37898</v>
      </c>
      <c r="ES14" s="17">
        <f t="shared" si="30"/>
        <v>475</v>
      </c>
      <c r="ET14" s="17">
        <f t="shared" si="30"/>
        <v>160607</v>
      </c>
      <c r="EV14" s="113" t="s">
        <v>550</v>
      </c>
      <c r="EW14" s="17">
        <f t="shared" ref="EW14:EZ14" si="31">EW4</f>
        <v>0</v>
      </c>
      <c r="EX14" s="17">
        <f t="shared" si="31"/>
        <v>12145</v>
      </c>
      <c r="EY14" s="17">
        <f t="shared" si="31"/>
        <v>770</v>
      </c>
      <c r="EZ14" s="17">
        <f t="shared" si="31"/>
        <v>4268</v>
      </c>
      <c r="FA14" s="17">
        <f>FA4</f>
        <v>0</v>
      </c>
      <c r="FB14" s="17">
        <f t="shared" ref="FB14:FH14" si="32">FB4</f>
        <v>17183</v>
      </c>
      <c r="FC14" s="17">
        <f t="shared" si="32"/>
        <v>3500</v>
      </c>
      <c r="FD14" s="17">
        <f t="shared" si="32"/>
        <v>120609</v>
      </c>
      <c r="FE14" s="17">
        <f t="shared" si="32"/>
        <v>11040</v>
      </c>
      <c r="FF14" s="17">
        <f t="shared" si="32"/>
        <v>42166</v>
      </c>
      <c r="FG14" s="17">
        <f t="shared" si="32"/>
        <v>475</v>
      </c>
      <c r="FH14" s="17">
        <f t="shared" si="32"/>
        <v>177790</v>
      </c>
      <c r="FJ14" s="113" t="s">
        <v>550</v>
      </c>
      <c r="FK14" s="17">
        <f t="shared" ref="FK14:FN14" si="33">FK4</f>
        <v>0</v>
      </c>
      <c r="FL14" s="17">
        <f t="shared" si="33"/>
        <v>11553</v>
      </c>
      <c r="FM14" s="17">
        <f t="shared" si="33"/>
        <v>1038</v>
      </c>
      <c r="FN14" s="17">
        <f t="shared" si="33"/>
        <v>3848</v>
      </c>
      <c r="FO14" s="17">
        <f>FO4</f>
        <v>0</v>
      </c>
      <c r="FP14" s="17">
        <f t="shared" ref="FP14:FV14" si="34">FP4</f>
        <v>16439</v>
      </c>
      <c r="FQ14" s="17">
        <f t="shared" si="34"/>
        <v>3500</v>
      </c>
      <c r="FR14" s="17">
        <f t="shared" si="34"/>
        <v>132162</v>
      </c>
      <c r="FS14" s="17">
        <f t="shared" si="34"/>
        <v>12078</v>
      </c>
      <c r="FT14" s="17">
        <f t="shared" si="34"/>
        <v>46014</v>
      </c>
      <c r="FU14" s="17">
        <f t="shared" si="34"/>
        <v>475</v>
      </c>
      <c r="FV14" s="17">
        <f t="shared" si="34"/>
        <v>194229</v>
      </c>
      <c r="FX14" s="113" t="s">
        <v>550</v>
      </c>
      <c r="FY14" s="17">
        <f t="shared" ref="FY14:GB14" si="35">FY4</f>
        <v>0</v>
      </c>
      <c r="FZ14" s="17">
        <f t="shared" si="35"/>
        <v>7392</v>
      </c>
      <c r="GA14" s="17">
        <f t="shared" si="35"/>
        <v>1549</v>
      </c>
      <c r="GB14" s="17">
        <f t="shared" si="35"/>
        <v>6496</v>
      </c>
      <c r="GC14" s="17">
        <f>GC4</f>
        <v>0</v>
      </c>
      <c r="GD14" s="17">
        <f t="shared" ref="GD14:GJ14" si="36">GD4</f>
        <v>15437</v>
      </c>
      <c r="GE14" s="17">
        <f t="shared" si="36"/>
        <v>3500</v>
      </c>
      <c r="GF14" s="17">
        <f t="shared" si="36"/>
        <v>139554</v>
      </c>
      <c r="GG14" s="17">
        <f t="shared" si="36"/>
        <v>13627</v>
      </c>
      <c r="GH14" s="17">
        <f t="shared" si="36"/>
        <v>52510</v>
      </c>
      <c r="GI14" s="17">
        <f t="shared" si="36"/>
        <v>475</v>
      </c>
      <c r="GJ14" s="17">
        <f t="shared" si="36"/>
        <v>209666</v>
      </c>
      <c r="GL14" s="113" t="s">
        <v>550</v>
      </c>
      <c r="GM14" s="17">
        <f t="shared" ref="GM14:GP14" si="37">GM4</f>
        <v>2000</v>
      </c>
      <c r="GN14" s="17">
        <f t="shared" si="37"/>
        <v>8839</v>
      </c>
      <c r="GO14" s="17">
        <f t="shared" si="37"/>
        <v>1280</v>
      </c>
      <c r="GP14" s="17">
        <f t="shared" si="37"/>
        <v>2656</v>
      </c>
      <c r="GQ14" s="17">
        <f>GQ4</f>
        <v>0</v>
      </c>
      <c r="GR14" s="17">
        <f t="shared" ref="GR14:GX14" si="38">GR4</f>
        <v>14775</v>
      </c>
      <c r="GS14" s="17">
        <f t="shared" si="38"/>
        <v>5500</v>
      </c>
      <c r="GT14" s="17">
        <f t="shared" si="38"/>
        <v>148393</v>
      </c>
      <c r="GU14" s="17">
        <f t="shared" si="38"/>
        <v>14907</v>
      </c>
      <c r="GV14" s="17">
        <f t="shared" si="38"/>
        <v>55166</v>
      </c>
      <c r="GW14" s="17">
        <f t="shared" si="38"/>
        <v>475</v>
      </c>
      <c r="GX14" s="17">
        <f t="shared" si="38"/>
        <v>224441</v>
      </c>
      <c r="GZ14" s="113" t="s">
        <v>550</v>
      </c>
      <c r="HA14" s="17">
        <f t="shared" ref="HA14:HD14" si="39">HA4</f>
        <v>0</v>
      </c>
      <c r="HB14" s="17">
        <f t="shared" si="39"/>
        <v>7615</v>
      </c>
      <c r="HC14" s="17">
        <f t="shared" si="39"/>
        <v>909</v>
      </c>
      <c r="HD14" s="17">
        <f t="shared" si="39"/>
        <v>7050</v>
      </c>
      <c r="HE14" s="17">
        <f>HE4</f>
        <v>0</v>
      </c>
      <c r="HF14" s="17">
        <f t="shared" ref="HF14:HL14" si="40">HF4</f>
        <v>15574</v>
      </c>
      <c r="HG14" s="17">
        <f t="shared" si="40"/>
        <v>5500</v>
      </c>
      <c r="HH14" s="17">
        <f t="shared" si="40"/>
        <v>156008</v>
      </c>
      <c r="HI14" s="17">
        <f t="shared" si="40"/>
        <v>15816</v>
      </c>
      <c r="HJ14" s="17">
        <f t="shared" si="40"/>
        <v>62216</v>
      </c>
      <c r="HK14" s="17">
        <f t="shared" si="40"/>
        <v>475</v>
      </c>
      <c r="HL14" s="17">
        <f t="shared" si="40"/>
        <v>240015</v>
      </c>
      <c r="HN14" s="113" t="s">
        <v>550</v>
      </c>
      <c r="HO14" s="17">
        <f t="shared" ref="HO14:HR14" si="41">HO4</f>
        <v>1100</v>
      </c>
      <c r="HP14" s="17">
        <f t="shared" si="41"/>
        <v>12732</v>
      </c>
      <c r="HQ14" s="17">
        <f t="shared" si="41"/>
        <v>1190</v>
      </c>
      <c r="HR14" s="17">
        <f t="shared" si="41"/>
        <v>6324</v>
      </c>
      <c r="HS14" s="17">
        <f>HS4</f>
        <v>0</v>
      </c>
      <c r="HT14" s="17">
        <f t="shared" ref="HT14:HZ14" si="42">HT4</f>
        <v>21346</v>
      </c>
      <c r="HU14" s="17">
        <f t="shared" si="42"/>
        <v>6600</v>
      </c>
      <c r="HV14" s="17">
        <f t="shared" si="42"/>
        <v>168740</v>
      </c>
      <c r="HW14" s="17">
        <f t="shared" si="42"/>
        <v>17006</v>
      </c>
      <c r="HX14" s="17">
        <f t="shared" si="42"/>
        <v>68540</v>
      </c>
      <c r="HY14" s="17">
        <f t="shared" si="42"/>
        <v>475</v>
      </c>
      <c r="HZ14" s="17">
        <f t="shared" si="42"/>
        <v>261361</v>
      </c>
      <c r="IB14" s="113" t="s">
        <v>550</v>
      </c>
      <c r="IC14" s="17">
        <f t="shared" ref="IC14:IF14" si="43">IC4</f>
        <v>0</v>
      </c>
      <c r="ID14" s="17">
        <f t="shared" si="43"/>
        <v>8794</v>
      </c>
      <c r="IE14" s="17">
        <f t="shared" si="43"/>
        <v>875</v>
      </c>
      <c r="IF14" s="17">
        <f t="shared" si="43"/>
        <v>6020</v>
      </c>
      <c r="IG14" s="17">
        <f>IG4</f>
        <v>0</v>
      </c>
      <c r="IH14" s="17">
        <f t="shared" ref="IH14:IN14" si="44">IH4</f>
        <v>15689</v>
      </c>
      <c r="II14" s="17">
        <f t="shared" si="44"/>
        <v>6600</v>
      </c>
      <c r="IJ14" s="17">
        <f t="shared" si="44"/>
        <v>177534</v>
      </c>
      <c r="IK14" s="17">
        <f t="shared" si="44"/>
        <v>17881</v>
      </c>
      <c r="IL14" s="17">
        <f t="shared" si="44"/>
        <v>74560</v>
      </c>
      <c r="IM14" s="17">
        <f t="shared" si="44"/>
        <v>475</v>
      </c>
      <c r="IN14" s="17">
        <f t="shared" si="44"/>
        <v>277050</v>
      </c>
      <c r="IP14" s="113" t="s">
        <v>550</v>
      </c>
      <c r="IQ14" s="17">
        <f t="shared" ref="IQ14:IT14" si="45">IQ4</f>
        <v>0</v>
      </c>
      <c r="IR14" s="17">
        <f t="shared" si="45"/>
        <v>7419</v>
      </c>
      <c r="IS14" s="17">
        <f t="shared" si="45"/>
        <v>735</v>
      </c>
      <c r="IT14" s="17">
        <f t="shared" si="45"/>
        <v>2128</v>
      </c>
      <c r="IU14" s="17">
        <f>IU4</f>
        <v>0</v>
      </c>
      <c r="IV14" s="17">
        <f t="shared" ref="IV14:JB14" si="46">IV4</f>
        <v>10282</v>
      </c>
      <c r="IW14" s="17">
        <f t="shared" si="46"/>
        <v>6600</v>
      </c>
      <c r="IX14" s="17">
        <f t="shared" si="46"/>
        <v>184953</v>
      </c>
      <c r="IY14" s="17">
        <f t="shared" si="46"/>
        <v>18616</v>
      </c>
      <c r="IZ14" s="17">
        <f t="shared" si="46"/>
        <v>76688</v>
      </c>
      <c r="JA14" s="17">
        <f t="shared" si="46"/>
        <v>475</v>
      </c>
      <c r="JB14" s="17">
        <f t="shared" si="46"/>
        <v>287332</v>
      </c>
      <c r="LV14" s="159" t="s">
        <v>550</v>
      </c>
      <c r="LW14" s="160">
        <f t="shared" ref="LW14:LZ14" si="47">LW4</f>
        <v>2000</v>
      </c>
      <c r="LX14" s="161">
        <f t="shared" si="47"/>
        <v>4696</v>
      </c>
      <c r="LY14" s="161">
        <f t="shared" si="47"/>
        <v>945</v>
      </c>
      <c r="LZ14" s="161">
        <f t="shared" si="47"/>
        <v>4058</v>
      </c>
      <c r="MA14" s="161">
        <v>0</v>
      </c>
      <c r="MB14" s="162">
        <f t="shared" ref="MB14:MH14" si="48">MB4</f>
        <v>11699</v>
      </c>
      <c r="MC14" s="163">
        <f t="shared" si="48"/>
        <v>16600</v>
      </c>
      <c r="MD14" s="163">
        <f t="shared" si="48"/>
        <v>221176</v>
      </c>
      <c r="ME14" s="163">
        <f t="shared" si="48"/>
        <v>25069</v>
      </c>
      <c r="MF14" s="161">
        <f t="shared" si="48"/>
        <v>100129</v>
      </c>
      <c r="MG14" s="164">
        <f t="shared" si="48"/>
        <v>475</v>
      </c>
      <c r="MH14" s="162">
        <f t="shared" si="48"/>
        <v>363449</v>
      </c>
    </row>
    <row r="15" spans="2:352" x14ac:dyDescent="0.3">
      <c r="B15" s="114" t="s">
        <v>499</v>
      </c>
      <c r="C15" t="e">
        <f t="shared" ref="C15:F20" si="49">C5*1000/C$4</f>
        <v>#DIV/0!</v>
      </c>
      <c r="D15">
        <f t="shared" si="49"/>
        <v>372.75438805970151</v>
      </c>
      <c r="E15">
        <f t="shared" si="49"/>
        <v>942.81093750000002</v>
      </c>
      <c r="F15">
        <f t="shared" si="49"/>
        <v>163.02632967546114</v>
      </c>
      <c r="G15">
        <f t="shared" ref="G15:L20" si="50">G5*1000/G$4</f>
        <v>357.58612914525924</v>
      </c>
      <c r="H15" t="e">
        <f t="shared" si="50"/>
        <v>#DIV/0!</v>
      </c>
      <c r="I15">
        <f t="shared" si="50"/>
        <v>372.75438805970151</v>
      </c>
      <c r="J15">
        <f t="shared" si="50"/>
        <v>942.81093750000002</v>
      </c>
      <c r="K15">
        <f t="shared" si="50"/>
        <v>163.02632967546114</v>
      </c>
      <c r="L15">
        <f t="shared" si="50"/>
        <v>357.58612914525924</v>
      </c>
      <c r="N15" s="114" t="s">
        <v>499</v>
      </c>
      <c r="O15" t="e">
        <f t="shared" ref="O15:X15" si="51">O5*1000/O$4</f>
        <v>#DIV/0!</v>
      </c>
      <c r="P15">
        <f t="shared" si="51"/>
        <v>370.14541682431576</v>
      </c>
      <c r="Q15">
        <f t="shared" si="51"/>
        <v>895.98666666666668</v>
      </c>
      <c r="R15">
        <f t="shared" si="51"/>
        <v>162.94</v>
      </c>
      <c r="S15">
        <f t="shared" si="51"/>
        <v>338.50547619047614</v>
      </c>
      <c r="T15" t="e">
        <f t="shared" si="51"/>
        <v>#DIV/0!</v>
      </c>
      <c r="U15">
        <f t="shared" si="51"/>
        <v>371.70185254909939</v>
      </c>
      <c r="V15">
        <f t="shared" si="51"/>
        <v>927.86702127659555</v>
      </c>
      <c r="W15">
        <f t="shared" si="51"/>
        <v>162.99010841577453</v>
      </c>
      <c r="X15">
        <f t="shared" si="51"/>
        <v>349.90143908222325</v>
      </c>
      <c r="Z15" s="114" t="s">
        <v>499</v>
      </c>
      <c r="AA15">
        <f t="shared" ref="AA15:AJ15" si="52">AA5*1000/AA$4</f>
        <v>659.31</v>
      </c>
      <c r="AB15">
        <f t="shared" si="52"/>
        <v>393.05849276974419</v>
      </c>
      <c r="AC15">
        <f t="shared" si="52"/>
        <v>878.2252631578948</v>
      </c>
      <c r="AD15">
        <f t="shared" si="52"/>
        <v>141.39421052631579</v>
      </c>
      <c r="AE15">
        <f t="shared" si="52"/>
        <v>406.03173244848062</v>
      </c>
      <c r="AF15">
        <f t="shared" si="52"/>
        <v>659.31</v>
      </c>
      <c r="AG15">
        <f t="shared" si="52"/>
        <v>378.404694176791</v>
      </c>
      <c r="AH15">
        <f t="shared" si="52"/>
        <v>913.57621212121228</v>
      </c>
      <c r="AI15">
        <f t="shared" si="52"/>
        <v>157.26791612710431</v>
      </c>
      <c r="AJ15">
        <f t="shared" si="52"/>
        <v>368.59064777987112</v>
      </c>
      <c r="AL15" s="114" t="s">
        <v>499</v>
      </c>
      <c r="AM15" t="e">
        <f t="shared" ref="AM15:AV15" si="53">AM5*1000/AM$4</f>
        <v>#DIV/0!</v>
      </c>
      <c r="AN15">
        <f t="shared" si="53"/>
        <v>242.29788418708242</v>
      </c>
      <c r="AO15">
        <f t="shared" si="53"/>
        <v>883.18620689655177</v>
      </c>
      <c r="AP15">
        <f t="shared" si="53"/>
        <v>140.85401069518716</v>
      </c>
      <c r="AQ15">
        <f t="shared" si="53"/>
        <v>280.02004201404844</v>
      </c>
      <c r="AR15">
        <f t="shared" si="53"/>
        <v>659.31</v>
      </c>
      <c r="AS15">
        <f t="shared" si="53"/>
        <v>334.87145747257443</v>
      </c>
      <c r="AT15">
        <f t="shared" si="53"/>
        <v>904.29926315789487</v>
      </c>
      <c r="AU15">
        <f t="shared" si="53"/>
        <v>156.12973115787523</v>
      </c>
      <c r="AV15">
        <f t="shared" si="53"/>
        <v>345.41893690104075</v>
      </c>
      <c r="AX15" s="114" t="s">
        <v>499</v>
      </c>
      <c r="AY15" t="e">
        <f t="shared" ref="AY15:BH15" si="54">AY5*1000/AY$4</f>
        <v>#DIV/0!</v>
      </c>
      <c r="AZ15">
        <f t="shared" si="54"/>
        <v>382.30666936697145</v>
      </c>
      <c r="BA15">
        <f t="shared" si="54"/>
        <v>898.79888888888877</v>
      </c>
      <c r="BB15">
        <f t="shared" si="54"/>
        <v>143.81056074766354</v>
      </c>
      <c r="BC15">
        <f t="shared" si="54"/>
        <v>377.36333798557808</v>
      </c>
      <c r="BD15">
        <f t="shared" si="54"/>
        <v>659.31</v>
      </c>
      <c r="BE15">
        <f t="shared" si="54"/>
        <v>342.9472660821595</v>
      </c>
      <c r="BF15">
        <f t="shared" si="54"/>
        <v>902.78770992366435</v>
      </c>
      <c r="BG15">
        <f t="shared" si="54"/>
        <v>153.45192265834726</v>
      </c>
      <c r="BH15">
        <f t="shared" si="54"/>
        <v>351.2115348058997</v>
      </c>
      <c r="BJ15" s="114" t="s">
        <v>499</v>
      </c>
      <c r="BK15" t="e">
        <f t="shared" ref="BK15:BT15" si="55">BK5*1000/BK$4</f>
        <v>#DIV/0!</v>
      </c>
      <c r="BL15">
        <f t="shared" si="55"/>
        <v>380.46401275478297</v>
      </c>
      <c r="BM15">
        <f t="shared" si="55"/>
        <v>900.17903225806435</v>
      </c>
      <c r="BN15">
        <f t="shared" si="55"/>
        <v>139.26904157043882</v>
      </c>
      <c r="BO15">
        <f t="shared" si="55"/>
        <v>358.81499442053246</v>
      </c>
      <c r="BP15">
        <f t="shared" si="55"/>
        <v>659.31</v>
      </c>
      <c r="BQ15">
        <f t="shared" si="55"/>
        <v>348.05383986928109</v>
      </c>
      <c r="BR15">
        <f t="shared" si="55"/>
        <v>902.28851851851857</v>
      </c>
      <c r="BS15">
        <f t="shared" si="55"/>
        <v>150.60334029106511</v>
      </c>
      <c r="BT15">
        <f t="shared" si="55"/>
        <v>352.35165843980451</v>
      </c>
      <c r="BV15" s="114" t="s">
        <v>499</v>
      </c>
      <c r="BW15">
        <f t="shared" ref="BW15:CF15" si="56">BW5*1000/BW$4</f>
        <v>659.3</v>
      </c>
      <c r="BX15">
        <f t="shared" si="56"/>
        <v>379.7133031674208</v>
      </c>
      <c r="BY15">
        <f t="shared" si="56"/>
        <v>1049.1446153846155</v>
      </c>
      <c r="BZ15">
        <f t="shared" si="56"/>
        <v>147.38165261382798</v>
      </c>
      <c r="CA15">
        <f t="shared" si="56"/>
        <v>363.01814445828143</v>
      </c>
      <c r="CB15">
        <f t="shared" si="56"/>
        <v>659.30645161290317</v>
      </c>
      <c r="CC15">
        <f t="shared" si="56"/>
        <v>351.73705536420664</v>
      </c>
      <c r="CD15">
        <f t="shared" si="56"/>
        <v>913.19782857142877</v>
      </c>
      <c r="CE15">
        <f t="shared" si="56"/>
        <v>150.05237827445325</v>
      </c>
      <c r="CF15">
        <f t="shared" si="56"/>
        <v>353.77154314783922</v>
      </c>
      <c r="CH15" s="114" t="s">
        <v>499</v>
      </c>
      <c r="CI15">
        <f t="shared" ref="CI15:CR15" si="57">CI5*1000/CI$4</f>
        <v>659.3</v>
      </c>
      <c r="CJ15">
        <f t="shared" si="57"/>
        <v>397.035504</v>
      </c>
      <c r="CK15">
        <f t="shared" si="57"/>
        <v>775.64964824120591</v>
      </c>
      <c r="CL15" t="e">
        <f t="shared" si="57"/>
        <v>#DIV/0!</v>
      </c>
      <c r="CM15">
        <f t="shared" si="57"/>
        <v>441.75480501392758</v>
      </c>
      <c r="CN15">
        <f t="shared" si="57"/>
        <v>659.30571428571432</v>
      </c>
      <c r="CO15">
        <f t="shared" si="57"/>
        <v>357.3350221454748</v>
      </c>
      <c r="CP15">
        <f t="shared" si="57"/>
        <v>893.97585674157324</v>
      </c>
      <c r="CQ15">
        <f t="shared" si="57"/>
        <v>150.05237827445325</v>
      </c>
      <c r="CR15">
        <f t="shared" si="57"/>
        <v>362.60373838396094</v>
      </c>
      <c r="CT15" s="114" t="s">
        <v>499</v>
      </c>
      <c r="CU15" t="e">
        <f t="shared" ref="CU15:DD15" si="58">CU5*1000/CU$4</f>
        <v>#DIV/0!</v>
      </c>
      <c r="CV15">
        <f t="shared" si="58"/>
        <v>385.00861016949159</v>
      </c>
      <c r="CW15">
        <f t="shared" si="58"/>
        <v>894.45272727272743</v>
      </c>
      <c r="CX15">
        <f t="shared" si="58"/>
        <v>162.94</v>
      </c>
      <c r="CY15">
        <f t="shared" si="58"/>
        <v>357.45904924061841</v>
      </c>
      <c r="CZ15">
        <f t="shared" si="58"/>
        <v>659.30571428571432</v>
      </c>
      <c r="DA15">
        <f t="shared" si="58"/>
        <v>360.65025293837829</v>
      </c>
      <c r="DB15">
        <f t="shared" si="58"/>
        <v>894.0223954372625</v>
      </c>
      <c r="DC15">
        <f t="shared" si="58"/>
        <v>151.94803632189561</v>
      </c>
      <c r="DD15">
        <f t="shared" si="58"/>
        <v>361.98441010084457</v>
      </c>
      <c r="DF15" s="114" t="s">
        <v>499</v>
      </c>
      <c r="DG15" t="e">
        <f t="shared" ref="DG15:DP15" si="59">DG5*1000/DG$4</f>
        <v>#DIV/0!</v>
      </c>
      <c r="DH15">
        <f t="shared" si="59"/>
        <v>395.14340085131363</v>
      </c>
      <c r="DI15">
        <f t="shared" si="59"/>
        <v>1086.4142857142858</v>
      </c>
      <c r="DJ15">
        <f t="shared" si="59"/>
        <v>186.77078135949546</v>
      </c>
      <c r="DK15">
        <f t="shared" si="59"/>
        <v>158.02000000000001</v>
      </c>
      <c r="DL15">
        <f t="shared" si="59"/>
        <v>323.71363710514601</v>
      </c>
      <c r="DM15">
        <f t="shared" si="59"/>
        <v>659.30571428571432</v>
      </c>
      <c r="DN15">
        <f t="shared" si="59"/>
        <v>363.1771541935484</v>
      </c>
      <c r="DO15">
        <f t="shared" si="59"/>
        <v>905.27204057279243</v>
      </c>
      <c r="DP15">
        <f t="shared" si="59"/>
        <v>158.55141257765524</v>
      </c>
      <c r="DQ15">
        <f t="shared" ref="DQ15:DR15" si="60">DQ5*1000/DQ$4</f>
        <v>158.02000000000001</v>
      </c>
      <c r="DR15">
        <f t="shared" si="60"/>
        <v>358.17417176057177</v>
      </c>
      <c r="DT15" s="114" t="s">
        <v>499</v>
      </c>
      <c r="DU15" t="e">
        <f t="shared" ref="DU15:EF15" si="61">DU5*1000/DU$4</f>
        <v>#DIV/0!</v>
      </c>
      <c r="DV15">
        <f t="shared" si="61"/>
        <v>385.4450724637681</v>
      </c>
      <c r="DW15">
        <f t="shared" si="61"/>
        <v>966.19178571428574</v>
      </c>
      <c r="DX15">
        <f t="shared" si="61"/>
        <v>162.94</v>
      </c>
      <c r="DY15" t="e">
        <f t="shared" si="61"/>
        <v>#DIV/0!</v>
      </c>
      <c r="DZ15">
        <f t="shared" si="61"/>
        <v>350.68788832411417</v>
      </c>
      <c r="EA15">
        <f t="shared" si="61"/>
        <v>659.30571428571432</v>
      </c>
      <c r="EB15">
        <f t="shared" si="61"/>
        <v>364.78652192129283</v>
      </c>
      <c r="EC15">
        <f t="shared" si="61"/>
        <v>912.4541578947368</v>
      </c>
      <c r="ED15">
        <f t="shared" si="61"/>
        <v>159.17794298570371</v>
      </c>
      <c r="EE15">
        <f t="shared" si="61"/>
        <v>158.02000000000001</v>
      </c>
      <c r="EF15">
        <f t="shared" si="61"/>
        <v>357.50126436163782</v>
      </c>
      <c r="EH15" s="114" t="s">
        <v>499</v>
      </c>
      <c r="EI15" t="e">
        <f t="shared" ref="EI15:ET15" si="62">EI5*1000/EI$4</f>
        <v>#DIV/0!</v>
      </c>
      <c r="EJ15">
        <f t="shared" si="62"/>
        <v>382.70753863000368</v>
      </c>
      <c r="EK15">
        <f t="shared" si="62"/>
        <v>876.50318181818193</v>
      </c>
      <c r="EL15">
        <f t="shared" si="62"/>
        <v>143.45120689655172</v>
      </c>
      <c r="EM15" t="e">
        <f t="shared" si="62"/>
        <v>#DIV/0!</v>
      </c>
      <c r="EN15">
        <f t="shared" si="62"/>
        <v>358.42596364562985</v>
      </c>
      <c r="EO15">
        <f t="shared" si="62"/>
        <v>659.30571428571432</v>
      </c>
      <c r="EP15">
        <f t="shared" si="62"/>
        <v>366.14451016005307</v>
      </c>
      <c r="EQ15">
        <f t="shared" si="62"/>
        <v>909.75870983446941</v>
      </c>
      <c r="ER15">
        <f t="shared" si="62"/>
        <v>158.022651591113</v>
      </c>
      <c r="ES15">
        <f t="shared" si="62"/>
        <v>158.02000000000001</v>
      </c>
      <c r="ET15">
        <f t="shared" si="62"/>
        <v>357.56904773764529</v>
      </c>
      <c r="EV15" s="114" t="s">
        <v>499</v>
      </c>
      <c r="EW15" t="e">
        <f t="shared" ref="EW15:FH15" si="63">EW5*1000/EW$4</f>
        <v>#DIV/0!</v>
      </c>
      <c r="EX15">
        <f t="shared" si="63"/>
        <v>389.657204610951</v>
      </c>
      <c r="EY15">
        <f t="shared" si="63"/>
        <v>854.61272727272717</v>
      </c>
      <c r="EZ15">
        <f t="shared" si="63"/>
        <v>148.50963448922212</v>
      </c>
      <c r="FA15" t="e">
        <f t="shared" si="63"/>
        <v>#DIV/0!</v>
      </c>
      <c r="FB15">
        <f t="shared" si="63"/>
        <v>350.59522027585405</v>
      </c>
      <c r="FC15">
        <f t="shared" si="63"/>
        <v>659.30571428571432</v>
      </c>
      <c r="FD15">
        <f t="shared" si="63"/>
        <v>368.51217487915494</v>
      </c>
      <c r="FE15">
        <f t="shared" si="63"/>
        <v>905.91247735507227</v>
      </c>
      <c r="FF15">
        <f t="shared" si="63"/>
        <v>157.0597535929422</v>
      </c>
      <c r="FG15">
        <f t="shared" si="63"/>
        <v>158.02000000000001</v>
      </c>
      <c r="FH15">
        <f t="shared" si="63"/>
        <v>356.89504314078408</v>
      </c>
      <c r="FJ15" s="114" t="s">
        <v>499</v>
      </c>
      <c r="FK15" t="e">
        <f t="shared" ref="FK15:FV15" si="64">FK5*1000/FK$4</f>
        <v>#DIV/0!</v>
      </c>
      <c r="FL15">
        <f t="shared" si="64"/>
        <v>378.57390634467237</v>
      </c>
      <c r="FM15">
        <f t="shared" si="64"/>
        <v>774.44260115606937</v>
      </c>
      <c r="FN15">
        <f t="shared" si="64"/>
        <v>148.3954054054054</v>
      </c>
      <c r="FO15" t="e">
        <f t="shared" si="64"/>
        <v>#DIV/0!</v>
      </c>
      <c r="FP15">
        <f t="shared" si="64"/>
        <v>349.69044832410736</v>
      </c>
      <c r="FQ15">
        <f t="shared" si="64"/>
        <v>659.30571428571432</v>
      </c>
      <c r="FR15">
        <f t="shared" si="64"/>
        <v>369.39172560947924</v>
      </c>
      <c r="FS15">
        <f t="shared" si="64"/>
        <v>894.61377463156134</v>
      </c>
      <c r="FT15">
        <f t="shared" si="64"/>
        <v>156.33518255313601</v>
      </c>
      <c r="FU15">
        <f t="shared" si="64"/>
        <v>158.02000000000001</v>
      </c>
      <c r="FV15">
        <f t="shared" si="64"/>
        <v>356.28526636084212</v>
      </c>
      <c r="FX15" s="114" t="s">
        <v>499</v>
      </c>
      <c r="FY15" t="e">
        <f t="shared" ref="FY15:GJ15" si="65">FY5*1000/FY$4</f>
        <v>#DIV/0!</v>
      </c>
      <c r="FZ15">
        <f t="shared" si="65"/>
        <v>371.62141910173153</v>
      </c>
      <c r="GA15">
        <f t="shared" si="65"/>
        <v>518.93120077469325</v>
      </c>
      <c r="GB15">
        <f t="shared" si="65"/>
        <v>158.19948275862069</v>
      </c>
      <c r="GC15" t="e">
        <f t="shared" si="65"/>
        <v>#DIV/0!</v>
      </c>
      <c r="GD15">
        <f t="shared" si="65"/>
        <v>296.59349614562416</v>
      </c>
      <c r="GE15">
        <f t="shared" si="65"/>
        <v>659.30571428571432</v>
      </c>
      <c r="GF15">
        <f t="shared" si="65"/>
        <v>369.50982967166817</v>
      </c>
      <c r="GG15">
        <f t="shared" si="65"/>
        <v>851.90941513172356</v>
      </c>
      <c r="GH15">
        <f t="shared" si="65"/>
        <v>156.5658147019615</v>
      </c>
      <c r="GI15">
        <f t="shared" si="65"/>
        <v>158.02000000000001</v>
      </c>
      <c r="GJ15">
        <f t="shared" si="65"/>
        <v>351.89036276744901</v>
      </c>
      <c r="GL15" s="114" t="s">
        <v>499</v>
      </c>
      <c r="GM15">
        <f t="shared" ref="GM15:GX15" si="66">GM5*1000/GM$4</f>
        <v>659.31</v>
      </c>
      <c r="GN15">
        <f t="shared" si="66"/>
        <v>385.44667156918212</v>
      </c>
      <c r="GO15">
        <f t="shared" si="66"/>
        <v>717.54179687500005</v>
      </c>
      <c r="GP15">
        <f t="shared" si="66"/>
        <v>162.94</v>
      </c>
      <c r="GQ15" t="e">
        <f t="shared" si="66"/>
        <v>#DIV/0!</v>
      </c>
      <c r="GR15">
        <f t="shared" si="66"/>
        <v>411.28969678511004</v>
      </c>
      <c r="GS15">
        <f t="shared" si="66"/>
        <v>659.30727272727268</v>
      </c>
      <c r="GT15">
        <f t="shared" si="66"/>
        <v>370.45910453997135</v>
      </c>
      <c r="GU15">
        <f t="shared" si="66"/>
        <v>840.37184544173851</v>
      </c>
      <c r="GV15">
        <f t="shared" si="66"/>
        <v>156.87270365805023</v>
      </c>
      <c r="GW15">
        <f t="shared" si="66"/>
        <v>158.02000000000001</v>
      </c>
      <c r="GX15">
        <f t="shared" si="66"/>
        <v>355.8006338859654</v>
      </c>
      <c r="GZ15" s="114" t="s">
        <v>499</v>
      </c>
      <c r="HA15" t="e">
        <f t="shared" ref="HA15:HL15" si="67">HA5*1000/HA$4</f>
        <v>#DIV/0!</v>
      </c>
      <c r="HB15">
        <f t="shared" si="67"/>
        <v>382.96288246881159</v>
      </c>
      <c r="HC15">
        <f t="shared" si="67"/>
        <v>794.62184818481853</v>
      </c>
      <c r="HD15">
        <f t="shared" si="67"/>
        <v>162.94</v>
      </c>
      <c r="HE15" t="e">
        <f t="shared" si="67"/>
        <v>#DIV/0!</v>
      </c>
      <c r="HF15">
        <f t="shared" si="67"/>
        <v>307.39056183382564</v>
      </c>
      <c r="HG15">
        <f t="shared" si="67"/>
        <v>659.30727272727268</v>
      </c>
      <c r="HH15">
        <f t="shared" si="67"/>
        <v>371.06943393928503</v>
      </c>
      <c r="HI15">
        <f t="shared" si="67"/>
        <v>837.74243550834558</v>
      </c>
      <c r="HJ15">
        <f t="shared" si="67"/>
        <v>157.56021875401822</v>
      </c>
      <c r="HK15">
        <f t="shared" si="67"/>
        <v>158.02000000000001</v>
      </c>
      <c r="HL15">
        <f t="shared" si="67"/>
        <v>352.65941995291951</v>
      </c>
      <c r="HN15" s="114" t="s">
        <v>499</v>
      </c>
      <c r="HO15">
        <f t="shared" ref="HO15:HZ15" si="68">HO5*1000/HO$4</f>
        <v>656.31</v>
      </c>
      <c r="HP15">
        <f t="shared" si="68"/>
        <v>383.45771991831606</v>
      </c>
      <c r="HQ15">
        <f t="shared" si="68"/>
        <v>835.58096638655468</v>
      </c>
      <c r="HR15">
        <f t="shared" si="68"/>
        <v>162.94</v>
      </c>
      <c r="HS15" t="e">
        <f t="shared" si="68"/>
        <v>#DIV/0!</v>
      </c>
      <c r="HT15">
        <f t="shared" si="68"/>
        <v>357.39242012555053</v>
      </c>
      <c r="HU15">
        <f t="shared" si="68"/>
        <v>658.80772727272722</v>
      </c>
      <c r="HV15">
        <f t="shared" si="68"/>
        <v>372.00417174351054</v>
      </c>
      <c r="HW15">
        <f t="shared" si="68"/>
        <v>837.59118605198103</v>
      </c>
      <c r="HX15">
        <f t="shared" si="68"/>
        <v>158.05659658593527</v>
      </c>
      <c r="HY15">
        <f t="shared" si="68"/>
        <v>158.02000000000001</v>
      </c>
      <c r="HZ15">
        <f t="shared" si="68"/>
        <v>353.04597579592968</v>
      </c>
      <c r="IB15" s="114" t="s">
        <v>499</v>
      </c>
      <c r="IC15" t="e">
        <f t="shared" ref="IC15:IN15" si="69">IC5*1000/IC$4</f>
        <v>#DIV/0!</v>
      </c>
      <c r="ID15">
        <f t="shared" si="69"/>
        <v>376.44724926085968</v>
      </c>
      <c r="IE15">
        <f t="shared" si="69"/>
        <v>927.69399999999996</v>
      </c>
      <c r="IF15">
        <f t="shared" si="69"/>
        <v>162.94</v>
      </c>
      <c r="IG15" t="e">
        <f t="shared" si="69"/>
        <v>#DIV/0!</v>
      </c>
      <c r="IH15">
        <f t="shared" si="69"/>
        <v>325.26663012301611</v>
      </c>
      <c r="II15">
        <f t="shared" si="69"/>
        <v>658.80772727272722</v>
      </c>
      <c r="IJ15">
        <f t="shared" si="69"/>
        <v>372.22425591717627</v>
      </c>
      <c r="IK15">
        <f t="shared" si="69"/>
        <v>842.00033331469126</v>
      </c>
      <c r="IL15">
        <f t="shared" si="69"/>
        <v>158.45088425429188</v>
      </c>
      <c r="IM15">
        <f t="shared" si="69"/>
        <v>158.02000000000001</v>
      </c>
      <c r="IN15">
        <f t="shared" si="69"/>
        <v>351.4728656921132</v>
      </c>
      <c r="IP15" s="114" t="s">
        <v>499</v>
      </c>
      <c r="IQ15" t="e">
        <f t="shared" ref="IQ15:JB15" si="70">IQ5*1000/IQ$4</f>
        <v>#DIV/0!</v>
      </c>
      <c r="IR15">
        <f t="shared" si="70"/>
        <v>390.1094123197197</v>
      </c>
      <c r="IS15">
        <f t="shared" si="70"/>
        <v>758.58</v>
      </c>
      <c r="IT15">
        <f t="shared" si="70"/>
        <v>162.94</v>
      </c>
      <c r="IU15" t="e">
        <f t="shared" si="70"/>
        <v>#DIV/0!</v>
      </c>
      <c r="IV15">
        <f t="shared" si="70"/>
        <v>369.43341276016349</v>
      </c>
      <c r="IW15">
        <f t="shared" si="70"/>
        <v>658.80772727272722</v>
      </c>
      <c r="IX15">
        <f t="shared" si="70"/>
        <v>372.94168129200369</v>
      </c>
      <c r="IY15">
        <f t="shared" si="70"/>
        <v>838.70671787709455</v>
      </c>
      <c r="IZ15">
        <f t="shared" si="70"/>
        <v>158.57545183079495</v>
      </c>
      <c r="JA15">
        <f t="shared" si="70"/>
        <v>158.02000000000001</v>
      </c>
      <c r="JB15">
        <f t="shared" si="70"/>
        <v>352.11557289128933</v>
      </c>
      <c r="LV15" s="114" t="s">
        <v>1467</v>
      </c>
      <c r="LW15" s="31">
        <f t="shared" ref="LW15:MH15" si="71">LW5*1000/LW$4</f>
        <v>659.3</v>
      </c>
      <c r="LX15" s="18">
        <f t="shared" si="71"/>
        <v>398.311660988075</v>
      </c>
      <c r="LY15" s="18">
        <f t="shared" si="71"/>
        <v>1089.3866666666668</v>
      </c>
      <c r="LZ15" s="18">
        <f t="shared" si="71"/>
        <v>177.95490389354362</v>
      </c>
      <c r="MA15" s="18">
        <v>0</v>
      </c>
      <c r="MB15" s="19">
        <f t="shared" si="71"/>
        <v>422.31669031541156</v>
      </c>
      <c r="MC15" s="28">
        <f t="shared" si="71"/>
        <v>659.10909638554222</v>
      </c>
      <c r="MD15" s="18">
        <f t="shared" si="71"/>
        <v>379.82882532462804</v>
      </c>
      <c r="ME15" s="18">
        <f t="shared" si="71"/>
        <v>836.25909290358607</v>
      </c>
      <c r="MF15" s="51">
        <f t="shared" si="71"/>
        <v>159.57793776028927</v>
      </c>
      <c r="MG15" s="143">
        <f t="shared" si="71"/>
        <v>158.02000000000001</v>
      </c>
      <c r="MH15" s="19">
        <f t="shared" si="71"/>
        <v>363.09867216583325</v>
      </c>
    </row>
    <row r="16" spans="2:352" x14ac:dyDescent="0.3">
      <c r="B16" s="115" t="s">
        <v>539</v>
      </c>
      <c r="C16" t="e">
        <f t="shared" si="49"/>
        <v>#DIV/0!</v>
      </c>
      <c r="D16">
        <f t="shared" si="49"/>
        <v>336.84567164179106</v>
      </c>
      <c r="E16">
        <f t="shared" si="49"/>
        <v>819.87624999999957</v>
      </c>
      <c r="F16">
        <f t="shared" si="49"/>
        <v>147.54</v>
      </c>
      <c r="G16">
        <f t="shared" si="50"/>
        <v>321.09357309668377</v>
      </c>
      <c r="H16" t="e">
        <f t="shared" si="50"/>
        <v>#DIV/0!</v>
      </c>
      <c r="I16">
        <f t="shared" si="50"/>
        <v>336.84567164179106</v>
      </c>
      <c r="J16">
        <f t="shared" si="50"/>
        <v>819.87624999999957</v>
      </c>
      <c r="K16">
        <f t="shared" si="50"/>
        <v>147.54</v>
      </c>
      <c r="L16">
        <f t="shared" si="50"/>
        <v>321.09357309668377</v>
      </c>
      <c r="N16" s="115" t="s">
        <v>539</v>
      </c>
      <c r="O16" t="e">
        <f t="shared" ref="O16:X16" si="72">O6*1000/O$4</f>
        <v>#DIV/0!</v>
      </c>
      <c r="P16">
        <f t="shared" si="72"/>
        <v>337.86734392735525</v>
      </c>
      <c r="Q16">
        <f t="shared" si="72"/>
        <v>769.45333333333338</v>
      </c>
      <c r="R16">
        <f t="shared" si="72"/>
        <v>147.54000000000002</v>
      </c>
      <c r="S16">
        <f t="shared" si="72"/>
        <v>306.46727359307363</v>
      </c>
      <c r="T16" t="e">
        <f t="shared" si="72"/>
        <v>#DIV/0!</v>
      </c>
      <c r="U16">
        <f t="shared" si="72"/>
        <v>337.25784420474207</v>
      </c>
      <c r="V16">
        <f t="shared" si="72"/>
        <v>803.78382978723369</v>
      </c>
      <c r="W16">
        <f t="shared" si="72"/>
        <v>147.54000000000002</v>
      </c>
      <c r="X16">
        <f t="shared" si="72"/>
        <v>315.2028638677732</v>
      </c>
      <c r="Z16" s="115" t="s">
        <v>539</v>
      </c>
      <c r="AA16">
        <f t="shared" ref="AA16:AJ16" si="73">AA6*1000/AA$4</f>
        <v>470.73333000000008</v>
      </c>
      <c r="AB16">
        <f t="shared" si="73"/>
        <v>355.34755149054502</v>
      </c>
      <c r="AC16">
        <f t="shared" si="73"/>
        <v>750.32200999999952</v>
      </c>
      <c r="AD16">
        <f t="shared" si="73"/>
        <v>131.64336842105263</v>
      </c>
      <c r="AE16">
        <f t="shared" si="73"/>
        <v>348.24845578414249</v>
      </c>
      <c r="AF16">
        <f t="shared" si="73"/>
        <v>470.73333000000008</v>
      </c>
      <c r="AG16">
        <f t="shared" si="73"/>
        <v>342.93779880463615</v>
      </c>
      <c r="AH16">
        <f t="shared" si="73"/>
        <v>788.39133409090869</v>
      </c>
      <c r="AI16">
        <f t="shared" si="73"/>
        <v>143.32792309991035</v>
      </c>
      <c r="AJ16">
        <f t="shared" si="73"/>
        <v>326.20728887749158</v>
      </c>
      <c r="AL16" s="115" t="s">
        <v>539</v>
      </c>
      <c r="AM16" t="e">
        <f t="shared" ref="AM16:AV16" si="74">AM6*1000/AM$4</f>
        <v>#DIV/0!</v>
      </c>
      <c r="AN16">
        <f t="shared" si="74"/>
        <v>223.31962777282845</v>
      </c>
      <c r="AO16">
        <f t="shared" si="74"/>
        <v>755.66493758620641</v>
      </c>
      <c r="AP16">
        <f t="shared" si="74"/>
        <v>132.39379679144383</v>
      </c>
      <c r="AQ16">
        <f t="shared" si="74"/>
        <v>254.32586212499174</v>
      </c>
      <c r="AR16">
        <f t="shared" si="74"/>
        <v>470.73333000000008</v>
      </c>
      <c r="AS16">
        <f t="shared" si="74"/>
        <v>304.67838949185528</v>
      </c>
      <c r="AT16">
        <f t="shared" si="74"/>
        <v>778.40117094736797</v>
      </c>
      <c r="AU16">
        <f t="shared" si="74"/>
        <v>142.56972096041531</v>
      </c>
      <c r="AV16">
        <f t="shared" si="74"/>
        <v>307.40177632775726</v>
      </c>
      <c r="AX16" s="115" t="s">
        <v>539</v>
      </c>
      <c r="AY16" t="e">
        <f t="shared" ref="AY16:BH16" si="75">AY6*1000/AY$4</f>
        <v>#DIV/0!</v>
      </c>
      <c r="AZ16">
        <f t="shared" si="75"/>
        <v>348.81657314546919</v>
      </c>
      <c r="BA16">
        <f t="shared" si="75"/>
        <v>772.4797683333328</v>
      </c>
      <c r="BB16">
        <f t="shared" si="75"/>
        <v>133.42616822429903</v>
      </c>
      <c r="BC16">
        <f t="shared" si="75"/>
        <v>340.17161484453737</v>
      </c>
      <c r="BD16">
        <f t="shared" si="75"/>
        <v>470.73333000000008</v>
      </c>
      <c r="BE16">
        <f t="shared" si="75"/>
        <v>312.19288156063431</v>
      </c>
      <c r="BF16">
        <f t="shared" si="75"/>
        <v>776.77391526717497</v>
      </c>
      <c r="BG16">
        <f t="shared" si="75"/>
        <v>140.58219400711019</v>
      </c>
      <c r="BH16">
        <f t="shared" si="75"/>
        <v>313.34405389409892</v>
      </c>
      <c r="BJ16" s="115" t="s">
        <v>539</v>
      </c>
      <c r="BK16" t="e">
        <f t="shared" ref="BK16:BT16" si="76">BK6*1000/BK$4</f>
        <v>#DIV/0!</v>
      </c>
      <c r="BL16">
        <f t="shared" si="76"/>
        <v>345.01901964486677</v>
      </c>
      <c r="BM16">
        <f t="shared" si="76"/>
        <v>793.88286451612862</v>
      </c>
      <c r="BN16">
        <f t="shared" si="76"/>
        <v>130.07540415704386</v>
      </c>
      <c r="BO16">
        <f t="shared" si="76"/>
        <v>324.49077061214723</v>
      </c>
      <c r="BP16">
        <f t="shared" si="76"/>
        <v>470.73333000000008</v>
      </c>
      <c r="BQ16">
        <f t="shared" si="76"/>
        <v>316.66099543351714</v>
      </c>
      <c r="BR16">
        <f t="shared" si="76"/>
        <v>780.0478499999997</v>
      </c>
      <c r="BS16">
        <f t="shared" si="76"/>
        <v>138.47194178697742</v>
      </c>
      <c r="BT16">
        <f t="shared" si="76"/>
        <v>315.01548187751735</v>
      </c>
      <c r="BV16" s="115" t="s">
        <v>539</v>
      </c>
      <c r="BW16">
        <f t="shared" ref="BW16:CF16" si="77">BW6*1000/BW$4</f>
        <v>474.45333000000005</v>
      </c>
      <c r="BX16">
        <f t="shared" si="77"/>
        <v>347.24824529411757</v>
      </c>
      <c r="BY16">
        <f t="shared" si="77"/>
        <v>934.40184846153807</v>
      </c>
      <c r="BZ16">
        <f t="shared" si="77"/>
        <v>136.06094435075883</v>
      </c>
      <c r="CA16">
        <f t="shared" si="77"/>
        <v>320.44843721980072</v>
      </c>
      <c r="CB16">
        <f t="shared" si="77"/>
        <v>472.05333000000013</v>
      </c>
      <c r="CC16">
        <f t="shared" si="77"/>
        <v>320.21947119075918</v>
      </c>
      <c r="CD16">
        <f t="shared" si="77"/>
        <v>791.51414702857107</v>
      </c>
      <c r="CE16">
        <f t="shared" si="77"/>
        <v>138.05962124489304</v>
      </c>
      <c r="CF16">
        <f t="shared" si="77"/>
        <v>315.73869758291289</v>
      </c>
      <c r="CH16" s="115" t="s">
        <v>539</v>
      </c>
      <c r="CI16">
        <f t="shared" ref="CI16:CR16" si="78">CI6*1000/CI$4</f>
        <v>474.45333000000005</v>
      </c>
      <c r="CJ16">
        <f t="shared" si="78"/>
        <v>357.91730755733329</v>
      </c>
      <c r="CK16">
        <f t="shared" si="78"/>
        <v>697.20530829145707</v>
      </c>
      <c r="CL16" t="e">
        <f t="shared" si="78"/>
        <v>#DIV/0!</v>
      </c>
      <c r="CM16">
        <f t="shared" si="78"/>
        <v>393.59102805013919</v>
      </c>
      <c r="CN16">
        <f t="shared" si="78"/>
        <v>472.3276157142858</v>
      </c>
      <c r="CO16">
        <f t="shared" si="78"/>
        <v>324.87815690872901</v>
      </c>
      <c r="CP16">
        <f t="shared" si="78"/>
        <v>778.33475172752776</v>
      </c>
      <c r="CQ16">
        <f t="shared" si="78"/>
        <v>138.05962124489304</v>
      </c>
      <c r="CR16">
        <f t="shared" si="78"/>
        <v>323.55389978944328</v>
      </c>
      <c r="CT16" s="115" t="s">
        <v>539</v>
      </c>
      <c r="CU16" t="e">
        <f t="shared" ref="CU16:DD16" si="79">CU6*1000/CU$4</f>
        <v>#DIV/0!</v>
      </c>
      <c r="CV16">
        <f t="shared" si="79"/>
        <v>349.67837664406773</v>
      </c>
      <c r="CW16">
        <f t="shared" si="79"/>
        <v>767.7989599999994</v>
      </c>
      <c r="CX16">
        <f t="shared" si="79"/>
        <v>147.53999999999996</v>
      </c>
      <c r="CY16">
        <f t="shared" si="79"/>
        <v>322.2098997514131</v>
      </c>
      <c r="CZ16">
        <f t="shared" si="79"/>
        <v>472.3276157142858</v>
      </c>
      <c r="DA16">
        <f t="shared" si="79"/>
        <v>327.84916493508302</v>
      </c>
      <c r="DB16">
        <f t="shared" si="79"/>
        <v>777.30654391634937</v>
      </c>
      <c r="DC16">
        <f t="shared" si="79"/>
        <v>139.45410322633541</v>
      </c>
      <c r="DD16">
        <f t="shared" si="79"/>
        <v>323.39210629466254</v>
      </c>
      <c r="DF16" s="115" t="s">
        <v>539</v>
      </c>
      <c r="DG16" t="e">
        <f t="shared" ref="DG16:DP16" si="80">DG6*1000/DG$4</f>
        <v>#DIV/0!</v>
      </c>
      <c r="DH16">
        <f t="shared" si="80"/>
        <v>357.05826771613096</v>
      </c>
      <c r="DI16">
        <f t="shared" si="80"/>
        <v>974.54121714285668</v>
      </c>
      <c r="DJ16">
        <f t="shared" si="80"/>
        <v>172.2966362999299</v>
      </c>
      <c r="DK16">
        <f t="shared" si="80"/>
        <v>90.05</v>
      </c>
      <c r="DL16">
        <f t="shared" si="80"/>
        <v>291.88833785777842</v>
      </c>
      <c r="DM16">
        <f t="shared" si="80"/>
        <v>472.3276157142858</v>
      </c>
      <c r="DN16">
        <f t="shared" si="80"/>
        <v>329.98896727107535</v>
      </c>
      <c r="DO16">
        <f t="shared" si="80"/>
        <v>788.83935893794717</v>
      </c>
      <c r="DP16">
        <f t="shared" si="80"/>
        <v>145.68197534965611</v>
      </c>
      <c r="DQ16">
        <f t="shared" ref="DQ16:DR16" si="81">DQ6*1000/DQ$4</f>
        <v>90.05</v>
      </c>
      <c r="DR16">
        <f t="shared" si="81"/>
        <v>320.25559096023807</v>
      </c>
      <c r="DT16" s="115" t="s">
        <v>539</v>
      </c>
      <c r="DU16" t="e">
        <f t="shared" ref="DU16:EF16" si="82">DU6*1000/DU$4</f>
        <v>#DIV/0!</v>
      </c>
      <c r="DV16">
        <f t="shared" si="82"/>
        <v>353.565110289855</v>
      </c>
      <c r="DW16">
        <f t="shared" si="82"/>
        <v>845.06179839285676</v>
      </c>
      <c r="DX16">
        <f t="shared" si="82"/>
        <v>147.54</v>
      </c>
      <c r="DY16" t="e">
        <f t="shared" si="82"/>
        <v>#DIV/0!</v>
      </c>
      <c r="DZ16">
        <f t="shared" si="82"/>
        <v>317.51132144191951</v>
      </c>
      <c r="EA16">
        <f t="shared" si="82"/>
        <v>472.3276157142858</v>
      </c>
      <c r="EB16">
        <f t="shared" si="82"/>
        <v>331.69288423622146</v>
      </c>
      <c r="EC16">
        <f t="shared" si="82"/>
        <v>795.46768864210492</v>
      </c>
      <c r="ED16">
        <f t="shared" si="82"/>
        <v>145.94723358204703</v>
      </c>
      <c r="EE16">
        <f t="shared" si="82"/>
        <v>90.05</v>
      </c>
      <c r="EF16">
        <f t="shared" si="82"/>
        <v>320.00892126368979</v>
      </c>
      <c r="EH16" s="115" t="s">
        <v>539</v>
      </c>
      <c r="EI16" t="e">
        <f t="shared" ref="EI16:ET16" si="83">EI6*1000/EI$4</f>
        <v>#DIV/0!</v>
      </c>
      <c r="EJ16">
        <f t="shared" si="83"/>
        <v>348.81384297603114</v>
      </c>
      <c r="EK16">
        <f t="shared" si="83"/>
        <v>813.31990863636327</v>
      </c>
      <c r="EL16">
        <f t="shared" si="83"/>
        <v>133.16103448275859</v>
      </c>
      <c r="EM16" t="e">
        <f t="shared" si="83"/>
        <v>#DIV/0!</v>
      </c>
      <c r="EN16">
        <f t="shared" si="83"/>
        <v>328.19821838698715</v>
      </c>
      <c r="EO16">
        <f t="shared" si="83"/>
        <v>472.3276157142858</v>
      </c>
      <c r="EP16">
        <f t="shared" si="83"/>
        <v>332.99024704676208</v>
      </c>
      <c r="EQ16">
        <f t="shared" si="83"/>
        <v>796.80617056961978</v>
      </c>
      <c r="ER16">
        <f t="shared" si="83"/>
        <v>145.00795503720508</v>
      </c>
      <c r="ES16">
        <f t="shared" si="83"/>
        <v>90.05</v>
      </c>
      <c r="ET16">
        <f t="shared" si="83"/>
        <v>320.60922258948858</v>
      </c>
      <c r="EV16" s="115" t="s">
        <v>539</v>
      </c>
      <c r="EW16" t="e">
        <f t="shared" ref="EW16:FH16" si="84">EW6*1000/EW$4</f>
        <v>#DIV/0!</v>
      </c>
      <c r="EX16">
        <f t="shared" si="84"/>
        <v>353.39559876080693</v>
      </c>
      <c r="EY16">
        <f t="shared" si="84"/>
        <v>761.94996636363589</v>
      </c>
      <c r="EZ16">
        <f t="shared" si="84"/>
        <v>136.89317713214621</v>
      </c>
      <c r="FA16" t="e">
        <f t="shared" si="84"/>
        <v>#DIV/0!</v>
      </c>
      <c r="FB16">
        <f t="shared" si="84"/>
        <v>317.92766694116278</v>
      </c>
      <c r="FC16">
        <f t="shared" si="84"/>
        <v>472.3276157142858</v>
      </c>
      <c r="FD16">
        <f t="shared" si="84"/>
        <v>335.04501075898139</v>
      </c>
      <c r="FE16">
        <f t="shared" si="84"/>
        <v>794.37507661684754</v>
      </c>
      <c r="FF16">
        <f t="shared" si="84"/>
        <v>144.18658540055969</v>
      </c>
      <c r="FG16">
        <f t="shared" si="84"/>
        <v>90.05</v>
      </c>
      <c r="FH16">
        <f t="shared" si="84"/>
        <v>320.35005632195276</v>
      </c>
      <c r="FJ16" s="115" t="s">
        <v>539</v>
      </c>
      <c r="FK16" t="e">
        <f t="shared" ref="FK16:FV16" si="85">FK6*1000/FK$4</f>
        <v>#DIV/0!</v>
      </c>
      <c r="FL16">
        <f t="shared" si="85"/>
        <v>344.06654139184621</v>
      </c>
      <c r="FM16">
        <f t="shared" si="85"/>
        <v>680.11839034682043</v>
      </c>
      <c r="FN16">
        <f t="shared" si="85"/>
        <v>136.80889812889811</v>
      </c>
      <c r="FO16" t="e">
        <f t="shared" si="85"/>
        <v>#DIV/0!</v>
      </c>
      <c r="FP16">
        <f t="shared" si="85"/>
        <v>316.77135360301713</v>
      </c>
      <c r="FQ16">
        <f t="shared" si="85"/>
        <v>472.3276157142858</v>
      </c>
      <c r="FR16">
        <f t="shared" si="85"/>
        <v>335.83363187096126</v>
      </c>
      <c r="FS16">
        <f t="shared" si="85"/>
        <v>784.55569920765004</v>
      </c>
      <c r="FT16">
        <f t="shared" si="85"/>
        <v>143.56961359586208</v>
      </c>
      <c r="FU16">
        <f t="shared" si="85"/>
        <v>90.05</v>
      </c>
      <c r="FV16">
        <f t="shared" si="85"/>
        <v>320.04716492058333</v>
      </c>
      <c r="FX16" s="115" t="s">
        <v>539</v>
      </c>
      <c r="FY16" t="e">
        <f t="shared" ref="FY16:GJ16" si="86">FY6*1000/FY$4</f>
        <v>#DIV/0!</v>
      </c>
      <c r="FZ16">
        <f t="shared" si="86"/>
        <v>337.42511462527045</v>
      </c>
      <c r="GA16">
        <f t="shared" si="86"/>
        <v>522.6664159845061</v>
      </c>
      <c r="GB16">
        <f t="shared" si="86"/>
        <v>144.04241379310344</v>
      </c>
      <c r="GC16" t="e">
        <f t="shared" si="86"/>
        <v>#DIV/0!</v>
      </c>
      <c r="GD16">
        <f t="shared" si="86"/>
        <v>274.6360203193625</v>
      </c>
      <c r="GE16">
        <f t="shared" si="86"/>
        <v>472.3276157142858</v>
      </c>
      <c r="GF16">
        <f t="shared" si="86"/>
        <v>335.91793071241221</v>
      </c>
      <c r="GG16">
        <f t="shared" si="86"/>
        <v>754.7863809635279</v>
      </c>
      <c r="GH16">
        <f t="shared" si="86"/>
        <v>143.62810359931439</v>
      </c>
      <c r="GI16">
        <f t="shared" si="86"/>
        <v>90.05</v>
      </c>
      <c r="GJ16">
        <f t="shared" si="86"/>
        <v>316.70369559694933</v>
      </c>
      <c r="GL16" s="115" t="s">
        <v>539</v>
      </c>
      <c r="GM16">
        <f t="shared" ref="GM16:GX16" si="87">GM6*1000/GM$4</f>
        <v>470.73333000000008</v>
      </c>
      <c r="GN16">
        <f t="shared" si="87"/>
        <v>351.48071303201715</v>
      </c>
      <c r="GO16">
        <f t="shared" si="87"/>
        <v>634.89768160156223</v>
      </c>
      <c r="GP16">
        <f t="shared" si="87"/>
        <v>147.53999999999996</v>
      </c>
      <c r="GQ16" t="e">
        <f t="shared" si="87"/>
        <v>#DIV/0!</v>
      </c>
      <c r="GR16">
        <f t="shared" si="87"/>
        <v>355.5153945813874</v>
      </c>
      <c r="GS16">
        <f t="shared" si="87"/>
        <v>471.74787545454552</v>
      </c>
      <c r="GT16">
        <f t="shared" si="87"/>
        <v>336.84492479517206</v>
      </c>
      <c r="GU16">
        <f t="shared" si="87"/>
        <v>744.49205378949455</v>
      </c>
      <c r="GV16">
        <f t="shared" si="87"/>
        <v>143.81644418663666</v>
      </c>
      <c r="GW16">
        <f t="shared" si="87"/>
        <v>90.05</v>
      </c>
      <c r="GX16">
        <f t="shared" si="87"/>
        <v>319.25867820928414</v>
      </c>
      <c r="GZ16" s="115" t="s">
        <v>539</v>
      </c>
      <c r="HA16" t="e">
        <f t="shared" ref="HA16:HL16" si="88">HA6*1000/HA$4</f>
        <v>#DIV/0!</v>
      </c>
      <c r="HB16">
        <f t="shared" si="88"/>
        <v>349.3796150164149</v>
      </c>
      <c r="HC16">
        <f t="shared" si="88"/>
        <v>711.43513634763451</v>
      </c>
      <c r="HD16">
        <f t="shared" si="88"/>
        <v>147.53999999999996</v>
      </c>
      <c r="HE16" t="e">
        <f t="shared" si="88"/>
        <v>#DIV/0!</v>
      </c>
      <c r="HF16">
        <f t="shared" si="88"/>
        <v>279.14327130409646</v>
      </c>
      <c r="HG16">
        <f t="shared" si="88"/>
        <v>471.74787545454552</v>
      </c>
      <c r="HH16">
        <f t="shared" si="88"/>
        <v>337.4567630729191</v>
      </c>
      <c r="HI16">
        <f t="shared" si="88"/>
        <v>742.59215887582161</v>
      </c>
      <c r="HJ16">
        <f t="shared" si="88"/>
        <v>144.23837855214089</v>
      </c>
      <c r="HK16">
        <f t="shared" si="88"/>
        <v>90.05</v>
      </c>
      <c r="HL16">
        <f t="shared" si="88"/>
        <v>316.65568528325292</v>
      </c>
      <c r="HN16" s="115" t="s">
        <v>539</v>
      </c>
      <c r="HO16">
        <f t="shared" ref="HO16:HZ16" si="89">HO6*1000/HO$4</f>
        <v>470.73333000000008</v>
      </c>
      <c r="HP16">
        <f t="shared" si="89"/>
        <v>349.23421373232787</v>
      </c>
      <c r="HQ16">
        <f t="shared" si="89"/>
        <v>759.7153250420165</v>
      </c>
      <c r="HR16">
        <f t="shared" si="89"/>
        <v>147.53999999999996</v>
      </c>
      <c r="HS16" t="e">
        <f t="shared" si="89"/>
        <v>#DIV/0!</v>
      </c>
      <c r="HT16">
        <f t="shared" si="89"/>
        <v>318.6246073756206</v>
      </c>
      <c r="HU16">
        <f t="shared" si="89"/>
        <v>471.57878454545465</v>
      </c>
      <c r="HV16">
        <f t="shared" si="89"/>
        <v>338.34558026176347</v>
      </c>
      <c r="HW16">
        <f t="shared" si="89"/>
        <v>743.79035761378304</v>
      </c>
      <c r="HX16">
        <f t="shared" si="89"/>
        <v>144.54301021301424</v>
      </c>
      <c r="HY16">
        <f t="shared" si="89"/>
        <v>90.05</v>
      </c>
      <c r="HZ16">
        <f t="shared" si="89"/>
        <v>316.81660111091537</v>
      </c>
      <c r="IB16" s="115" t="s">
        <v>539</v>
      </c>
      <c r="IC16" t="e">
        <f t="shared" ref="IC16:IN16" si="90">IC6*1000/IC$4</f>
        <v>#DIV/0!</v>
      </c>
      <c r="ID16">
        <f t="shared" si="90"/>
        <v>341.80913951899026</v>
      </c>
      <c r="IE16">
        <f t="shared" si="90"/>
        <v>805.79088719999959</v>
      </c>
      <c r="IF16">
        <f t="shared" si="90"/>
        <v>147.53999999999996</v>
      </c>
      <c r="IG16" t="e">
        <f t="shared" si="90"/>
        <v>#DIV/0!</v>
      </c>
      <c r="IH16">
        <f t="shared" si="90"/>
        <v>293.14343802855501</v>
      </c>
      <c r="II16">
        <f t="shared" si="90"/>
        <v>471.57878454545465</v>
      </c>
      <c r="IJ16">
        <f t="shared" si="90"/>
        <v>338.51714480775496</v>
      </c>
      <c r="IK16">
        <f t="shared" si="90"/>
        <v>746.82433017616415</v>
      </c>
      <c r="IL16">
        <f t="shared" si="90"/>
        <v>144.78498819742484</v>
      </c>
      <c r="IM16">
        <f t="shared" si="90"/>
        <v>90.05</v>
      </c>
      <c r="IN16">
        <f t="shared" si="90"/>
        <v>315.47601906580024</v>
      </c>
      <c r="IP16" s="115" t="s">
        <v>539</v>
      </c>
      <c r="IQ16" t="e">
        <f t="shared" ref="IQ16:JB16" si="91">IQ6*1000/IQ$4</f>
        <v>#DIV/0!</v>
      </c>
      <c r="IR16">
        <f t="shared" si="91"/>
        <v>354.05518904838925</v>
      </c>
      <c r="IS16">
        <f t="shared" si="91"/>
        <v>702.33386380952368</v>
      </c>
      <c r="IT16">
        <f t="shared" si="91"/>
        <v>147.53999999999996</v>
      </c>
      <c r="IU16" t="e">
        <f t="shared" si="91"/>
        <v>#DIV/0!</v>
      </c>
      <c r="IV16">
        <f t="shared" si="91"/>
        <v>336.21046075179925</v>
      </c>
      <c r="IW16">
        <f t="shared" si="91"/>
        <v>471.57878454545465</v>
      </c>
      <c r="IX16">
        <f t="shared" si="91"/>
        <v>339.14042072229142</v>
      </c>
      <c r="IY16">
        <f t="shared" si="91"/>
        <v>745.06775020305054</v>
      </c>
      <c r="IZ16">
        <f t="shared" si="91"/>
        <v>144.86143646985184</v>
      </c>
      <c r="JA16">
        <f t="shared" si="91"/>
        <v>90.05</v>
      </c>
      <c r="JB16">
        <f t="shared" si="91"/>
        <v>316.21798838844944</v>
      </c>
      <c r="LV16" s="115" t="s">
        <v>1468</v>
      </c>
      <c r="LW16" s="32">
        <f t="shared" ref="LW16:MH16" si="92">LW6*1000/LW$4</f>
        <v>474.45333000000005</v>
      </c>
      <c r="LX16" s="21">
        <f t="shared" si="92"/>
        <v>364.27409108603058</v>
      </c>
      <c r="LY16" s="21">
        <f t="shared" si="92"/>
        <v>977.71909666666636</v>
      </c>
      <c r="LZ16" s="21">
        <f t="shared" si="92"/>
        <v>166.78458353868896</v>
      </c>
      <c r="MA16" s="21">
        <v>0</v>
      </c>
      <c r="MB16" s="23">
        <f t="shared" si="92"/>
        <v>364.15883221557397</v>
      </c>
      <c r="MC16" s="29">
        <f t="shared" si="92"/>
        <v>471.51766734939758</v>
      </c>
      <c r="MD16" s="21">
        <f t="shared" si="92"/>
        <v>345.07696403520254</v>
      </c>
      <c r="ME16" s="21">
        <f t="shared" si="92"/>
        <v>742.57388602377398</v>
      </c>
      <c r="MF16" s="52">
        <f t="shared" si="92"/>
        <v>146.61094188496835</v>
      </c>
      <c r="MG16" s="145">
        <f t="shared" si="92"/>
        <v>90.05</v>
      </c>
      <c r="MH16" s="23">
        <f t="shared" si="92"/>
        <v>323.25938817875397</v>
      </c>
    </row>
    <row r="17" spans="2:347" x14ac:dyDescent="0.3">
      <c r="B17" s="114" t="s">
        <v>540</v>
      </c>
      <c r="C17" t="e">
        <f t="shared" si="49"/>
        <v>#DIV/0!</v>
      </c>
      <c r="D17">
        <f t="shared" si="49"/>
        <v>285.58098507462682</v>
      </c>
      <c r="E17">
        <f t="shared" si="49"/>
        <v>700.8071874999996</v>
      </c>
      <c r="F17">
        <f t="shared" si="49"/>
        <v>144.21999999999997</v>
      </c>
      <c r="G17">
        <f t="shared" si="50"/>
        <v>277.38412891172345</v>
      </c>
      <c r="H17" t="e">
        <f t="shared" si="50"/>
        <v>#DIV/0!</v>
      </c>
      <c r="I17">
        <f t="shared" si="50"/>
        <v>285.58098507462682</v>
      </c>
      <c r="J17">
        <f t="shared" si="50"/>
        <v>700.8071874999996</v>
      </c>
      <c r="K17">
        <f t="shared" si="50"/>
        <v>144.21999999999997</v>
      </c>
      <c r="L17">
        <f t="shared" si="50"/>
        <v>277.38412891172345</v>
      </c>
      <c r="N17" s="114" t="s">
        <v>540</v>
      </c>
      <c r="O17" t="e">
        <f t="shared" ref="O17:X17" si="93">O7*1000/O$4</f>
        <v>#DIV/0!</v>
      </c>
      <c r="P17">
        <f t="shared" si="93"/>
        <v>286.67641442804899</v>
      </c>
      <c r="Q17">
        <f t="shared" si="93"/>
        <v>667.78666666666618</v>
      </c>
      <c r="R17">
        <f t="shared" si="93"/>
        <v>144.21999999999997</v>
      </c>
      <c r="S17">
        <f t="shared" si="93"/>
        <v>265.81388831168834</v>
      </c>
      <c r="T17" t="e">
        <f t="shared" si="93"/>
        <v>#DIV/0!</v>
      </c>
      <c r="U17">
        <f t="shared" si="93"/>
        <v>286.02291340185201</v>
      </c>
      <c r="V17">
        <f t="shared" si="93"/>
        <v>690.26872340425473</v>
      </c>
      <c r="W17">
        <f t="shared" si="93"/>
        <v>144.22</v>
      </c>
      <c r="X17">
        <f t="shared" si="93"/>
        <v>272.72424053281259</v>
      </c>
      <c r="Z17" s="114" t="s">
        <v>540</v>
      </c>
      <c r="AA17">
        <f t="shared" ref="AA17:AJ17" si="94">AA7*1000/AA$4</f>
        <v>401.59000000000003</v>
      </c>
      <c r="AB17">
        <f t="shared" si="94"/>
        <v>303.87782536151275</v>
      </c>
      <c r="AC17">
        <f t="shared" si="94"/>
        <v>654.99894736842054</v>
      </c>
      <c r="AD17">
        <f t="shared" si="94"/>
        <v>128.32336842105263</v>
      </c>
      <c r="AE17">
        <f t="shared" si="94"/>
        <v>301.21942787286059</v>
      </c>
      <c r="AF17">
        <f t="shared" si="94"/>
        <v>401.59000000000003</v>
      </c>
      <c r="AG17">
        <f t="shared" si="94"/>
        <v>291.62672776148577</v>
      </c>
      <c r="AH17">
        <f t="shared" si="94"/>
        <v>680.11530303030258</v>
      </c>
      <c r="AI17">
        <f t="shared" si="94"/>
        <v>140.00792309991033</v>
      </c>
      <c r="AJ17">
        <f t="shared" si="94"/>
        <v>282.21203172609489</v>
      </c>
      <c r="AL17" s="114" t="s">
        <v>540</v>
      </c>
      <c r="AM17" t="e">
        <f t="shared" ref="AM17:AV17" si="95">AM7*1000/AM$4</f>
        <v>#DIV/0!</v>
      </c>
      <c r="AN17">
        <f t="shared" si="95"/>
        <v>186.87742761692644</v>
      </c>
      <c r="AO17">
        <f t="shared" si="95"/>
        <v>658.57068965517203</v>
      </c>
      <c r="AP17">
        <f t="shared" si="95"/>
        <v>129.07379679144384</v>
      </c>
      <c r="AQ17">
        <f t="shared" si="95"/>
        <v>215.46874548677206</v>
      </c>
      <c r="AR17">
        <f t="shared" si="95"/>
        <v>401.59000000000003</v>
      </c>
      <c r="AS17">
        <f t="shared" si="95"/>
        <v>258.12306928812262</v>
      </c>
      <c r="AT17">
        <f t="shared" si="95"/>
        <v>673.53852631578911</v>
      </c>
      <c r="AU17">
        <f t="shared" si="95"/>
        <v>139.24972096041532</v>
      </c>
      <c r="AV17">
        <f t="shared" si="95"/>
        <v>264.75075189777755</v>
      </c>
      <c r="AX17" s="114" t="s">
        <v>540</v>
      </c>
      <c r="AY17" t="e">
        <f t="shared" ref="AY17:BH17" si="96">AY7*1000/AY$4</f>
        <v>#DIV/0!</v>
      </c>
      <c r="AZ17">
        <f t="shared" si="96"/>
        <v>296.55088878602004</v>
      </c>
      <c r="BA17">
        <f t="shared" si="96"/>
        <v>669.81138888888836</v>
      </c>
      <c r="BB17">
        <f t="shared" si="96"/>
        <v>130.10616822429904</v>
      </c>
      <c r="BC17">
        <f t="shared" si="96"/>
        <v>294.35191594944547</v>
      </c>
      <c r="BD17">
        <f t="shared" si="96"/>
        <v>401.59000000000003</v>
      </c>
      <c r="BE17">
        <f t="shared" si="96"/>
        <v>264.66537621909168</v>
      </c>
      <c r="BF17">
        <f t="shared" si="96"/>
        <v>672.51427480915982</v>
      </c>
      <c r="BG17">
        <f t="shared" si="96"/>
        <v>137.26219400711017</v>
      </c>
      <c r="BH17">
        <f t="shared" si="96"/>
        <v>270.11844185425247</v>
      </c>
      <c r="BJ17" s="114" t="s">
        <v>540</v>
      </c>
      <c r="BK17" t="e">
        <f t="shared" ref="BK17:BT17" si="97">BK7*1000/BK$4</f>
        <v>#DIV/0!</v>
      </c>
      <c r="BL17">
        <f t="shared" si="97"/>
        <v>293.85834813054896</v>
      </c>
      <c r="BM17">
        <f t="shared" si="97"/>
        <v>669.59935483870936</v>
      </c>
      <c r="BN17">
        <f t="shared" si="97"/>
        <v>126.75540415704387</v>
      </c>
      <c r="BO17">
        <f t="shared" si="97"/>
        <v>280.21530607364895</v>
      </c>
      <c r="BP17">
        <f t="shared" si="97"/>
        <v>401.59000000000003</v>
      </c>
      <c r="BQ17">
        <f t="shared" si="97"/>
        <v>268.63896343954235</v>
      </c>
      <c r="BR17">
        <f t="shared" si="97"/>
        <v>671.95648148148109</v>
      </c>
      <c r="BS17">
        <f t="shared" si="97"/>
        <v>135.1519417869774</v>
      </c>
      <c r="BT17">
        <f t="shared" si="97"/>
        <v>271.6324465453153</v>
      </c>
      <c r="BV17" s="114" t="s">
        <v>540</v>
      </c>
      <c r="BW17">
        <f t="shared" ref="BW17:CF17" si="98">BW7*1000/BW$4</f>
        <v>405.31000000000006</v>
      </c>
      <c r="BX17">
        <f t="shared" si="98"/>
        <v>295.06063348416285</v>
      </c>
      <c r="BY17">
        <f t="shared" si="98"/>
        <v>778.05615384615328</v>
      </c>
      <c r="BZ17">
        <f t="shared" si="98"/>
        <v>132.74094435075884</v>
      </c>
      <c r="CA17">
        <f t="shared" si="98"/>
        <v>276.65339585927762</v>
      </c>
      <c r="CB17">
        <f t="shared" si="98"/>
        <v>402.91000000000008</v>
      </c>
      <c r="CC17">
        <f t="shared" si="98"/>
        <v>271.71282175462869</v>
      </c>
      <c r="CD17">
        <f t="shared" si="98"/>
        <v>679.83817142857094</v>
      </c>
      <c r="CE17">
        <f t="shared" si="98"/>
        <v>134.73962124489302</v>
      </c>
      <c r="CF17">
        <f t="shared" si="98"/>
        <v>272.30081747256958</v>
      </c>
      <c r="CH17" s="114" t="s">
        <v>540</v>
      </c>
      <c r="CI17">
        <f t="shared" ref="CI17:CR17" si="99">CI7*1000/CI$4</f>
        <v>405.31000000000006</v>
      </c>
      <c r="CJ17">
        <f t="shared" si="99"/>
        <v>306.25111999999996</v>
      </c>
      <c r="CK17">
        <f t="shared" si="99"/>
        <v>577.55738693467299</v>
      </c>
      <c r="CL17" t="e">
        <f t="shared" si="99"/>
        <v>#DIV/0!</v>
      </c>
      <c r="CM17">
        <f t="shared" si="99"/>
        <v>334.99515784586805</v>
      </c>
      <c r="CN17">
        <f t="shared" si="99"/>
        <v>403.18428571428581</v>
      </c>
      <c r="CO17">
        <f t="shared" si="99"/>
        <v>275.98105283277528</v>
      </c>
      <c r="CP17">
        <f t="shared" si="99"/>
        <v>665.54471910112318</v>
      </c>
      <c r="CQ17">
        <f t="shared" si="99"/>
        <v>134.73962124489304</v>
      </c>
      <c r="CR17">
        <f t="shared" si="99"/>
        <v>278.59438561987935</v>
      </c>
      <c r="CT17" s="114" t="s">
        <v>540</v>
      </c>
      <c r="CU17" t="e">
        <f t="shared" ref="CU17:DD17" si="100">CU7*1000/CU$4</f>
        <v>#DIV/0!</v>
      </c>
      <c r="CV17">
        <f t="shared" si="100"/>
        <v>298.35457627118637</v>
      </c>
      <c r="CW17">
        <f t="shared" si="100"/>
        <v>666.68227272727222</v>
      </c>
      <c r="CX17">
        <f t="shared" si="100"/>
        <v>144.21999999999997</v>
      </c>
      <c r="CY17">
        <f t="shared" si="100"/>
        <v>280.00529251515354</v>
      </c>
      <c r="CZ17">
        <f t="shared" si="100"/>
        <v>403.18428571428581</v>
      </c>
      <c r="DA17">
        <f t="shared" si="100"/>
        <v>278.66134834719855</v>
      </c>
      <c r="DB17">
        <f t="shared" si="100"/>
        <v>665.65573510773083</v>
      </c>
      <c r="DC17">
        <f t="shared" si="100"/>
        <v>136.13410322633538</v>
      </c>
      <c r="DD17">
        <f t="shared" si="100"/>
        <v>278.76423350004103</v>
      </c>
      <c r="DF17" s="114" t="s">
        <v>540</v>
      </c>
      <c r="DG17" t="e">
        <f t="shared" ref="DG17:DP17" si="101">DG7*1000/DG$4</f>
        <v>#DIV/0!</v>
      </c>
      <c r="DH17">
        <f t="shared" si="101"/>
        <v>305.41172611184493</v>
      </c>
      <c r="DI17">
        <f t="shared" si="101"/>
        <v>804.88928571428539</v>
      </c>
      <c r="DJ17">
        <f t="shared" si="101"/>
        <v>168.97663629992991</v>
      </c>
      <c r="DK17">
        <f t="shared" si="101"/>
        <v>86.73</v>
      </c>
      <c r="DL17">
        <f t="shared" si="101"/>
        <v>258.1107244549903</v>
      </c>
      <c r="DM17">
        <f t="shared" si="101"/>
        <v>403.18428571428581</v>
      </c>
      <c r="DN17">
        <f t="shared" si="101"/>
        <v>280.62102924731187</v>
      </c>
      <c r="DO17">
        <f t="shared" si="101"/>
        <v>673.79707637231468</v>
      </c>
      <c r="DP17">
        <f t="shared" si="101"/>
        <v>142.36197534965615</v>
      </c>
      <c r="DQ17">
        <f t="shared" ref="DQ17:DR17" si="102">DQ7*1000/DQ$4</f>
        <v>86.73</v>
      </c>
      <c r="DR17">
        <f t="shared" si="102"/>
        <v>276.70797004193247</v>
      </c>
      <c r="DT17" s="114" t="s">
        <v>540</v>
      </c>
      <c r="DU17" t="e">
        <f t="shared" ref="DU17:EF17" si="103">DU7*1000/DU$4</f>
        <v>#DIV/0!</v>
      </c>
      <c r="DV17">
        <f t="shared" si="103"/>
        <v>298.91502415458933</v>
      </c>
      <c r="DW17">
        <f t="shared" si="103"/>
        <v>718.3324107142854</v>
      </c>
      <c r="DX17">
        <f t="shared" si="103"/>
        <v>144.21999999999997</v>
      </c>
      <c r="DY17" t="e">
        <f t="shared" si="103"/>
        <v>#DIV/0!</v>
      </c>
      <c r="DZ17">
        <f t="shared" si="103"/>
        <v>276.06118328599189</v>
      </c>
      <c r="EA17">
        <f t="shared" si="103"/>
        <v>403.18428571428581</v>
      </c>
      <c r="EB17">
        <f t="shared" si="103"/>
        <v>281.94318988478227</v>
      </c>
      <c r="EC17">
        <f t="shared" si="103"/>
        <v>679.04755789473654</v>
      </c>
      <c r="ED17">
        <f t="shared" si="103"/>
        <v>142.62723358204704</v>
      </c>
      <c r="EE17">
        <f t="shared" si="103"/>
        <v>86.73</v>
      </c>
      <c r="EF17">
        <f t="shared" si="103"/>
        <v>276.64983337140706</v>
      </c>
      <c r="EH17" s="114" t="s">
        <v>540</v>
      </c>
      <c r="EI17" t="e">
        <f t="shared" ref="EI17:ET17" si="104">EI7*1000/EI$4</f>
        <v>#DIV/0!</v>
      </c>
      <c r="EJ17">
        <f t="shared" si="104"/>
        <v>296.8586871882224</v>
      </c>
      <c r="EK17">
        <f t="shared" si="104"/>
        <v>649.69999999999982</v>
      </c>
      <c r="EL17">
        <f t="shared" si="104"/>
        <v>129.8410344827586</v>
      </c>
      <c r="EM17" t="e">
        <f t="shared" si="104"/>
        <v>#DIV/0!</v>
      </c>
      <c r="EN17">
        <f t="shared" si="104"/>
        <v>280.44066847872244</v>
      </c>
      <c r="EO17">
        <f t="shared" si="104"/>
        <v>403.18428571428581</v>
      </c>
      <c r="EP17">
        <f t="shared" si="104"/>
        <v>283.07343100014754</v>
      </c>
      <c r="EQ17">
        <f t="shared" si="104"/>
        <v>676.84720545277469</v>
      </c>
      <c r="ER17">
        <f t="shared" si="104"/>
        <v>141.68795503720514</v>
      </c>
      <c r="ES17">
        <f t="shared" si="104"/>
        <v>86.73</v>
      </c>
      <c r="ET17">
        <f t="shared" si="104"/>
        <v>276.92771354922269</v>
      </c>
      <c r="EV17" s="114" t="s">
        <v>540</v>
      </c>
      <c r="EW17" t="e">
        <f t="shared" ref="EW17:FH17" si="105">EW7*1000/EW$4</f>
        <v>#DIV/0!</v>
      </c>
      <c r="EX17">
        <f t="shared" si="105"/>
        <v>301.59149855907771</v>
      </c>
      <c r="EY17">
        <f t="shared" si="105"/>
        <v>635.67909090909052</v>
      </c>
      <c r="EZ17">
        <f t="shared" si="105"/>
        <v>133.57317713214618</v>
      </c>
      <c r="FA17" t="e">
        <f t="shared" si="105"/>
        <v>#DIV/0!</v>
      </c>
      <c r="FB17">
        <f t="shared" si="105"/>
        <v>274.8293062911016</v>
      </c>
      <c r="FC17">
        <f t="shared" si="105"/>
        <v>403.18428571428581</v>
      </c>
      <c r="FD17">
        <f t="shared" si="105"/>
        <v>284.93815030387458</v>
      </c>
      <c r="FE17">
        <f t="shared" si="105"/>
        <v>673.97587862318812</v>
      </c>
      <c r="FF17">
        <f t="shared" si="105"/>
        <v>140.86658540055967</v>
      </c>
      <c r="FG17">
        <f t="shared" si="105"/>
        <v>86.73</v>
      </c>
      <c r="FH17">
        <f t="shared" si="105"/>
        <v>276.72490725012659</v>
      </c>
      <c r="FJ17" s="114" t="s">
        <v>540</v>
      </c>
      <c r="FK17" t="e">
        <f t="shared" ref="FK17:FV17" si="106">FK7*1000/FK$4</f>
        <v>#DIV/0!</v>
      </c>
      <c r="FL17">
        <f t="shared" si="106"/>
        <v>292.62438241149476</v>
      </c>
      <c r="FM17">
        <f t="shared" si="106"/>
        <v>577.74765895953726</v>
      </c>
      <c r="FN17">
        <f t="shared" si="106"/>
        <v>133.48889812889811</v>
      </c>
      <c r="FO17" t="e">
        <f t="shared" si="106"/>
        <v>#DIV/0!</v>
      </c>
      <c r="FP17">
        <f t="shared" si="106"/>
        <v>273.37775047143981</v>
      </c>
      <c r="FQ17">
        <f t="shared" si="106"/>
        <v>403.18428571428581</v>
      </c>
      <c r="FR17">
        <f t="shared" si="106"/>
        <v>285.61004570148759</v>
      </c>
      <c r="FS17">
        <f t="shared" si="106"/>
        <v>665.70589253187586</v>
      </c>
      <c r="FT17">
        <f t="shared" si="106"/>
        <v>140.24961359586209</v>
      </c>
      <c r="FU17">
        <f t="shared" si="106"/>
        <v>86.73</v>
      </c>
      <c r="FV17">
        <f t="shared" si="106"/>
        <v>276.44161325033855</v>
      </c>
      <c r="FX17" s="114" t="s">
        <v>540</v>
      </c>
      <c r="FY17" t="e">
        <f t="shared" ref="FY17:GJ17" si="107">FY7*1000/FY$4</f>
        <v>#DIV/0!</v>
      </c>
      <c r="FZ17">
        <f t="shared" si="107"/>
        <v>287.08156385281382</v>
      </c>
      <c r="GA17">
        <f t="shared" si="107"/>
        <v>386.67338282763063</v>
      </c>
      <c r="GB17">
        <f t="shared" si="107"/>
        <v>140.72241379310341</v>
      </c>
      <c r="GC17" t="e">
        <f t="shared" si="107"/>
        <v>#DIV/0!</v>
      </c>
      <c r="GD17">
        <f t="shared" si="107"/>
        <v>235.48596165057975</v>
      </c>
      <c r="GE17">
        <f t="shared" si="107"/>
        <v>403.18428571428581</v>
      </c>
      <c r="GF17">
        <f t="shared" si="107"/>
        <v>285.68799016868041</v>
      </c>
      <c r="GG17">
        <f t="shared" si="107"/>
        <v>633.9878799442281</v>
      </c>
      <c r="GH17">
        <f t="shared" si="107"/>
        <v>140.30810359931439</v>
      </c>
      <c r="GI17">
        <f t="shared" si="107"/>
        <v>86.73</v>
      </c>
      <c r="GJ17">
        <f t="shared" si="107"/>
        <v>273.42618684002178</v>
      </c>
      <c r="GL17" s="114" t="s">
        <v>540</v>
      </c>
      <c r="GM17">
        <f t="shared" ref="GM17:GX17" si="108">GM7*1000/GM$4</f>
        <v>401.59000000000003</v>
      </c>
      <c r="GN17">
        <f t="shared" si="108"/>
        <v>299.41630161782996</v>
      </c>
      <c r="GO17">
        <f t="shared" si="108"/>
        <v>536.13843749999967</v>
      </c>
      <c r="GP17">
        <f t="shared" si="108"/>
        <v>144.21999999999997</v>
      </c>
      <c r="GQ17" t="e">
        <f t="shared" si="108"/>
        <v>#DIV/0!</v>
      </c>
      <c r="GR17">
        <f t="shared" si="108"/>
        <v>305.85625786802018</v>
      </c>
      <c r="GS17">
        <f t="shared" si="108"/>
        <v>402.60454545454553</v>
      </c>
      <c r="GT17">
        <f t="shared" si="108"/>
        <v>286.50571435310297</v>
      </c>
      <c r="GU17">
        <f t="shared" si="108"/>
        <v>625.58596900784858</v>
      </c>
      <c r="GV17">
        <f t="shared" si="108"/>
        <v>140.49644418663667</v>
      </c>
      <c r="GW17">
        <f t="shared" si="108"/>
        <v>86.73</v>
      </c>
      <c r="GX17">
        <f t="shared" si="108"/>
        <v>275.56106549159921</v>
      </c>
      <c r="GZ17" s="114" t="s">
        <v>540</v>
      </c>
      <c r="HA17" t="e">
        <f t="shared" ref="HA17:HL17" si="109">HA7*1000/HA$4</f>
        <v>#DIV/0!</v>
      </c>
      <c r="HB17">
        <f t="shared" si="109"/>
        <v>297.01530531845032</v>
      </c>
      <c r="HC17">
        <f t="shared" si="109"/>
        <v>592.55056105610527</v>
      </c>
      <c r="HD17">
        <f t="shared" si="109"/>
        <v>144.21999999999997</v>
      </c>
      <c r="HE17" t="e">
        <f t="shared" si="109"/>
        <v>#DIV/0!</v>
      </c>
      <c r="HF17">
        <f t="shared" si="109"/>
        <v>245.09766341338124</v>
      </c>
      <c r="HG17">
        <f t="shared" si="109"/>
        <v>402.60454545454553</v>
      </c>
      <c r="HH17">
        <f t="shared" si="109"/>
        <v>287.01870429721572</v>
      </c>
      <c r="HI17">
        <f t="shared" si="109"/>
        <v>623.68731031866457</v>
      </c>
      <c r="HJ17">
        <f t="shared" si="109"/>
        <v>140.91837855214092</v>
      </c>
      <c r="HK17">
        <f t="shared" si="109"/>
        <v>86.73</v>
      </c>
      <c r="HL17">
        <f t="shared" si="109"/>
        <v>273.58436810199373</v>
      </c>
      <c r="HN17" s="114" t="s">
        <v>540</v>
      </c>
      <c r="HO17">
        <f t="shared" ref="HO17:HZ17" si="110">HO7*1000/HO$4</f>
        <v>401.59000000000003</v>
      </c>
      <c r="HP17">
        <f t="shared" si="110"/>
        <v>296.40083411875582</v>
      </c>
      <c r="HQ17">
        <f t="shared" si="110"/>
        <v>621.1500840336131</v>
      </c>
      <c r="HR17">
        <f t="shared" si="110"/>
        <v>144.21999999999997</v>
      </c>
      <c r="HS17" t="e">
        <f t="shared" si="110"/>
        <v>#DIV/0!</v>
      </c>
      <c r="HT17">
        <f t="shared" si="110"/>
        <v>274.84026515506412</v>
      </c>
      <c r="HU17">
        <f t="shared" si="110"/>
        <v>402.4354545454546</v>
      </c>
      <c r="HV17">
        <f t="shared" si="110"/>
        <v>287.72661751807522</v>
      </c>
      <c r="HW17">
        <f t="shared" si="110"/>
        <v>623.50976714100887</v>
      </c>
      <c r="HX17">
        <f t="shared" si="110"/>
        <v>141.22301021301425</v>
      </c>
      <c r="HY17">
        <f t="shared" si="110"/>
        <v>86.73</v>
      </c>
      <c r="HZ17">
        <f t="shared" si="110"/>
        <v>273.68694032391983</v>
      </c>
      <c r="IB17" s="114" t="s">
        <v>540</v>
      </c>
      <c r="IC17" t="e">
        <f t="shared" ref="IC17:IN17" si="111">IC7*1000/IC$4</f>
        <v>#DIV/0!</v>
      </c>
      <c r="ID17">
        <f t="shared" si="111"/>
        <v>290.54510461678422</v>
      </c>
      <c r="IE17">
        <f t="shared" si="111"/>
        <v>689.71639999999957</v>
      </c>
      <c r="IF17">
        <f t="shared" si="111"/>
        <v>144.21999999999997</v>
      </c>
      <c r="IG17" t="e">
        <f t="shared" si="111"/>
        <v>#DIV/0!</v>
      </c>
      <c r="IH17">
        <f t="shared" si="111"/>
        <v>256.66134871566061</v>
      </c>
      <c r="II17">
        <f t="shared" si="111"/>
        <v>402.4354545454546</v>
      </c>
      <c r="IJ17">
        <f t="shared" si="111"/>
        <v>287.86622894769454</v>
      </c>
      <c r="IK17">
        <f t="shared" si="111"/>
        <v>626.7495637827858</v>
      </c>
      <c r="IL17">
        <f t="shared" si="111"/>
        <v>141.46498819742487</v>
      </c>
      <c r="IM17">
        <f t="shared" si="111"/>
        <v>86.73</v>
      </c>
      <c r="IN17">
        <f t="shared" si="111"/>
        <v>272.72280205739037</v>
      </c>
      <c r="IP17" s="114" t="s">
        <v>540</v>
      </c>
      <c r="IQ17" t="e">
        <f t="shared" ref="IQ17:JB17" si="112">IQ7*1000/IQ$4</f>
        <v>#DIV/0!</v>
      </c>
      <c r="IR17">
        <f t="shared" si="112"/>
        <v>302.88463404771522</v>
      </c>
      <c r="IS17">
        <f t="shared" si="112"/>
        <v>543.21380952380935</v>
      </c>
      <c r="IT17">
        <f t="shared" si="112"/>
        <v>144.21999999999997</v>
      </c>
      <c r="IU17" t="e">
        <f t="shared" si="112"/>
        <v>#DIV/0!</v>
      </c>
      <c r="IV17">
        <f t="shared" si="112"/>
        <v>287.22655222719305</v>
      </c>
      <c r="IW17">
        <f t="shared" si="112"/>
        <v>402.4354545454546</v>
      </c>
      <c r="IX17">
        <f t="shared" si="112"/>
        <v>288.4686606327013</v>
      </c>
      <c r="IY17">
        <f t="shared" si="112"/>
        <v>623.45139127632092</v>
      </c>
      <c r="IZ17">
        <f t="shared" si="112"/>
        <v>141.54143646985182</v>
      </c>
      <c r="JA17">
        <f t="shared" si="112"/>
        <v>86.73</v>
      </c>
      <c r="JB17">
        <f t="shared" si="112"/>
        <v>273.24180989238926</v>
      </c>
      <c r="LV17" s="114" t="s">
        <v>1469</v>
      </c>
      <c r="LW17" s="31">
        <f t="shared" ref="LW17:MH17" si="113">LW7*1000/LW$4</f>
        <v>405.31000000000006</v>
      </c>
      <c r="LX17" s="18">
        <f t="shared" si="113"/>
        <v>309.99666098807489</v>
      </c>
      <c r="LY17" s="18">
        <f t="shared" si="113"/>
        <v>804.84333333333291</v>
      </c>
      <c r="LZ17" s="18">
        <f t="shared" si="113"/>
        <v>163.464583538689</v>
      </c>
      <c r="MA17" s="18">
        <v>0</v>
      </c>
      <c r="MB17" s="19">
        <f t="shared" si="113"/>
        <v>315.43555432088209</v>
      </c>
      <c r="MC17" s="28">
        <f t="shared" si="113"/>
        <v>402.37433734939759</v>
      </c>
      <c r="MD17" s="18">
        <f t="shared" si="113"/>
        <v>294.15234356349691</v>
      </c>
      <c r="ME17" s="18">
        <f t="shared" si="113"/>
        <v>619.89204914436118</v>
      </c>
      <c r="MF17" s="51">
        <f t="shared" si="113"/>
        <v>143.29094188496836</v>
      </c>
      <c r="MG17" s="143">
        <f t="shared" si="113"/>
        <v>86.73</v>
      </c>
      <c r="MH17" s="19">
        <f t="shared" si="113"/>
        <v>279.73031151550833</v>
      </c>
    </row>
    <row r="18" spans="2:347" x14ac:dyDescent="0.3">
      <c r="B18" s="114" t="s">
        <v>541</v>
      </c>
      <c r="C18" t="e">
        <f t="shared" si="49"/>
        <v>#DIV/0!</v>
      </c>
      <c r="D18">
        <f t="shared" si="49"/>
        <v>25.360447761194031</v>
      </c>
      <c r="E18">
        <f t="shared" si="49"/>
        <v>69.327187499999994</v>
      </c>
      <c r="F18">
        <f t="shared" si="49"/>
        <v>1.5</v>
      </c>
      <c r="G18">
        <f t="shared" si="50"/>
        <v>22.268928070994864</v>
      </c>
      <c r="H18" t="e">
        <f t="shared" si="50"/>
        <v>#DIV/0!</v>
      </c>
      <c r="I18">
        <f t="shared" si="50"/>
        <v>25.360447761194031</v>
      </c>
      <c r="J18">
        <f t="shared" si="50"/>
        <v>69.327187499999994</v>
      </c>
      <c r="K18">
        <f t="shared" si="50"/>
        <v>1.5</v>
      </c>
      <c r="L18">
        <f t="shared" si="50"/>
        <v>22.268928070994864</v>
      </c>
      <c r="N18" s="114" t="s">
        <v>541</v>
      </c>
      <c r="O18" t="e">
        <f t="shared" ref="O18:X18" si="114">O8*1000/O$4</f>
        <v>#DIV/0!</v>
      </c>
      <c r="P18">
        <f t="shared" si="114"/>
        <v>25.368756463614577</v>
      </c>
      <c r="Q18">
        <f t="shared" si="114"/>
        <v>52.93666666666666</v>
      </c>
      <c r="R18">
        <f t="shared" si="114"/>
        <v>1.5</v>
      </c>
      <c r="S18">
        <f t="shared" si="114"/>
        <v>20.223776623376622</v>
      </c>
      <c r="T18" t="e">
        <f t="shared" si="114"/>
        <v>#DIV/0!</v>
      </c>
      <c r="U18">
        <f t="shared" si="114"/>
        <v>25.363799735422816</v>
      </c>
      <c r="V18">
        <f t="shared" si="114"/>
        <v>64.096170212765955</v>
      </c>
      <c r="W18">
        <f t="shared" si="114"/>
        <v>1.5</v>
      </c>
      <c r="X18">
        <f t="shared" si="114"/>
        <v>21.445247925238856</v>
      </c>
      <c r="Z18" s="114" t="s">
        <v>541</v>
      </c>
      <c r="AA18">
        <f t="shared" ref="AA18:AJ18" si="115">AA8*1000/AA$4</f>
        <v>36.22</v>
      </c>
      <c r="AB18">
        <f t="shared" si="115"/>
        <v>25.478353726362624</v>
      </c>
      <c r="AC18">
        <f t="shared" si="115"/>
        <v>46.96473684210526</v>
      </c>
      <c r="AD18">
        <f t="shared" si="115"/>
        <v>1.5</v>
      </c>
      <c r="AE18">
        <f t="shared" si="115"/>
        <v>23.52161718477122</v>
      </c>
      <c r="AF18">
        <f t="shared" si="115"/>
        <v>36.22</v>
      </c>
      <c r="AG18">
        <f t="shared" si="115"/>
        <v>25.399752827817352</v>
      </c>
      <c r="AH18">
        <f t="shared" si="115"/>
        <v>59.164393939393939</v>
      </c>
      <c r="AI18">
        <f t="shared" si="115"/>
        <v>1.5</v>
      </c>
      <c r="AJ18">
        <f t="shared" si="115"/>
        <v>22.136598283441497</v>
      </c>
      <c r="AL18" s="114" t="s">
        <v>541</v>
      </c>
      <c r="AM18" t="e">
        <f t="shared" ref="AM18:AV18" si="116">AM8*1000/AM$4</f>
        <v>#DIV/0!</v>
      </c>
      <c r="AN18">
        <f t="shared" si="116"/>
        <v>20.071239792130662</v>
      </c>
      <c r="AO18">
        <f t="shared" si="116"/>
        <v>48.63275862068965</v>
      </c>
      <c r="AP18">
        <f t="shared" si="116"/>
        <v>1.5</v>
      </c>
      <c r="AQ18">
        <f t="shared" si="116"/>
        <v>21.062420403072284</v>
      </c>
      <c r="AR18">
        <f t="shared" si="116"/>
        <v>36.22</v>
      </c>
      <c r="AS18">
        <f t="shared" si="116"/>
        <v>23.69544854442703</v>
      </c>
      <c r="AT18">
        <f t="shared" si="116"/>
        <v>55.949473684210524</v>
      </c>
      <c r="AU18">
        <f t="shared" si="116"/>
        <v>1.4999999999999998</v>
      </c>
      <c r="AV18">
        <f t="shared" si="116"/>
        <v>21.855573455157487</v>
      </c>
      <c r="AX18" s="114" t="s">
        <v>541</v>
      </c>
      <c r="AY18" t="e">
        <f t="shared" ref="AY18:BH18" si="117">AY8*1000/AY$4</f>
        <v>#DIV/0!</v>
      </c>
      <c r="AZ18">
        <f t="shared" si="117"/>
        <v>25.849035991204723</v>
      </c>
      <c r="BA18">
        <f t="shared" si="117"/>
        <v>53.882222222222218</v>
      </c>
      <c r="BB18">
        <f t="shared" si="117"/>
        <v>1.5</v>
      </c>
      <c r="BC18">
        <f t="shared" si="117"/>
        <v>22.931466232457161</v>
      </c>
      <c r="BD18">
        <f t="shared" si="117"/>
        <v>36.22</v>
      </c>
      <c r="BE18">
        <f t="shared" si="117"/>
        <v>24.062095163038119</v>
      </c>
      <c r="BF18">
        <f t="shared" si="117"/>
        <v>55.381374045801536</v>
      </c>
      <c r="BG18">
        <f t="shared" si="117"/>
        <v>1.5</v>
      </c>
      <c r="BH18">
        <f t="shared" si="117"/>
        <v>22.050669122506079</v>
      </c>
      <c r="BJ18" s="114" t="s">
        <v>541</v>
      </c>
      <c r="BK18" t="e">
        <f t="shared" ref="BK18:BT18" si="118">BK8*1000/BK$4</f>
        <v>#DIV/0!</v>
      </c>
      <c r="BL18">
        <f t="shared" si="118"/>
        <v>25.102874828060521</v>
      </c>
      <c r="BM18">
        <f t="shared" si="118"/>
        <v>73.548387096774192</v>
      </c>
      <c r="BN18">
        <f t="shared" si="118"/>
        <v>1.5</v>
      </c>
      <c r="BO18">
        <f t="shared" si="118"/>
        <v>22.775680695042244</v>
      </c>
      <c r="BP18">
        <f t="shared" si="118"/>
        <v>36.22</v>
      </c>
      <c r="BQ18">
        <f t="shared" si="118"/>
        <v>24.203760382625262</v>
      </c>
      <c r="BR18">
        <f t="shared" si="118"/>
        <v>58.857777777777784</v>
      </c>
      <c r="BS18">
        <f t="shared" si="118"/>
        <v>1.5</v>
      </c>
      <c r="BT18">
        <f t="shared" si="118"/>
        <v>22.159383164612933</v>
      </c>
      <c r="BV18" s="114" t="s">
        <v>541</v>
      </c>
      <c r="BW18">
        <f t="shared" ref="BW18:CF18" si="119">BW8*1000/BW$4</f>
        <v>36.22</v>
      </c>
      <c r="BX18">
        <f t="shared" si="119"/>
        <v>26.077285067873305</v>
      </c>
      <c r="BY18">
        <f t="shared" si="119"/>
        <v>104.43307692307691</v>
      </c>
      <c r="BZ18">
        <f t="shared" si="119"/>
        <v>1.5</v>
      </c>
      <c r="CA18">
        <f t="shared" si="119"/>
        <v>22.914371886674967</v>
      </c>
      <c r="CB18">
        <f t="shared" si="119"/>
        <v>36.22</v>
      </c>
      <c r="CC18">
        <f t="shared" si="119"/>
        <v>24.421723494818529</v>
      </c>
      <c r="CD18">
        <f t="shared" si="119"/>
        <v>62.243371428571443</v>
      </c>
      <c r="CE18">
        <f t="shared" si="119"/>
        <v>1.5</v>
      </c>
      <c r="CF18">
        <f t="shared" si="119"/>
        <v>22.259884579918563</v>
      </c>
      <c r="CH18" s="114" t="s">
        <v>541</v>
      </c>
      <c r="CI18">
        <f t="shared" ref="CI18:CR18" si="120">CI8*1000/CI$4</f>
        <v>36.22</v>
      </c>
      <c r="CJ18">
        <f t="shared" si="120"/>
        <v>25.656032</v>
      </c>
      <c r="CK18">
        <f t="shared" si="120"/>
        <v>67.866381909547741</v>
      </c>
      <c r="CL18" t="e">
        <f t="shared" si="120"/>
        <v>#DIV/0!</v>
      </c>
      <c r="CM18">
        <f t="shared" si="120"/>
        <v>29.948036211699161</v>
      </c>
      <c r="CN18">
        <f t="shared" si="120"/>
        <v>36.22</v>
      </c>
      <c r="CO18">
        <f t="shared" si="120"/>
        <v>24.574258917508107</v>
      </c>
      <c r="CP18">
        <f t="shared" si="120"/>
        <v>63.02917134831462</v>
      </c>
      <c r="CQ18">
        <f t="shared" si="120"/>
        <v>1.5</v>
      </c>
      <c r="CR18">
        <f t="shared" si="120"/>
        <v>23.03165928770494</v>
      </c>
      <c r="CT18" s="114" t="s">
        <v>541</v>
      </c>
      <c r="CU18" t="e">
        <f t="shared" ref="CU18:DD18" si="121">CU8*1000/CU$4</f>
        <v>#DIV/0!</v>
      </c>
      <c r="CV18">
        <f t="shared" si="121"/>
        <v>25.636542372881362</v>
      </c>
      <c r="CW18">
        <f t="shared" si="121"/>
        <v>52.420909090909099</v>
      </c>
      <c r="CX18">
        <f t="shared" si="121"/>
        <v>1.5</v>
      </c>
      <c r="CY18">
        <f t="shared" si="121"/>
        <v>21.143049785466189</v>
      </c>
      <c r="CZ18">
        <f t="shared" si="121"/>
        <v>36.22</v>
      </c>
      <c r="DA18">
        <f t="shared" si="121"/>
        <v>24.701517978349397</v>
      </c>
      <c r="DB18">
        <f t="shared" si="121"/>
        <v>61.993891001267436</v>
      </c>
      <c r="DC18">
        <f t="shared" si="121"/>
        <v>1.5</v>
      </c>
      <c r="DD18">
        <f t="shared" si="121"/>
        <v>22.804304583094197</v>
      </c>
      <c r="DF18" s="114" t="s">
        <v>541</v>
      </c>
      <c r="DG18" t="e">
        <f t="shared" ref="DG18:DP18" si="122">DG8*1000/DG$4</f>
        <v>#DIV/0!</v>
      </c>
      <c r="DH18">
        <f t="shared" si="122"/>
        <v>25.427441655658299</v>
      </c>
      <c r="DI18">
        <f t="shared" si="122"/>
        <v>116.96428571428571</v>
      </c>
      <c r="DJ18">
        <f t="shared" si="122"/>
        <v>1.5</v>
      </c>
      <c r="DK18">
        <f t="shared" si="122"/>
        <v>1.5</v>
      </c>
      <c r="DL18">
        <f t="shared" si="122"/>
        <v>17.783194423846954</v>
      </c>
      <c r="DM18">
        <f t="shared" si="122"/>
        <v>36.22</v>
      </c>
      <c r="DN18">
        <f t="shared" si="122"/>
        <v>24.754697741935484</v>
      </c>
      <c r="DO18">
        <f t="shared" si="122"/>
        <v>65.208150357995237</v>
      </c>
      <c r="DP18">
        <f t="shared" si="122"/>
        <v>1.5</v>
      </c>
      <c r="DQ18">
        <f t="shared" ref="DQ18:DR18" si="123">DQ8*1000/DQ$4</f>
        <v>1.5</v>
      </c>
      <c r="DR18">
        <f t="shared" si="123"/>
        <v>22.304402831915898</v>
      </c>
      <c r="DT18" s="114" t="s">
        <v>541</v>
      </c>
      <c r="DU18" t="e">
        <f t="shared" ref="DU18:EF18" si="124">DU8*1000/DU$4</f>
        <v>#DIV/0!</v>
      </c>
      <c r="DV18">
        <f t="shared" si="124"/>
        <v>27.438260869565219</v>
      </c>
      <c r="DW18">
        <f t="shared" si="124"/>
        <v>76.541785714285709</v>
      </c>
      <c r="DX18">
        <f t="shared" si="124"/>
        <v>1.5</v>
      </c>
      <c r="DY18" t="e">
        <f t="shared" si="124"/>
        <v>#DIV/0!</v>
      </c>
      <c r="DZ18">
        <f t="shared" si="124"/>
        <v>21.829608312154281</v>
      </c>
      <c r="EA18">
        <f t="shared" si="124"/>
        <v>36.22</v>
      </c>
      <c r="EB18">
        <f t="shared" si="124"/>
        <v>24.948646715546918</v>
      </c>
      <c r="EC18">
        <f t="shared" si="124"/>
        <v>66.544326315789462</v>
      </c>
      <c r="ED18">
        <f t="shared" si="124"/>
        <v>1.5</v>
      </c>
      <c r="EE18">
        <f t="shared" si="124"/>
        <v>1.5</v>
      </c>
      <c r="EF18">
        <f t="shared" si="124"/>
        <v>22.261725748148951</v>
      </c>
      <c r="EH18" s="114" t="s">
        <v>541</v>
      </c>
      <c r="EI18" t="e">
        <f t="shared" ref="EI18:ET18" si="125">EI8*1000/EI$4</f>
        <v>#DIV/0!</v>
      </c>
      <c r="EJ18">
        <f t="shared" si="125"/>
        <v>25.701758121425968</v>
      </c>
      <c r="EK18">
        <f t="shared" si="125"/>
        <v>109.01499999999999</v>
      </c>
      <c r="EL18">
        <f t="shared" si="125"/>
        <v>1.5</v>
      </c>
      <c r="EM18" t="e">
        <f t="shared" si="125"/>
        <v>#DIV/0!</v>
      </c>
      <c r="EN18">
        <f t="shared" si="125"/>
        <v>25.427698972224579</v>
      </c>
      <c r="EO18">
        <f t="shared" si="125"/>
        <v>36.22</v>
      </c>
      <c r="EP18">
        <f t="shared" si="125"/>
        <v>25.005714707183952</v>
      </c>
      <c r="EQ18">
        <f t="shared" si="125"/>
        <v>69.728592989289169</v>
      </c>
      <c r="ER18">
        <f t="shared" si="125"/>
        <v>1.5</v>
      </c>
      <c r="ES18">
        <f t="shared" si="125"/>
        <v>1.5</v>
      </c>
      <c r="ET18">
        <f t="shared" si="125"/>
        <v>22.493801577764362</v>
      </c>
      <c r="EV18" s="114" t="s">
        <v>541</v>
      </c>
      <c r="EW18" t="e">
        <f t="shared" ref="EW18:FH18" si="126">EW8*1000/EW$4</f>
        <v>#DIV/0!</v>
      </c>
      <c r="EX18">
        <f t="shared" si="126"/>
        <v>25.461959654178688</v>
      </c>
      <c r="EY18">
        <f t="shared" si="126"/>
        <v>74.813636363636363</v>
      </c>
      <c r="EZ18">
        <f t="shared" si="126"/>
        <v>1.5</v>
      </c>
      <c r="FA18" t="e">
        <f t="shared" si="126"/>
        <v>#DIV/0!</v>
      </c>
      <c r="FB18">
        <f t="shared" si="126"/>
        <v>21.721701681894903</v>
      </c>
      <c r="FC18">
        <f t="shared" si="126"/>
        <v>36.22</v>
      </c>
      <c r="FD18">
        <f t="shared" si="126"/>
        <v>25.05165733900456</v>
      </c>
      <c r="FE18">
        <f t="shared" si="126"/>
        <v>70.08325634057968</v>
      </c>
      <c r="FF18">
        <f t="shared" si="126"/>
        <v>1.5</v>
      </c>
      <c r="FG18">
        <f t="shared" si="126"/>
        <v>1.5</v>
      </c>
      <c r="FH18">
        <f t="shared" si="126"/>
        <v>22.419179875133587</v>
      </c>
      <c r="FJ18" s="114" t="s">
        <v>541</v>
      </c>
      <c r="FK18" t="e">
        <f t="shared" ref="FK18:FV18" si="127">FK8*1000/FK$4</f>
        <v>#DIV/0!</v>
      </c>
      <c r="FL18">
        <f t="shared" si="127"/>
        <v>25.556808621137368</v>
      </c>
      <c r="FM18">
        <f t="shared" si="127"/>
        <v>52.159460500963398</v>
      </c>
      <c r="FN18">
        <f t="shared" si="127"/>
        <v>1.5</v>
      </c>
      <c r="FO18" t="e">
        <f t="shared" si="127"/>
        <v>#DIV/0!</v>
      </c>
      <c r="FP18">
        <f t="shared" si="127"/>
        <v>21.605409696453556</v>
      </c>
      <c r="FQ18">
        <f t="shared" si="127"/>
        <v>36.22</v>
      </c>
      <c r="FR18">
        <f t="shared" si="127"/>
        <v>25.095815362963638</v>
      </c>
      <c r="FS18">
        <f t="shared" si="127"/>
        <v>68.542860572942502</v>
      </c>
      <c r="FT18">
        <f t="shared" si="127"/>
        <v>1.5</v>
      </c>
      <c r="FU18">
        <f t="shared" si="127"/>
        <v>1.5</v>
      </c>
      <c r="FV18">
        <f t="shared" si="127"/>
        <v>22.350304640398701</v>
      </c>
      <c r="FX18" s="114" t="s">
        <v>541</v>
      </c>
      <c r="FY18" t="e">
        <f t="shared" ref="FY18:GJ18" si="128">FY8*1000/FY$4</f>
        <v>#DIV/0!</v>
      </c>
      <c r="FZ18">
        <f t="shared" si="128"/>
        <v>24.691013257575758</v>
      </c>
      <c r="GA18">
        <f t="shared" si="128"/>
        <v>79.747049709489986</v>
      </c>
      <c r="GB18">
        <f t="shared" si="128"/>
        <v>1.5</v>
      </c>
      <c r="GC18" t="e">
        <f t="shared" si="128"/>
        <v>#DIV/0!</v>
      </c>
      <c r="GD18">
        <f t="shared" si="128"/>
        <v>20.456575111744506</v>
      </c>
      <c r="GE18">
        <f t="shared" si="128"/>
        <v>36.22</v>
      </c>
      <c r="GF18">
        <f t="shared" si="128"/>
        <v>25.074373504163262</v>
      </c>
      <c r="GG18">
        <f t="shared" si="128"/>
        <v>69.816456299992637</v>
      </c>
      <c r="GH18">
        <f t="shared" si="128"/>
        <v>1.5</v>
      </c>
      <c r="GI18">
        <f t="shared" si="128"/>
        <v>1.5</v>
      </c>
      <c r="GJ18">
        <f t="shared" si="128"/>
        <v>22.210875726154928</v>
      </c>
      <c r="GL18" s="114" t="s">
        <v>541</v>
      </c>
      <c r="GM18">
        <f t="shared" ref="GM18:GX18" si="129">GM8*1000/GM$4</f>
        <v>36.22</v>
      </c>
      <c r="GN18">
        <f t="shared" si="129"/>
        <v>25.929396990609792</v>
      </c>
      <c r="GO18">
        <f t="shared" si="129"/>
        <v>48.252304687500001</v>
      </c>
      <c r="GP18">
        <f t="shared" si="129"/>
        <v>1.5</v>
      </c>
      <c r="GQ18" t="e">
        <f t="shared" si="129"/>
        <v>#DIV/0!</v>
      </c>
      <c r="GR18">
        <f t="shared" si="129"/>
        <v>24.864764128595592</v>
      </c>
      <c r="GS18">
        <f t="shared" si="129"/>
        <v>36.22</v>
      </c>
      <c r="GT18">
        <f t="shared" si="129"/>
        <v>25.125302810779491</v>
      </c>
      <c r="GU18">
        <f t="shared" si="129"/>
        <v>67.964835312269372</v>
      </c>
      <c r="GV18">
        <f t="shared" si="129"/>
        <v>1.5</v>
      </c>
      <c r="GW18">
        <f t="shared" si="129"/>
        <v>1.5</v>
      </c>
      <c r="GX18">
        <f t="shared" si="129"/>
        <v>22.38558177873027</v>
      </c>
      <c r="GZ18" s="114" t="s">
        <v>541</v>
      </c>
      <c r="HA18" t="e">
        <f t="shared" ref="HA18:HL18" si="130">HA8*1000/HA$4</f>
        <v>#DIV/0!</v>
      </c>
      <c r="HB18">
        <f t="shared" si="130"/>
        <v>26.009914642153642</v>
      </c>
      <c r="HC18">
        <f t="shared" si="130"/>
        <v>67.509636963696366</v>
      </c>
      <c r="HD18">
        <f t="shared" si="130"/>
        <v>1.5</v>
      </c>
      <c r="HE18" t="e">
        <f t="shared" si="130"/>
        <v>#DIV/0!</v>
      </c>
      <c r="HF18">
        <f t="shared" si="130"/>
        <v>17.337020675484784</v>
      </c>
      <c r="HG18">
        <f t="shared" si="130"/>
        <v>36.22</v>
      </c>
      <c r="HH18">
        <f t="shared" si="130"/>
        <v>25.168482129121585</v>
      </c>
      <c r="HI18">
        <f t="shared" si="130"/>
        <v>67.93867349519472</v>
      </c>
      <c r="HJ18">
        <f t="shared" si="130"/>
        <v>1.5</v>
      </c>
      <c r="HK18">
        <f t="shared" si="130"/>
        <v>1.5</v>
      </c>
      <c r="HL18">
        <f t="shared" si="130"/>
        <v>22.057992708789026</v>
      </c>
      <c r="HN18" s="114" t="s">
        <v>541</v>
      </c>
      <c r="HO18">
        <f t="shared" ref="HO18:HZ18" si="131">HO8*1000/HO$4</f>
        <v>36.22</v>
      </c>
      <c r="HP18">
        <f t="shared" si="131"/>
        <v>26.004386584982718</v>
      </c>
      <c r="HQ18">
        <f t="shared" si="131"/>
        <v>85.801848739495796</v>
      </c>
      <c r="HR18">
        <f t="shared" si="131"/>
        <v>1.5</v>
      </c>
      <c r="HS18" t="e">
        <f t="shared" si="131"/>
        <v>#DIV/0!</v>
      </c>
      <c r="HT18">
        <f t="shared" si="131"/>
        <v>22.60470579968144</v>
      </c>
      <c r="HU18">
        <f t="shared" si="131"/>
        <v>36.22</v>
      </c>
      <c r="HV18">
        <f t="shared" si="131"/>
        <v>25.231553929121731</v>
      </c>
      <c r="HW18">
        <f t="shared" si="131"/>
        <v>69.188654592496732</v>
      </c>
      <c r="HX18">
        <f t="shared" si="131"/>
        <v>1.5</v>
      </c>
      <c r="HY18">
        <f t="shared" si="131"/>
        <v>1.5</v>
      </c>
      <c r="HZ18">
        <f t="shared" si="131"/>
        <v>22.102644120584177</v>
      </c>
      <c r="IB18" s="114" t="s">
        <v>541</v>
      </c>
      <c r="IC18" t="e">
        <f t="shared" ref="IC18:IN18" si="132">IC8*1000/IC$4</f>
        <v>#DIV/0!</v>
      </c>
      <c r="ID18">
        <f t="shared" si="132"/>
        <v>24.749658858312483</v>
      </c>
      <c r="IE18">
        <f t="shared" si="132"/>
        <v>66.513599999999997</v>
      </c>
      <c r="IF18">
        <f t="shared" si="132"/>
        <v>1.5</v>
      </c>
      <c r="IG18" t="e">
        <f t="shared" si="132"/>
        <v>#DIV/0!</v>
      </c>
      <c r="IH18">
        <f t="shared" si="132"/>
        <v>18.157811205303076</v>
      </c>
      <c r="II18">
        <f t="shared" si="132"/>
        <v>36.22</v>
      </c>
      <c r="IJ18">
        <f t="shared" si="132"/>
        <v>25.207683654961869</v>
      </c>
      <c r="IK18">
        <f t="shared" si="132"/>
        <v>69.057751803590392</v>
      </c>
      <c r="IL18">
        <f t="shared" si="132"/>
        <v>1.5</v>
      </c>
      <c r="IM18">
        <f t="shared" si="132"/>
        <v>1.5</v>
      </c>
      <c r="IN18">
        <f t="shared" si="132"/>
        <v>21.879253095109185</v>
      </c>
      <c r="IP18" s="114" t="s">
        <v>541</v>
      </c>
      <c r="IQ18" t="e">
        <f t="shared" ref="IQ18:JB18" si="133">IQ8*1000/IQ$4</f>
        <v>#DIV/0!</v>
      </c>
      <c r="IR18">
        <f t="shared" si="133"/>
        <v>25.158603585388871</v>
      </c>
      <c r="IS18">
        <f t="shared" si="133"/>
        <v>103.31666666666669</v>
      </c>
      <c r="IT18">
        <f t="shared" si="133"/>
        <v>1.5</v>
      </c>
      <c r="IU18" t="e">
        <f t="shared" si="133"/>
        <v>#DIV/0!</v>
      </c>
      <c r="IV18">
        <f t="shared" si="133"/>
        <v>25.849195681773978</v>
      </c>
      <c r="IW18">
        <f t="shared" si="133"/>
        <v>36.22</v>
      </c>
      <c r="IX18">
        <f t="shared" si="133"/>
        <v>25.205714911355862</v>
      </c>
      <c r="IY18">
        <f t="shared" si="133"/>
        <v>70.410367963042532</v>
      </c>
      <c r="IZ18">
        <f t="shared" si="133"/>
        <v>1.5</v>
      </c>
      <c r="JA18">
        <f t="shared" si="133"/>
        <v>1.5</v>
      </c>
      <c r="JB18">
        <f t="shared" si="133"/>
        <v>22.021315064107025</v>
      </c>
      <c r="LV18" s="114" t="s">
        <v>1470</v>
      </c>
      <c r="LW18" s="31">
        <f t="shared" ref="LW18:MH18" si="134">LW8*1000/LW$4</f>
        <v>36.22</v>
      </c>
      <c r="LX18" s="18">
        <f t="shared" si="134"/>
        <v>27.005212947189101</v>
      </c>
      <c r="LY18" s="18">
        <f t="shared" si="134"/>
        <v>120.00777777777775</v>
      </c>
      <c r="LZ18" s="18">
        <f t="shared" si="134"/>
        <v>1.5</v>
      </c>
      <c r="MA18" s="18">
        <v>0</v>
      </c>
      <c r="MB18" s="19">
        <f t="shared" si="134"/>
        <v>27.245989400803484</v>
      </c>
      <c r="MC18" s="28">
        <f t="shared" si="134"/>
        <v>36.22</v>
      </c>
      <c r="MD18" s="18">
        <f t="shared" si="134"/>
        <v>25.285143867327371</v>
      </c>
      <c r="ME18" s="18">
        <f t="shared" si="134"/>
        <v>71.319398460249687</v>
      </c>
      <c r="MF18" s="51">
        <f t="shared" si="134"/>
        <v>1.5</v>
      </c>
      <c r="MG18" s="143">
        <f t="shared" si="134"/>
        <v>1.5</v>
      </c>
      <c r="MH18" s="19">
        <f t="shared" si="134"/>
        <v>22.375989423550475</v>
      </c>
    </row>
    <row r="19" spans="2:347" x14ac:dyDescent="0.3">
      <c r="B19" s="114" t="s">
        <v>542</v>
      </c>
      <c r="C19" t="e">
        <f t="shared" si="49"/>
        <v>#DIV/0!</v>
      </c>
      <c r="D19">
        <f t="shared" si="49"/>
        <v>25.904238805970174</v>
      </c>
      <c r="E19">
        <f t="shared" si="49"/>
        <v>49.741875000000086</v>
      </c>
      <c r="F19">
        <f t="shared" si="49"/>
        <v>1.8200000000000287</v>
      </c>
      <c r="G19">
        <f t="shared" si="50"/>
        <v>21.440516113965469</v>
      </c>
      <c r="H19" t="e">
        <f t="shared" si="50"/>
        <v>#DIV/0!</v>
      </c>
      <c r="I19">
        <f t="shared" si="50"/>
        <v>25.904238805970174</v>
      </c>
      <c r="J19">
        <f t="shared" si="50"/>
        <v>49.741875000000086</v>
      </c>
      <c r="K19">
        <f t="shared" si="50"/>
        <v>1.8200000000000287</v>
      </c>
      <c r="L19">
        <f t="shared" si="50"/>
        <v>21.440516113965469</v>
      </c>
      <c r="N19" s="114" t="s">
        <v>542</v>
      </c>
      <c r="O19" t="e">
        <f t="shared" ref="O19:X19" si="135">O9*1000/O$4</f>
        <v>#DIV/0!</v>
      </c>
      <c r="P19">
        <f t="shared" si="135"/>
        <v>25.82217303569179</v>
      </c>
      <c r="Q19">
        <f t="shared" si="135"/>
        <v>48.730000000000416</v>
      </c>
      <c r="R19">
        <f t="shared" si="135"/>
        <v>1.8200000000000285</v>
      </c>
      <c r="S19">
        <f t="shared" si="135"/>
        <v>20.429608658008704</v>
      </c>
      <c r="T19" t="e">
        <f t="shared" si="135"/>
        <v>#DIV/0!</v>
      </c>
      <c r="U19">
        <f t="shared" si="135"/>
        <v>25.871131067467214</v>
      </c>
      <c r="V19">
        <f t="shared" si="135"/>
        <v>49.418936170212966</v>
      </c>
      <c r="W19">
        <f t="shared" si="135"/>
        <v>1.8200000000000287</v>
      </c>
      <c r="X19">
        <f t="shared" si="135"/>
        <v>21.033375409721774</v>
      </c>
      <c r="Z19" s="114" t="s">
        <v>542</v>
      </c>
      <c r="AA19">
        <f t="shared" ref="AA19:AJ19" si="136">AA9*1000/AA$4</f>
        <v>32.92333</v>
      </c>
      <c r="AB19">
        <f t="shared" si="136"/>
        <v>25.991372402669629</v>
      </c>
      <c r="AC19">
        <f t="shared" si="136"/>
        <v>48.358325789473675</v>
      </c>
      <c r="AD19">
        <f t="shared" si="136"/>
        <v>1.8200000000000003</v>
      </c>
      <c r="AE19">
        <f t="shared" si="136"/>
        <v>23.507410726510653</v>
      </c>
      <c r="AF19">
        <f t="shared" si="136"/>
        <v>32.92333</v>
      </c>
      <c r="AG19">
        <f t="shared" si="136"/>
        <v>25.911318215333054</v>
      </c>
      <c r="AH19">
        <f t="shared" si="136"/>
        <v>49.111637121212112</v>
      </c>
      <c r="AI19">
        <f t="shared" si="136"/>
        <v>1.82</v>
      </c>
      <c r="AJ19">
        <f t="shared" si="136"/>
        <v>21.858658867955253</v>
      </c>
      <c r="AL19" s="114" t="s">
        <v>542</v>
      </c>
      <c r="AM19" t="e">
        <f t="shared" ref="AM19:AV19" si="137">AM9*1000/AM$4</f>
        <v>#DIV/0!</v>
      </c>
      <c r="AN19">
        <f t="shared" si="137"/>
        <v>16.370960363771342</v>
      </c>
      <c r="AO19">
        <f t="shared" si="137"/>
        <v>48.461489310344824</v>
      </c>
      <c r="AP19">
        <f t="shared" si="137"/>
        <v>1.82</v>
      </c>
      <c r="AQ19">
        <f t="shared" si="137"/>
        <v>17.794696235147374</v>
      </c>
      <c r="AR19">
        <f t="shared" si="137"/>
        <v>32.92333</v>
      </c>
      <c r="AS19">
        <f t="shared" si="137"/>
        <v>22.8598716593057</v>
      </c>
      <c r="AT19">
        <f t="shared" si="137"/>
        <v>48.913170947368421</v>
      </c>
      <c r="AU19">
        <f t="shared" si="137"/>
        <v>1.82</v>
      </c>
      <c r="AV19">
        <f t="shared" si="137"/>
        <v>20.795450974822245</v>
      </c>
      <c r="AX19" s="114" t="s">
        <v>542</v>
      </c>
      <c r="AY19" t="e">
        <f t="shared" ref="AY19:BH19" si="138">AY9*1000/AY$4</f>
        <v>#DIV/0!</v>
      </c>
      <c r="AZ19">
        <f t="shared" si="138"/>
        <v>26.416648368244413</v>
      </c>
      <c r="BA19">
        <f t="shared" si="138"/>
        <v>48.786157222222215</v>
      </c>
      <c r="BB19">
        <f t="shared" si="138"/>
        <v>1.82</v>
      </c>
      <c r="BC19">
        <f t="shared" si="138"/>
        <v>22.888232662634717</v>
      </c>
      <c r="BD19">
        <f t="shared" si="138"/>
        <v>32.92333</v>
      </c>
      <c r="BE19">
        <f t="shared" si="138"/>
        <v>23.465410178504587</v>
      </c>
      <c r="BF19">
        <f t="shared" si="138"/>
        <v>48.878266412213733</v>
      </c>
      <c r="BG19">
        <f t="shared" si="138"/>
        <v>1.82</v>
      </c>
      <c r="BH19">
        <f t="shared" si="138"/>
        <v>21.174942917340388</v>
      </c>
      <c r="BJ19" s="114" t="s">
        <v>542</v>
      </c>
      <c r="BK19" t="e">
        <f t="shared" ref="BK19:BT19" si="139">BK9*1000/BK$4</f>
        <v>#DIV/0!</v>
      </c>
      <c r="BL19">
        <f t="shared" si="139"/>
        <v>26.05779668625734</v>
      </c>
      <c r="BM19">
        <f t="shared" si="139"/>
        <v>50.735122580645161</v>
      </c>
      <c r="BN19">
        <f t="shared" si="139"/>
        <v>1.82</v>
      </c>
      <c r="BO19">
        <f t="shared" si="139"/>
        <v>21.499783843456079</v>
      </c>
      <c r="BP19">
        <f t="shared" si="139"/>
        <v>32.92333</v>
      </c>
      <c r="BQ19">
        <f t="shared" si="139"/>
        <v>23.818271611349399</v>
      </c>
      <c r="BR19">
        <f t="shared" si="139"/>
        <v>49.233590740740738</v>
      </c>
      <c r="BS19">
        <f t="shared" si="139"/>
        <v>1.8200000000000003</v>
      </c>
      <c r="BT19">
        <f t="shared" si="139"/>
        <v>21.223652167588948</v>
      </c>
      <c r="BV19" s="114" t="s">
        <v>542</v>
      </c>
      <c r="BW19">
        <f t="shared" ref="BW19:CF19" si="140">BW9*1000/BW$4</f>
        <v>32.92333</v>
      </c>
      <c r="BX19">
        <f t="shared" si="140"/>
        <v>26.110326742081448</v>
      </c>
      <c r="BY19">
        <f t="shared" si="140"/>
        <v>51.912617692307691</v>
      </c>
      <c r="BZ19">
        <f t="shared" si="140"/>
        <v>1.82</v>
      </c>
      <c r="CA19">
        <f t="shared" si="140"/>
        <v>20.880669473848069</v>
      </c>
      <c r="CB19">
        <f t="shared" si="140"/>
        <v>32.92333</v>
      </c>
      <c r="CC19">
        <f t="shared" si="140"/>
        <v>24.084925941311834</v>
      </c>
      <c r="CD19">
        <f t="shared" si="140"/>
        <v>49.432604171428565</v>
      </c>
      <c r="CE19">
        <f t="shared" si="140"/>
        <v>1.8200000000000003</v>
      </c>
      <c r="CF19">
        <f t="shared" si="140"/>
        <v>21.177995530424692</v>
      </c>
      <c r="CH19" s="114" t="s">
        <v>542</v>
      </c>
      <c r="CI19">
        <f t="shared" ref="CI19:CR19" si="141">CI9*1000/CI$4</f>
        <v>32.92333</v>
      </c>
      <c r="CJ19">
        <f t="shared" si="141"/>
        <v>26.010155557333327</v>
      </c>
      <c r="CK19">
        <f t="shared" si="141"/>
        <v>51.781539447236185</v>
      </c>
      <c r="CL19" t="e">
        <f t="shared" si="141"/>
        <v>#DIV/0!</v>
      </c>
      <c r="CM19">
        <f t="shared" si="141"/>
        <v>28.647833992571957</v>
      </c>
      <c r="CN19">
        <f t="shared" si="141"/>
        <v>32.92333</v>
      </c>
      <c r="CO19">
        <f t="shared" si="141"/>
        <v>24.322845158445595</v>
      </c>
      <c r="CP19">
        <f t="shared" si="141"/>
        <v>49.760861278089891</v>
      </c>
      <c r="CQ19">
        <f t="shared" si="141"/>
        <v>1.8200000000000003</v>
      </c>
      <c r="CR19">
        <f t="shared" si="141"/>
        <v>21.927854881858934</v>
      </c>
      <c r="CT19" s="114" t="s">
        <v>542</v>
      </c>
      <c r="CU19" t="e">
        <f t="shared" ref="CU19:DD19" si="142">CU9*1000/CU$4</f>
        <v>#DIV/0!</v>
      </c>
      <c r="CV19">
        <f t="shared" si="142"/>
        <v>25.687257999999996</v>
      </c>
      <c r="CW19">
        <f t="shared" si="142"/>
        <v>48.69577818181817</v>
      </c>
      <c r="CX19">
        <f t="shared" si="142"/>
        <v>1.82</v>
      </c>
      <c r="CY19">
        <f t="shared" si="142"/>
        <v>21.061557450793433</v>
      </c>
      <c r="CZ19">
        <f t="shared" si="142"/>
        <v>32.92333</v>
      </c>
      <c r="DA19">
        <f t="shared" si="142"/>
        <v>24.48629860953508</v>
      </c>
      <c r="DB19">
        <f t="shared" si="142"/>
        <v>49.656917807351078</v>
      </c>
      <c r="DC19">
        <f t="shared" si="142"/>
        <v>1.8200000000000003</v>
      </c>
      <c r="DD19">
        <f t="shared" si="142"/>
        <v>21.823568211527427</v>
      </c>
      <c r="DF19" s="114" t="s">
        <v>542</v>
      </c>
      <c r="DG19" t="e">
        <f t="shared" ref="DG19:DP19" si="143">DG9*1000/DG$4</f>
        <v>#DIV/0!</v>
      </c>
      <c r="DH19">
        <f t="shared" si="143"/>
        <v>26.219099948627619</v>
      </c>
      <c r="DI19">
        <f t="shared" si="143"/>
        <v>52.687645714285715</v>
      </c>
      <c r="DJ19">
        <f t="shared" si="143"/>
        <v>1.8200000000000003</v>
      </c>
      <c r="DK19">
        <f t="shared" si="143"/>
        <v>1.82</v>
      </c>
      <c r="DL19">
        <f t="shared" si="143"/>
        <v>15.994418978941123</v>
      </c>
      <c r="DM19">
        <f t="shared" si="143"/>
        <v>32.92333</v>
      </c>
      <c r="DN19">
        <f t="shared" si="143"/>
        <v>24.613240281827963</v>
      </c>
      <c r="DO19">
        <f t="shared" si="143"/>
        <v>49.834132207637232</v>
      </c>
      <c r="DP19">
        <f t="shared" si="143"/>
        <v>1.8200000000000003</v>
      </c>
      <c r="DQ19">
        <f t="shared" ref="DQ19:DR19" si="144">DQ9*1000/DQ$4</f>
        <v>1.82</v>
      </c>
      <c r="DR19">
        <f t="shared" si="144"/>
        <v>21.243218086389685</v>
      </c>
      <c r="DT19" s="114" t="s">
        <v>542</v>
      </c>
      <c r="DU19" t="e">
        <f t="shared" ref="DU19:EF19" si="145">DU9*1000/DU$4</f>
        <v>#DIV/0!</v>
      </c>
      <c r="DV19">
        <f t="shared" si="145"/>
        <v>27.211825265700483</v>
      </c>
      <c r="DW19">
        <f t="shared" si="145"/>
        <v>50.187601964285712</v>
      </c>
      <c r="DX19">
        <f t="shared" si="145"/>
        <v>1.82</v>
      </c>
      <c r="DY19" t="e">
        <f t="shared" si="145"/>
        <v>#DIV/0!</v>
      </c>
      <c r="DZ19">
        <f t="shared" si="145"/>
        <v>19.620529843773355</v>
      </c>
      <c r="EA19">
        <f t="shared" si="145"/>
        <v>32.92333</v>
      </c>
      <c r="EB19">
        <f t="shared" si="145"/>
        <v>24.801047635892058</v>
      </c>
      <c r="EC19">
        <f t="shared" si="145"/>
        <v>49.875804431578956</v>
      </c>
      <c r="ED19">
        <f t="shared" si="145"/>
        <v>1.82</v>
      </c>
      <c r="EE19">
        <f t="shared" si="145"/>
        <v>1.82</v>
      </c>
      <c r="EF19">
        <f t="shared" si="145"/>
        <v>21.097362144133726</v>
      </c>
      <c r="EH19" s="114" t="s">
        <v>542</v>
      </c>
      <c r="EI19" t="e">
        <f t="shared" ref="EI19:ET19" si="146">EI9*1000/EI$4</f>
        <v>#DIV/0!</v>
      </c>
      <c r="EJ19">
        <f t="shared" si="146"/>
        <v>26.253397666382778</v>
      </c>
      <c r="EK19">
        <f t="shared" si="146"/>
        <v>54.604908636363632</v>
      </c>
      <c r="EL19">
        <f t="shared" si="146"/>
        <v>1.82</v>
      </c>
      <c r="EM19" t="e">
        <f t="shared" si="146"/>
        <v>#DIV/0!</v>
      </c>
      <c r="EN19">
        <f t="shared" si="146"/>
        <v>22.329850936040099</v>
      </c>
      <c r="EO19">
        <f t="shared" si="146"/>
        <v>32.92333</v>
      </c>
      <c r="EP19">
        <f t="shared" si="146"/>
        <v>24.91110133943058</v>
      </c>
      <c r="EQ19">
        <f t="shared" si="146"/>
        <v>50.230372127555995</v>
      </c>
      <c r="ER19">
        <f t="shared" si="146"/>
        <v>1.8199999999999996</v>
      </c>
      <c r="ES19">
        <f t="shared" si="146"/>
        <v>1.82</v>
      </c>
      <c r="ET19">
        <f t="shared" si="146"/>
        <v>21.187707462501628</v>
      </c>
      <c r="EV19" s="114" t="s">
        <v>542</v>
      </c>
      <c r="EW19" t="e">
        <f t="shared" ref="EW19:FH19" si="147">EW9*1000/EW$4</f>
        <v>#DIV/0!</v>
      </c>
      <c r="EX19">
        <f t="shared" si="147"/>
        <v>26.342140547550422</v>
      </c>
      <c r="EY19">
        <f t="shared" si="147"/>
        <v>51.457239090909091</v>
      </c>
      <c r="EZ19">
        <f t="shared" si="147"/>
        <v>1.82</v>
      </c>
      <c r="FA19" t="e">
        <f t="shared" si="147"/>
        <v>#DIV/0!</v>
      </c>
      <c r="FB19">
        <f t="shared" si="147"/>
        <v>21.3766589681662</v>
      </c>
      <c r="FC19">
        <f t="shared" si="147"/>
        <v>32.92333</v>
      </c>
      <c r="FD19">
        <f t="shared" si="147"/>
        <v>25.055203116102437</v>
      </c>
      <c r="FE19">
        <f t="shared" si="147"/>
        <v>50.315941653079719</v>
      </c>
      <c r="FF19">
        <f t="shared" si="147"/>
        <v>1.8199999999999998</v>
      </c>
      <c r="FG19">
        <f t="shared" si="147"/>
        <v>1.82</v>
      </c>
      <c r="FH19">
        <f t="shared" si="147"/>
        <v>21.20596919669272</v>
      </c>
      <c r="FJ19" s="114" t="s">
        <v>542</v>
      </c>
      <c r="FK19" t="e">
        <f t="shared" ref="FK19:FV19" si="148">FK9*1000/FK$4</f>
        <v>#DIV/0!</v>
      </c>
      <c r="FL19">
        <f t="shared" si="148"/>
        <v>25.885350359214058</v>
      </c>
      <c r="FM19">
        <f t="shared" si="148"/>
        <v>50.211270886319838</v>
      </c>
      <c r="FN19">
        <f t="shared" si="148"/>
        <v>1.82</v>
      </c>
      <c r="FO19" t="e">
        <f t="shared" si="148"/>
        <v>#DIV/0!</v>
      </c>
      <c r="FP19">
        <f t="shared" si="148"/>
        <v>21.788193435123791</v>
      </c>
      <c r="FQ19">
        <f t="shared" si="148"/>
        <v>32.92333</v>
      </c>
      <c r="FR19">
        <f t="shared" si="148"/>
        <v>25.127770806510185</v>
      </c>
      <c r="FS19">
        <f t="shared" si="148"/>
        <v>50.306946102831589</v>
      </c>
      <c r="FT19">
        <f t="shared" si="148"/>
        <v>1.8199999999999998</v>
      </c>
      <c r="FU19">
        <f t="shared" si="148"/>
        <v>1.82</v>
      </c>
      <c r="FV19">
        <f t="shared" si="148"/>
        <v>21.255247029846206</v>
      </c>
      <c r="FX19" s="114" t="s">
        <v>542</v>
      </c>
      <c r="FY19" t="e">
        <f t="shared" ref="FY19:GJ19" si="149">FY9*1000/FY$4</f>
        <v>#DIV/0!</v>
      </c>
      <c r="FZ19">
        <f t="shared" si="149"/>
        <v>25.652537514880947</v>
      </c>
      <c r="GA19">
        <f t="shared" si="149"/>
        <v>56.245983447385406</v>
      </c>
      <c r="GB19">
        <f t="shared" si="149"/>
        <v>1.8199999999999998</v>
      </c>
      <c r="GC19" t="e">
        <f t="shared" si="149"/>
        <v>#DIV/0!</v>
      </c>
      <c r="GD19">
        <f t="shared" si="149"/>
        <v>18.693483557038284</v>
      </c>
      <c r="GE19">
        <f t="shared" si="149"/>
        <v>32.92333</v>
      </c>
      <c r="GF19">
        <f t="shared" si="149"/>
        <v>25.155567039568908</v>
      </c>
      <c r="GG19">
        <f t="shared" si="149"/>
        <v>50.982044719307261</v>
      </c>
      <c r="GH19">
        <f t="shared" si="149"/>
        <v>1.8200000000000003</v>
      </c>
      <c r="GI19">
        <f t="shared" si="149"/>
        <v>1.82</v>
      </c>
      <c r="GJ19">
        <f t="shared" si="149"/>
        <v>21.066633030772746</v>
      </c>
      <c r="GL19" s="114" t="s">
        <v>542</v>
      </c>
      <c r="GM19">
        <f t="shared" ref="GM19:GX19" si="150">GM9*1000/GM$4</f>
        <v>32.92333</v>
      </c>
      <c r="GN19">
        <f t="shared" si="150"/>
        <v>26.135014423577324</v>
      </c>
      <c r="GO19">
        <f t="shared" si="150"/>
        <v>50.506939414062501</v>
      </c>
      <c r="GP19">
        <f t="shared" si="150"/>
        <v>1.82</v>
      </c>
      <c r="GQ19" t="e">
        <f t="shared" si="150"/>
        <v>#DIV/0!</v>
      </c>
      <c r="GR19">
        <f t="shared" si="150"/>
        <v>24.794372584771569</v>
      </c>
      <c r="GS19">
        <f t="shared" si="150"/>
        <v>32.92333</v>
      </c>
      <c r="GT19">
        <f t="shared" si="150"/>
        <v>25.213907631289892</v>
      </c>
      <c r="GU19">
        <f t="shared" si="150"/>
        <v>50.941249469376814</v>
      </c>
      <c r="GV19">
        <f t="shared" si="150"/>
        <v>1.8200000000000003</v>
      </c>
      <c r="GW19">
        <f t="shared" si="150"/>
        <v>1.82</v>
      </c>
      <c r="GX19">
        <f t="shared" si="150"/>
        <v>21.312030938955004</v>
      </c>
      <c r="GZ19" s="114" t="s">
        <v>542</v>
      </c>
      <c r="HA19" t="e">
        <f t="shared" ref="HA19:HL19" si="151">HA9*1000/HA$4</f>
        <v>#DIV/0!</v>
      </c>
      <c r="HB19">
        <f t="shared" si="151"/>
        <v>26.354395055810897</v>
      </c>
      <c r="HC19">
        <f t="shared" si="151"/>
        <v>51.37493832783278</v>
      </c>
      <c r="HD19">
        <f t="shared" si="151"/>
        <v>1.82</v>
      </c>
      <c r="HE19" t="e">
        <f t="shared" si="151"/>
        <v>#DIV/0!</v>
      </c>
      <c r="HF19">
        <f t="shared" si="151"/>
        <v>16.708587215230512</v>
      </c>
      <c r="HG19">
        <f t="shared" si="151"/>
        <v>32.92333</v>
      </c>
      <c r="HH19">
        <f t="shared" si="151"/>
        <v>25.269576646582234</v>
      </c>
      <c r="HI19">
        <f t="shared" si="151"/>
        <v>50.966175061962588</v>
      </c>
      <c r="HJ19">
        <f t="shared" si="151"/>
        <v>1.8200000000000003</v>
      </c>
      <c r="HK19">
        <f t="shared" si="151"/>
        <v>1.82</v>
      </c>
      <c r="HL19">
        <f t="shared" si="151"/>
        <v>21.013324472470476</v>
      </c>
      <c r="HN19" s="114" t="s">
        <v>542</v>
      </c>
      <c r="HO19">
        <f t="shared" ref="HO19:HZ19" si="152">HO9*1000/HO$4</f>
        <v>32.92333</v>
      </c>
      <c r="HP19">
        <f t="shared" si="152"/>
        <v>26.828993028589373</v>
      </c>
      <c r="HQ19">
        <f t="shared" si="152"/>
        <v>52.763392268907559</v>
      </c>
      <c r="HR19">
        <f t="shared" si="152"/>
        <v>1.82</v>
      </c>
      <c r="HS19" t="e">
        <f t="shared" si="152"/>
        <v>#DIV/0!</v>
      </c>
      <c r="HT19">
        <f t="shared" si="152"/>
        <v>21.179636420875102</v>
      </c>
      <c r="HU19">
        <f t="shared" si="152"/>
        <v>32.92333</v>
      </c>
      <c r="HV19">
        <f t="shared" si="152"/>
        <v>25.387408814566797</v>
      </c>
      <c r="HW19">
        <f t="shared" si="152"/>
        <v>51.091935880277575</v>
      </c>
      <c r="HX19">
        <f t="shared" si="152"/>
        <v>1.8200000000000003</v>
      </c>
      <c r="HY19">
        <f t="shared" si="152"/>
        <v>1.82</v>
      </c>
      <c r="HZ19">
        <f t="shared" si="152"/>
        <v>21.027016666411598</v>
      </c>
      <c r="IB19" s="114" t="s">
        <v>542</v>
      </c>
      <c r="IC19" t="e">
        <f t="shared" ref="IC19:IN19" si="153">IC9*1000/IC$4</f>
        <v>#DIV/0!</v>
      </c>
      <c r="ID19">
        <f t="shared" si="153"/>
        <v>26.514376043893567</v>
      </c>
      <c r="IE19">
        <f t="shared" si="153"/>
        <v>49.560887199999996</v>
      </c>
      <c r="IF19">
        <f t="shared" si="153"/>
        <v>1.8199999999999998</v>
      </c>
      <c r="IG19" t="e">
        <f t="shared" si="153"/>
        <v>#DIV/0!</v>
      </c>
      <c r="IH19">
        <f t="shared" si="153"/>
        <v>18.324278107591304</v>
      </c>
      <c r="II19">
        <f t="shared" si="153"/>
        <v>32.92333</v>
      </c>
      <c r="IJ19">
        <f t="shared" si="153"/>
        <v>25.443232205098745</v>
      </c>
      <c r="IK19">
        <f t="shared" si="153"/>
        <v>51.017014589788076</v>
      </c>
      <c r="IL19">
        <f t="shared" si="153"/>
        <v>1.82</v>
      </c>
      <c r="IM19">
        <f t="shared" si="153"/>
        <v>1.82</v>
      </c>
      <c r="IN19">
        <f t="shared" si="153"/>
        <v>20.873963913300852</v>
      </c>
      <c r="IP19" s="114" t="s">
        <v>542</v>
      </c>
      <c r="IQ19" t="e">
        <f t="shared" ref="IQ19:JB19" si="154">IQ9*1000/IQ$4</f>
        <v>#DIV/0!</v>
      </c>
      <c r="IR19">
        <f t="shared" si="154"/>
        <v>26.011951415285079</v>
      </c>
      <c r="IS19">
        <f t="shared" si="154"/>
        <v>55.803387619047619</v>
      </c>
      <c r="IT19">
        <f t="shared" si="154"/>
        <v>1.82</v>
      </c>
      <c r="IU19" t="e">
        <f t="shared" si="154"/>
        <v>#DIV/0!</v>
      </c>
      <c r="IV19">
        <f t="shared" si="154"/>
        <v>23.134712842832137</v>
      </c>
      <c r="IW19">
        <f t="shared" si="154"/>
        <v>32.92333</v>
      </c>
      <c r="IX19">
        <f t="shared" si="154"/>
        <v>25.466045178234488</v>
      </c>
      <c r="IY19">
        <f t="shared" si="154"/>
        <v>51.205990963687192</v>
      </c>
      <c r="IZ19">
        <f t="shared" si="154"/>
        <v>1.82</v>
      </c>
      <c r="JA19">
        <f t="shared" si="154"/>
        <v>1.82</v>
      </c>
      <c r="JB19">
        <f t="shared" si="154"/>
        <v>20.954863431953289</v>
      </c>
      <c r="LV19" s="114" t="s">
        <v>1471</v>
      </c>
      <c r="LW19" s="31">
        <f t="shared" ref="LW19:MH19" si="155">LW9*1000/LW$4</f>
        <v>32.92333</v>
      </c>
      <c r="LX19" s="18">
        <f t="shared" si="155"/>
        <v>27.272217150766604</v>
      </c>
      <c r="LY19" s="18">
        <f t="shared" si="155"/>
        <v>52.867985555555549</v>
      </c>
      <c r="LZ19" s="18">
        <f t="shared" si="155"/>
        <v>1.82</v>
      </c>
      <c r="MA19" s="18">
        <v>0</v>
      </c>
      <c r="MB19" s="19">
        <f t="shared" si="155"/>
        <v>21.477288493888363</v>
      </c>
      <c r="MC19" s="28">
        <f t="shared" si="155"/>
        <v>32.92333</v>
      </c>
      <c r="MD19" s="18">
        <f t="shared" si="155"/>
        <v>25.639476604378419</v>
      </c>
      <c r="ME19" s="18">
        <f t="shared" si="155"/>
        <v>51.362438419163119</v>
      </c>
      <c r="MF19" s="51">
        <f t="shared" si="155"/>
        <v>1.8200000000000003</v>
      </c>
      <c r="MG19" s="143">
        <f t="shared" si="155"/>
        <v>1.82</v>
      </c>
      <c r="MH19" s="19">
        <f t="shared" si="155"/>
        <v>21.153087239695253</v>
      </c>
    </row>
    <row r="20" spans="2:347" ht="15" thickBot="1" x14ac:dyDescent="0.35">
      <c r="B20" s="118" t="s">
        <v>543</v>
      </c>
      <c r="C20" t="e">
        <f t="shared" si="49"/>
        <v>#DIV/0!</v>
      </c>
      <c r="D20">
        <f t="shared" si="49"/>
        <v>35.90871641791049</v>
      </c>
      <c r="E20">
        <f t="shared" si="49"/>
        <v>122.93468750000034</v>
      </c>
      <c r="F20">
        <f t="shared" si="49"/>
        <v>15.486329675461121</v>
      </c>
      <c r="G20">
        <f t="shared" si="50"/>
        <v>36.49255604857543</v>
      </c>
      <c r="H20" t="e">
        <f t="shared" si="50"/>
        <v>#DIV/0!</v>
      </c>
      <c r="I20">
        <f t="shared" si="50"/>
        <v>35.90871641791049</v>
      </c>
      <c r="J20">
        <f t="shared" si="50"/>
        <v>122.93468750000034</v>
      </c>
      <c r="K20">
        <f t="shared" si="50"/>
        <v>15.486329675461121</v>
      </c>
      <c r="L20">
        <f t="shared" si="50"/>
        <v>36.49255604857543</v>
      </c>
      <c r="N20" s="118" t="s">
        <v>543</v>
      </c>
      <c r="O20" t="e">
        <f t="shared" ref="O20:X20" si="156">O10*1000/O$4</f>
        <v>#DIV/0!</v>
      </c>
      <c r="P20">
        <f t="shared" si="156"/>
        <v>32.27807289696046</v>
      </c>
      <c r="Q20">
        <f t="shared" si="156"/>
        <v>126.53333333333325</v>
      </c>
      <c r="R20">
        <f t="shared" si="156"/>
        <v>15.400000000000002</v>
      </c>
      <c r="S20">
        <f t="shared" si="156"/>
        <v>32.038202597402524</v>
      </c>
      <c r="T20" t="e">
        <f t="shared" si="156"/>
        <v>#DIV/0!</v>
      </c>
      <c r="U20">
        <f t="shared" si="156"/>
        <v>34.444008344357314</v>
      </c>
      <c r="V20">
        <f t="shared" si="156"/>
        <v>124.08319148936189</v>
      </c>
      <c r="W20">
        <f t="shared" si="156"/>
        <v>15.45010841577451</v>
      </c>
      <c r="X20">
        <f t="shared" si="156"/>
        <v>34.698575214450052</v>
      </c>
      <c r="Z20" s="118" t="s">
        <v>543</v>
      </c>
      <c r="AA20">
        <f t="shared" ref="AA20:AJ20" si="157">AA10*1000/AA$4</f>
        <v>188.57666999999987</v>
      </c>
      <c r="AB20">
        <f t="shared" si="157"/>
        <v>37.71094127919919</v>
      </c>
      <c r="AC20">
        <f t="shared" si="157"/>
        <v>127.90325315789522</v>
      </c>
      <c r="AD20">
        <f t="shared" si="157"/>
        <v>9.7508421052631498</v>
      </c>
      <c r="AE20">
        <f t="shared" si="157"/>
        <v>57.783276664338132</v>
      </c>
      <c r="AF20">
        <f t="shared" si="157"/>
        <v>188.57666999999987</v>
      </c>
      <c r="AG20">
        <f t="shared" si="157"/>
        <v>35.466895372154774</v>
      </c>
      <c r="AH20">
        <f t="shared" si="157"/>
        <v>125.18487803030364</v>
      </c>
      <c r="AI20">
        <f t="shared" si="157"/>
        <v>13.939993027193951</v>
      </c>
      <c r="AJ20">
        <f t="shared" si="157"/>
        <v>42.383358902379506</v>
      </c>
      <c r="AL20" s="118" t="s">
        <v>543</v>
      </c>
      <c r="AM20" t="e">
        <f t="shared" ref="AM20:AV20" si="158">AM10*1000/AM$4</f>
        <v>#DIV/0!</v>
      </c>
      <c r="AN20">
        <f t="shared" si="158"/>
        <v>18.978256414253952</v>
      </c>
      <c r="AO20">
        <f t="shared" si="158"/>
        <v>127.52126931034519</v>
      </c>
      <c r="AP20">
        <f t="shared" si="158"/>
        <v>8.4602139037433464</v>
      </c>
      <c r="AQ20">
        <f t="shared" si="158"/>
        <v>25.694179889056713</v>
      </c>
      <c r="AR20">
        <f t="shared" si="158"/>
        <v>188.57666999999987</v>
      </c>
      <c r="AS20">
        <f t="shared" si="158"/>
        <v>30.193067980719171</v>
      </c>
      <c r="AT20">
        <f t="shared" si="158"/>
        <v>125.89809221052685</v>
      </c>
      <c r="AU20">
        <f t="shared" si="158"/>
        <v>13.56001019745994</v>
      </c>
      <c r="AV20">
        <f t="shared" si="158"/>
        <v>38.017160573283576</v>
      </c>
      <c r="AX20" s="118" t="s">
        <v>543</v>
      </c>
      <c r="AY20" t="e">
        <f t="shared" ref="AY20:BH20" si="159">AY10*1000/AY$4</f>
        <v>#DIV/0!</v>
      </c>
      <c r="AZ20">
        <f t="shared" si="159"/>
        <v>33.490096221502228</v>
      </c>
      <c r="BA20">
        <f t="shared" si="159"/>
        <v>126.31912055555597</v>
      </c>
      <c r="BB20">
        <f t="shared" si="159"/>
        <v>10.384392523364513</v>
      </c>
      <c r="BC20">
        <f t="shared" si="159"/>
        <v>37.191723141040697</v>
      </c>
      <c r="BD20">
        <f t="shared" si="159"/>
        <v>188.57666999999987</v>
      </c>
      <c r="BE20">
        <f t="shared" si="159"/>
        <v>30.754384521525207</v>
      </c>
      <c r="BF20">
        <f t="shared" si="159"/>
        <v>126.01379465648928</v>
      </c>
      <c r="BG20">
        <f t="shared" si="159"/>
        <v>12.869728651237031</v>
      </c>
      <c r="BH20">
        <f t="shared" si="159"/>
        <v>37.86748091180079</v>
      </c>
      <c r="BJ20" s="118" t="s">
        <v>543</v>
      </c>
      <c r="BK20" t="e">
        <f t="shared" ref="BK20:BT20" si="160">BK10*1000/BK$4</f>
        <v>#DIV/0!</v>
      </c>
      <c r="BL20">
        <f t="shared" si="160"/>
        <v>35.44499310991624</v>
      </c>
      <c r="BM20">
        <f t="shared" si="160"/>
        <v>106.29616774193576</v>
      </c>
      <c r="BN20">
        <f t="shared" si="160"/>
        <v>9.1936374133949403</v>
      </c>
      <c r="BO20">
        <f t="shared" si="160"/>
        <v>34.324223808385177</v>
      </c>
      <c r="BP20">
        <f t="shared" si="160"/>
        <v>188.57666999999987</v>
      </c>
      <c r="BQ20">
        <f t="shared" si="160"/>
        <v>31.392844435763966</v>
      </c>
      <c r="BR20">
        <f t="shared" si="160"/>
        <v>122.24066851851886</v>
      </c>
      <c r="BS20">
        <f t="shared" si="160"/>
        <v>12.131398504087676</v>
      </c>
      <c r="BT20">
        <f t="shared" si="160"/>
        <v>37.336176562287172</v>
      </c>
      <c r="BV20" s="118" t="s">
        <v>543</v>
      </c>
      <c r="BW20">
        <f t="shared" ref="BW20:CF20" si="161">BW10*1000/BW$4</f>
        <v>184.84666999999996</v>
      </c>
      <c r="BX20">
        <f t="shared" si="161"/>
        <v>32.465057873303202</v>
      </c>
      <c r="BY20">
        <f t="shared" si="161"/>
        <v>114.74276692307724</v>
      </c>
      <c r="BZ20">
        <f t="shared" si="161"/>
        <v>11.320708263069131</v>
      </c>
      <c r="CA20">
        <f t="shared" si="161"/>
        <v>42.569707238480774</v>
      </c>
      <c r="CB20">
        <f t="shared" si="161"/>
        <v>187.25312161290313</v>
      </c>
      <c r="CC20">
        <f t="shared" si="161"/>
        <v>31.517584173447428</v>
      </c>
      <c r="CD20">
        <f t="shared" si="161"/>
        <v>121.68368154285758</v>
      </c>
      <c r="CE20">
        <f t="shared" si="161"/>
        <v>11.992757029560241</v>
      </c>
      <c r="CF20">
        <f t="shared" si="161"/>
        <v>38.032845564926376</v>
      </c>
      <c r="CH20" s="118" t="s">
        <v>543</v>
      </c>
      <c r="CI20">
        <f t="shared" ref="CI20:CR20" si="162">CI10*1000/CI$4</f>
        <v>184.84667000000002</v>
      </c>
      <c r="CJ20">
        <f t="shared" si="162"/>
        <v>39.118196442666715</v>
      </c>
      <c r="CK20">
        <f t="shared" si="162"/>
        <v>78.444339949748894</v>
      </c>
      <c r="CL20" t="e">
        <f t="shared" si="162"/>
        <v>#DIV/0!</v>
      </c>
      <c r="CM20">
        <f t="shared" si="162"/>
        <v>48.163776963788294</v>
      </c>
      <c r="CN20">
        <f t="shared" si="162"/>
        <v>186.97809857142857</v>
      </c>
      <c r="CO20">
        <f t="shared" si="162"/>
        <v>32.456865236745799</v>
      </c>
      <c r="CP20">
        <f t="shared" si="162"/>
        <v>115.64110501404542</v>
      </c>
      <c r="CQ20">
        <f t="shared" si="162"/>
        <v>11.992757029560241</v>
      </c>
      <c r="CR20">
        <f t="shared" si="162"/>
        <v>39.049838594517674</v>
      </c>
      <c r="CT20" s="118" t="s">
        <v>543</v>
      </c>
      <c r="CU20" t="e">
        <f t="shared" ref="CU20:DD20" si="163">CU10*1000/CU$4</f>
        <v>#DIV/0!</v>
      </c>
      <c r="CV20">
        <f t="shared" si="163"/>
        <v>35.330233525423807</v>
      </c>
      <c r="CW20">
        <f t="shared" si="163"/>
        <v>126.65376727272799</v>
      </c>
      <c r="CX20">
        <f t="shared" si="163"/>
        <v>15.400000000000015</v>
      </c>
      <c r="CY20">
        <f t="shared" si="163"/>
        <v>35.24914948920528</v>
      </c>
      <c r="CZ20">
        <f t="shared" si="163"/>
        <v>186.97809857142857</v>
      </c>
      <c r="DA20">
        <f t="shared" si="163"/>
        <v>32.801088003295305</v>
      </c>
      <c r="DB20">
        <f t="shared" si="163"/>
        <v>116.71585152091306</v>
      </c>
      <c r="DC20">
        <f t="shared" si="163"/>
        <v>12.493933095560219</v>
      </c>
      <c r="DD20">
        <f t="shared" si="163"/>
        <v>38.592303806182017</v>
      </c>
      <c r="DF20" s="118" t="s">
        <v>543</v>
      </c>
      <c r="DG20" t="e">
        <f t="shared" ref="DG20:DP20" si="164">DG10*1000/DG$4</f>
        <v>#DIV/0!</v>
      </c>
      <c r="DH20">
        <f t="shared" si="164"/>
        <v>38.08513313518268</v>
      </c>
      <c r="DI20">
        <f t="shared" si="164"/>
        <v>111.8730685714289</v>
      </c>
      <c r="DJ20">
        <f t="shared" si="164"/>
        <v>14.474145059565545</v>
      </c>
      <c r="DK20">
        <f t="shared" si="164"/>
        <v>67.97</v>
      </c>
      <c r="DL20">
        <f t="shared" si="164"/>
        <v>31.825299247367628</v>
      </c>
      <c r="DM20">
        <f t="shared" si="164"/>
        <v>186.97809857142857</v>
      </c>
      <c r="DN20">
        <f t="shared" si="164"/>
        <v>33.188186922473086</v>
      </c>
      <c r="DO20">
        <f t="shared" si="164"/>
        <v>116.43268163484524</v>
      </c>
      <c r="DP20">
        <f t="shared" si="164"/>
        <v>12.869437227999121</v>
      </c>
      <c r="DQ20">
        <f t="shared" ref="DQ20:DR20" si="165">DQ10*1000/DQ$4</f>
        <v>67.97</v>
      </c>
      <c r="DR20">
        <f t="shared" si="165"/>
        <v>37.9185808003337</v>
      </c>
      <c r="DT20" s="118" t="s">
        <v>543</v>
      </c>
      <c r="DU20" t="e">
        <f t="shared" ref="DU20:EF20" si="166">DU10*1000/DU$4</f>
        <v>#DIV/0!</v>
      </c>
      <c r="DV20">
        <f t="shared" si="166"/>
        <v>31.879962173913071</v>
      </c>
      <c r="DW20">
        <f t="shared" si="166"/>
        <v>121.12998732142901</v>
      </c>
      <c r="DX20">
        <f t="shared" si="166"/>
        <v>15.400000000000023</v>
      </c>
      <c r="DY20" t="e">
        <f t="shared" si="166"/>
        <v>#DIV/0!</v>
      </c>
      <c r="DZ20">
        <f t="shared" si="166"/>
        <v>33.176566882194706</v>
      </c>
      <c r="EA20">
        <f t="shared" si="166"/>
        <v>186.97809857142857</v>
      </c>
      <c r="EB20">
        <f t="shared" si="166"/>
        <v>33.093637685071421</v>
      </c>
      <c r="EC20">
        <f t="shared" si="166"/>
        <v>116.98646925263202</v>
      </c>
      <c r="ED20">
        <f t="shared" si="166"/>
        <v>13.230709403656686</v>
      </c>
      <c r="EE20">
        <f t="shared" si="166"/>
        <v>67.97</v>
      </c>
      <c r="EF20">
        <f t="shared" si="166"/>
        <v>37.49234309794803</v>
      </c>
      <c r="EH20" s="118" t="s">
        <v>543</v>
      </c>
      <c r="EI20" t="e">
        <f t="shared" ref="EI20:ET20" si="167">EI10*1000/EI$4</f>
        <v>#DIV/0!</v>
      </c>
      <c r="EJ20">
        <f t="shared" si="167"/>
        <v>33.893695653972514</v>
      </c>
      <c r="EK20">
        <f t="shared" si="167"/>
        <v>63.183273181818528</v>
      </c>
      <c r="EL20">
        <f t="shared" si="167"/>
        <v>10.290172413793135</v>
      </c>
      <c r="EM20" t="e">
        <f t="shared" si="167"/>
        <v>#DIV/0!</v>
      </c>
      <c r="EN20">
        <f t="shared" si="167"/>
        <v>30.227745258642706</v>
      </c>
      <c r="EO20">
        <f t="shared" si="167"/>
        <v>186.97809857142857</v>
      </c>
      <c r="EP20">
        <f t="shared" si="167"/>
        <v>33.154263113291009</v>
      </c>
      <c r="EQ20">
        <f t="shared" si="167"/>
        <v>112.95253926484962</v>
      </c>
      <c r="ER20">
        <f t="shared" si="167"/>
        <v>13.014696553907896</v>
      </c>
      <c r="ES20">
        <f t="shared" si="167"/>
        <v>67.97</v>
      </c>
      <c r="ET20">
        <f t="shared" si="167"/>
        <v>36.959825148156703</v>
      </c>
      <c r="EV20" s="118" t="s">
        <v>543</v>
      </c>
      <c r="EW20" t="e">
        <f t="shared" ref="EW20:FH20" si="168">EW10*1000/EW$4</f>
        <v>#DIV/0!</v>
      </c>
      <c r="EX20">
        <f t="shared" si="168"/>
        <v>36.261605850144015</v>
      </c>
      <c r="EY20">
        <f t="shared" si="168"/>
        <v>92.662760909091389</v>
      </c>
      <c r="EZ20">
        <f t="shared" si="168"/>
        <v>11.616457357075932</v>
      </c>
      <c r="FA20" t="e">
        <f t="shared" si="168"/>
        <v>#DIV/0!</v>
      </c>
      <c r="FB20">
        <f t="shared" si="168"/>
        <v>32.667553334691227</v>
      </c>
      <c r="FC20">
        <f t="shared" si="168"/>
        <v>186.97809857142857</v>
      </c>
      <c r="FD20">
        <f t="shared" si="168"/>
        <v>33.46716412017355</v>
      </c>
      <c r="FE20">
        <f t="shared" si="168"/>
        <v>111.5374007382249</v>
      </c>
      <c r="FF20">
        <f t="shared" si="168"/>
        <v>12.873168192382513</v>
      </c>
      <c r="FG20">
        <f t="shared" si="168"/>
        <v>67.97</v>
      </c>
      <c r="FH20">
        <f t="shared" si="168"/>
        <v>36.544986818831333</v>
      </c>
      <c r="FJ20" s="118" t="s">
        <v>543</v>
      </c>
      <c r="FK20" t="e">
        <f t="shared" ref="FK20:FV20" si="169">FK10*1000/FK$4</f>
        <v>#DIV/0!</v>
      </c>
      <c r="FL20">
        <f t="shared" si="169"/>
        <v>34.507364952826144</v>
      </c>
      <c r="FM20">
        <f t="shared" si="169"/>
        <v>94.32421080924901</v>
      </c>
      <c r="FN20">
        <f t="shared" si="169"/>
        <v>11.586507276507307</v>
      </c>
      <c r="FO20" t="e">
        <f t="shared" si="169"/>
        <v>#DIV/0!</v>
      </c>
      <c r="FP20">
        <f t="shared" si="169"/>
        <v>32.919094721090204</v>
      </c>
      <c r="FQ20">
        <f t="shared" si="169"/>
        <v>186.97809857142857</v>
      </c>
      <c r="FR20">
        <f t="shared" si="169"/>
        <v>33.558093738517947</v>
      </c>
      <c r="FS20">
        <f t="shared" si="169"/>
        <v>110.05807542391126</v>
      </c>
      <c r="FT20">
        <f t="shared" si="169"/>
        <v>12.765568957273905</v>
      </c>
      <c r="FU20">
        <f t="shared" si="169"/>
        <v>67.97</v>
      </c>
      <c r="FV20">
        <f t="shared" si="169"/>
        <v>36.238101440258752</v>
      </c>
      <c r="FX20" s="118" t="s">
        <v>543</v>
      </c>
      <c r="FY20" t="e">
        <f t="shared" ref="FY20:GJ20" si="170">FY10*1000/FY$4</f>
        <v>#DIV/0!</v>
      </c>
      <c r="FZ20">
        <f t="shared" si="170"/>
        <v>34.196304476461037</v>
      </c>
      <c r="GA20">
        <f t="shared" si="170"/>
        <v>-3.7352152098127385</v>
      </c>
      <c r="GB20">
        <f t="shared" si="170"/>
        <v>14.157068965517247</v>
      </c>
      <c r="GC20" t="e">
        <f t="shared" si="170"/>
        <v>#DIV/0!</v>
      </c>
      <c r="GD20">
        <f t="shared" si="170"/>
        <v>21.957475826261621</v>
      </c>
      <c r="GE20">
        <f t="shared" si="170"/>
        <v>186.97809857142857</v>
      </c>
      <c r="GF20">
        <f t="shared" si="170"/>
        <v>33.591898959255893</v>
      </c>
      <c r="GG20">
        <f t="shared" si="170"/>
        <v>97.123034168195687</v>
      </c>
      <c r="GH20">
        <f t="shared" si="170"/>
        <v>12.937711102647107</v>
      </c>
      <c r="GI20">
        <f t="shared" si="170"/>
        <v>67.97</v>
      </c>
      <c r="GJ20">
        <f t="shared" si="170"/>
        <v>35.186667170499732</v>
      </c>
      <c r="GL20" s="118" t="s">
        <v>543</v>
      </c>
      <c r="GM20">
        <f t="shared" ref="GM20:GX20" si="171">GM10*1000/GM$4</f>
        <v>188.57666999999987</v>
      </c>
      <c r="GN20">
        <f t="shared" si="171"/>
        <v>33.965958537165022</v>
      </c>
      <c r="GO20">
        <f t="shared" si="171"/>
        <v>82.644115273437791</v>
      </c>
      <c r="GP20">
        <f t="shared" si="171"/>
        <v>15.400000000000022</v>
      </c>
      <c r="GQ20" t="e">
        <f t="shared" si="171"/>
        <v>#DIV/0!</v>
      </c>
      <c r="GR20">
        <f t="shared" si="171"/>
        <v>55.774302203722634</v>
      </c>
      <c r="GS20">
        <f t="shared" si="171"/>
        <v>187.55939727272721</v>
      </c>
      <c r="GT20">
        <f t="shared" si="171"/>
        <v>33.614179744799308</v>
      </c>
      <c r="GU20">
        <f t="shared" si="171"/>
        <v>95.879791652243966</v>
      </c>
      <c r="GV20">
        <f t="shared" si="171"/>
        <v>13.05625947141356</v>
      </c>
      <c r="GW20">
        <f t="shared" si="171"/>
        <v>67.97</v>
      </c>
      <c r="GX20">
        <f t="shared" si="171"/>
        <v>36.541955676681276</v>
      </c>
      <c r="GZ20" s="118" t="s">
        <v>543</v>
      </c>
      <c r="HA20" t="e">
        <f t="shared" ref="HA20:HL20" si="172">HA10*1000/HA$4</f>
        <v>#DIV/0!</v>
      </c>
      <c r="HB20">
        <f t="shared" si="172"/>
        <v>33.583267452396655</v>
      </c>
      <c r="HC20">
        <f t="shared" si="172"/>
        <v>83.186711837184006</v>
      </c>
      <c r="HD20">
        <f t="shared" si="172"/>
        <v>15.400000000000055</v>
      </c>
      <c r="HE20" t="e">
        <f t="shared" si="172"/>
        <v>#DIV/0!</v>
      </c>
      <c r="HF20">
        <f t="shared" si="172"/>
        <v>28.247290529729145</v>
      </c>
      <c r="HG20">
        <f t="shared" si="172"/>
        <v>187.55939727272721</v>
      </c>
      <c r="HH20">
        <f t="shared" si="172"/>
        <v>33.61267086636591</v>
      </c>
      <c r="HI20">
        <f t="shared" si="172"/>
        <v>95.150276632523955</v>
      </c>
      <c r="HJ20">
        <f t="shared" si="172"/>
        <v>13.321840201877347</v>
      </c>
      <c r="HK20">
        <f t="shared" si="172"/>
        <v>67.97</v>
      </c>
      <c r="HL20">
        <f t="shared" si="172"/>
        <v>36.003734669666571</v>
      </c>
      <c r="HN20" s="118" t="s">
        <v>543</v>
      </c>
      <c r="HO20">
        <f t="shared" ref="HO20:HZ20" si="173">HO10*1000/HO$4</f>
        <v>185.57666999999998</v>
      </c>
      <c r="HP20">
        <f t="shared" si="173"/>
        <v>34.223506185988235</v>
      </c>
      <c r="HQ20">
        <f t="shared" si="173"/>
        <v>75.865641344538261</v>
      </c>
      <c r="HR20">
        <f t="shared" si="173"/>
        <v>15.400000000000031</v>
      </c>
      <c r="HS20" t="e">
        <f t="shared" si="173"/>
        <v>#DIV/0!</v>
      </c>
      <c r="HT20">
        <f t="shared" si="173"/>
        <v>38.767812749929888</v>
      </c>
      <c r="HU20">
        <f t="shared" si="173"/>
        <v>187.22894272727265</v>
      </c>
      <c r="HV20">
        <f t="shared" si="173"/>
        <v>33.658591481747052</v>
      </c>
      <c r="HW20">
        <f t="shared" si="173"/>
        <v>93.800828438198025</v>
      </c>
      <c r="HX20">
        <f t="shared" si="173"/>
        <v>13.513586372921024</v>
      </c>
      <c r="HY20">
        <f t="shared" si="173"/>
        <v>67.97</v>
      </c>
      <c r="HZ20">
        <f t="shared" si="173"/>
        <v>36.229374685014321</v>
      </c>
      <c r="IB20" s="118" t="s">
        <v>543</v>
      </c>
      <c r="IC20" t="e">
        <f t="shared" ref="IC20:IN20" si="174">IC10*1000/IC$4</f>
        <v>#DIV/0!</v>
      </c>
      <c r="ID20">
        <f t="shared" si="174"/>
        <v>34.638109741869407</v>
      </c>
      <c r="IE20">
        <f t="shared" si="174"/>
        <v>121.90311280000033</v>
      </c>
      <c r="IF20">
        <f t="shared" si="174"/>
        <v>15.400000000000034</v>
      </c>
      <c r="IG20" t="e">
        <f t="shared" si="174"/>
        <v>#DIV/0!</v>
      </c>
      <c r="IH20">
        <f t="shared" si="174"/>
        <v>32.12319209446111</v>
      </c>
      <c r="II20">
        <f t="shared" si="174"/>
        <v>187.22894272727265</v>
      </c>
      <c r="IJ20">
        <f t="shared" si="174"/>
        <v>33.70711110942127</v>
      </c>
      <c r="IK20">
        <f t="shared" si="174"/>
        <v>95.176003138527079</v>
      </c>
      <c r="IL20">
        <f t="shared" si="174"/>
        <v>13.665896056867005</v>
      </c>
      <c r="IM20">
        <f t="shared" si="174"/>
        <v>67.97</v>
      </c>
      <c r="IN20">
        <f t="shared" si="174"/>
        <v>35.996846626312959</v>
      </c>
      <c r="IP20" s="118" t="s">
        <v>543</v>
      </c>
      <c r="IQ20" t="e">
        <f t="shared" ref="IQ20:JB20" si="175">IQ10*1000/IQ$4</f>
        <v>#DIV/0!</v>
      </c>
      <c r="IR20">
        <f t="shared" si="175"/>
        <v>36.0542232713305</v>
      </c>
      <c r="IS20">
        <f t="shared" si="175"/>
        <v>56.246136190476456</v>
      </c>
      <c r="IT20">
        <f t="shared" si="175"/>
        <v>15.400000000000036</v>
      </c>
      <c r="IU20" t="e">
        <f t="shared" si="175"/>
        <v>#DIV/0!</v>
      </c>
      <c r="IV20">
        <f t="shared" si="175"/>
        <v>33.22295200836426</v>
      </c>
      <c r="IW20">
        <f t="shared" si="175"/>
        <v>187.22894272727265</v>
      </c>
      <c r="IX20">
        <f t="shared" si="175"/>
        <v>33.801260569712291</v>
      </c>
      <c r="IY20">
        <f t="shared" si="175"/>
        <v>93.638967674043968</v>
      </c>
      <c r="IZ20">
        <f t="shared" si="175"/>
        <v>13.714015360943083</v>
      </c>
      <c r="JA20">
        <f t="shared" si="175"/>
        <v>67.97</v>
      </c>
      <c r="JB20">
        <f t="shared" si="175"/>
        <v>35.897584502839898</v>
      </c>
      <c r="LV20" s="118" t="s">
        <v>543</v>
      </c>
      <c r="LW20" s="31">
        <f t="shared" ref="LW20:MH20" si="176">LW10*1000/LW$4</f>
        <v>184.8466699999999</v>
      </c>
      <c r="LX20" s="18">
        <f t="shared" si="176"/>
        <v>34.037569902044424</v>
      </c>
      <c r="LY20" s="18">
        <f t="shared" si="176"/>
        <v>111.66757000000041</v>
      </c>
      <c r="LZ20" s="18">
        <f t="shared" si="176"/>
        <v>11.170320354854637</v>
      </c>
      <c r="MA20" s="18">
        <v>0</v>
      </c>
      <c r="MB20" s="19">
        <f t="shared" si="176"/>
        <v>58.157858099837675</v>
      </c>
      <c r="MC20" s="28">
        <f t="shared" si="176"/>
        <v>187.59142903614455</v>
      </c>
      <c r="MD20" s="28">
        <f t="shared" si="176"/>
        <v>34.751861289425484</v>
      </c>
      <c r="ME20" s="55">
        <f t="shared" si="176"/>
        <v>93.685206879812043</v>
      </c>
      <c r="MF20" s="52">
        <f t="shared" si="176"/>
        <v>12.966995875320912</v>
      </c>
      <c r="MG20" s="145">
        <f t="shared" si="176"/>
        <v>67.97</v>
      </c>
      <c r="MH20" s="23">
        <f t="shared" si="176"/>
        <v>39.839283987079327</v>
      </c>
    </row>
    <row r="21" spans="2:347" x14ac:dyDescent="0.3">
      <c r="LV21" s="113" t="s">
        <v>1472</v>
      </c>
      <c r="LW21" s="77">
        <f t="shared" ref="LW21:MH21" si="177">LW15-LW17</f>
        <v>253.9899999999999</v>
      </c>
      <c r="LX21" s="78">
        <f t="shared" si="177"/>
        <v>88.315000000000111</v>
      </c>
      <c r="LY21" s="78">
        <f t="shared" si="177"/>
        <v>284.54333333333386</v>
      </c>
      <c r="LZ21" s="78">
        <f t="shared" si="177"/>
        <v>14.490320354854617</v>
      </c>
      <c r="MA21" s="78">
        <f t="shared" si="177"/>
        <v>0</v>
      </c>
      <c r="MB21" s="79">
        <f t="shared" si="177"/>
        <v>106.88113599452947</v>
      </c>
      <c r="MC21" s="80">
        <f t="shared" si="177"/>
        <v>256.73475903614462</v>
      </c>
      <c r="MD21" s="80">
        <f t="shared" si="177"/>
        <v>85.676481761131129</v>
      </c>
      <c r="ME21" s="80">
        <f t="shared" si="177"/>
        <v>216.36704375922488</v>
      </c>
      <c r="MF21" s="157">
        <f t="shared" si="177"/>
        <v>16.286995875320912</v>
      </c>
      <c r="MG21" s="158">
        <f t="shared" si="177"/>
        <v>71.290000000000006</v>
      </c>
      <c r="MH21" s="165">
        <f t="shared" si="177"/>
        <v>83.368360650324917</v>
      </c>
    </row>
    <row r="22" spans="2:347" ht="15" thickBot="1" x14ac:dyDescent="0.35">
      <c r="LV22" s="118" t="s">
        <v>1473</v>
      </c>
      <c r="LW22" s="166">
        <f>LW21/LW15</f>
        <v>0.38524192325193374</v>
      </c>
      <c r="LX22" s="167">
        <f>LX21/LX15</f>
        <v>0.22172336049846195</v>
      </c>
      <c r="LY22" s="167">
        <f>LY21/LY15</f>
        <v>0.26119590228140649</v>
      </c>
      <c r="LZ22" s="167">
        <f>LZ21/LZ15</f>
        <v>8.142692355094093E-2</v>
      </c>
      <c r="MA22" s="167"/>
      <c r="MB22" s="168">
        <f t="shared" ref="MB22:MH22" si="178">MB21/MB15</f>
        <v>0.25308290779297449</v>
      </c>
      <c r="MC22" s="169">
        <f t="shared" si="178"/>
        <v>0.38951785136032935</v>
      </c>
      <c r="MD22" s="167">
        <f t="shared" si="178"/>
        <v>0.22556603408892431</v>
      </c>
      <c r="ME22" s="167">
        <f t="shared" si="178"/>
        <v>0.25873206712524233</v>
      </c>
      <c r="MF22" s="170">
        <f t="shared" si="178"/>
        <v>0.10206295496678555</v>
      </c>
      <c r="MG22" s="170">
        <f t="shared" si="178"/>
        <v>0.45114542462979373</v>
      </c>
      <c r="MH22" s="168">
        <f t="shared" si="178"/>
        <v>0.22960249387045181</v>
      </c>
    </row>
    <row r="23" spans="2:347" x14ac:dyDescent="0.3">
      <c r="LW23" s="16"/>
    </row>
    <row r="25" spans="2:347" x14ac:dyDescent="0.3">
      <c r="MH25" s="19"/>
      <c r="MI25" s="15"/>
    </row>
  </sheetData>
  <mergeCells count="78">
    <mergeCell ref="LA2:LF2"/>
    <mergeCell ref="KT12:LF12"/>
    <mergeCell ref="CT12:DD12"/>
    <mergeCell ref="BW2:CA2"/>
    <mergeCell ref="CB2:CF2"/>
    <mergeCell ref="BV12:CF12"/>
    <mergeCell ref="DU2:DZ2"/>
    <mergeCell ref="CU2:CY2"/>
    <mergeCell ref="CZ2:DD2"/>
    <mergeCell ref="CI2:CM2"/>
    <mergeCell ref="CN2:CR2"/>
    <mergeCell ref="CH12:CR12"/>
    <mergeCell ref="FY2:GD2"/>
    <mergeCell ref="GE2:GJ2"/>
    <mergeCell ref="FX12:GJ12"/>
    <mergeCell ref="FK2:FP2"/>
    <mergeCell ref="AY2:BC2"/>
    <mergeCell ref="BD2:BH2"/>
    <mergeCell ref="AX12:BH12"/>
    <mergeCell ref="Z12:AJ12"/>
    <mergeCell ref="BP2:BT2"/>
    <mergeCell ref="BJ12:BT12"/>
    <mergeCell ref="AA2:AE2"/>
    <mergeCell ref="AF2:AJ2"/>
    <mergeCell ref="AM2:AQ2"/>
    <mergeCell ref="AR2:AV2"/>
    <mergeCell ref="AL12:AV12"/>
    <mergeCell ref="BK2:BO2"/>
    <mergeCell ref="C2:G2"/>
    <mergeCell ref="H2:L2"/>
    <mergeCell ref="B12:L12"/>
    <mergeCell ref="O2:S2"/>
    <mergeCell ref="T2:X2"/>
    <mergeCell ref="N12:X12"/>
    <mergeCell ref="FQ2:FV2"/>
    <mergeCell ref="FJ12:FV12"/>
    <mergeCell ref="EW2:FB2"/>
    <mergeCell ref="FC2:FH2"/>
    <mergeCell ref="EV12:FH12"/>
    <mergeCell ref="DT12:EF12"/>
    <mergeCell ref="DG2:DL2"/>
    <mergeCell ref="DM2:DR2"/>
    <mergeCell ref="DF12:DR12"/>
    <mergeCell ref="EO2:ET2"/>
    <mergeCell ref="EH12:ET12"/>
    <mergeCell ref="EA2:EF2"/>
    <mergeCell ref="EI2:EN2"/>
    <mergeCell ref="IQ2:IV2"/>
    <mergeCell ref="IW2:JB2"/>
    <mergeCell ref="IP12:JB12"/>
    <mergeCell ref="GM2:GR2"/>
    <mergeCell ref="GS2:GX2"/>
    <mergeCell ref="GL12:GX12"/>
    <mergeCell ref="HA2:HF2"/>
    <mergeCell ref="HG2:HL2"/>
    <mergeCell ref="GZ12:HL12"/>
    <mergeCell ref="IC2:IH2"/>
    <mergeCell ref="II2:IN2"/>
    <mergeCell ref="IB12:IN12"/>
    <mergeCell ref="HO2:HT2"/>
    <mergeCell ref="HU2:HZ2"/>
    <mergeCell ref="HN12:HZ12"/>
    <mergeCell ref="LW2:MB2"/>
    <mergeCell ref="MC2:MH2"/>
    <mergeCell ref="LV12:MH12"/>
    <mergeCell ref="JE2:JJ2"/>
    <mergeCell ref="JK2:JP2"/>
    <mergeCell ref="JD12:JP12"/>
    <mergeCell ref="KG2:KL2"/>
    <mergeCell ref="KM2:KR2"/>
    <mergeCell ref="KF12:KR12"/>
    <mergeCell ref="JS2:JX2"/>
    <mergeCell ref="JY2:KD2"/>
    <mergeCell ref="JR12:KD12"/>
    <mergeCell ref="LI2:LN2"/>
    <mergeCell ref="LO2:LT2"/>
    <mergeCell ref="LH12:LT12"/>
    <mergeCell ref="KU2:KZ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BCC1-BD87-4C5C-8092-40AB5378FE34}">
  <dimension ref="B2:JO15"/>
  <sheetViews>
    <sheetView topLeftCell="IR1" workbookViewId="0">
      <selection activeCell="IT4" sqref="IT4:IT5"/>
    </sheetView>
  </sheetViews>
  <sheetFormatPr defaultRowHeight="14.4" x14ac:dyDescent="0.3"/>
  <cols>
    <col min="1" max="1" width="3.33203125" customWidth="1"/>
    <col min="2" max="2" width="15.109375" bestFit="1" customWidth="1"/>
    <col min="3" max="3" width="5.109375" bestFit="1" customWidth="1"/>
    <col min="4" max="4" width="6.88671875" bestFit="1" customWidth="1"/>
    <col min="5" max="5" width="5.44140625" bestFit="1" customWidth="1"/>
    <col min="6" max="6" width="6.88671875" bestFit="1" customWidth="1"/>
    <col min="7" max="7" width="6" bestFit="1" customWidth="1"/>
    <col min="8" max="8" width="7.88671875" bestFit="1" customWidth="1"/>
    <col min="9" max="9" width="5.109375" bestFit="1" customWidth="1"/>
    <col min="10" max="10" width="6.88671875" bestFit="1" customWidth="1"/>
    <col min="11" max="11" width="5.44140625" bestFit="1" customWidth="1"/>
    <col min="12" max="12" width="6.88671875" bestFit="1" customWidth="1"/>
    <col min="13" max="13" width="6" bestFit="1" customWidth="1"/>
    <col min="14" max="14" width="7.88671875" bestFit="1" customWidth="1"/>
    <col min="15" max="15" width="3" customWidth="1"/>
    <col min="16" max="16" width="15.109375" bestFit="1" customWidth="1"/>
    <col min="17" max="17" width="5.109375" bestFit="1" customWidth="1"/>
    <col min="18" max="18" width="6.88671875" bestFit="1" customWidth="1"/>
    <col min="19" max="19" width="5.109375" bestFit="1" customWidth="1"/>
    <col min="20" max="20" width="6.88671875" bestFit="1" customWidth="1"/>
    <col min="21" max="21" width="6" bestFit="1" customWidth="1"/>
    <col min="22" max="22" width="7.88671875" bestFit="1" customWidth="1"/>
    <col min="23" max="23" width="5.109375" bestFit="1" customWidth="1"/>
    <col min="24" max="24" width="11.21875" bestFit="1" customWidth="1"/>
    <col min="25" max="25" width="5.44140625" bestFit="1" customWidth="1"/>
    <col min="26" max="26" width="6.88671875" bestFit="1" customWidth="1"/>
    <col min="27" max="27" width="6" bestFit="1" customWidth="1"/>
    <col min="28" max="28" width="7.88671875" bestFit="1" customWidth="1"/>
    <col min="30" max="30" width="15.109375" bestFit="1" customWidth="1"/>
    <col min="31" max="31" width="5.109375" bestFit="1" customWidth="1"/>
    <col min="32" max="32" width="7.88671875" bestFit="1" customWidth="1"/>
    <col min="33" max="34" width="6.88671875" bestFit="1" customWidth="1"/>
    <col min="35" max="35" width="6" bestFit="1" customWidth="1"/>
    <col min="36" max="36" width="7.88671875" bestFit="1" customWidth="1"/>
    <col min="37" max="37" width="5.109375" bestFit="1" customWidth="1"/>
    <col min="38" max="38" width="7.88671875" bestFit="1" customWidth="1"/>
    <col min="39" max="40" width="6.88671875" bestFit="1" customWidth="1"/>
    <col min="41" max="41" width="6" bestFit="1" customWidth="1"/>
    <col min="42" max="42" width="7.88671875" bestFit="1" customWidth="1"/>
    <col min="44" max="44" width="15.109375" bestFit="1" customWidth="1"/>
    <col min="45" max="45" width="5.109375" bestFit="1" customWidth="1"/>
    <col min="46" max="46" width="7.88671875" bestFit="1" customWidth="1"/>
    <col min="47" max="48" width="6.88671875" bestFit="1" customWidth="1"/>
    <col min="49" max="49" width="6.6640625" bestFit="1" customWidth="1"/>
    <col min="50" max="50" width="7.88671875" bestFit="1" customWidth="1"/>
    <col min="51" max="51" width="5.109375" bestFit="1" customWidth="1"/>
    <col min="52" max="52" width="7.88671875" bestFit="1" customWidth="1"/>
    <col min="53" max="54" width="6.88671875" bestFit="1" customWidth="1"/>
    <col min="55" max="55" width="6.6640625" bestFit="1" customWidth="1"/>
    <col min="56" max="56" width="7.88671875" bestFit="1" customWidth="1"/>
    <col min="58" max="58" width="15.109375" bestFit="1" customWidth="1"/>
    <col min="59" max="59" width="5.109375" bestFit="1" customWidth="1"/>
    <col min="60" max="60" width="7.88671875" bestFit="1" customWidth="1"/>
    <col min="61" max="62" width="6.88671875" bestFit="1" customWidth="1"/>
    <col min="63" max="63" width="6.6640625" bestFit="1" customWidth="1"/>
    <col min="64" max="64" width="7.88671875" bestFit="1" customWidth="1"/>
    <col min="65" max="65" width="5.109375" bestFit="1" customWidth="1"/>
    <col min="66" max="66" width="7.88671875" bestFit="1" customWidth="1"/>
    <col min="67" max="67" width="6.88671875" bestFit="1" customWidth="1"/>
    <col min="68" max="68" width="7.88671875" bestFit="1" customWidth="1"/>
    <col min="69" max="69" width="6.6640625" bestFit="1" customWidth="1"/>
    <col min="70" max="70" width="7.88671875" bestFit="1" customWidth="1"/>
    <col min="72" max="72" width="15.109375" bestFit="1" customWidth="1"/>
    <col min="73" max="73" width="5.109375" bestFit="1" customWidth="1"/>
    <col min="74" max="74" width="7.88671875" bestFit="1" customWidth="1"/>
    <col min="75" max="75" width="6.21875" bestFit="1" customWidth="1"/>
    <col min="76" max="76" width="6.88671875" bestFit="1" customWidth="1"/>
    <col min="77" max="77" width="6.6640625" bestFit="1" customWidth="1"/>
    <col min="78" max="78" width="7.88671875" bestFit="1" customWidth="1"/>
    <col min="79" max="79" width="5.109375" bestFit="1" customWidth="1"/>
    <col min="80" max="80" width="7.88671875" bestFit="1" customWidth="1"/>
    <col min="81" max="81" width="6.88671875" bestFit="1" customWidth="1"/>
    <col min="82" max="82" width="7.88671875" bestFit="1" customWidth="1"/>
    <col min="83" max="83" width="6.6640625" bestFit="1" customWidth="1"/>
    <col min="84" max="84" width="7.88671875" bestFit="1" customWidth="1"/>
    <col min="86" max="86" width="15.109375" bestFit="1" customWidth="1"/>
    <col min="87" max="87" width="7.88671875" bestFit="1" customWidth="1"/>
    <col min="88" max="88" width="5.44140625" bestFit="1" customWidth="1"/>
    <col min="89" max="89" width="6.88671875" bestFit="1" customWidth="1"/>
    <col min="90" max="90" width="6.6640625" bestFit="1" customWidth="1"/>
    <col min="91" max="92" width="7.88671875" bestFit="1" customWidth="1"/>
    <col min="93" max="93" width="6.88671875" bestFit="1" customWidth="1"/>
    <col min="94" max="94" width="7.88671875" bestFit="1" customWidth="1"/>
    <col min="95" max="95" width="6.6640625" bestFit="1" customWidth="1"/>
    <col min="96" max="96" width="9.33203125" bestFit="1" customWidth="1"/>
    <col min="97" max="97" width="6" customWidth="1"/>
    <col min="98" max="98" width="15.109375" bestFit="1" customWidth="1"/>
    <col min="99" max="100" width="6.88671875" bestFit="1" customWidth="1"/>
    <col min="101" max="101" width="5.44140625" bestFit="1" customWidth="1"/>
    <col min="102" max="102" width="6.88671875" bestFit="1" customWidth="1"/>
    <col min="103" max="103" width="6.6640625" bestFit="1" customWidth="1"/>
    <col min="104" max="104" width="7.88671875" bestFit="1" customWidth="1"/>
    <col min="105" max="105" width="6.88671875" bestFit="1" customWidth="1"/>
    <col min="106" max="106" width="7.88671875" bestFit="1" customWidth="1"/>
    <col min="107" max="107" width="6.88671875" bestFit="1" customWidth="1"/>
    <col min="108" max="108" width="7.88671875" bestFit="1" customWidth="1"/>
    <col min="109" max="109" width="6.6640625" bestFit="1" customWidth="1"/>
    <col min="110" max="110" width="9.33203125" bestFit="1" customWidth="1"/>
    <col min="112" max="112" width="15.109375" bestFit="1" customWidth="1"/>
    <col min="113" max="113" width="5.109375" bestFit="1" customWidth="1"/>
    <col min="114" max="114" width="7.88671875" bestFit="1" customWidth="1"/>
    <col min="115" max="116" width="6.88671875" bestFit="1" customWidth="1"/>
    <col min="117" max="117" width="6.6640625" bestFit="1" customWidth="1"/>
    <col min="118" max="118" width="7.88671875" bestFit="1" customWidth="1"/>
    <col min="119" max="119" width="6.88671875" bestFit="1" customWidth="1"/>
    <col min="120" max="120" width="7.88671875" bestFit="1" customWidth="1"/>
    <col min="121" max="121" width="6.88671875" bestFit="1" customWidth="1"/>
    <col min="122" max="122" width="7.88671875" bestFit="1" customWidth="1"/>
    <col min="123" max="123" width="6.6640625" bestFit="1" customWidth="1"/>
    <col min="124" max="124" width="9.33203125" bestFit="1" customWidth="1"/>
    <col min="126" max="126" width="15.109375" bestFit="1" customWidth="1"/>
    <col min="127" max="127" width="5.109375" bestFit="1" customWidth="1"/>
    <col min="128" max="130" width="6.88671875" bestFit="1" customWidth="1"/>
    <col min="131" max="131" width="6" bestFit="1" customWidth="1"/>
    <col min="132" max="132" width="6.6640625" bestFit="1" customWidth="1"/>
    <col min="133" max="133" width="7.88671875" bestFit="1" customWidth="1"/>
    <col min="134" max="134" width="6.88671875" bestFit="1" customWidth="1"/>
    <col min="135" max="135" width="9.33203125" bestFit="1" customWidth="1"/>
    <col min="136" max="136" width="6.88671875" bestFit="1" customWidth="1"/>
    <col min="137" max="137" width="7.88671875" bestFit="1" customWidth="1"/>
    <col min="138" max="138" width="6" bestFit="1" customWidth="1"/>
    <col min="139" max="139" width="6.6640625" bestFit="1" customWidth="1"/>
    <col min="140" max="140" width="9.33203125" bestFit="1" customWidth="1"/>
    <col min="142" max="142" width="15.109375" bestFit="1" customWidth="1"/>
    <col min="143" max="143" width="5.109375" bestFit="1" customWidth="1"/>
    <col min="144" max="144" width="6.88671875" bestFit="1" customWidth="1"/>
    <col min="145" max="145" width="5.44140625" bestFit="1" customWidth="1"/>
    <col min="146" max="146" width="6.88671875" bestFit="1" customWidth="1"/>
    <col min="147" max="147" width="6" bestFit="1" customWidth="1"/>
    <col min="148" max="148" width="6.6640625" bestFit="1" customWidth="1"/>
    <col min="149" max="149" width="7.88671875" bestFit="1" customWidth="1"/>
    <col min="150" max="150" width="6.88671875" bestFit="1" customWidth="1"/>
    <col min="151" max="151" width="9.33203125" bestFit="1" customWidth="1"/>
    <col min="152" max="153" width="7.88671875" bestFit="1" customWidth="1"/>
    <col min="154" max="154" width="6" bestFit="1" customWidth="1"/>
    <col min="155" max="155" width="6.6640625" bestFit="1" customWidth="1"/>
    <col min="156" max="156" width="9.33203125" bestFit="1" customWidth="1"/>
    <col min="158" max="158" width="15.109375" bestFit="1" customWidth="1"/>
    <col min="159" max="159" width="6.88671875" bestFit="1" customWidth="1"/>
    <col min="160" max="160" width="7.88671875" bestFit="1" customWidth="1"/>
    <col min="161" max="161" width="5.44140625" bestFit="1" customWidth="1"/>
    <col min="162" max="162" width="6.88671875" bestFit="1" customWidth="1"/>
    <col min="163" max="163" width="6" bestFit="1" customWidth="1"/>
    <col min="164" max="164" width="6.6640625" bestFit="1" customWidth="1"/>
    <col min="165" max="165" width="7.88671875" bestFit="1" customWidth="1"/>
    <col min="166" max="166" width="6.88671875" bestFit="1" customWidth="1"/>
    <col min="167" max="167" width="9.33203125" bestFit="1" customWidth="1"/>
    <col min="168" max="169" width="7.88671875" bestFit="1" customWidth="1"/>
    <col min="170" max="170" width="6" bestFit="1" customWidth="1"/>
    <col min="171" max="171" width="6.6640625" bestFit="1" customWidth="1"/>
    <col min="172" max="172" width="9.33203125" bestFit="1" customWidth="1"/>
    <col min="174" max="174" width="15.109375" bestFit="1" customWidth="1"/>
    <col min="175" max="176" width="6.88671875" bestFit="1" customWidth="1"/>
    <col min="177" max="177" width="5.44140625" bestFit="1" customWidth="1"/>
    <col min="178" max="178" width="6.88671875" bestFit="1" customWidth="1"/>
    <col min="179" max="179" width="6" bestFit="1" customWidth="1"/>
    <col min="180" max="180" width="6.6640625" bestFit="1" customWidth="1"/>
    <col min="181" max="182" width="7.88671875" bestFit="1" customWidth="1"/>
    <col min="183" max="183" width="9.33203125" bestFit="1" customWidth="1"/>
    <col min="184" max="185" width="7.88671875" bestFit="1" customWidth="1"/>
    <col min="186" max="186" width="6" bestFit="1" customWidth="1"/>
    <col min="187" max="187" width="6.6640625" bestFit="1" customWidth="1"/>
    <col min="188" max="188" width="9.33203125" bestFit="1" customWidth="1"/>
    <col min="190" max="190" width="15.109375" bestFit="1" customWidth="1"/>
    <col min="191" max="191" width="5.109375" bestFit="1" customWidth="1"/>
    <col min="192" max="192" width="6.88671875" bestFit="1" customWidth="1"/>
    <col min="193" max="193" width="5.44140625" bestFit="1" customWidth="1"/>
    <col min="194" max="194" width="6.88671875" bestFit="1" customWidth="1"/>
    <col min="195" max="195" width="6" bestFit="1" customWidth="1"/>
    <col min="196" max="196" width="6.6640625" bestFit="1" customWidth="1"/>
    <col min="197" max="198" width="7.88671875" bestFit="1" customWidth="1"/>
    <col min="199" max="199" width="9.33203125" bestFit="1" customWidth="1"/>
    <col min="200" max="201" width="7.88671875" bestFit="1" customWidth="1"/>
    <col min="202" max="202" width="6" bestFit="1" customWidth="1"/>
    <col min="203" max="203" width="6.6640625" bestFit="1" customWidth="1"/>
    <col min="204" max="204" width="9.33203125" bestFit="1" customWidth="1"/>
    <col min="206" max="206" width="15.109375" bestFit="1" customWidth="1"/>
    <col min="207" max="208" width="6.88671875" bestFit="1" customWidth="1"/>
    <col min="209" max="209" width="5.44140625" bestFit="1" customWidth="1"/>
    <col min="210" max="210" width="6.88671875" bestFit="1" customWidth="1"/>
    <col min="211" max="211" width="6" bestFit="1" customWidth="1"/>
    <col min="212" max="212" width="6.6640625" bestFit="1" customWidth="1"/>
    <col min="213" max="214" width="7.88671875" bestFit="1" customWidth="1"/>
    <col min="215" max="215" width="9.33203125" bestFit="1" customWidth="1"/>
    <col min="216" max="217" width="7.88671875" bestFit="1" customWidth="1"/>
    <col min="218" max="218" width="6" bestFit="1" customWidth="1"/>
    <col min="219" max="219" width="6.6640625" bestFit="1" customWidth="1"/>
    <col min="220" max="220" width="9.33203125" bestFit="1" customWidth="1"/>
    <col min="222" max="222" width="15.109375" bestFit="1" customWidth="1"/>
    <col min="223" max="223" width="5.109375" bestFit="1" customWidth="1"/>
    <col min="224" max="224" width="6.88671875" bestFit="1" customWidth="1"/>
    <col min="225" max="225" width="5.44140625" bestFit="1" customWidth="1"/>
    <col min="226" max="226" width="7.88671875" bestFit="1" customWidth="1"/>
    <col min="227" max="227" width="6" bestFit="1" customWidth="1"/>
    <col min="228" max="228" width="6.6640625" bestFit="1" customWidth="1"/>
    <col min="229" max="230" width="7.88671875" bestFit="1" customWidth="1"/>
    <col min="231" max="231" width="9.33203125" bestFit="1" customWidth="1"/>
    <col min="232" max="233" width="7.88671875" bestFit="1" customWidth="1"/>
    <col min="234" max="234" width="6" bestFit="1" customWidth="1"/>
    <col min="235" max="235" width="6.6640625" bestFit="1" customWidth="1"/>
    <col min="236" max="236" width="9.33203125" bestFit="1" customWidth="1"/>
    <col min="238" max="238" width="15.109375" bestFit="1" customWidth="1"/>
    <col min="239" max="239" width="5.109375" bestFit="1" customWidth="1"/>
    <col min="240" max="240" width="6.88671875" bestFit="1" customWidth="1"/>
    <col min="241" max="241" width="5.6640625" bestFit="1" customWidth="1"/>
    <col min="242" max="242" width="6.88671875" bestFit="1" customWidth="1"/>
    <col min="243" max="243" width="6" bestFit="1" customWidth="1"/>
    <col min="244" max="244" width="6.6640625" bestFit="1" customWidth="1"/>
    <col min="245" max="246" width="7.88671875" bestFit="1" customWidth="1"/>
    <col min="247" max="247" width="9.33203125" bestFit="1" customWidth="1"/>
    <col min="248" max="249" width="7.88671875" bestFit="1" customWidth="1"/>
    <col min="250" max="250" width="6" bestFit="1" customWidth="1"/>
    <col min="251" max="251" width="6.6640625" bestFit="1" customWidth="1"/>
    <col min="252" max="252" width="9.33203125" bestFit="1" customWidth="1"/>
    <col min="254" max="254" width="15.109375" bestFit="1" customWidth="1"/>
    <col min="255" max="256" width="6.88671875" bestFit="1" customWidth="1"/>
    <col min="257" max="257" width="5.6640625" bestFit="1" customWidth="1"/>
    <col min="258" max="258" width="6.88671875" bestFit="1" customWidth="1"/>
    <col min="259" max="259" width="6" bestFit="1" customWidth="1"/>
    <col min="260" max="260" width="6.6640625" bestFit="1" customWidth="1"/>
    <col min="261" max="261" width="6.88671875" bestFit="1" customWidth="1"/>
    <col min="262" max="262" width="7.88671875" bestFit="1" customWidth="1"/>
    <col min="263" max="263" width="9.33203125" bestFit="1" customWidth="1"/>
    <col min="264" max="265" width="7.88671875" bestFit="1" customWidth="1"/>
    <col min="266" max="266" width="6" bestFit="1" customWidth="1"/>
    <col min="267" max="267" width="6.6640625" bestFit="1" customWidth="1"/>
    <col min="268" max="268" width="9.33203125" bestFit="1" customWidth="1"/>
  </cols>
  <sheetData>
    <row r="2" spans="2:275" ht="15" thickBot="1" x14ac:dyDescent="0.35"/>
    <row r="3" spans="2:275" ht="15" thickBot="1" x14ac:dyDescent="0.35">
      <c r="B3" s="14" t="s">
        <v>481</v>
      </c>
      <c r="C3" s="357">
        <v>45932</v>
      </c>
      <c r="D3" s="358"/>
      <c r="E3" s="358"/>
      <c r="F3" s="358"/>
      <c r="G3" s="358"/>
      <c r="H3" s="359"/>
      <c r="I3" s="360" t="s">
        <v>1474</v>
      </c>
      <c r="J3" s="361"/>
      <c r="K3" s="361"/>
      <c r="L3" s="361"/>
      <c r="M3" s="361"/>
      <c r="N3" s="362"/>
      <c r="P3" s="14" t="s">
        <v>481</v>
      </c>
      <c r="Q3" s="357">
        <v>45935</v>
      </c>
      <c r="R3" s="358"/>
      <c r="S3" s="358"/>
      <c r="T3" s="358"/>
      <c r="U3" s="358"/>
      <c r="V3" s="359"/>
      <c r="W3" s="360" t="s">
        <v>1474</v>
      </c>
      <c r="X3" s="361"/>
      <c r="Y3" s="361"/>
      <c r="Z3" s="361"/>
      <c r="AA3" s="361"/>
      <c r="AB3" s="362"/>
      <c r="AD3" s="14" t="s">
        <v>481</v>
      </c>
      <c r="AE3" s="357">
        <v>45936</v>
      </c>
      <c r="AF3" s="358"/>
      <c r="AG3" s="358"/>
      <c r="AH3" s="358"/>
      <c r="AI3" s="358"/>
      <c r="AJ3" s="359"/>
      <c r="AK3" s="360" t="s">
        <v>1474</v>
      </c>
      <c r="AL3" s="361"/>
      <c r="AM3" s="361"/>
      <c r="AN3" s="361"/>
      <c r="AO3" s="361"/>
      <c r="AP3" s="362"/>
      <c r="AR3" s="14" t="s">
        <v>481</v>
      </c>
      <c r="AS3" s="357">
        <v>45937</v>
      </c>
      <c r="AT3" s="358"/>
      <c r="AU3" s="358"/>
      <c r="AV3" s="358"/>
      <c r="AW3" s="358"/>
      <c r="AX3" s="359"/>
      <c r="AY3" s="360" t="s">
        <v>1474</v>
      </c>
      <c r="AZ3" s="361"/>
      <c r="BA3" s="361"/>
      <c r="BB3" s="361"/>
      <c r="BC3" s="361"/>
      <c r="BD3" s="362"/>
      <c r="BF3" s="14" t="s">
        <v>481</v>
      </c>
      <c r="BG3" s="357">
        <v>45938</v>
      </c>
      <c r="BH3" s="358"/>
      <c r="BI3" s="358"/>
      <c r="BJ3" s="358"/>
      <c r="BK3" s="358"/>
      <c r="BL3" s="359"/>
      <c r="BM3" s="360" t="s">
        <v>1474</v>
      </c>
      <c r="BN3" s="361"/>
      <c r="BO3" s="361"/>
      <c r="BP3" s="361"/>
      <c r="BQ3" s="361"/>
      <c r="BR3" s="362"/>
      <c r="BT3" s="14" t="s">
        <v>481</v>
      </c>
      <c r="BU3" s="357">
        <v>45939</v>
      </c>
      <c r="BV3" s="358"/>
      <c r="BW3" s="358"/>
      <c r="BX3" s="358"/>
      <c r="BY3" s="358"/>
      <c r="BZ3" s="359"/>
      <c r="CA3" s="360" t="s">
        <v>1474</v>
      </c>
      <c r="CB3" s="361"/>
      <c r="CC3" s="361"/>
      <c r="CD3" s="361"/>
      <c r="CE3" s="361"/>
      <c r="CF3" s="362"/>
      <c r="CH3" s="14" t="s">
        <v>481</v>
      </c>
      <c r="CI3" s="375">
        <v>45940</v>
      </c>
      <c r="CJ3" s="375"/>
      <c r="CK3" s="375"/>
      <c r="CL3" s="375"/>
      <c r="CM3" s="376"/>
      <c r="CN3" s="371" t="s">
        <v>1474</v>
      </c>
      <c r="CO3" s="372"/>
      <c r="CP3" s="372"/>
      <c r="CQ3" s="372"/>
      <c r="CR3" s="373"/>
      <c r="CT3" s="14" t="s">
        <v>481</v>
      </c>
      <c r="CU3" s="357">
        <v>45942</v>
      </c>
      <c r="CV3" s="358"/>
      <c r="CW3" s="358"/>
      <c r="CX3" s="358"/>
      <c r="CY3" s="358"/>
      <c r="CZ3" s="359"/>
      <c r="DA3" s="360" t="s">
        <v>1474</v>
      </c>
      <c r="DB3" s="361"/>
      <c r="DC3" s="361"/>
      <c r="DD3" s="361"/>
      <c r="DE3" s="361"/>
      <c r="DF3" s="362"/>
      <c r="DH3" s="14" t="s">
        <v>481</v>
      </c>
      <c r="DI3" s="357">
        <v>45943</v>
      </c>
      <c r="DJ3" s="358"/>
      <c r="DK3" s="358"/>
      <c r="DL3" s="358"/>
      <c r="DM3" s="358"/>
      <c r="DN3" s="359"/>
      <c r="DO3" s="360" t="s">
        <v>1474</v>
      </c>
      <c r="DP3" s="361"/>
      <c r="DQ3" s="361"/>
      <c r="DR3" s="361"/>
      <c r="DS3" s="361"/>
      <c r="DT3" s="362"/>
      <c r="DV3" s="14" t="s">
        <v>481</v>
      </c>
      <c r="DW3" s="357">
        <v>45944</v>
      </c>
      <c r="DX3" s="358"/>
      <c r="DY3" s="358"/>
      <c r="DZ3" s="358"/>
      <c r="EA3" s="358"/>
      <c r="EB3" s="358"/>
      <c r="EC3" s="359"/>
      <c r="ED3" s="360" t="s">
        <v>1474</v>
      </c>
      <c r="EE3" s="361"/>
      <c r="EF3" s="361"/>
      <c r="EG3" s="361"/>
      <c r="EH3" s="361"/>
      <c r="EI3" s="361"/>
      <c r="EJ3" s="362"/>
      <c r="EL3" s="14" t="s">
        <v>481</v>
      </c>
      <c r="EM3" s="357">
        <v>45945</v>
      </c>
      <c r="EN3" s="358"/>
      <c r="EO3" s="358"/>
      <c r="EP3" s="358"/>
      <c r="EQ3" s="358"/>
      <c r="ER3" s="358"/>
      <c r="ES3" s="359"/>
      <c r="ET3" s="360" t="s">
        <v>1474</v>
      </c>
      <c r="EU3" s="361"/>
      <c r="EV3" s="361"/>
      <c r="EW3" s="361"/>
      <c r="EX3" s="361"/>
      <c r="EY3" s="361"/>
      <c r="EZ3" s="362"/>
      <c r="FB3" s="14" t="s">
        <v>481</v>
      </c>
      <c r="FC3" s="357">
        <v>45946</v>
      </c>
      <c r="FD3" s="358"/>
      <c r="FE3" s="358"/>
      <c r="FF3" s="358"/>
      <c r="FG3" s="358"/>
      <c r="FH3" s="358"/>
      <c r="FI3" s="359"/>
      <c r="FJ3" s="360" t="s">
        <v>1474</v>
      </c>
      <c r="FK3" s="361"/>
      <c r="FL3" s="361"/>
      <c r="FM3" s="361"/>
      <c r="FN3" s="361"/>
      <c r="FO3" s="361"/>
      <c r="FP3" s="362"/>
      <c r="FR3" s="14" t="s">
        <v>481</v>
      </c>
      <c r="FS3" s="357">
        <v>45951</v>
      </c>
      <c r="FT3" s="358"/>
      <c r="FU3" s="358"/>
      <c r="FV3" s="358"/>
      <c r="FW3" s="358"/>
      <c r="FX3" s="358"/>
      <c r="FY3" s="359"/>
      <c r="FZ3" s="360" t="s">
        <v>1474</v>
      </c>
      <c r="GA3" s="361"/>
      <c r="GB3" s="361"/>
      <c r="GC3" s="361"/>
      <c r="GD3" s="361"/>
      <c r="GE3" s="361"/>
      <c r="GF3" s="362"/>
      <c r="GH3" s="14" t="s">
        <v>481</v>
      </c>
      <c r="GI3" s="357">
        <v>45955</v>
      </c>
      <c r="GJ3" s="358"/>
      <c r="GK3" s="358"/>
      <c r="GL3" s="358"/>
      <c r="GM3" s="358"/>
      <c r="GN3" s="358"/>
      <c r="GO3" s="359"/>
      <c r="GP3" s="360" t="s">
        <v>1474</v>
      </c>
      <c r="GQ3" s="361"/>
      <c r="GR3" s="361"/>
      <c r="GS3" s="361"/>
      <c r="GT3" s="361"/>
      <c r="GU3" s="361"/>
      <c r="GV3" s="362"/>
      <c r="GX3" s="14" t="s">
        <v>481</v>
      </c>
      <c r="GY3" s="357">
        <v>45957</v>
      </c>
      <c r="GZ3" s="358"/>
      <c r="HA3" s="358"/>
      <c r="HB3" s="358"/>
      <c r="HC3" s="358"/>
      <c r="HD3" s="358"/>
      <c r="HE3" s="359"/>
      <c r="HF3" s="360" t="s">
        <v>1474</v>
      </c>
      <c r="HG3" s="361"/>
      <c r="HH3" s="361"/>
      <c r="HI3" s="361"/>
      <c r="HJ3" s="361"/>
      <c r="HK3" s="361"/>
      <c r="HL3" s="362"/>
      <c r="HN3" s="14" t="s">
        <v>481</v>
      </c>
      <c r="HO3" s="357">
        <v>45958</v>
      </c>
      <c r="HP3" s="358"/>
      <c r="HQ3" s="358"/>
      <c r="HR3" s="358"/>
      <c r="HS3" s="358"/>
      <c r="HT3" s="358"/>
      <c r="HU3" s="359"/>
      <c r="HV3" s="360" t="s">
        <v>1474</v>
      </c>
      <c r="HW3" s="361"/>
      <c r="HX3" s="361"/>
      <c r="HY3" s="361"/>
      <c r="HZ3" s="361"/>
      <c r="IA3" s="361"/>
      <c r="IB3" s="362"/>
      <c r="ID3" s="14" t="s">
        <v>481</v>
      </c>
      <c r="IE3" s="357">
        <v>45959</v>
      </c>
      <c r="IF3" s="358"/>
      <c r="IG3" s="358"/>
      <c r="IH3" s="358"/>
      <c r="II3" s="358"/>
      <c r="IJ3" s="358"/>
      <c r="IK3" s="359"/>
      <c r="IL3" s="360" t="s">
        <v>1474</v>
      </c>
      <c r="IM3" s="361"/>
      <c r="IN3" s="361"/>
      <c r="IO3" s="361"/>
      <c r="IP3" s="361"/>
      <c r="IQ3" s="361"/>
      <c r="IR3" s="362"/>
      <c r="IT3" s="14" t="s">
        <v>481</v>
      </c>
      <c r="IU3" s="357">
        <v>45960</v>
      </c>
      <c r="IV3" s="358"/>
      <c r="IW3" s="358"/>
      <c r="IX3" s="358"/>
      <c r="IY3" s="358"/>
      <c r="IZ3" s="358"/>
      <c r="JA3" s="359"/>
      <c r="JB3" s="360" t="s">
        <v>1474</v>
      </c>
      <c r="JC3" s="361"/>
      <c r="JD3" s="361"/>
      <c r="JE3" s="361"/>
      <c r="JF3" s="361"/>
      <c r="JG3" s="361"/>
      <c r="JH3" s="362"/>
    </row>
    <row r="4" spans="2:275" ht="43.2" x14ac:dyDescent="0.3">
      <c r="B4" s="112" t="s">
        <v>551</v>
      </c>
      <c r="C4" s="107" t="s">
        <v>544</v>
      </c>
      <c r="D4" s="108" t="s">
        <v>548</v>
      </c>
      <c r="E4" s="108" t="s">
        <v>549</v>
      </c>
      <c r="F4" s="109" t="s">
        <v>546</v>
      </c>
      <c r="G4" s="109" t="s">
        <v>547</v>
      </c>
      <c r="H4" s="110" t="s">
        <v>462</v>
      </c>
      <c r="I4" s="107" t="s">
        <v>544</v>
      </c>
      <c r="J4" s="108" t="s">
        <v>548</v>
      </c>
      <c r="K4" s="108" t="s">
        <v>549</v>
      </c>
      <c r="L4" s="109" t="s">
        <v>546</v>
      </c>
      <c r="M4" s="109" t="s">
        <v>547</v>
      </c>
      <c r="N4" s="110" t="s">
        <v>462</v>
      </c>
      <c r="P4" s="112" t="s">
        <v>551</v>
      </c>
      <c r="Q4" s="107" t="s">
        <v>544</v>
      </c>
      <c r="R4" s="108" t="s">
        <v>548</v>
      </c>
      <c r="S4" s="108" t="s">
        <v>549</v>
      </c>
      <c r="T4" s="109" t="s">
        <v>546</v>
      </c>
      <c r="U4" s="109" t="s">
        <v>547</v>
      </c>
      <c r="V4" s="110" t="s">
        <v>462</v>
      </c>
      <c r="W4" s="107" t="s">
        <v>544</v>
      </c>
      <c r="X4" s="108" t="s">
        <v>548</v>
      </c>
      <c r="Y4" s="108" t="s">
        <v>549</v>
      </c>
      <c r="Z4" s="109" t="s">
        <v>1475</v>
      </c>
      <c r="AA4" s="109" t="s">
        <v>547</v>
      </c>
      <c r="AB4" s="110" t="s">
        <v>462</v>
      </c>
      <c r="AD4" s="112" t="s">
        <v>551</v>
      </c>
      <c r="AE4" s="107" t="s">
        <v>544</v>
      </c>
      <c r="AF4" s="108" t="s">
        <v>548</v>
      </c>
      <c r="AG4" s="108" t="s">
        <v>549</v>
      </c>
      <c r="AH4" s="109" t="s">
        <v>1475</v>
      </c>
      <c r="AI4" s="109" t="s">
        <v>547</v>
      </c>
      <c r="AJ4" s="110" t="s">
        <v>462</v>
      </c>
      <c r="AK4" s="107" t="s">
        <v>544</v>
      </c>
      <c r="AL4" s="108" t="s">
        <v>548</v>
      </c>
      <c r="AM4" s="108" t="s">
        <v>549</v>
      </c>
      <c r="AN4" s="109" t="s">
        <v>1475</v>
      </c>
      <c r="AO4" s="109" t="s">
        <v>547</v>
      </c>
      <c r="AP4" s="110" t="s">
        <v>462</v>
      </c>
      <c r="AR4" s="112" t="s">
        <v>551</v>
      </c>
      <c r="AS4" s="107" t="s">
        <v>544</v>
      </c>
      <c r="AT4" s="108" t="s">
        <v>548</v>
      </c>
      <c r="AU4" s="108" t="s">
        <v>549</v>
      </c>
      <c r="AV4" s="109" t="s">
        <v>1475</v>
      </c>
      <c r="AW4" s="109" t="s">
        <v>1518</v>
      </c>
      <c r="AX4" s="110" t="s">
        <v>462</v>
      </c>
      <c r="AY4" s="107" t="s">
        <v>544</v>
      </c>
      <c r="AZ4" s="108" t="s">
        <v>548</v>
      </c>
      <c r="BA4" s="108" t="s">
        <v>549</v>
      </c>
      <c r="BB4" s="109" t="s">
        <v>1475</v>
      </c>
      <c r="BC4" s="109" t="s">
        <v>1519</v>
      </c>
      <c r="BD4" s="110" t="s">
        <v>462</v>
      </c>
      <c r="BF4" s="112" t="s">
        <v>551</v>
      </c>
      <c r="BG4" s="107" t="s">
        <v>544</v>
      </c>
      <c r="BH4" s="108" t="s">
        <v>548</v>
      </c>
      <c r="BI4" s="108" t="s">
        <v>549</v>
      </c>
      <c r="BJ4" s="109" t="s">
        <v>1475</v>
      </c>
      <c r="BK4" s="109" t="s">
        <v>1518</v>
      </c>
      <c r="BL4" s="110" t="s">
        <v>462</v>
      </c>
      <c r="BM4" s="107" t="s">
        <v>544</v>
      </c>
      <c r="BN4" s="108" t="s">
        <v>548</v>
      </c>
      <c r="BO4" s="108" t="s">
        <v>549</v>
      </c>
      <c r="BP4" s="109" t="s">
        <v>1475</v>
      </c>
      <c r="BQ4" s="109" t="s">
        <v>1519</v>
      </c>
      <c r="BR4" s="110" t="s">
        <v>462</v>
      </c>
      <c r="BT4" s="112" t="s">
        <v>551</v>
      </c>
      <c r="BU4" s="107" t="s">
        <v>544</v>
      </c>
      <c r="BV4" s="108" t="s">
        <v>548</v>
      </c>
      <c r="BW4" s="108" t="s">
        <v>549</v>
      </c>
      <c r="BX4" s="109" t="s">
        <v>1475</v>
      </c>
      <c r="BY4" s="109" t="s">
        <v>1518</v>
      </c>
      <c r="BZ4" s="110" t="s">
        <v>462</v>
      </c>
      <c r="CA4" s="107" t="s">
        <v>544</v>
      </c>
      <c r="CB4" s="108" t="s">
        <v>548</v>
      </c>
      <c r="CC4" s="108" t="s">
        <v>549</v>
      </c>
      <c r="CD4" s="109" t="s">
        <v>1475</v>
      </c>
      <c r="CE4" s="109" t="s">
        <v>1519</v>
      </c>
      <c r="CF4" s="110" t="s">
        <v>462</v>
      </c>
      <c r="CH4" s="112" t="s">
        <v>551</v>
      </c>
      <c r="CI4" s="108" t="s">
        <v>548</v>
      </c>
      <c r="CJ4" s="108" t="s">
        <v>549</v>
      </c>
      <c r="CK4" s="109" t="s">
        <v>1475</v>
      </c>
      <c r="CL4" s="109" t="s">
        <v>1518</v>
      </c>
      <c r="CM4" s="110" t="s">
        <v>462</v>
      </c>
      <c r="CN4" s="108" t="s">
        <v>548</v>
      </c>
      <c r="CO4" s="108" t="s">
        <v>549</v>
      </c>
      <c r="CP4" s="109" t="s">
        <v>1475</v>
      </c>
      <c r="CQ4" s="109" t="s">
        <v>1519</v>
      </c>
      <c r="CR4" s="110" t="s">
        <v>462</v>
      </c>
      <c r="CT4" s="112" t="s">
        <v>551</v>
      </c>
      <c r="CU4" s="107" t="s">
        <v>544</v>
      </c>
      <c r="CV4" s="108" t="s">
        <v>548</v>
      </c>
      <c r="CW4" s="108" t="s">
        <v>549</v>
      </c>
      <c r="CX4" s="109" t="s">
        <v>1475</v>
      </c>
      <c r="CY4" s="109" t="s">
        <v>1518</v>
      </c>
      <c r="CZ4" s="110" t="s">
        <v>462</v>
      </c>
      <c r="DA4" s="107" t="s">
        <v>544</v>
      </c>
      <c r="DB4" s="108" t="s">
        <v>548</v>
      </c>
      <c r="DC4" s="108" t="s">
        <v>549</v>
      </c>
      <c r="DD4" s="109" t="s">
        <v>1475</v>
      </c>
      <c r="DE4" s="109" t="s">
        <v>1519</v>
      </c>
      <c r="DF4" s="110" t="s">
        <v>462</v>
      </c>
      <c r="DH4" s="112" t="s">
        <v>551</v>
      </c>
      <c r="DI4" s="107" t="s">
        <v>544</v>
      </c>
      <c r="DJ4" s="108" t="s">
        <v>548</v>
      </c>
      <c r="DK4" s="108" t="s">
        <v>549</v>
      </c>
      <c r="DL4" s="109" t="s">
        <v>1475</v>
      </c>
      <c r="DM4" s="109" t="s">
        <v>1518</v>
      </c>
      <c r="DN4" s="110" t="s">
        <v>462</v>
      </c>
      <c r="DO4" s="107" t="s">
        <v>544</v>
      </c>
      <c r="DP4" s="108" t="s">
        <v>548</v>
      </c>
      <c r="DQ4" s="108" t="s">
        <v>549</v>
      </c>
      <c r="DR4" s="109" t="s">
        <v>1475</v>
      </c>
      <c r="DS4" s="109" t="s">
        <v>1519</v>
      </c>
      <c r="DT4" s="110" t="s">
        <v>462</v>
      </c>
      <c r="DV4" s="112" t="s">
        <v>551</v>
      </c>
      <c r="DW4" s="107" t="s">
        <v>544</v>
      </c>
      <c r="DX4" s="108" t="s">
        <v>548</v>
      </c>
      <c r="DY4" s="108" t="s">
        <v>549</v>
      </c>
      <c r="DZ4" s="109" t="s">
        <v>1475</v>
      </c>
      <c r="EA4" s="109" t="s">
        <v>1527</v>
      </c>
      <c r="EB4" s="109" t="s">
        <v>1518</v>
      </c>
      <c r="EC4" s="110" t="s">
        <v>462</v>
      </c>
      <c r="ED4" s="107" t="s">
        <v>544</v>
      </c>
      <c r="EE4" s="108" t="s">
        <v>548</v>
      </c>
      <c r="EF4" s="108" t="s">
        <v>549</v>
      </c>
      <c r="EG4" s="109" t="s">
        <v>1475</v>
      </c>
      <c r="EH4" s="109" t="s">
        <v>1527</v>
      </c>
      <c r="EI4" s="109" t="s">
        <v>1519</v>
      </c>
      <c r="EJ4" s="110" t="s">
        <v>462</v>
      </c>
      <c r="EL4" s="112" t="s">
        <v>551</v>
      </c>
      <c r="EM4" s="107" t="s">
        <v>544</v>
      </c>
      <c r="EN4" s="108" t="s">
        <v>548</v>
      </c>
      <c r="EO4" s="108" t="s">
        <v>549</v>
      </c>
      <c r="EP4" s="109" t="s">
        <v>1475</v>
      </c>
      <c r="EQ4" s="109" t="s">
        <v>1527</v>
      </c>
      <c r="ER4" s="109" t="s">
        <v>1518</v>
      </c>
      <c r="ES4" s="110" t="s">
        <v>462</v>
      </c>
      <c r="ET4" s="107" t="s">
        <v>544</v>
      </c>
      <c r="EU4" s="108" t="s">
        <v>548</v>
      </c>
      <c r="EV4" s="108" t="s">
        <v>549</v>
      </c>
      <c r="EW4" s="109" t="s">
        <v>1475</v>
      </c>
      <c r="EX4" s="109" t="s">
        <v>1527</v>
      </c>
      <c r="EY4" s="109" t="s">
        <v>1518</v>
      </c>
      <c r="EZ4" s="110" t="s">
        <v>462</v>
      </c>
      <c r="FB4" s="112" t="s">
        <v>551</v>
      </c>
      <c r="FC4" s="107" t="s">
        <v>544</v>
      </c>
      <c r="FD4" s="108" t="s">
        <v>548</v>
      </c>
      <c r="FE4" s="108" t="s">
        <v>549</v>
      </c>
      <c r="FF4" s="109" t="s">
        <v>1475</v>
      </c>
      <c r="FG4" s="109" t="s">
        <v>1527</v>
      </c>
      <c r="FH4" s="109" t="s">
        <v>1518</v>
      </c>
      <c r="FI4" s="110" t="s">
        <v>462</v>
      </c>
      <c r="FJ4" s="107" t="s">
        <v>544</v>
      </c>
      <c r="FK4" s="108" t="s">
        <v>548</v>
      </c>
      <c r="FL4" s="108" t="s">
        <v>549</v>
      </c>
      <c r="FM4" s="109" t="s">
        <v>1475</v>
      </c>
      <c r="FN4" s="109" t="s">
        <v>1527</v>
      </c>
      <c r="FO4" s="109" t="s">
        <v>1518</v>
      </c>
      <c r="FP4" s="110" t="s">
        <v>462</v>
      </c>
      <c r="FR4" s="112" t="s">
        <v>551</v>
      </c>
      <c r="FS4" s="107" t="s">
        <v>544</v>
      </c>
      <c r="FT4" s="108" t="s">
        <v>548</v>
      </c>
      <c r="FU4" s="108" t="s">
        <v>549</v>
      </c>
      <c r="FV4" s="109" t="s">
        <v>1475</v>
      </c>
      <c r="FW4" s="109" t="s">
        <v>1527</v>
      </c>
      <c r="FX4" s="109" t="s">
        <v>1518</v>
      </c>
      <c r="FY4" s="110" t="s">
        <v>462</v>
      </c>
      <c r="FZ4" s="107" t="s">
        <v>544</v>
      </c>
      <c r="GA4" s="108" t="s">
        <v>548</v>
      </c>
      <c r="GB4" s="108" t="s">
        <v>549</v>
      </c>
      <c r="GC4" s="109" t="s">
        <v>1475</v>
      </c>
      <c r="GD4" s="109" t="s">
        <v>1527</v>
      </c>
      <c r="GE4" s="109" t="s">
        <v>1518</v>
      </c>
      <c r="GF4" s="110" t="s">
        <v>462</v>
      </c>
      <c r="GH4" s="112" t="s">
        <v>551</v>
      </c>
      <c r="GI4" s="107" t="s">
        <v>544</v>
      </c>
      <c r="GJ4" s="108" t="s">
        <v>548</v>
      </c>
      <c r="GK4" s="108" t="s">
        <v>549</v>
      </c>
      <c r="GL4" s="109" t="s">
        <v>1475</v>
      </c>
      <c r="GM4" s="109" t="s">
        <v>1527</v>
      </c>
      <c r="GN4" s="109" t="s">
        <v>1518</v>
      </c>
      <c r="GO4" s="110" t="s">
        <v>462</v>
      </c>
      <c r="GP4" s="107" t="s">
        <v>544</v>
      </c>
      <c r="GQ4" s="108" t="s">
        <v>548</v>
      </c>
      <c r="GR4" s="108" t="s">
        <v>549</v>
      </c>
      <c r="GS4" s="109" t="s">
        <v>1475</v>
      </c>
      <c r="GT4" s="109" t="s">
        <v>1527</v>
      </c>
      <c r="GU4" s="109" t="s">
        <v>1518</v>
      </c>
      <c r="GV4" s="110" t="s">
        <v>462</v>
      </c>
      <c r="GX4" s="112" t="s">
        <v>551</v>
      </c>
      <c r="GY4" s="107" t="s">
        <v>544</v>
      </c>
      <c r="GZ4" s="108" t="s">
        <v>548</v>
      </c>
      <c r="HA4" s="108" t="s">
        <v>549</v>
      </c>
      <c r="HB4" s="109" t="s">
        <v>1475</v>
      </c>
      <c r="HC4" s="109" t="s">
        <v>1527</v>
      </c>
      <c r="HD4" s="109" t="s">
        <v>1518</v>
      </c>
      <c r="HE4" s="110" t="s">
        <v>462</v>
      </c>
      <c r="HF4" s="107" t="s">
        <v>544</v>
      </c>
      <c r="HG4" s="108" t="s">
        <v>548</v>
      </c>
      <c r="HH4" s="108" t="s">
        <v>549</v>
      </c>
      <c r="HI4" s="109" t="s">
        <v>1475</v>
      </c>
      <c r="HJ4" s="109" t="s">
        <v>1527</v>
      </c>
      <c r="HK4" s="109" t="s">
        <v>1518</v>
      </c>
      <c r="HL4" s="110" t="s">
        <v>462</v>
      </c>
      <c r="HN4" s="112" t="s">
        <v>551</v>
      </c>
      <c r="HO4" s="107" t="s">
        <v>544</v>
      </c>
      <c r="HP4" s="108" t="s">
        <v>548</v>
      </c>
      <c r="HQ4" s="108" t="s">
        <v>549</v>
      </c>
      <c r="HR4" s="109" t="s">
        <v>1475</v>
      </c>
      <c r="HS4" s="109" t="s">
        <v>1527</v>
      </c>
      <c r="HT4" s="109" t="s">
        <v>1518</v>
      </c>
      <c r="HU4" s="110" t="s">
        <v>462</v>
      </c>
      <c r="HV4" s="107" t="s">
        <v>544</v>
      </c>
      <c r="HW4" s="108" t="s">
        <v>548</v>
      </c>
      <c r="HX4" s="108" t="s">
        <v>549</v>
      </c>
      <c r="HY4" s="109" t="s">
        <v>1475</v>
      </c>
      <c r="HZ4" s="109" t="s">
        <v>1527</v>
      </c>
      <c r="IA4" s="109" t="s">
        <v>1518</v>
      </c>
      <c r="IB4" s="110" t="s">
        <v>462</v>
      </c>
      <c r="ID4" s="112" t="s">
        <v>551</v>
      </c>
      <c r="IE4" s="107" t="s">
        <v>544</v>
      </c>
      <c r="IF4" s="108" t="s">
        <v>548</v>
      </c>
      <c r="IG4" s="108" t="s">
        <v>549</v>
      </c>
      <c r="IH4" s="109" t="s">
        <v>1475</v>
      </c>
      <c r="II4" s="109" t="s">
        <v>1527</v>
      </c>
      <c r="IJ4" s="109" t="s">
        <v>1518</v>
      </c>
      <c r="IK4" s="110" t="s">
        <v>462</v>
      </c>
      <c r="IL4" s="107" t="s">
        <v>544</v>
      </c>
      <c r="IM4" s="108" t="s">
        <v>548</v>
      </c>
      <c r="IN4" s="108" t="s">
        <v>549</v>
      </c>
      <c r="IO4" s="109" t="s">
        <v>1475</v>
      </c>
      <c r="IP4" s="109" t="s">
        <v>1527</v>
      </c>
      <c r="IQ4" s="109" t="s">
        <v>1518</v>
      </c>
      <c r="IR4" s="110" t="s">
        <v>462</v>
      </c>
      <c r="IT4" s="112" t="s">
        <v>551</v>
      </c>
      <c r="IU4" s="107" t="s">
        <v>544</v>
      </c>
      <c r="IV4" s="108" t="s">
        <v>548</v>
      </c>
      <c r="IW4" s="108" t="s">
        <v>549</v>
      </c>
      <c r="IX4" s="109" t="s">
        <v>1475</v>
      </c>
      <c r="IY4" s="109" t="s">
        <v>1527</v>
      </c>
      <c r="IZ4" s="109" t="s">
        <v>1518</v>
      </c>
      <c r="JA4" s="110" t="s">
        <v>462</v>
      </c>
      <c r="JB4" s="107" t="s">
        <v>544</v>
      </c>
      <c r="JC4" s="108" t="s">
        <v>548</v>
      </c>
      <c r="JD4" s="108" t="s">
        <v>549</v>
      </c>
      <c r="JE4" s="109" t="s">
        <v>1475</v>
      </c>
      <c r="JF4" s="109" t="s">
        <v>1527</v>
      </c>
      <c r="JG4" s="109" t="s">
        <v>1518</v>
      </c>
      <c r="JH4" s="110" t="s">
        <v>462</v>
      </c>
    </row>
    <row r="5" spans="2:275" x14ac:dyDescent="0.3">
      <c r="B5" s="113" t="s">
        <v>550</v>
      </c>
      <c r="C5" s="77">
        <v>0</v>
      </c>
      <c r="D5" s="78">
        <v>8817</v>
      </c>
      <c r="E5" s="78">
        <v>385</v>
      </c>
      <c r="F5" s="78">
        <v>1553</v>
      </c>
      <c r="G5" s="78">
        <v>0</v>
      </c>
      <c r="H5" s="79">
        <v>10755</v>
      </c>
      <c r="I5" s="80">
        <v>0</v>
      </c>
      <c r="J5" s="80">
        <v>8817</v>
      </c>
      <c r="K5" s="80">
        <v>385</v>
      </c>
      <c r="L5" s="78">
        <v>1553</v>
      </c>
      <c r="M5" s="144">
        <v>0</v>
      </c>
      <c r="N5" s="79">
        <v>10755</v>
      </c>
      <c r="P5" s="113" t="s">
        <v>550</v>
      </c>
      <c r="Q5" s="77">
        <v>0</v>
      </c>
      <c r="R5" s="78">
        <v>7153</v>
      </c>
      <c r="S5" s="78">
        <v>0</v>
      </c>
      <c r="T5" s="78">
        <v>4094</v>
      </c>
      <c r="U5" s="78">
        <v>0</v>
      </c>
      <c r="V5" s="79">
        <v>11247</v>
      </c>
      <c r="W5" s="80">
        <v>0</v>
      </c>
      <c r="X5" s="80">
        <v>15970</v>
      </c>
      <c r="Y5" s="80">
        <v>385</v>
      </c>
      <c r="Z5" s="78">
        <v>5647</v>
      </c>
      <c r="AA5" s="144">
        <v>0</v>
      </c>
      <c r="AB5" s="79">
        <v>22002</v>
      </c>
      <c r="AC5" s="17"/>
      <c r="AD5" s="113" t="s">
        <v>550</v>
      </c>
      <c r="AE5" s="77">
        <v>0</v>
      </c>
      <c r="AF5" s="78">
        <v>16932</v>
      </c>
      <c r="AG5" s="78">
        <v>1610</v>
      </c>
      <c r="AH5" s="78">
        <v>1916</v>
      </c>
      <c r="AI5" s="78">
        <v>0</v>
      </c>
      <c r="AJ5" s="79">
        <v>20458</v>
      </c>
      <c r="AK5" s="80">
        <v>0</v>
      </c>
      <c r="AL5" s="80">
        <v>32902</v>
      </c>
      <c r="AM5" s="80">
        <v>1995</v>
      </c>
      <c r="AN5" s="78">
        <v>7563</v>
      </c>
      <c r="AO5" s="144">
        <v>0</v>
      </c>
      <c r="AP5" s="79">
        <v>42460</v>
      </c>
      <c r="AQ5" s="17"/>
      <c r="AR5" s="113" t="s">
        <v>550</v>
      </c>
      <c r="AS5" s="77">
        <v>0</v>
      </c>
      <c r="AT5" s="78">
        <v>11514</v>
      </c>
      <c r="AU5" s="78">
        <v>1050</v>
      </c>
      <c r="AV5" s="78">
        <v>2096</v>
      </c>
      <c r="AW5" s="78">
        <v>500</v>
      </c>
      <c r="AX5" s="79">
        <v>15160</v>
      </c>
      <c r="AY5" s="80">
        <v>0</v>
      </c>
      <c r="AZ5" s="80">
        <v>44416</v>
      </c>
      <c r="BA5" s="80">
        <v>3045</v>
      </c>
      <c r="BB5" s="78">
        <v>9659</v>
      </c>
      <c r="BC5" s="78">
        <v>500</v>
      </c>
      <c r="BD5" s="79">
        <v>57620</v>
      </c>
      <c r="BE5" s="17"/>
      <c r="BF5" s="113" t="s">
        <v>550</v>
      </c>
      <c r="BG5" s="77">
        <v>0</v>
      </c>
      <c r="BH5" s="78">
        <v>11260</v>
      </c>
      <c r="BI5" s="78">
        <v>1322</v>
      </c>
      <c r="BJ5" s="78">
        <v>4539</v>
      </c>
      <c r="BK5" s="78">
        <v>0</v>
      </c>
      <c r="BL5" s="79">
        <v>17121</v>
      </c>
      <c r="BM5" s="80">
        <v>0</v>
      </c>
      <c r="BN5" s="80">
        <v>55676</v>
      </c>
      <c r="BO5" s="80">
        <v>4367</v>
      </c>
      <c r="BP5" s="78">
        <v>14198</v>
      </c>
      <c r="BQ5" s="78">
        <v>500</v>
      </c>
      <c r="BR5" s="79">
        <v>74741</v>
      </c>
      <c r="BS5" s="17"/>
      <c r="BT5" s="113" t="s">
        <v>550</v>
      </c>
      <c r="BU5" s="77">
        <v>0</v>
      </c>
      <c r="BV5" s="78">
        <v>11310</v>
      </c>
      <c r="BW5" s="78">
        <v>952</v>
      </c>
      <c r="BX5" s="78">
        <v>8593</v>
      </c>
      <c r="BY5" s="78">
        <v>0</v>
      </c>
      <c r="BZ5" s="79">
        <v>20855</v>
      </c>
      <c r="CA5" s="80">
        <v>0</v>
      </c>
      <c r="CB5" s="80">
        <v>66986</v>
      </c>
      <c r="CC5" s="80">
        <v>5319</v>
      </c>
      <c r="CD5" s="78">
        <v>22791</v>
      </c>
      <c r="CE5" s="78">
        <v>500</v>
      </c>
      <c r="CF5" s="79">
        <v>95596</v>
      </c>
      <c r="CG5" s="17"/>
      <c r="CH5" s="113" t="s">
        <v>550</v>
      </c>
      <c r="CI5" s="78">
        <v>10980</v>
      </c>
      <c r="CJ5" s="78">
        <v>864</v>
      </c>
      <c r="CK5" s="78">
        <v>3888</v>
      </c>
      <c r="CL5" s="78">
        <v>200</v>
      </c>
      <c r="CM5" s="79">
        <v>15932</v>
      </c>
      <c r="CN5" s="80">
        <v>77966</v>
      </c>
      <c r="CO5" s="80">
        <v>6183</v>
      </c>
      <c r="CP5" s="78">
        <v>26679</v>
      </c>
      <c r="CQ5" s="78">
        <v>700</v>
      </c>
      <c r="CR5" s="79">
        <v>111528</v>
      </c>
      <c r="CT5" s="113" t="s">
        <v>550</v>
      </c>
      <c r="CU5" s="77">
        <v>3000</v>
      </c>
      <c r="CV5" s="78">
        <v>9894</v>
      </c>
      <c r="CW5" s="78">
        <v>933</v>
      </c>
      <c r="CX5" s="78">
        <v>3908</v>
      </c>
      <c r="CY5" s="78">
        <v>0</v>
      </c>
      <c r="CZ5" s="79">
        <v>17735</v>
      </c>
      <c r="DA5" s="80">
        <v>3000</v>
      </c>
      <c r="DB5" s="80">
        <v>87860</v>
      </c>
      <c r="DC5" s="80">
        <v>7116</v>
      </c>
      <c r="DD5" s="78">
        <v>30587</v>
      </c>
      <c r="DE5" s="78">
        <v>700</v>
      </c>
      <c r="DF5" s="79">
        <v>129263</v>
      </c>
      <c r="DG5" s="17"/>
      <c r="DH5" s="113" t="s">
        <v>550</v>
      </c>
      <c r="DI5" s="77">
        <v>0</v>
      </c>
      <c r="DJ5" s="78">
        <v>12095</v>
      </c>
      <c r="DK5" s="78">
        <v>1635</v>
      </c>
      <c r="DL5" s="78">
        <v>1768</v>
      </c>
      <c r="DM5" s="78">
        <v>0</v>
      </c>
      <c r="DN5" s="79">
        <v>15498</v>
      </c>
      <c r="DO5" s="80">
        <v>3000</v>
      </c>
      <c r="DP5" s="80">
        <v>99955</v>
      </c>
      <c r="DQ5" s="80">
        <v>8751</v>
      </c>
      <c r="DR5" s="78">
        <v>32355</v>
      </c>
      <c r="DS5" s="78">
        <v>700</v>
      </c>
      <c r="DT5" s="79">
        <v>144761</v>
      </c>
      <c r="DU5" s="17"/>
      <c r="DV5" s="113" t="s">
        <v>550</v>
      </c>
      <c r="DW5" s="77">
        <v>0</v>
      </c>
      <c r="DX5" s="78">
        <v>9176</v>
      </c>
      <c r="DY5" s="78">
        <v>1015</v>
      </c>
      <c r="DZ5" s="78">
        <v>4796</v>
      </c>
      <c r="EA5" s="78">
        <v>100</v>
      </c>
      <c r="EB5" s="78">
        <v>0</v>
      </c>
      <c r="EC5" s="79">
        <v>15087</v>
      </c>
      <c r="ED5" s="80">
        <v>3000</v>
      </c>
      <c r="EE5" s="80">
        <v>109131</v>
      </c>
      <c r="EF5" s="80">
        <v>9766</v>
      </c>
      <c r="EG5" s="78">
        <v>37151</v>
      </c>
      <c r="EH5" s="78">
        <v>100</v>
      </c>
      <c r="EI5" s="78">
        <v>700</v>
      </c>
      <c r="EJ5" s="79">
        <v>159848</v>
      </c>
      <c r="EK5" s="17"/>
      <c r="EL5" s="113" t="s">
        <v>550</v>
      </c>
      <c r="EM5" s="77">
        <v>0</v>
      </c>
      <c r="EN5" s="78">
        <v>9932</v>
      </c>
      <c r="EO5" s="78">
        <v>315</v>
      </c>
      <c r="EP5" s="78">
        <v>3736</v>
      </c>
      <c r="EQ5" s="78">
        <v>0</v>
      </c>
      <c r="ER5" s="78">
        <v>0</v>
      </c>
      <c r="ES5" s="79">
        <v>13983</v>
      </c>
      <c r="ET5" s="80">
        <v>3000</v>
      </c>
      <c r="EU5" s="80">
        <v>119063</v>
      </c>
      <c r="EV5" s="80">
        <v>10081</v>
      </c>
      <c r="EW5" s="78">
        <v>40887</v>
      </c>
      <c r="EX5" s="78">
        <v>100</v>
      </c>
      <c r="EY5" s="78">
        <v>700</v>
      </c>
      <c r="EZ5" s="79">
        <v>173831</v>
      </c>
      <c r="FA5" s="17"/>
      <c r="FB5" s="113" t="s">
        <v>550</v>
      </c>
      <c r="FC5" s="77">
        <v>1000</v>
      </c>
      <c r="FD5" s="78">
        <v>10791</v>
      </c>
      <c r="FE5" s="78">
        <v>805</v>
      </c>
      <c r="FF5" s="78">
        <v>4465</v>
      </c>
      <c r="FG5" s="78">
        <v>0</v>
      </c>
      <c r="FH5" s="78">
        <v>0</v>
      </c>
      <c r="FI5" s="79">
        <v>17061</v>
      </c>
      <c r="FJ5" s="80">
        <v>4000</v>
      </c>
      <c r="FK5" s="80">
        <v>129854</v>
      </c>
      <c r="FL5" s="80">
        <v>10886</v>
      </c>
      <c r="FM5" s="78">
        <v>45352</v>
      </c>
      <c r="FN5" s="78">
        <v>100</v>
      </c>
      <c r="FO5" s="78">
        <v>700</v>
      </c>
      <c r="FP5" s="79">
        <v>190892</v>
      </c>
      <c r="FQ5" s="17"/>
      <c r="FR5" s="113" t="s">
        <v>550</v>
      </c>
      <c r="FS5" s="77">
        <v>3500</v>
      </c>
      <c r="FT5" s="78">
        <v>6424</v>
      </c>
      <c r="FU5" s="78">
        <v>840</v>
      </c>
      <c r="FV5" s="78">
        <v>8700</v>
      </c>
      <c r="FW5" s="78">
        <v>0</v>
      </c>
      <c r="FX5" s="78">
        <v>0</v>
      </c>
      <c r="FY5" s="79">
        <v>19464</v>
      </c>
      <c r="FZ5" s="80">
        <v>11000</v>
      </c>
      <c r="GA5" s="80">
        <v>165184</v>
      </c>
      <c r="GB5" s="80">
        <v>14756</v>
      </c>
      <c r="GC5" s="78">
        <v>63298</v>
      </c>
      <c r="GD5" s="78">
        <v>100</v>
      </c>
      <c r="GE5" s="78">
        <v>700</v>
      </c>
      <c r="GF5" s="79">
        <v>255038</v>
      </c>
      <c r="GG5" s="17"/>
      <c r="GH5" s="113" t="s">
        <v>550</v>
      </c>
      <c r="GI5" s="77">
        <v>0</v>
      </c>
      <c r="GJ5" s="78">
        <v>4585</v>
      </c>
      <c r="GK5" s="78">
        <v>945</v>
      </c>
      <c r="GL5" s="78">
        <v>7208</v>
      </c>
      <c r="GM5" s="78">
        <v>0</v>
      </c>
      <c r="GN5" s="78">
        <v>0</v>
      </c>
      <c r="GO5" s="79">
        <v>12738</v>
      </c>
      <c r="GP5" s="80">
        <v>11000</v>
      </c>
      <c r="GQ5" s="80">
        <v>175075</v>
      </c>
      <c r="GR5" s="80">
        <v>16541</v>
      </c>
      <c r="GS5" s="78">
        <v>70506</v>
      </c>
      <c r="GT5" s="78">
        <v>100</v>
      </c>
      <c r="GU5" s="78">
        <v>700</v>
      </c>
      <c r="GV5" s="79">
        <v>273922</v>
      </c>
      <c r="GW5" s="17"/>
      <c r="GX5" s="113" t="s">
        <v>550</v>
      </c>
      <c r="GY5" s="77">
        <v>2000</v>
      </c>
      <c r="GZ5" s="78">
        <v>9908</v>
      </c>
      <c r="HA5" s="78">
        <v>990</v>
      </c>
      <c r="HB5" s="78">
        <v>3248</v>
      </c>
      <c r="HC5" s="78">
        <v>0</v>
      </c>
      <c r="HD5" s="78">
        <v>0</v>
      </c>
      <c r="HE5" s="79">
        <v>16146</v>
      </c>
      <c r="HF5" s="80">
        <v>13000</v>
      </c>
      <c r="HG5" s="80">
        <v>184983</v>
      </c>
      <c r="HH5" s="80">
        <v>17531</v>
      </c>
      <c r="HI5" s="78">
        <v>73754</v>
      </c>
      <c r="HJ5" s="78">
        <v>100</v>
      </c>
      <c r="HK5" s="78">
        <v>700</v>
      </c>
      <c r="HL5" s="79">
        <v>290068</v>
      </c>
      <c r="HM5" s="17"/>
      <c r="HN5" s="113" t="s">
        <v>550</v>
      </c>
      <c r="HO5" s="77">
        <v>0</v>
      </c>
      <c r="HP5" s="78">
        <v>8364</v>
      </c>
      <c r="HQ5" s="78">
        <v>895</v>
      </c>
      <c r="HR5" s="78">
        <v>10304</v>
      </c>
      <c r="HS5" s="78">
        <v>0</v>
      </c>
      <c r="HT5" s="78">
        <v>0</v>
      </c>
      <c r="HU5" s="79">
        <v>19563</v>
      </c>
      <c r="HV5" s="80">
        <v>13000</v>
      </c>
      <c r="HW5" s="80">
        <v>193347</v>
      </c>
      <c r="HX5" s="80">
        <v>18426</v>
      </c>
      <c r="HY5" s="78">
        <v>84058</v>
      </c>
      <c r="HZ5" s="78">
        <v>100</v>
      </c>
      <c r="IA5" s="78">
        <v>700</v>
      </c>
      <c r="IB5" s="79">
        <v>309631</v>
      </c>
      <c r="IC5" s="17"/>
      <c r="ID5" s="113" t="s">
        <v>550</v>
      </c>
      <c r="IE5" s="77">
        <v>0</v>
      </c>
      <c r="IF5" s="78">
        <v>6966</v>
      </c>
      <c r="IG5" s="78">
        <v>0</v>
      </c>
      <c r="IH5" s="78">
        <v>3840</v>
      </c>
      <c r="II5" s="78">
        <v>0</v>
      </c>
      <c r="IJ5" s="78">
        <v>0</v>
      </c>
      <c r="IK5" s="79">
        <v>10806</v>
      </c>
      <c r="IL5" s="80">
        <v>13000</v>
      </c>
      <c r="IM5" s="80">
        <v>200313</v>
      </c>
      <c r="IN5" s="80">
        <v>18426</v>
      </c>
      <c r="IO5" s="78">
        <v>87898</v>
      </c>
      <c r="IP5" s="78">
        <v>100</v>
      </c>
      <c r="IQ5" s="78">
        <v>700</v>
      </c>
      <c r="IR5" s="79">
        <v>320437</v>
      </c>
      <c r="IS5" s="17"/>
      <c r="IT5" s="113" t="s">
        <v>550</v>
      </c>
      <c r="IU5" s="77">
        <v>2070</v>
      </c>
      <c r="IV5" s="78">
        <v>2075</v>
      </c>
      <c r="IW5" s="78">
        <v>0</v>
      </c>
      <c r="IX5" s="78">
        <v>3360</v>
      </c>
      <c r="IY5" s="78">
        <v>0</v>
      </c>
      <c r="IZ5" s="78">
        <v>0</v>
      </c>
      <c r="JA5" s="79">
        <v>7505</v>
      </c>
      <c r="JB5" s="80">
        <v>15070</v>
      </c>
      <c r="JC5" s="80">
        <v>202388</v>
      </c>
      <c r="JD5" s="80">
        <v>18426</v>
      </c>
      <c r="JE5" s="78">
        <v>91258</v>
      </c>
      <c r="JF5" s="78">
        <v>100</v>
      </c>
      <c r="JG5" s="78">
        <v>700</v>
      </c>
      <c r="JH5" s="79">
        <v>327942</v>
      </c>
      <c r="JI5" s="17">
        <f>JB5-IU5-IL5</f>
        <v>0</v>
      </c>
      <c r="JJ5" s="17">
        <f t="shared" ref="JJ5:JO11" si="0">JC5-IV5-IM5</f>
        <v>0</v>
      </c>
      <c r="JK5" s="17">
        <f t="shared" si="0"/>
        <v>0</v>
      </c>
      <c r="JL5" s="17">
        <f t="shared" si="0"/>
        <v>0</v>
      </c>
      <c r="JM5" s="17">
        <f t="shared" si="0"/>
        <v>0</v>
      </c>
      <c r="JN5" s="17">
        <f t="shared" si="0"/>
        <v>0</v>
      </c>
      <c r="JO5" s="17">
        <f t="shared" si="0"/>
        <v>0</v>
      </c>
    </row>
    <row r="6" spans="2:275" x14ac:dyDescent="0.3">
      <c r="B6" s="114" t="s">
        <v>499</v>
      </c>
      <c r="C6" s="31">
        <v>0</v>
      </c>
      <c r="D6" s="18">
        <v>3340.0079699999997</v>
      </c>
      <c r="E6" s="18">
        <v>483.32792000000001</v>
      </c>
      <c r="F6" s="18">
        <v>233.29166000000001</v>
      </c>
      <c r="G6" s="18">
        <v>0</v>
      </c>
      <c r="H6" s="19">
        <v>4056.6275499999997</v>
      </c>
      <c r="I6" s="28">
        <v>0</v>
      </c>
      <c r="J6" s="18">
        <v>3340.0079699999997</v>
      </c>
      <c r="K6" s="18">
        <v>483.32792000000001</v>
      </c>
      <c r="L6" s="51">
        <v>233.29166000000001</v>
      </c>
      <c r="M6" s="143">
        <v>0</v>
      </c>
      <c r="N6" s="19">
        <v>4056.6275499999997</v>
      </c>
      <c r="P6" s="114" t="s">
        <v>499</v>
      </c>
      <c r="Q6" s="31">
        <v>0</v>
      </c>
      <c r="R6" s="18">
        <v>2798.5228400000005</v>
      </c>
      <c r="S6" s="18">
        <v>145.68040999999999</v>
      </c>
      <c r="T6" s="18">
        <v>652.82995999999991</v>
      </c>
      <c r="U6" s="18">
        <v>0</v>
      </c>
      <c r="V6" s="19">
        <v>3597.0332100000005</v>
      </c>
      <c r="W6" s="28">
        <v>0</v>
      </c>
      <c r="X6" s="18">
        <v>6138.5308099999993</v>
      </c>
      <c r="Y6" s="18">
        <v>629.00833</v>
      </c>
      <c r="Z6" s="51">
        <v>886.12162000000001</v>
      </c>
      <c r="AA6" s="143">
        <v>0</v>
      </c>
      <c r="AB6" s="19">
        <v>7653.6607599999988</v>
      </c>
      <c r="AC6" s="17"/>
      <c r="AD6" s="114" t="s">
        <v>499</v>
      </c>
      <c r="AE6" s="31">
        <v>0</v>
      </c>
      <c r="AF6" s="18">
        <v>6606.6694000000007</v>
      </c>
      <c r="AG6" s="18">
        <v>1630.1620999999998</v>
      </c>
      <c r="AH6" s="18">
        <v>287.82152000000002</v>
      </c>
      <c r="AI6" s="18">
        <v>0</v>
      </c>
      <c r="AJ6" s="19">
        <v>8524.6530199999997</v>
      </c>
      <c r="AK6" s="28">
        <v>0</v>
      </c>
      <c r="AL6" s="18">
        <v>12745.200210000001</v>
      </c>
      <c r="AM6" s="18">
        <v>2259.1704300000001</v>
      </c>
      <c r="AN6" s="51">
        <v>1173.9431400000001</v>
      </c>
      <c r="AO6" s="143">
        <v>0</v>
      </c>
      <c r="AP6" s="19">
        <v>16178.31378</v>
      </c>
      <c r="AQ6" s="17"/>
      <c r="AR6" s="114" t="s">
        <v>499</v>
      </c>
      <c r="AS6" s="31">
        <v>0</v>
      </c>
      <c r="AT6" s="18">
        <v>4418.2624299999998</v>
      </c>
      <c r="AU6" s="18">
        <v>1134.0518</v>
      </c>
      <c r="AV6" s="18">
        <v>311.70544000000001</v>
      </c>
      <c r="AW6" s="18">
        <v>270</v>
      </c>
      <c r="AX6" s="19">
        <v>6134.0196699999997</v>
      </c>
      <c r="AY6" s="28">
        <v>0</v>
      </c>
      <c r="AZ6" s="18">
        <v>17163.462640000002</v>
      </c>
      <c r="BA6" s="18">
        <v>3393.2222300000003</v>
      </c>
      <c r="BB6" s="51">
        <v>1485.6485799999998</v>
      </c>
      <c r="BC6" s="51">
        <v>270</v>
      </c>
      <c r="BD6" s="19">
        <v>22312.333450000002</v>
      </c>
      <c r="BE6" s="17"/>
      <c r="BF6" s="114" t="s">
        <v>499</v>
      </c>
      <c r="BG6" s="31">
        <v>0</v>
      </c>
      <c r="BH6" s="18">
        <v>4130.1478000000006</v>
      </c>
      <c r="BI6" s="18">
        <v>1272.48126</v>
      </c>
      <c r="BJ6" s="18">
        <v>711.72306000000003</v>
      </c>
      <c r="BK6" s="18">
        <v>0</v>
      </c>
      <c r="BL6" s="19">
        <v>6114.3521200000014</v>
      </c>
      <c r="BM6" s="28">
        <v>0</v>
      </c>
      <c r="BN6" s="18">
        <v>21293.61044</v>
      </c>
      <c r="BO6" s="18">
        <v>4665.703489999999</v>
      </c>
      <c r="BP6" s="51">
        <v>2197.3716400000003</v>
      </c>
      <c r="BQ6" s="51">
        <v>270</v>
      </c>
      <c r="BR6" s="19">
        <v>28426.685570000001</v>
      </c>
      <c r="BS6" s="17"/>
      <c r="BT6" s="114" t="s">
        <v>499</v>
      </c>
      <c r="BU6" s="31">
        <v>0</v>
      </c>
      <c r="BV6" s="18">
        <v>4196.4112999999998</v>
      </c>
      <c r="BW6" s="18">
        <v>1055.41248</v>
      </c>
      <c r="BX6" s="18">
        <v>1356.70534</v>
      </c>
      <c r="BY6" s="18">
        <v>0</v>
      </c>
      <c r="BZ6" s="19">
        <v>6608.5291199999992</v>
      </c>
      <c r="CA6" s="28">
        <v>0</v>
      </c>
      <c r="CB6" s="18">
        <v>25490.021740000004</v>
      </c>
      <c r="CC6" s="18">
        <v>5721.1159699999989</v>
      </c>
      <c r="CD6" s="51">
        <v>3554.0769800000003</v>
      </c>
      <c r="CE6" s="51">
        <v>270</v>
      </c>
      <c r="CF6" s="19">
        <v>35035.214690000001</v>
      </c>
      <c r="CG6" s="17"/>
      <c r="CH6" s="114" t="s">
        <v>499</v>
      </c>
      <c r="CI6" s="18">
        <v>4091.1962000000003</v>
      </c>
      <c r="CJ6" s="18">
        <v>772.17035999999996</v>
      </c>
      <c r="CK6" s="18">
        <v>647.17776000000003</v>
      </c>
      <c r="CL6" s="18">
        <v>143.6</v>
      </c>
      <c r="CM6" s="19">
        <v>5654.1443200000012</v>
      </c>
      <c r="CN6" s="18">
        <v>29581.217940000002</v>
      </c>
      <c r="CO6" s="18">
        <v>6493.286329999999</v>
      </c>
      <c r="CP6" s="51">
        <v>4201.2547400000003</v>
      </c>
      <c r="CQ6" s="51">
        <v>413.6</v>
      </c>
      <c r="CR6" s="19">
        <v>40689.359010000007</v>
      </c>
      <c r="CT6" s="114" t="s">
        <v>499</v>
      </c>
      <c r="CU6" s="31">
        <v>1977.93</v>
      </c>
      <c r="CV6" s="18">
        <v>3487.1789800000006</v>
      </c>
      <c r="CW6" s="18">
        <v>868.19362000000001</v>
      </c>
      <c r="CX6" s="18">
        <v>722.28608000000008</v>
      </c>
      <c r="CY6" s="18">
        <v>0</v>
      </c>
      <c r="CZ6" s="19">
        <v>7055.5886800000007</v>
      </c>
      <c r="DA6" s="28">
        <v>1977.93</v>
      </c>
      <c r="DB6" s="18">
        <v>33068.396920000007</v>
      </c>
      <c r="DC6" s="18">
        <v>7361.4799499999999</v>
      </c>
      <c r="DD6" s="51">
        <v>4923.5408200000002</v>
      </c>
      <c r="DE6" s="51">
        <v>413.6</v>
      </c>
      <c r="DF6" s="19">
        <v>47744.947690000008</v>
      </c>
      <c r="DG6" s="17"/>
      <c r="DH6" s="114" t="s">
        <v>499</v>
      </c>
      <c r="DI6" s="31">
        <v>0</v>
      </c>
      <c r="DJ6" s="18">
        <v>4684.8408400000008</v>
      </c>
      <c r="DK6" s="18">
        <v>1600.2006999999999</v>
      </c>
      <c r="DL6" s="18">
        <v>288.97432000000003</v>
      </c>
      <c r="DM6" s="18">
        <v>0</v>
      </c>
      <c r="DN6" s="19">
        <v>6574.0158600000004</v>
      </c>
      <c r="DO6" s="28">
        <v>1977.93</v>
      </c>
      <c r="DP6" s="18">
        <v>37753.237760000004</v>
      </c>
      <c r="DQ6" s="18">
        <v>8961.6806500000002</v>
      </c>
      <c r="DR6" s="51">
        <v>5212.5151400000004</v>
      </c>
      <c r="DS6" s="51">
        <v>413.6</v>
      </c>
      <c r="DT6" s="19">
        <v>54318.963550000008</v>
      </c>
      <c r="DU6" s="17"/>
      <c r="DV6" s="114" t="s">
        <v>499</v>
      </c>
      <c r="DW6" s="31">
        <v>0</v>
      </c>
      <c r="DX6" s="18">
        <v>3658.4440499999996</v>
      </c>
      <c r="DY6" s="18">
        <v>916.61209999999994</v>
      </c>
      <c r="DZ6" s="18">
        <v>791.71924000000001</v>
      </c>
      <c r="EA6" s="18">
        <v>13.545999999999999</v>
      </c>
      <c r="EB6" s="18">
        <v>0</v>
      </c>
      <c r="EC6" s="19">
        <v>5380.3213900000001</v>
      </c>
      <c r="ED6" s="28">
        <v>1977.93</v>
      </c>
      <c r="EE6" s="18">
        <v>41411.681810000016</v>
      </c>
      <c r="EF6" s="18">
        <v>9878.2927500000005</v>
      </c>
      <c r="EG6" s="51">
        <v>6004.2343799999999</v>
      </c>
      <c r="EH6" s="51">
        <v>13.545999999999999</v>
      </c>
      <c r="EI6" s="51">
        <v>413.6</v>
      </c>
      <c r="EJ6" s="19">
        <v>59699.28494000002</v>
      </c>
      <c r="EK6" s="17"/>
      <c r="EL6" s="114" t="s">
        <v>499</v>
      </c>
      <c r="EM6" s="31">
        <v>0</v>
      </c>
      <c r="EN6" s="18">
        <v>3693.5759599999997</v>
      </c>
      <c r="EO6" s="18">
        <v>322.27629999999999</v>
      </c>
      <c r="EP6" s="18">
        <v>608.74383999999998</v>
      </c>
      <c r="EQ6" s="18">
        <v>0</v>
      </c>
      <c r="ER6" s="18">
        <v>0</v>
      </c>
      <c r="ES6" s="19">
        <v>4624.5960999999998</v>
      </c>
      <c r="ET6" s="28">
        <v>1977.93</v>
      </c>
      <c r="EU6" s="18">
        <v>45105.257770000018</v>
      </c>
      <c r="EV6" s="18">
        <v>10200.56905</v>
      </c>
      <c r="EW6" s="51">
        <v>6612.97822</v>
      </c>
      <c r="EX6" s="51">
        <v>13.545999999999999</v>
      </c>
      <c r="EY6" s="51">
        <v>413.6</v>
      </c>
      <c r="EZ6" s="19">
        <v>64323.881040000015</v>
      </c>
      <c r="FA6" s="17"/>
      <c r="FB6" s="114" t="s">
        <v>499</v>
      </c>
      <c r="FC6" s="31">
        <v>659.3</v>
      </c>
      <c r="FD6" s="18">
        <v>4111.8310600000004</v>
      </c>
      <c r="FE6" s="18">
        <v>752.51614999999993</v>
      </c>
      <c r="FF6" s="18">
        <v>757.15311999999994</v>
      </c>
      <c r="FG6" s="18">
        <v>0</v>
      </c>
      <c r="FH6" s="18">
        <v>0</v>
      </c>
      <c r="FI6" s="19">
        <v>6280.8003300000009</v>
      </c>
      <c r="FJ6" s="28">
        <v>2637.23</v>
      </c>
      <c r="FK6" s="18">
        <v>49217.088830000015</v>
      </c>
      <c r="FL6" s="18">
        <v>10953.0852</v>
      </c>
      <c r="FM6" s="51">
        <v>7370.131339999999</v>
      </c>
      <c r="FN6" s="51">
        <v>13.545999999999999</v>
      </c>
      <c r="FO6" s="51">
        <v>413.6</v>
      </c>
      <c r="FP6" s="19">
        <v>70604.68137000002</v>
      </c>
      <c r="FQ6" s="17"/>
      <c r="FR6" s="114" t="s">
        <v>499</v>
      </c>
      <c r="FS6" s="31">
        <v>2307.585</v>
      </c>
      <c r="FT6" s="18">
        <v>2572.7803300000005</v>
      </c>
      <c r="FU6" s="18">
        <v>905.41969999999992</v>
      </c>
      <c r="FV6" s="18">
        <v>1480.6397400000001</v>
      </c>
      <c r="FW6" s="18">
        <v>0</v>
      </c>
      <c r="FX6" s="18">
        <v>0</v>
      </c>
      <c r="FY6" s="19">
        <v>7266.4247700000014</v>
      </c>
      <c r="FZ6" s="28">
        <v>7252.4</v>
      </c>
      <c r="GA6" s="18">
        <v>62584.190460000005</v>
      </c>
      <c r="GB6" s="18">
        <v>14897.442739999999</v>
      </c>
      <c r="GC6" s="51">
        <v>10368.71176</v>
      </c>
      <c r="GD6" s="51">
        <v>13.545999999999999</v>
      </c>
      <c r="GE6" s="51">
        <v>413.6</v>
      </c>
      <c r="GF6" s="19">
        <v>95529.890960000019</v>
      </c>
      <c r="GH6" s="114" t="s">
        <v>499</v>
      </c>
      <c r="GI6" s="31">
        <v>0</v>
      </c>
      <c r="GJ6" s="18">
        <v>1957.0796</v>
      </c>
      <c r="GK6" s="18">
        <v>930.88485000000014</v>
      </c>
      <c r="GL6" s="18">
        <v>1207.4207999999999</v>
      </c>
      <c r="GM6" s="18">
        <v>0</v>
      </c>
      <c r="GN6" s="18">
        <v>0</v>
      </c>
      <c r="GO6" s="19">
        <v>4095.3852500000003</v>
      </c>
      <c r="GP6" s="28">
        <v>7252.4</v>
      </c>
      <c r="GQ6" s="18">
        <v>66364.525130000009</v>
      </c>
      <c r="GR6" s="18">
        <v>16667.867689999995</v>
      </c>
      <c r="GS6" s="51">
        <v>11576.13256</v>
      </c>
      <c r="GT6" s="51">
        <v>13.545999999999999</v>
      </c>
      <c r="GU6" s="51">
        <v>413.6</v>
      </c>
      <c r="GV6" s="19">
        <v>102288.07138000001</v>
      </c>
      <c r="GW6" s="17"/>
      <c r="GX6" s="114" t="s">
        <v>499</v>
      </c>
      <c r="GY6" s="31">
        <v>1318.62</v>
      </c>
      <c r="GZ6" s="18">
        <v>3878.7978399999997</v>
      </c>
      <c r="HA6" s="18">
        <v>873.88053999999988</v>
      </c>
      <c r="HB6" s="18">
        <v>574.40767999999991</v>
      </c>
      <c r="HC6" s="18">
        <v>0</v>
      </c>
      <c r="HD6" s="18">
        <v>0</v>
      </c>
      <c r="HE6" s="19">
        <v>6645.7060600000004</v>
      </c>
      <c r="HF6" s="28">
        <v>8571.02</v>
      </c>
      <c r="HG6" s="18">
        <v>70243.322970000008</v>
      </c>
      <c r="HH6" s="18">
        <v>17541.748230000005</v>
      </c>
      <c r="HI6" s="51">
        <v>12150.540239999998</v>
      </c>
      <c r="HJ6" s="51">
        <v>13.545999999999999</v>
      </c>
      <c r="HK6" s="51">
        <v>413.6</v>
      </c>
      <c r="HL6" s="19">
        <v>108933.77744000003</v>
      </c>
      <c r="HM6" s="17"/>
      <c r="HN6" s="114" t="s">
        <v>499</v>
      </c>
      <c r="HO6" s="31">
        <v>0</v>
      </c>
      <c r="HP6" s="18">
        <v>3071.7651799999999</v>
      </c>
      <c r="HQ6" s="18">
        <v>909.78240000000005</v>
      </c>
      <c r="HR6" s="18">
        <v>1623.1300799999999</v>
      </c>
      <c r="HS6" s="18">
        <v>0</v>
      </c>
      <c r="HT6" s="18">
        <v>0</v>
      </c>
      <c r="HU6" s="19">
        <v>5604.6776599999994</v>
      </c>
      <c r="HV6" s="28">
        <v>8571.02</v>
      </c>
      <c r="HW6" s="18">
        <v>73315.088150000011</v>
      </c>
      <c r="HX6" s="18">
        <v>18451.530629999997</v>
      </c>
      <c r="HY6" s="51">
        <v>13773.670319999999</v>
      </c>
      <c r="HZ6" s="51">
        <v>13.545999999999999</v>
      </c>
      <c r="IA6" s="51">
        <v>413.6</v>
      </c>
      <c r="IB6" s="19">
        <v>114538.45510000002</v>
      </c>
      <c r="IC6" s="17"/>
      <c r="ID6" s="114" t="s">
        <v>499</v>
      </c>
      <c r="IE6" s="31">
        <v>0</v>
      </c>
      <c r="IF6" s="18">
        <v>2937.0682599999996</v>
      </c>
      <c r="IG6" s="18">
        <v>97.148200000000003</v>
      </c>
      <c r="IH6" s="18">
        <v>656.10279999999989</v>
      </c>
      <c r="II6" s="18">
        <v>0</v>
      </c>
      <c r="IJ6" s="18">
        <v>0</v>
      </c>
      <c r="IK6" s="19">
        <v>3690.3192599999993</v>
      </c>
      <c r="IL6" s="28">
        <v>8571.02</v>
      </c>
      <c r="IM6" s="18">
        <v>76252.156410000011</v>
      </c>
      <c r="IN6" s="18">
        <v>18548.678829999997</v>
      </c>
      <c r="IO6" s="51">
        <v>14429.77312</v>
      </c>
      <c r="IP6" s="51">
        <v>13.545999999999999</v>
      </c>
      <c r="IQ6" s="51">
        <v>413.6</v>
      </c>
      <c r="IR6" s="19">
        <v>118228.77436000001</v>
      </c>
      <c r="IS6" s="17"/>
      <c r="IT6" s="114" t="s">
        <v>499</v>
      </c>
      <c r="IU6" s="31">
        <v>1363.9993999999999</v>
      </c>
      <c r="IV6" s="18">
        <v>926.61900000000003</v>
      </c>
      <c r="IW6" s="18">
        <v>139.37514999999999</v>
      </c>
      <c r="IX6" s="18">
        <v>613.65919999999994</v>
      </c>
      <c r="IY6" s="18">
        <v>0</v>
      </c>
      <c r="IZ6" s="18">
        <v>0</v>
      </c>
      <c r="JA6" s="19">
        <v>3043.6527499999997</v>
      </c>
      <c r="JB6" s="28">
        <v>9935.019400000001</v>
      </c>
      <c r="JC6" s="18">
        <v>77178.775410000017</v>
      </c>
      <c r="JD6" s="18">
        <v>18688.053979999997</v>
      </c>
      <c r="JE6" s="51">
        <v>15043.432319999998</v>
      </c>
      <c r="JF6" s="51">
        <v>13.545999999999999</v>
      </c>
      <c r="JG6" s="51">
        <v>413.6</v>
      </c>
      <c r="JH6" s="19">
        <v>121272.42711000002</v>
      </c>
      <c r="JI6" s="17">
        <f t="shared" ref="JI6:JI11" si="1">JB6-IU6-IL6</f>
        <v>0</v>
      </c>
      <c r="JJ6" s="17">
        <f t="shared" si="0"/>
        <v>0</v>
      </c>
      <c r="JK6" s="17">
        <f t="shared" si="0"/>
        <v>0</v>
      </c>
      <c r="JL6" s="17">
        <f t="shared" si="0"/>
        <v>0</v>
      </c>
      <c r="JM6" s="17">
        <f t="shared" si="0"/>
        <v>0</v>
      </c>
      <c r="JN6" s="17">
        <f t="shared" si="0"/>
        <v>0</v>
      </c>
      <c r="JO6" s="17">
        <f t="shared" si="0"/>
        <v>0</v>
      </c>
    </row>
    <row r="7" spans="2:275" x14ac:dyDescent="0.3">
      <c r="B7" s="115" t="s">
        <v>539</v>
      </c>
      <c r="C7" s="32">
        <v>0</v>
      </c>
      <c r="D7" s="21">
        <v>3052.3170529799991</v>
      </c>
      <c r="E7" s="21">
        <v>445.22568364999978</v>
      </c>
      <c r="F7" s="21">
        <v>224.25319999999996</v>
      </c>
      <c r="G7" s="21">
        <v>0</v>
      </c>
      <c r="H7" s="23">
        <v>3721.7959366299988</v>
      </c>
      <c r="I7" s="29">
        <v>0</v>
      </c>
      <c r="J7" s="21">
        <v>3052.3170529799991</v>
      </c>
      <c r="K7" s="21">
        <v>445.22568364999978</v>
      </c>
      <c r="L7" s="52">
        <v>224.25319999999996</v>
      </c>
      <c r="M7" s="145">
        <v>0</v>
      </c>
      <c r="N7" s="23">
        <v>3721.7959366299988</v>
      </c>
      <c r="P7" s="115" t="s">
        <v>539</v>
      </c>
      <c r="Q7" s="32">
        <v>0</v>
      </c>
      <c r="R7" s="21">
        <v>2547.35400669</v>
      </c>
      <c r="S7" s="21">
        <v>156.86349615000003</v>
      </c>
      <c r="T7" s="21">
        <v>600.51195999999982</v>
      </c>
      <c r="U7" s="21">
        <v>0</v>
      </c>
      <c r="V7" s="23">
        <v>3304.72946284</v>
      </c>
      <c r="W7" s="29">
        <v>0</v>
      </c>
      <c r="X7" s="21">
        <v>5599.6710596700023</v>
      </c>
      <c r="Y7" s="21">
        <v>602.08917979999978</v>
      </c>
      <c r="Z7" s="52">
        <v>824.76515999999981</v>
      </c>
      <c r="AA7" s="145">
        <v>0</v>
      </c>
      <c r="AB7" s="23">
        <v>7026.5253994700024</v>
      </c>
      <c r="AC7" s="17"/>
      <c r="AD7" s="115" t="s">
        <v>539</v>
      </c>
      <c r="AE7" s="32">
        <v>0</v>
      </c>
      <c r="AF7" s="21">
        <v>6008.0021425200002</v>
      </c>
      <c r="AG7" s="21">
        <v>1440.8182809999992</v>
      </c>
      <c r="AH7" s="21">
        <v>276.67039999999997</v>
      </c>
      <c r="AI7" s="21">
        <v>0</v>
      </c>
      <c r="AJ7" s="23">
        <v>7725.4908235199991</v>
      </c>
      <c r="AK7" s="29">
        <v>0</v>
      </c>
      <c r="AL7" s="21">
        <v>11607.673202189993</v>
      </c>
      <c r="AM7" s="21">
        <v>2042.9074607999992</v>
      </c>
      <c r="AN7" s="52">
        <v>1101.4355599999999</v>
      </c>
      <c r="AO7" s="145">
        <v>0</v>
      </c>
      <c r="AP7" s="23">
        <v>14752.016222989992</v>
      </c>
      <c r="AQ7" s="17"/>
      <c r="AR7" s="115" t="s">
        <v>539</v>
      </c>
      <c r="AS7" s="32">
        <v>0</v>
      </c>
      <c r="AT7" s="21">
        <v>4133.576399999999</v>
      </c>
      <c r="AU7" s="21">
        <v>1040.4337999999996</v>
      </c>
      <c r="AV7" s="21">
        <v>287.70591999999999</v>
      </c>
      <c r="AW7" s="21">
        <v>239.58000000000007</v>
      </c>
      <c r="AX7" s="23">
        <v>5701.2961199999991</v>
      </c>
      <c r="AY7" s="29">
        <v>0</v>
      </c>
      <c r="AZ7" s="21">
        <v>15741.24960218999</v>
      </c>
      <c r="BA7" s="21">
        <v>3083.341260799999</v>
      </c>
      <c r="BB7" s="52">
        <v>1389.1414799999998</v>
      </c>
      <c r="BC7" s="52">
        <v>239.58000000000007</v>
      </c>
      <c r="BD7" s="23">
        <v>20453.31234298999</v>
      </c>
      <c r="BE7" s="17"/>
      <c r="BF7" s="115" t="s">
        <v>539</v>
      </c>
      <c r="BG7" s="32">
        <v>0</v>
      </c>
      <c r="BH7" s="21">
        <v>3853.8842999999997</v>
      </c>
      <c r="BI7" s="21">
        <v>1140.1822099999995</v>
      </c>
      <c r="BJ7" s="21">
        <v>650.1261599999998</v>
      </c>
      <c r="BK7" s="21">
        <v>0</v>
      </c>
      <c r="BL7" s="23">
        <v>5644.1926699999985</v>
      </c>
      <c r="BM7" s="29">
        <v>0</v>
      </c>
      <c r="BN7" s="21">
        <v>19595.133902189991</v>
      </c>
      <c r="BO7" s="21">
        <v>4223.5234707999971</v>
      </c>
      <c r="BP7" s="52">
        <v>2039.2676399999996</v>
      </c>
      <c r="BQ7" s="52">
        <v>239.58000000000007</v>
      </c>
      <c r="BR7" s="23">
        <v>26097.50501298999</v>
      </c>
      <c r="BS7" s="17"/>
      <c r="BT7" s="115" t="s">
        <v>539</v>
      </c>
      <c r="BU7" s="32">
        <v>0</v>
      </c>
      <c r="BV7" s="21">
        <v>3954.5268999999998</v>
      </c>
      <c r="BW7" s="21">
        <v>973.3527799999996</v>
      </c>
      <c r="BX7" s="21">
        <v>1243.8601999999996</v>
      </c>
      <c r="BY7" s="21">
        <v>0</v>
      </c>
      <c r="BZ7" s="23">
        <v>6171.7398799999992</v>
      </c>
      <c r="CA7" s="29">
        <v>0</v>
      </c>
      <c r="CB7" s="21">
        <v>23549.660802190007</v>
      </c>
      <c r="CC7" s="21">
        <v>5196.8762507999991</v>
      </c>
      <c r="CD7" s="52">
        <v>3283.1278399999987</v>
      </c>
      <c r="CE7" s="52">
        <v>239.58000000000007</v>
      </c>
      <c r="CF7" s="23">
        <v>32269.244892990006</v>
      </c>
      <c r="CG7" s="17"/>
      <c r="CH7" s="115" t="s">
        <v>539</v>
      </c>
      <c r="CI7" s="21">
        <v>3885.5981999999999</v>
      </c>
      <c r="CJ7" s="21">
        <v>676.32095999999979</v>
      </c>
      <c r="CK7" s="21">
        <v>594.72415999999987</v>
      </c>
      <c r="CL7" s="21">
        <v>119.548</v>
      </c>
      <c r="CM7" s="23">
        <v>5276.191319999999</v>
      </c>
      <c r="CN7" s="21">
        <v>27435.259002190011</v>
      </c>
      <c r="CO7" s="21">
        <v>5873.1972107999973</v>
      </c>
      <c r="CP7" s="52">
        <v>3877.8519999999999</v>
      </c>
      <c r="CQ7" s="52">
        <v>359.12800000000004</v>
      </c>
      <c r="CR7" s="23">
        <v>37545.436212990004</v>
      </c>
      <c r="CT7" s="115" t="s">
        <v>539</v>
      </c>
      <c r="CU7" s="32">
        <v>1443.93</v>
      </c>
      <c r="CV7" s="21">
        <v>3343.6494199999993</v>
      </c>
      <c r="CW7" s="21">
        <v>768.62406999999962</v>
      </c>
      <c r="CX7" s="21">
        <v>660.06247999999994</v>
      </c>
      <c r="CY7" s="21">
        <v>0</v>
      </c>
      <c r="CZ7" s="23">
        <v>6216.2659699999986</v>
      </c>
      <c r="DA7" s="29">
        <v>1443.93</v>
      </c>
      <c r="DB7" s="21">
        <v>30778.908422190008</v>
      </c>
      <c r="DC7" s="21">
        <v>6641.821280799998</v>
      </c>
      <c r="DD7" s="52">
        <v>4537.9144799999995</v>
      </c>
      <c r="DE7" s="52">
        <v>359.12800000000004</v>
      </c>
      <c r="DF7" s="23">
        <v>43761.702182990004</v>
      </c>
      <c r="DG7" s="17"/>
      <c r="DH7" s="115" t="s">
        <v>539</v>
      </c>
      <c r="DI7" s="32">
        <v>0</v>
      </c>
      <c r="DJ7" s="21">
        <v>4435.7365599999994</v>
      </c>
      <c r="DK7" s="21">
        <v>1434.6164499999995</v>
      </c>
      <c r="DL7" s="21">
        <v>262.10567999999995</v>
      </c>
      <c r="DM7" s="21">
        <v>0</v>
      </c>
      <c r="DN7" s="23">
        <v>6132.4586899999986</v>
      </c>
      <c r="DO7" s="29">
        <v>1443.93</v>
      </c>
      <c r="DP7" s="21">
        <v>35214.64498219001</v>
      </c>
      <c r="DQ7" s="21">
        <v>8076.4377307999994</v>
      </c>
      <c r="DR7" s="52">
        <v>4800.0201599999991</v>
      </c>
      <c r="DS7" s="52">
        <v>359.12800000000004</v>
      </c>
      <c r="DT7" s="23">
        <v>49894.160872990004</v>
      </c>
      <c r="DU7" s="17"/>
      <c r="DV7" s="115" t="s">
        <v>539</v>
      </c>
      <c r="DW7" s="32">
        <v>0</v>
      </c>
      <c r="DX7" s="21">
        <v>3463.6193199999998</v>
      </c>
      <c r="DY7" s="21">
        <v>804.94734999999957</v>
      </c>
      <c r="DZ7" s="21">
        <v>720.37595999999985</v>
      </c>
      <c r="EA7" s="21">
        <v>9.5730000000000004</v>
      </c>
      <c r="EB7" s="21">
        <v>0</v>
      </c>
      <c r="EC7" s="23">
        <v>4998.5156299999999</v>
      </c>
      <c r="ED7" s="29">
        <v>1443.93</v>
      </c>
      <c r="EE7" s="21">
        <v>38678.264302190008</v>
      </c>
      <c r="EF7" s="21">
        <v>8881.3850807999988</v>
      </c>
      <c r="EG7" s="52">
        <v>5520.3961199999994</v>
      </c>
      <c r="EH7" s="52">
        <v>9.5730000000000004</v>
      </c>
      <c r="EI7" s="52">
        <v>359.12800000000004</v>
      </c>
      <c r="EJ7" s="23">
        <v>54892.676502989998</v>
      </c>
      <c r="EK7" s="17"/>
      <c r="EL7" s="115" t="s">
        <v>539</v>
      </c>
      <c r="EM7" s="32">
        <v>0</v>
      </c>
      <c r="EN7" s="21">
        <v>3546.6695499999996</v>
      </c>
      <c r="EO7" s="21">
        <v>291.9947499999999</v>
      </c>
      <c r="EP7" s="21">
        <v>552.03135999999984</v>
      </c>
      <c r="EQ7" s="21">
        <v>0</v>
      </c>
      <c r="ER7" s="21">
        <v>0</v>
      </c>
      <c r="ES7" s="23">
        <v>4390.6956599999994</v>
      </c>
      <c r="ET7" s="29">
        <v>1443.93</v>
      </c>
      <c r="EU7" s="21">
        <v>42224.933852190006</v>
      </c>
      <c r="EV7" s="21">
        <v>9173.3798307999987</v>
      </c>
      <c r="EW7" s="52">
        <v>6072.4274799999985</v>
      </c>
      <c r="EX7" s="52">
        <v>9.5730000000000004</v>
      </c>
      <c r="EY7" s="52">
        <v>359.12800000000004</v>
      </c>
      <c r="EZ7" s="23">
        <v>59283.372162989996</v>
      </c>
      <c r="FA7" s="17"/>
      <c r="FB7" s="115" t="s">
        <v>539</v>
      </c>
      <c r="FC7" s="32">
        <v>484.83000000000004</v>
      </c>
      <c r="FD7" s="21">
        <v>3930.1231400000001</v>
      </c>
      <c r="FE7" s="21">
        <v>666.92064999999991</v>
      </c>
      <c r="FF7" s="21">
        <v>688.36969999999997</v>
      </c>
      <c r="FG7" s="21">
        <v>0</v>
      </c>
      <c r="FH7" s="21">
        <v>0</v>
      </c>
      <c r="FI7" s="23">
        <v>5770.2434900000007</v>
      </c>
      <c r="FJ7" s="29">
        <v>1928.76</v>
      </c>
      <c r="FK7" s="21">
        <v>46155.056992189995</v>
      </c>
      <c r="FL7" s="21">
        <v>9840.3004807999969</v>
      </c>
      <c r="FM7" s="52">
        <v>6760.7971799999987</v>
      </c>
      <c r="FN7" s="52">
        <v>9.5730000000000004</v>
      </c>
      <c r="FO7" s="52">
        <v>359.12800000000004</v>
      </c>
      <c r="FP7" s="23">
        <v>65053.615652989989</v>
      </c>
      <c r="FQ7" s="17"/>
      <c r="FR7" s="115" t="s">
        <v>539</v>
      </c>
      <c r="FS7" s="32">
        <v>1684.585</v>
      </c>
      <c r="FT7" s="21">
        <v>2407.8267799999994</v>
      </c>
      <c r="FU7" s="21">
        <v>830.29969999999958</v>
      </c>
      <c r="FV7" s="21">
        <v>1346.4350999999999</v>
      </c>
      <c r="FW7" s="21">
        <v>0</v>
      </c>
      <c r="FX7" s="21">
        <v>0</v>
      </c>
      <c r="FY7" s="23">
        <v>6269.1465799999987</v>
      </c>
      <c r="FZ7" s="29">
        <v>5297.93</v>
      </c>
      <c r="GA7" s="21">
        <v>58849.916022190002</v>
      </c>
      <c r="GB7" s="21">
        <v>13412.973370799995</v>
      </c>
      <c r="GC7" s="52">
        <v>9447.7716399999972</v>
      </c>
      <c r="GD7" s="52">
        <v>9.5730000000000004</v>
      </c>
      <c r="GE7" s="52">
        <v>359.12800000000004</v>
      </c>
      <c r="GF7" s="23">
        <v>87377.292032989993</v>
      </c>
      <c r="GH7" s="115" t="s">
        <v>539</v>
      </c>
      <c r="GI7" s="32">
        <v>0</v>
      </c>
      <c r="GJ7" s="21">
        <v>1783.9080499999995</v>
      </c>
      <c r="GK7" s="21">
        <v>835.94384999999966</v>
      </c>
      <c r="GL7" s="21">
        <v>1078.5556799999997</v>
      </c>
      <c r="GM7" s="21">
        <v>0</v>
      </c>
      <c r="GN7" s="21">
        <v>0</v>
      </c>
      <c r="GO7" s="23">
        <v>3698.4075799999991</v>
      </c>
      <c r="GP7" s="29">
        <v>5297.93</v>
      </c>
      <c r="GQ7" s="21">
        <v>62395.338182190026</v>
      </c>
      <c r="GR7" s="21">
        <v>15005.514820799994</v>
      </c>
      <c r="GS7" s="52">
        <v>10526.327319999997</v>
      </c>
      <c r="GT7" s="52">
        <v>9.5730000000000004</v>
      </c>
      <c r="GU7" s="52">
        <v>359.12800000000004</v>
      </c>
      <c r="GV7" s="23">
        <v>93593.811322990005</v>
      </c>
      <c r="GW7" s="17"/>
      <c r="GX7" s="115" t="s">
        <v>539</v>
      </c>
      <c r="GY7" s="32">
        <v>962.62000000000012</v>
      </c>
      <c r="GZ7" s="21">
        <v>3659.0185499999998</v>
      </c>
      <c r="HA7" s="21">
        <v>770.1394899999998</v>
      </c>
      <c r="HB7" s="21">
        <v>523.57087999999999</v>
      </c>
      <c r="HC7" s="21">
        <v>0</v>
      </c>
      <c r="HD7" s="21">
        <v>0</v>
      </c>
      <c r="HE7" s="23">
        <v>5915.3489199999995</v>
      </c>
      <c r="HF7" s="29">
        <v>6260.55</v>
      </c>
      <c r="HG7" s="21">
        <v>66054.356732190019</v>
      </c>
      <c r="HH7" s="21">
        <v>15775.654310799995</v>
      </c>
      <c r="HI7" s="52">
        <v>11049.898199999994</v>
      </c>
      <c r="HJ7" s="52">
        <v>9.5730000000000004</v>
      </c>
      <c r="HK7" s="52">
        <v>359.12800000000004</v>
      </c>
      <c r="HL7" s="23">
        <v>99509.160242990009</v>
      </c>
      <c r="HM7" s="17"/>
      <c r="HN7" s="115" t="s">
        <v>539</v>
      </c>
      <c r="HO7" s="32">
        <v>0</v>
      </c>
      <c r="HP7" s="21">
        <v>2951.6650499999996</v>
      </c>
      <c r="HQ7" s="21">
        <v>823.3911499999997</v>
      </c>
      <c r="HR7" s="21">
        <v>1497.4987399999995</v>
      </c>
      <c r="HS7" s="21">
        <v>0</v>
      </c>
      <c r="HT7" s="21">
        <v>0</v>
      </c>
      <c r="HU7" s="23">
        <v>5272.5549399999982</v>
      </c>
      <c r="HV7" s="29">
        <v>6260.55</v>
      </c>
      <c r="HW7" s="21">
        <v>69006.021782190015</v>
      </c>
      <c r="HX7" s="21">
        <v>16599.045460799989</v>
      </c>
      <c r="HY7" s="52">
        <v>12547.396939999995</v>
      </c>
      <c r="HZ7" s="52">
        <v>9.5730000000000004</v>
      </c>
      <c r="IA7" s="52">
        <v>359.12800000000004</v>
      </c>
      <c r="IB7" s="23">
        <v>104781.71518299</v>
      </c>
      <c r="IC7" s="17"/>
      <c r="ID7" s="115" t="s">
        <v>539</v>
      </c>
      <c r="IE7" s="32">
        <v>0</v>
      </c>
      <c r="IF7" s="21">
        <v>2726.8754199999989</v>
      </c>
      <c r="IG7" s="21">
        <v>108.62320000000001</v>
      </c>
      <c r="IH7" s="21">
        <v>609.89119999999991</v>
      </c>
      <c r="II7" s="21">
        <v>0</v>
      </c>
      <c r="IJ7" s="21">
        <v>0</v>
      </c>
      <c r="IK7" s="23">
        <v>3445.389819999999</v>
      </c>
      <c r="IL7" s="29">
        <v>6260.55</v>
      </c>
      <c r="IM7" s="21">
        <v>71732.897202190012</v>
      </c>
      <c r="IN7" s="21">
        <v>16707.668660799995</v>
      </c>
      <c r="IO7" s="52">
        <v>13157.288139999997</v>
      </c>
      <c r="IP7" s="52">
        <v>9.5730000000000004</v>
      </c>
      <c r="IQ7" s="52">
        <v>359.12800000000004</v>
      </c>
      <c r="IR7" s="23">
        <v>108227.10500298999</v>
      </c>
      <c r="IS7" s="17"/>
      <c r="IT7" s="115" t="s">
        <v>539</v>
      </c>
      <c r="IU7" s="32">
        <v>1001.6848000000001</v>
      </c>
      <c r="IV7" s="21">
        <v>847.31724999999983</v>
      </c>
      <c r="IW7" s="21">
        <v>155.94040000000001</v>
      </c>
      <c r="IX7" s="21">
        <v>568.22080000000005</v>
      </c>
      <c r="IY7" s="21">
        <v>0</v>
      </c>
      <c r="IZ7" s="21">
        <v>0</v>
      </c>
      <c r="JA7" s="23">
        <v>2573.1632500000001</v>
      </c>
      <c r="JB7" s="29">
        <v>7262.2348000000011</v>
      </c>
      <c r="JC7" s="21">
        <v>72580.214452190005</v>
      </c>
      <c r="JD7" s="21">
        <v>16863.609060799998</v>
      </c>
      <c r="JE7" s="52">
        <v>13725.508939999996</v>
      </c>
      <c r="JF7" s="52">
        <v>9.5730000000000004</v>
      </c>
      <c r="JG7" s="52">
        <v>359.12800000000004</v>
      </c>
      <c r="JH7" s="23">
        <v>110800.26825299</v>
      </c>
      <c r="JI7" s="17">
        <f t="shared" si="1"/>
        <v>0</v>
      </c>
      <c r="JJ7" s="17">
        <f t="shared" si="0"/>
        <v>0</v>
      </c>
      <c r="JK7" s="17">
        <f t="shared" si="0"/>
        <v>0</v>
      </c>
      <c r="JL7" s="17">
        <f t="shared" si="0"/>
        <v>0</v>
      </c>
      <c r="JM7" s="17">
        <f t="shared" si="0"/>
        <v>0</v>
      </c>
      <c r="JN7" s="17">
        <f t="shared" si="0"/>
        <v>0</v>
      </c>
      <c r="JO7" s="17">
        <f t="shared" si="0"/>
        <v>0</v>
      </c>
    </row>
    <row r="8" spans="2:275" x14ac:dyDescent="0.3">
      <c r="B8" s="114" t="s">
        <v>540</v>
      </c>
      <c r="C8" s="31">
        <v>0</v>
      </c>
      <c r="D8" s="18">
        <v>2585.9255899999998</v>
      </c>
      <c r="E8" s="18">
        <v>352.93541999999985</v>
      </c>
      <c r="F8" s="18">
        <v>219.09723999999997</v>
      </c>
      <c r="G8" s="18">
        <v>0</v>
      </c>
      <c r="H8" s="19">
        <v>3157.9582499999997</v>
      </c>
      <c r="I8" s="28">
        <v>0</v>
      </c>
      <c r="J8" s="18">
        <v>2585.9255899999998</v>
      </c>
      <c r="K8" s="18">
        <v>352.93541999999985</v>
      </c>
      <c r="L8" s="51">
        <v>219.09723999999997</v>
      </c>
      <c r="M8" s="143">
        <v>0</v>
      </c>
      <c r="N8" s="19">
        <v>3157.9582499999997</v>
      </c>
      <c r="P8" s="114" t="s">
        <v>540</v>
      </c>
      <c r="Q8" s="31">
        <v>0</v>
      </c>
      <c r="R8" s="18">
        <v>2173.1408399999996</v>
      </c>
      <c r="S8" s="18">
        <v>101.70116</v>
      </c>
      <c r="T8" s="18">
        <v>586.91987999999992</v>
      </c>
      <c r="U8" s="18">
        <v>0</v>
      </c>
      <c r="V8" s="19">
        <v>2861.7618799999996</v>
      </c>
      <c r="W8" s="28">
        <v>0</v>
      </c>
      <c r="X8" s="18">
        <v>4759.0664299999999</v>
      </c>
      <c r="Y8" s="18">
        <v>454.63657999999992</v>
      </c>
      <c r="Z8" s="51">
        <v>806.01711999999986</v>
      </c>
      <c r="AA8" s="143">
        <v>0</v>
      </c>
      <c r="AB8" s="19">
        <v>6019.7201299999997</v>
      </c>
      <c r="AC8" s="17"/>
      <c r="AD8" s="114" t="s">
        <v>540</v>
      </c>
      <c r="AE8" s="31">
        <v>0</v>
      </c>
      <c r="AF8" s="18">
        <v>5120.4655299999995</v>
      </c>
      <c r="AG8" s="18">
        <v>1203.8508999999995</v>
      </c>
      <c r="AH8" s="18">
        <v>270.30927999999994</v>
      </c>
      <c r="AI8" s="18">
        <v>0</v>
      </c>
      <c r="AJ8" s="19">
        <v>6594.6257099999984</v>
      </c>
      <c r="AK8" s="28">
        <v>0</v>
      </c>
      <c r="AL8" s="18">
        <v>9879.5319599999984</v>
      </c>
      <c r="AM8" s="18">
        <v>1658.4874799999996</v>
      </c>
      <c r="AN8" s="51">
        <v>1076.3263999999997</v>
      </c>
      <c r="AO8" s="143">
        <v>0</v>
      </c>
      <c r="AP8" s="19">
        <v>12614.345839999998</v>
      </c>
      <c r="AQ8" s="17"/>
      <c r="AR8" s="114" t="s">
        <v>540</v>
      </c>
      <c r="AS8" s="31">
        <v>0</v>
      </c>
      <c r="AT8" s="18">
        <v>3425.0600799999993</v>
      </c>
      <c r="AU8" s="18">
        <v>836.40934999999968</v>
      </c>
      <c r="AV8" s="18">
        <v>280.28607999999997</v>
      </c>
      <c r="AW8" s="18">
        <v>228.84500000000006</v>
      </c>
      <c r="AX8" s="19">
        <v>4770.6005099999993</v>
      </c>
      <c r="AY8" s="28">
        <v>0</v>
      </c>
      <c r="AZ8" s="18">
        <v>13304.59204</v>
      </c>
      <c r="BA8" s="18">
        <v>2494.8968299999988</v>
      </c>
      <c r="BB8" s="51">
        <v>1356.6124799999998</v>
      </c>
      <c r="BC8" s="51">
        <v>228.84500000000006</v>
      </c>
      <c r="BD8" s="19">
        <v>17384.946349999998</v>
      </c>
      <c r="BE8" s="17"/>
      <c r="BF8" s="114" t="s">
        <v>540</v>
      </c>
      <c r="BG8" s="31">
        <v>0</v>
      </c>
      <c r="BH8" s="18">
        <v>3197.6612499999987</v>
      </c>
      <c r="BI8" s="18">
        <v>927.44065999999964</v>
      </c>
      <c r="BJ8" s="18">
        <v>634.05809999999985</v>
      </c>
      <c r="BK8" s="18">
        <v>0</v>
      </c>
      <c r="BL8" s="19">
        <v>4759.1600099999987</v>
      </c>
      <c r="BM8" s="28">
        <v>0</v>
      </c>
      <c r="BN8" s="18">
        <v>16502.253289999997</v>
      </c>
      <c r="BO8" s="18">
        <v>3422.337489999999</v>
      </c>
      <c r="BP8" s="51">
        <v>1990.6705799999997</v>
      </c>
      <c r="BQ8" s="51">
        <v>228.84500000000006</v>
      </c>
      <c r="BR8" s="19">
        <v>22144.106359999994</v>
      </c>
      <c r="BS8" s="17"/>
      <c r="BT8" s="114" t="s">
        <v>540</v>
      </c>
      <c r="BU8" s="31">
        <v>0</v>
      </c>
      <c r="BV8" s="18">
        <v>3304.2540499999996</v>
      </c>
      <c r="BW8" s="18">
        <v>781.20476999999971</v>
      </c>
      <c r="BX8" s="18">
        <v>1213.4409799999999</v>
      </c>
      <c r="BY8" s="18">
        <v>0</v>
      </c>
      <c r="BZ8" s="19">
        <v>5298.8997999999992</v>
      </c>
      <c r="CA8" s="28">
        <v>0</v>
      </c>
      <c r="CB8" s="18">
        <v>19806.507339999993</v>
      </c>
      <c r="CC8" s="18">
        <v>4203.5422599999965</v>
      </c>
      <c r="CD8" s="51">
        <v>3204.1115599999989</v>
      </c>
      <c r="CE8" s="51">
        <v>228.84500000000006</v>
      </c>
      <c r="CF8" s="19">
        <v>27443.00615999999</v>
      </c>
      <c r="CG8" s="17"/>
      <c r="CH8" s="114" t="s">
        <v>540</v>
      </c>
      <c r="CI8" s="18">
        <v>3248.2633499999997</v>
      </c>
      <c r="CJ8" s="18">
        <v>574.45823999999959</v>
      </c>
      <c r="CK8" s="18">
        <v>580.9606399999999</v>
      </c>
      <c r="CL8" s="18">
        <v>115.242</v>
      </c>
      <c r="CM8" s="19">
        <v>4518.9242299999996</v>
      </c>
      <c r="CN8" s="18">
        <v>23054.770689999998</v>
      </c>
      <c r="CO8" s="18">
        <v>4778.0004999999956</v>
      </c>
      <c r="CP8" s="51">
        <v>3785.0721999999992</v>
      </c>
      <c r="CQ8" s="51">
        <v>344.08700000000005</v>
      </c>
      <c r="CR8" s="19">
        <v>31961.93038999999</v>
      </c>
      <c r="CT8" s="114" t="s">
        <v>540</v>
      </c>
      <c r="CU8" s="31">
        <v>1204.77</v>
      </c>
      <c r="CV8" s="18">
        <v>2780.0359099999996</v>
      </c>
      <c r="CW8" s="18">
        <v>645.43572999999958</v>
      </c>
      <c r="CX8" s="18">
        <v>646.22815999999989</v>
      </c>
      <c r="CY8" s="18">
        <v>0</v>
      </c>
      <c r="CZ8" s="19">
        <v>5276.4697999999989</v>
      </c>
      <c r="DA8" s="28">
        <v>1204.77</v>
      </c>
      <c r="DB8" s="18">
        <v>25834.806599999996</v>
      </c>
      <c r="DC8" s="18">
        <v>5423.4362299999957</v>
      </c>
      <c r="DD8" s="51">
        <v>4431.3003599999993</v>
      </c>
      <c r="DE8" s="51">
        <v>344.08700000000005</v>
      </c>
      <c r="DF8" s="19">
        <v>37238.400189999993</v>
      </c>
      <c r="DG8" s="17"/>
      <c r="DH8" s="114" t="s">
        <v>540</v>
      </c>
      <c r="DI8" s="31">
        <v>0</v>
      </c>
      <c r="DJ8" s="18">
        <v>3719.4337199999991</v>
      </c>
      <c r="DK8" s="18">
        <v>1189.8080499999994</v>
      </c>
      <c r="DL8" s="18">
        <v>255.84695999999994</v>
      </c>
      <c r="DM8" s="18">
        <v>0</v>
      </c>
      <c r="DN8" s="19">
        <v>5165.0887299999986</v>
      </c>
      <c r="DO8" s="28">
        <v>1204.77</v>
      </c>
      <c r="DP8" s="18">
        <v>29554.240320000004</v>
      </c>
      <c r="DQ8" s="18">
        <v>6613.2442799999953</v>
      </c>
      <c r="DR8" s="51">
        <v>4687.1473199999991</v>
      </c>
      <c r="DS8" s="51">
        <v>344.08700000000005</v>
      </c>
      <c r="DT8" s="19">
        <v>42403.488919999996</v>
      </c>
      <c r="DU8" s="17"/>
      <c r="DV8" s="114" t="s">
        <v>540</v>
      </c>
      <c r="DW8" s="31">
        <v>0</v>
      </c>
      <c r="DX8" s="18">
        <v>2895.0851799999991</v>
      </c>
      <c r="DY8" s="18">
        <v>683.31469999999968</v>
      </c>
      <c r="DZ8" s="18">
        <v>703.39811999999984</v>
      </c>
      <c r="EA8" s="18">
        <v>9.2189999999999994</v>
      </c>
      <c r="EB8" s="18">
        <v>0</v>
      </c>
      <c r="EC8" s="19">
        <v>4291.0169999999989</v>
      </c>
      <c r="ED8" s="28">
        <v>1204.77</v>
      </c>
      <c r="EE8" s="18">
        <v>32449.32550000001</v>
      </c>
      <c r="EF8" s="18">
        <v>7296.5589799999952</v>
      </c>
      <c r="EG8" s="51">
        <v>5390.5454399999999</v>
      </c>
      <c r="EH8" s="51">
        <v>9.2189999999999994</v>
      </c>
      <c r="EI8" s="51">
        <v>344.08700000000005</v>
      </c>
      <c r="EJ8" s="19">
        <v>46694.505920000003</v>
      </c>
      <c r="EK8" s="17"/>
      <c r="EL8" s="114" t="s">
        <v>540</v>
      </c>
      <c r="EM8" s="31">
        <v>0</v>
      </c>
      <c r="EN8" s="18">
        <v>2945.7705799999999</v>
      </c>
      <c r="EO8" s="18">
        <v>239.25141999999988</v>
      </c>
      <c r="EP8" s="18">
        <v>538.8059199999999</v>
      </c>
      <c r="EQ8" s="18">
        <v>0</v>
      </c>
      <c r="ER8" s="18">
        <v>0</v>
      </c>
      <c r="ES8" s="19">
        <v>3723.8279199999997</v>
      </c>
      <c r="ET8" s="28">
        <v>1204.77</v>
      </c>
      <c r="EU8" s="18">
        <v>35395.09608000001</v>
      </c>
      <c r="EV8" s="18">
        <v>7535.8103999999948</v>
      </c>
      <c r="EW8" s="51">
        <v>5929.3513599999987</v>
      </c>
      <c r="EX8" s="51">
        <v>9.2189999999999994</v>
      </c>
      <c r="EY8" s="51">
        <v>344.08700000000005</v>
      </c>
      <c r="EZ8" s="19">
        <v>50418.333839999999</v>
      </c>
      <c r="FA8" s="17"/>
      <c r="FB8" s="114" t="s">
        <v>540</v>
      </c>
      <c r="FC8" s="31">
        <v>405.11000000000007</v>
      </c>
      <c r="FD8" s="18">
        <v>3270.3426499999991</v>
      </c>
      <c r="FE8" s="18">
        <v>560.19439999999963</v>
      </c>
      <c r="FF8" s="18">
        <v>672.56359999999984</v>
      </c>
      <c r="FG8" s="18">
        <v>0</v>
      </c>
      <c r="FH8" s="18">
        <v>0</v>
      </c>
      <c r="FI8" s="19">
        <v>4908.2106499999982</v>
      </c>
      <c r="FJ8" s="28">
        <v>1609.88</v>
      </c>
      <c r="FK8" s="18">
        <v>38665.438730000023</v>
      </c>
      <c r="FL8" s="18">
        <v>8096.0047999999952</v>
      </c>
      <c r="FM8" s="51">
        <v>6601.9149599999992</v>
      </c>
      <c r="FN8" s="51">
        <v>9.2189999999999994</v>
      </c>
      <c r="FO8" s="51">
        <v>344.08700000000005</v>
      </c>
      <c r="FP8" s="19">
        <v>55326.544490000015</v>
      </c>
      <c r="FQ8" s="17"/>
      <c r="FR8" s="114" t="s">
        <v>540</v>
      </c>
      <c r="FS8" s="31">
        <v>1405.5650000000001</v>
      </c>
      <c r="FT8" s="18">
        <v>2028.2190799999996</v>
      </c>
      <c r="FU8" s="18">
        <v>667.96834999999965</v>
      </c>
      <c r="FV8" s="18">
        <v>1315.6370999999999</v>
      </c>
      <c r="FW8" s="18">
        <v>0</v>
      </c>
      <c r="FX8" s="18">
        <v>0</v>
      </c>
      <c r="FY8" s="19">
        <v>5417.3895299999986</v>
      </c>
      <c r="FZ8" s="28">
        <v>4421.01</v>
      </c>
      <c r="GA8" s="18">
        <v>49248.554310000029</v>
      </c>
      <c r="GB8" s="18">
        <v>11015.015499999992</v>
      </c>
      <c r="GC8" s="51">
        <v>9225.3605799999968</v>
      </c>
      <c r="GD8" s="51">
        <v>9.2189999999999994</v>
      </c>
      <c r="GE8" s="51">
        <v>344.08700000000005</v>
      </c>
      <c r="GF8" s="19">
        <v>74263.246390000015</v>
      </c>
      <c r="GH8" s="114" t="s">
        <v>540</v>
      </c>
      <c r="GI8" s="31">
        <v>0</v>
      </c>
      <c r="GJ8" s="18">
        <v>1522.9024499999998</v>
      </c>
      <c r="GK8" s="18">
        <v>691.29269999999974</v>
      </c>
      <c r="GL8" s="18">
        <v>1053.0393599999998</v>
      </c>
      <c r="GM8" s="18">
        <v>0</v>
      </c>
      <c r="GN8" s="18">
        <v>0</v>
      </c>
      <c r="GO8" s="19">
        <v>3267.2345099999993</v>
      </c>
      <c r="GP8" s="28">
        <v>4421.01</v>
      </c>
      <c r="GQ8" s="18">
        <v>52232.95825000004</v>
      </c>
      <c r="GR8" s="18">
        <v>12328.959999999995</v>
      </c>
      <c r="GS8" s="51">
        <v>10278.399939999998</v>
      </c>
      <c r="GT8" s="51">
        <v>9.2189999999999994</v>
      </c>
      <c r="GU8" s="51">
        <v>344.08700000000005</v>
      </c>
      <c r="GV8" s="19">
        <v>79614.634190000041</v>
      </c>
      <c r="GW8" s="17"/>
      <c r="GX8" s="114" t="s">
        <v>540</v>
      </c>
      <c r="GY8" s="31">
        <v>803.18000000000006</v>
      </c>
      <c r="GZ8" s="18">
        <v>3080.3991199999996</v>
      </c>
      <c r="HA8" s="18">
        <v>616.73328999999978</v>
      </c>
      <c r="HB8" s="18">
        <v>512.07295999999985</v>
      </c>
      <c r="HC8" s="18">
        <v>0</v>
      </c>
      <c r="HD8" s="18">
        <v>0</v>
      </c>
      <c r="HE8" s="19">
        <v>5012.3853699999991</v>
      </c>
      <c r="HF8" s="28">
        <v>5224.1899999999996</v>
      </c>
      <c r="HG8" s="18">
        <v>55313.357370000034</v>
      </c>
      <c r="HH8" s="18">
        <v>12945.693289999996</v>
      </c>
      <c r="HI8" s="51">
        <v>10790.472899999997</v>
      </c>
      <c r="HJ8" s="51">
        <v>9.2189999999999994</v>
      </c>
      <c r="HK8" s="51">
        <v>344.08700000000005</v>
      </c>
      <c r="HL8" s="19">
        <v>84627.01956000003</v>
      </c>
      <c r="HM8" s="17"/>
      <c r="HN8" s="114" t="s">
        <v>540</v>
      </c>
      <c r="HO8" s="31">
        <v>0</v>
      </c>
      <c r="HP8" s="18">
        <v>2466.3773899999997</v>
      </c>
      <c r="HQ8" s="18">
        <v>672.22019999999975</v>
      </c>
      <c r="HR8" s="18">
        <v>1461.0225800000001</v>
      </c>
      <c r="HS8" s="18">
        <v>0</v>
      </c>
      <c r="HT8" s="18">
        <v>0</v>
      </c>
      <c r="HU8" s="19">
        <v>4599.6201699999992</v>
      </c>
      <c r="HV8" s="28">
        <v>5224.1899999999996</v>
      </c>
      <c r="HW8" s="18">
        <v>57779.734760000036</v>
      </c>
      <c r="HX8" s="18">
        <v>13617.913489999999</v>
      </c>
      <c r="HY8" s="51">
        <v>12251.495479999992</v>
      </c>
      <c r="HZ8" s="51">
        <v>9.2189999999999994</v>
      </c>
      <c r="IA8" s="51">
        <v>344.08700000000005</v>
      </c>
      <c r="IB8" s="19">
        <v>89226.639730000024</v>
      </c>
      <c r="IC8" s="17"/>
      <c r="ID8" s="114" t="s">
        <v>540</v>
      </c>
      <c r="IE8" s="31">
        <v>0</v>
      </c>
      <c r="IF8" s="18">
        <v>2316.9771399999991</v>
      </c>
      <c r="IG8" s="18">
        <v>67.435600000000008</v>
      </c>
      <c r="IH8" s="18">
        <v>596.29759999999987</v>
      </c>
      <c r="II8" s="18">
        <v>0</v>
      </c>
      <c r="IJ8" s="18">
        <v>0</v>
      </c>
      <c r="IK8" s="19">
        <v>2980.7103399999987</v>
      </c>
      <c r="IL8" s="28">
        <v>5224.1899999999996</v>
      </c>
      <c r="IM8" s="18">
        <v>60096.711900000038</v>
      </c>
      <c r="IN8" s="18">
        <v>13685.349089999996</v>
      </c>
      <c r="IO8" s="51">
        <v>12847.793079999992</v>
      </c>
      <c r="IP8" s="51">
        <v>9.2189999999999994</v>
      </c>
      <c r="IQ8" s="51">
        <v>344.08700000000005</v>
      </c>
      <c r="IR8" s="19">
        <v>92207.350070000015</v>
      </c>
      <c r="IS8" s="17"/>
      <c r="IT8" s="114" t="s">
        <v>540</v>
      </c>
      <c r="IU8" s="31">
        <v>836.66160000000013</v>
      </c>
      <c r="IV8" s="18">
        <v>726.65114999999992</v>
      </c>
      <c r="IW8" s="18">
        <v>95.710599999999999</v>
      </c>
      <c r="IX8" s="18">
        <v>556.32639999999992</v>
      </c>
      <c r="IY8" s="18">
        <v>0</v>
      </c>
      <c r="IZ8" s="18">
        <v>0</v>
      </c>
      <c r="JA8" s="19">
        <v>2215.3497499999999</v>
      </c>
      <c r="JB8" s="28">
        <v>6060.8516</v>
      </c>
      <c r="JC8" s="18">
        <v>60823.363050000036</v>
      </c>
      <c r="JD8" s="18">
        <v>13781.059689999998</v>
      </c>
      <c r="JE8" s="51">
        <v>13404.119479999996</v>
      </c>
      <c r="JF8" s="51">
        <v>9.2189999999999994</v>
      </c>
      <c r="JG8" s="51">
        <v>344.08700000000005</v>
      </c>
      <c r="JH8" s="19">
        <v>94422.699820000023</v>
      </c>
      <c r="JI8" s="17">
        <f t="shared" si="1"/>
        <v>0</v>
      </c>
      <c r="JJ8" s="17">
        <f t="shared" si="0"/>
        <v>0</v>
      </c>
      <c r="JK8" s="17">
        <f t="shared" si="0"/>
        <v>0</v>
      </c>
      <c r="JL8" s="17">
        <f t="shared" si="0"/>
        <v>0</v>
      </c>
      <c r="JM8" s="17">
        <f t="shared" si="0"/>
        <v>0</v>
      </c>
      <c r="JN8" s="17">
        <f t="shared" si="0"/>
        <v>0</v>
      </c>
      <c r="JO8" s="17">
        <f t="shared" si="0"/>
        <v>0</v>
      </c>
    </row>
    <row r="9" spans="2:275" x14ac:dyDescent="0.3">
      <c r="B9" s="114" t="s">
        <v>541</v>
      </c>
      <c r="C9" s="31">
        <v>0</v>
      </c>
      <c r="D9" s="18">
        <v>229.39351000000002</v>
      </c>
      <c r="E9" s="18">
        <v>70.447269999999989</v>
      </c>
      <c r="F9" s="18">
        <v>2.3294999999999999</v>
      </c>
      <c r="G9" s="18">
        <v>0</v>
      </c>
      <c r="H9" s="19">
        <v>302.17027999999999</v>
      </c>
      <c r="I9" s="28">
        <v>0</v>
      </c>
      <c r="J9" s="18">
        <v>229.39351000000002</v>
      </c>
      <c r="K9" s="18">
        <v>70.447269999999989</v>
      </c>
      <c r="L9" s="51">
        <v>2.3294999999999999</v>
      </c>
      <c r="M9" s="143">
        <v>0</v>
      </c>
      <c r="N9" s="19">
        <v>302.17027999999999</v>
      </c>
      <c r="P9" s="114" t="s">
        <v>541</v>
      </c>
      <c r="Q9" s="31">
        <v>0</v>
      </c>
      <c r="R9" s="18">
        <v>183.95188000000002</v>
      </c>
      <c r="S9" s="18">
        <v>51.960209999999996</v>
      </c>
      <c r="T9" s="18">
        <v>6.141</v>
      </c>
      <c r="U9" s="18">
        <v>0</v>
      </c>
      <c r="V9" s="19">
        <v>242.05309</v>
      </c>
      <c r="W9" s="28">
        <v>0</v>
      </c>
      <c r="X9" s="18">
        <v>413.34539000000001</v>
      </c>
      <c r="Y9" s="18">
        <v>122.40747999999999</v>
      </c>
      <c r="Z9" s="51">
        <v>8.4704999999999995</v>
      </c>
      <c r="AA9" s="143">
        <v>0</v>
      </c>
      <c r="AB9" s="19">
        <v>544.22337000000005</v>
      </c>
      <c r="AC9" s="17"/>
      <c r="AD9" s="114" t="s">
        <v>541</v>
      </c>
      <c r="AE9" s="31">
        <v>0</v>
      </c>
      <c r="AF9" s="18">
        <v>437.94981999999999</v>
      </c>
      <c r="AG9" s="18">
        <v>154.2688</v>
      </c>
      <c r="AH9" s="18">
        <v>2.8740000000000001</v>
      </c>
      <c r="AI9" s="18">
        <v>0</v>
      </c>
      <c r="AJ9" s="19">
        <v>595.09262000000001</v>
      </c>
      <c r="AK9" s="28">
        <v>0</v>
      </c>
      <c r="AL9" s="18">
        <v>851.29521</v>
      </c>
      <c r="AM9" s="18">
        <v>276.67627999999996</v>
      </c>
      <c r="AN9" s="51">
        <v>11.3445</v>
      </c>
      <c r="AO9" s="143">
        <v>0</v>
      </c>
      <c r="AP9" s="19">
        <v>1139.3159899999998</v>
      </c>
      <c r="AQ9" s="17"/>
      <c r="AR9" s="114" t="s">
        <v>541</v>
      </c>
      <c r="AS9" s="31">
        <v>0</v>
      </c>
      <c r="AT9" s="18">
        <v>332.06110999999999</v>
      </c>
      <c r="AU9" s="18">
        <v>136.61165</v>
      </c>
      <c r="AV9" s="18">
        <v>3.4164799999999995</v>
      </c>
      <c r="AW9" s="18">
        <v>6.4949999999999992</v>
      </c>
      <c r="AX9" s="19">
        <v>478.58423999999997</v>
      </c>
      <c r="AY9" s="28">
        <v>0</v>
      </c>
      <c r="AZ9" s="18">
        <v>1183.3563199999999</v>
      </c>
      <c r="BA9" s="18">
        <v>413.2879299999999</v>
      </c>
      <c r="BB9" s="51">
        <v>14.76098</v>
      </c>
      <c r="BC9" s="51">
        <v>6.4949999999999992</v>
      </c>
      <c r="BD9" s="19">
        <v>1617.9002299999997</v>
      </c>
      <c r="BE9" s="17"/>
      <c r="BF9" s="114" t="s">
        <v>541</v>
      </c>
      <c r="BG9" s="31">
        <v>0</v>
      </c>
      <c r="BH9" s="18">
        <v>307.13714999999996</v>
      </c>
      <c r="BI9" s="18">
        <v>130.00765000000001</v>
      </c>
      <c r="BJ9" s="18">
        <v>7.3985699999999994</v>
      </c>
      <c r="BK9" s="18">
        <v>0</v>
      </c>
      <c r="BL9" s="19">
        <v>444.54336999999998</v>
      </c>
      <c r="BM9" s="28">
        <v>0</v>
      </c>
      <c r="BN9" s="18">
        <v>1490.4934699999994</v>
      </c>
      <c r="BO9" s="18">
        <v>543.29557999999986</v>
      </c>
      <c r="BP9" s="51">
        <v>22.159549999999999</v>
      </c>
      <c r="BQ9" s="51">
        <v>6.4949999999999992</v>
      </c>
      <c r="BR9" s="19">
        <v>2062.4435999999992</v>
      </c>
      <c r="BS9" s="17"/>
      <c r="BT9" s="114" t="s">
        <v>541</v>
      </c>
      <c r="BU9" s="31">
        <v>0</v>
      </c>
      <c r="BV9" s="18">
        <v>302.55705000000006</v>
      </c>
      <c r="BW9" s="18">
        <v>130.47263000000001</v>
      </c>
      <c r="BX9" s="18">
        <v>14.006589999999999</v>
      </c>
      <c r="BY9" s="18">
        <v>0</v>
      </c>
      <c r="BZ9" s="19">
        <v>447.03627000000012</v>
      </c>
      <c r="CA9" s="28">
        <v>0</v>
      </c>
      <c r="CB9" s="18">
        <v>1793.0505199999998</v>
      </c>
      <c r="CC9" s="18">
        <v>673.76820999999984</v>
      </c>
      <c r="CD9" s="51">
        <v>36.166139999999999</v>
      </c>
      <c r="CE9" s="51">
        <v>6.4949999999999992</v>
      </c>
      <c r="CF9" s="19">
        <v>2509.4798699999992</v>
      </c>
      <c r="CG9" s="17"/>
      <c r="CH9" s="114" t="s">
        <v>541</v>
      </c>
      <c r="CI9" s="18">
        <v>295.43745000000007</v>
      </c>
      <c r="CJ9" s="18">
        <v>51.431359999999998</v>
      </c>
      <c r="CK9" s="18">
        <v>6.33744</v>
      </c>
      <c r="CL9" s="18">
        <v>2.5979999999999994</v>
      </c>
      <c r="CM9" s="19">
        <v>355.80425000000008</v>
      </c>
      <c r="CN9" s="18">
        <v>2088.4879700000001</v>
      </c>
      <c r="CO9" s="18">
        <v>725.19956999999988</v>
      </c>
      <c r="CP9" s="51">
        <v>42.503579999999999</v>
      </c>
      <c r="CQ9" s="51">
        <v>9.0929999999999982</v>
      </c>
      <c r="CR9" s="19">
        <v>2865.2841199999998</v>
      </c>
      <c r="CT9" s="114" t="s">
        <v>541</v>
      </c>
      <c r="CU9" s="31">
        <v>118.04999999999998</v>
      </c>
      <c r="CV9" s="18">
        <v>260.51175000000001</v>
      </c>
      <c r="CW9" s="18">
        <v>67.720869999999991</v>
      </c>
      <c r="CX9" s="18">
        <v>6.3700400000000004</v>
      </c>
      <c r="CY9" s="18">
        <v>0</v>
      </c>
      <c r="CZ9" s="19">
        <v>452.65265999999997</v>
      </c>
      <c r="DA9" s="28">
        <v>118.04999999999998</v>
      </c>
      <c r="DB9" s="18">
        <v>2348.9997200000007</v>
      </c>
      <c r="DC9" s="18">
        <v>792.92043999999976</v>
      </c>
      <c r="DD9" s="51">
        <v>48.873619999999995</v>
      </c>
      <c r="DE9" s="51">
        <v>9.0929999999999982</v>
      </c>
      <c r="DF9" s="19">
        <v>3317.9367800000005</v>
      </c>
      <c r="DG9" s="17"/>
      <c r="DH9" s="114" t="s">
        <v>541</v>
      </c>
      <c r="DI9" s="31">
        <v>0</v>
      </c>
      <c r="DJ9" s="18">
        <v>335.65575000000001</v>
      </c>
      <c r="DK9" s="18">
        <v>145.39175</v>
      </c>
      <c r="DL9" s="18">
        <v>2.8818399999999995</v>
      </c>
      <c r="DM9" s="18">
        <v>0</v>
      </c>
      <c r="DN9" s="19">
        <v>483.92934000000002</v>
      </c>
      <c r="DO9" s="28">
        <v>118.04999999999998</v>
      </c>
      <c r="DP9" s="18">
        <v>2684.6554699999997</v>
      </c>
      <c r="DQ9" s="18">
        <v>938.31218999999976</v>
      </c>
      <c r="DR9" s="51">
        <v>51.755459999999992</v>
      </c>
      <c r="DS9" s="51">
        <v>9.0929999999999982</v>
      </c>
      <c r="DT9" s="19">
        <v>3801.8661199999992</v>
      </c>
      <c r="DU9" s="17"/>
      <c r="DV9" s="114" t="s">
        <v>541</v>
      </c>
      <c r="DW9" s="31">
        <v>0</v>
      </c>
      <c r="DX9" s="18">
        <v>266.11399</v>
      </c>
      <c r="DY9" s="18">
        <v>62.233699999999999</v>
      </c>
      <c r="DZ9" s="18">
        <v>7.8174799999999998</v>
      </c>
      <c r="EA9" s="18">
        <v>0.16300000000000001</v>
      </c>
      <c r="EB9" s="18">
        <v>0</v>
      </c>
      <c r="EC9" s="19">
        <v>336.32817</v>
      </c>
      <c r="ED9" s="28">
        <v>118.04999999999998</v>
      </c>
      <c r="EE9" s="18">
        <v>2950.76946</v>
      </c>
      <c r="EF9" s="18">
        <v>1000.5458899999996</v>
      </c>
      <c r="EG9" s="51">
        <v>59.572940000000003</v>
      </c>
      <c r="EH9" s="51">
        <v>0.16300000000000001</v>
      </c>
      <c r="EI9" s="51">
        <v>9.0929999999999982</v>
      </c>
      <c r="EJ9" s="19">
        <v>4138.1942899999995</v>
      </c>
      <c r="EK9" s="17"/>
      <c r="EL9" s="114" t="s">
        <v>541</v>
      </c>
      <c r="EM9" s="31">
        <v>0</v>
      </c>
      <c r="EN9" s="18">
        <v>280.66492999999997</v>
      </c>
      <c r="EO9" s="18">
        <v>33.163539999999998</v>
      </c>
      <c r="EP9" s="18">
        <v>6.0896799999999995</v>
      </c>
      <c r="EQ9" s="18">
        <v>0</v>
      </c>
      <c r="ER9" s="18">
        <v>0</v>
      </c>
      <c r="ES9" s="19">
        <v>319.91814999999997</v>
      </c>
      <c r="ET9" s="28">
        <v>118.04999999999998</v>
      </c>
      <c r="EU9" s="18">
        <v>3231.4343900000008</v>
      </c>
      <c r="EV9" s="18">
        <v>1033.7094299999997</v>
      </c>
      <c r="EW9" s="51">
        <v>65.66261999999999</v>
      </c>
      <c r="EX9" s="51">
        <v>0.16300000000000001</v>
      </c>
      <c r="EY9" s="51">
        <v>9.0929999999999982</v>
      </c>
      <c r="EZ9" s="19">
        <v>4458.1124399999999</v>
      </c>
      <c r="FA9" s="17"/>
      <c r="FB9" s="114" t="s">
        <v>541</v>
      </c>
      <c r="FC9" s="31">
        <v>39.349999999999994</v>
      </c>
      <c r="FD9" s="18">
        <v>308.88756000000001</v>
      </c>
      <c r="FE9" s="18">
        <v>58.833199999999998</v>
      </c>
      <c r="FF9" s="18">
        <v>7.2779499999999988</v>
      </c>
      <c r="FG9" s="18">
        <v>0</v>
      </c>
      <c r="FH9" s="18">
        <v>0</v>
      </c>
      <c r="FI9" s="19">
        <v>414.34870999999998</v>
      </c>
      <c r="FJ9" s="28">
        <v>157.39999999999998</v>
      </c>
      <c r="FK9" s="18">
        <v>3540.3219499999996</v>
      </c>
      <c r="FL9" s="18">
        <v>1092.5426299999997</v>
      </c>
      <c r="FM9" s="51">
        <v>72.940570000000008</v>
      </c>
      <c r="FN9" s="51">
        <v>0.16300000000000001</v>
      </c>
      <c r="FO9" s="51">
        <v>9.0929999999999982</v>
      </c>
      <c r="FP9" s="19">
        <v>4872.4611499999983</v>
      </c>
      <c r="FQ9" s="17"/>
      <c r="FR9" s="114" t="s">
        <v>541</v>
      </c>
      <c r="FS9" s="31">
        <v>137.72499999999997</v>
      </c>
      <c r="FT9" s="18">
        <v>178.08335</v>
      </c>
      <c r="FU9" s="18">
        <v>108.46865000000001</v>
      </c>
      <c r="FV9" s="18">
        <v>14.180999999999997</v>
      </c>
      <c r="FW9" s="18">
        <v>0</v>
      </c>
      <c r="FX9" s="18">
        <v>0</v>
      </c>
      <c r="FY9" s="19">
        <v>438.45799999999997</v>
      </c>
      <c r="FZ9" s="28">
        <v>432.84999999999997</v>
      </c>
      <c r="GA9" s="18">
        <v>4523.7154099999989</v>
      </c>
      <c r="GB9" s="18">
        <v>1505.2406600000004</v>
      </c>
      <c r="GC9" s="51">
        <v>102.19254999999997</v>
      </c>
      <c r="GD9" s="51">
        <v>0.16300000000000001</v>
      </c>
      <c r="GE9" s="51">
        <v>9.0929999999999982</v>
      </c>
      <c r="GF9" s="19">
        <v>6573.2546199999988</v>
      </c>
      <c r="GH9" s="114" t="s">
        <v>541</v>
      </c>
      <c r="GI9" s="31">
        <v>0</v>
      </c>
      <c r="GJ9" s="18">
        <v>120.84</v>
      </c>
      <c r="GK9" s="18">
        <v>86.950500000000005</v>
      </c>
      <c r="GL9" s="18">
        <v>11.749039999999999</v>
      </c>
      <c r="GM9" s="18">
        <v>0</v>
      </c>
      <c r="GN9" s="18">
        <v>0</v>
      </c>
      <c r="GO9" s="19">
        <v>219.53954000000002</v>
      </c>
      <c r="GP9" s="28">
        <v>432.84999999999997</v>
      </c>
      <c r="GQ9" s="18">
        <v>4782.2371700000003</v>
      </c>
      <c r="GR9" s="18">
        <v>1674.4385599999998</v>
      </c>
      <c r="GS9" s="51">
        <v>113.94158999999996</v>
      </c>
      <c r="GT9" s="51">
        <v>0.16300000000000001</v>
      </c>
      <c r="GU9" s="51">
        <v>9.0929999999999982</v>
      </c>
      <c r="GV9" s="19">
        <v>7012.7233200000001</v>
      </c>
      <c r="GW9" s="17"/>
      <c r="GX9" s="114" t="s">
        <v>541</v>
      </c>
      <c r="GY9" s="31">
        <v>78.699999999999989</v>
      </c>
      <c r="GZ9" s="18">
        <v>267.56682000000001</v>
      </c>
      <c r="HA9" s="18">
        <v>90.544440000000009</v>
      </c>
      <c r="HB9" s="18">
        <v>5.2942399999999994</v>
      </c>
      <c r="HC9" s="18">
        <v>0</v>
      </c>
      <c r="HD9" s="18">
        <v>0</v>
      </c>
      <c r="HE9" s="19">
        <v>442.10550000000001</v>
      </c>
      <c r="HF9" s="28">
        <v>511.5499999999999</v>
      </c>
      <c r="HG9" s="18">
        <v>5049.8039899999994</v>
      </c>
      <c r="HH9" s="18">
        <v>1764.9829999999999</v>
      </c>
      <c r="HI9" s="51">
        <v>119.23582999999998</v>
      </c>
      <c r="HJ9" s="51">
        <v>0.16300000000000001</v>
      </c>
      <c r="HK9" s="51">
        <v>9.0929999999999982</v>
      </c>
      <c r="HL9" s="19">
        <v>7454.8288199999988</v>
      </c>
      <c r="HM9" s="17"/>
      <c r="HN9" s="114" t="s">
        <v>541</v>
      </c>
      <c r="HO9" s="31">
        <v>0</v>
      </c>
      <c r="HP9" s="18">
        <v>223.96439999999998</v>
      </c>
      <c r="HQ9" s="18">
        <v>95.44619999999999</v>
      </c>
      <c r="HR9" s="18">
        <v>16.795519999999996</v>
      </c>
      <c r="HS9" s="18">
        <v>0</v>
      </c>
      <c r="HT9" s="18">
        <v>0</v>
      </c>
      <c r="HU9" s="19">
        <v>336.20612</v>
      </c>
      <c r="HV9" s="28">
        <v>511.5499999999999</v>
      </c>
      <c r="HW9" s="18">
        <v>5273.7683899999984</v>
      </c>
      <c r="HX9" s="18">
        <v>1860.4292000000005</v>
      </c>
      <c r="HY9" s="51">
        <v>136.03134999999997</v>
      </c>
      <c r="HZ9" s="51">
        <v>0.16300000000000001</v>
      </c>
      <c r="IA9" s="51">
        <v>9.0929999999999982</v>
      </c>
      <c r="IB9" s="19">
        <v>7791.0349399999986</v>
      </c>
      <c r="IC9" s="17"/>
      <c r="ID9" s="114" t="s">
        <v>541</v>
      </c>
      <c r="IE9" s="31">
        <v>0</v>
      </c>
      <c r="IF9" s="18">
        <v>190.99908000000002</v>
      </c>
      <c r="IG9" s="18">
        <v>38.045999999999999</v>
      </c>
      <c r="IH9" s="18">
        <v>6.2591999999999999</v>
      </c>
      <c r="II9" s="18">
        <v>0</v>
      </c>
      <c r="IJ9" s="18">
        <v>0</v>
      </c>
      <c r="IK9" s="19">
        <v>235.30428000000001</v>
      </c>
      <c r="IL9" s="28">
        <v>511.5499999999999</v>
      </c>
      <c r="IM9" s="18">
        <v>5464.7674699999989</v>
      </c>
      <c r="IN9" s="18">
        <v>1898.4752000000003</v>
      </c>
      <c r="IO9" s="51">
        <v>142.29054999999994</v>
      </c>
      <c r="IP9" s="51">
        <v>0.16300000000000001</v>
      </c>
      <c r="IQ9" s="51">
        <v>9.0929999999999982</v>
      </c>
      <c r="IR9" s="19">
        <v>8026.339219999998</v>
      </c>
      <c r="IS9" s="17"/>
      <c r="IT9" s="114" t="s">
        <v>541</v>
      </c>
      <c r="IU9" s="31">
        <v>81.455899999999986</v>
      </c>
      <c r="IV9" s="18">
        <v>52.926600000000001</v>
      </c>
      <c r="IW9" s="18">
        <v>55.637800000000006</v>
      </c>
      <c r="IX9" s="18">
        <v>5.476799999999999</v>
      </c>
      <c r="IY9" s="18">
        <v>0</v>
      </c>
      <c r="IZ9" s="18">
        <v>0</v>
      </c>
      <c r="JA9" s="19">
        <v>195.49709999999999</v>
      </c>
      <c r="JB9" s="28">
        <v>593.00589999999988</v>
      </c>
      <c r="JC9" s="18">
        <v>5517.6940699999986</v>
      </c>
      <c r="JD9" s="18">
        <v>1954.1130000000003</v>
      </c>
      <c r="JE9" s="51">
        <v>147.76734999999996</v>
      </c>
      <c r="JF9" s="51">
        <v>0.16300000000000001</v>
      </c>
      <c r="JG9" s="51">
        <v>9.0929999999999982</v>
      </c>
      <c r="JH9" s="19">
        <v>8221.8363200000003</v>
      </c>
      <c r="JI9" s="17">
        <f t="shared" si="1"/>
        <v>0</v>
      </c>
      <c r="JJ9" s="17">
        <f t="shared" si="0"/>
        <v>0</v>
      </c>
      <c r="JK9" s="17">
        <f t="shared" si="0"/>
        <v>0</v>
      </c>
      <c r="JL9" s="17">
        <f t="shared" si="0"/>
        <v>0</v>
      </c>
      <c r="JM9" s="17">
        <f t="shared" si="0"/>
        <v>0</v>
      </c>
      <c r="JN9" s="17">
        <f t="shared" si="0"/>
        <v>0</v>
      </c>
      <c r="JO9" s="17">
        <f t="shared" si="0"/>
        <v>0</v>
      </c>
    </row>
    <row r="10" spans="2:275" x14ac:dyDescent="0.3">
      <c r="B10" s="114" t="s">
        <v>542</v>
      </c>
      <c r="C10" s="31">
        <v>0</v>
      </c>
      <c r="D10" s="18">
        <v>236.99795297999998</v>
      </c>
      <c r="E10" s="18">
        <v>21.84299365</v>
      </c>
      <c r="F10" s="18">
        <v>2.82646</v>
      </c>
      <c r="G10" s="18">
        <v>0</v>
      </c>
      <c r="H10" s="19">
        <v>261.66740662999996</v>
      </c>
      <c r="I10" s="28">
        <v>0</v>
      </c>
      <c r="J10" s="18">
        <v>236.99795297999998</v>
      </c>
      <c r="K10" s="18">
        <v>21.84299365</v>
      </c>
      <c r="L10" s="51">
        <v>2.82646</v>
      </c>
      <c r="M10" s="143">
        <v>0</v>
      </c>
      <c r="N10" s="19">
        <v>261.66740662999996</v>
      </c>
      <c r="P10" s="114" t="s">
        <v>542</v>
      </c>
      <c r="Q10" s="31">
        <v>0</v>
      </c>
      <c r="R10" s="18">
        <v>190.26128669000002</v>
      </c>
      <c r="S10" s="18">
        <v>3.2021261500000002</v>
      </c>
      <c r="T10" s="18">
        <v>7.4510800000000001</v>
      </c>
      <c r="U10" s="18">
        <v>0</v>
      </c>
      <c r="V10" s="19">
        <v>200.91449284000001</v>
      </c>
      <c r="W10" s="28">
        <v>0</v>
      </c>
      <c r="X10" s="18">
        <v>427.25923967</v>
      </c>
      <c r="Y10" s="18">
        <v>25.045119799999995</v>
      </c>
      <c r="Z10" s="51">
        <v>10.27754</v>
      </c>
      <c r="AA10" s="143">
        <v>0</v>
      </c>
      <c r="AB10" s="19">
        <v>462.58189947</v>
      </c>
      <c r="AC10" s="17"/>
      <c r="AD10" s="114" t="s">
        <v>542</v>
      </c>
      <c r="AE10" s="31">
        <v>0</v>
      </c>
      <c r="AF10" s="18">
        <v>449.58679251999996</v>
      </c>
      <c r="AG10" s="18">
        <v>82.69858099999999</v>
      </c>
      <c r="AH10" s="18">
        <v>3.4871200000000004</v>
      </c>
      <c r="AI10" s="18">
        <v>0</v>
      </c>
      <c r="AJ10" s="19">
        <v>535.7724935199999</v>
      </c>
      <c r="AK10" s="28">
        <v>0</v>
      </c>
      <c r="AL10" s="18">
        <v>876.8460321900003</v>
      </c>
      <c r="AM10" s="18">
        <v>107.74370079999997</v>
      </c>
      <c r="AN10" s="51">
        <v>13.764659999999999</v>
      </c>
      <c r="AO10" s="143">
        <v>0</v>
      </c>
      <c r="AP10" s="19">
        <v>998.35439299000029</v>
      </c>
      <c r="AQ10" s="17"/>
      <c r="AR10" s="114" t="s">
        <v>542</v>
      </c>
      <c r="AS10" s="31">
        <v>0</v>
      </c>
      <c r="AT10" s="18">
        <v>376.45521000000008</v>
      </c>
      <c r="AU10" s="18">
        <v>67.412800000000004</v>
      </c>
      <c r="AV10" s="18">
        <v>4.0033600000000007</v>
      </c>
      <c r="AW10" s="18">
        <v>4.24</v>
      </c>
      <c r="AX10" s="19">
        <v>452.11137000000008</v>
      </c>
      <c r="AY10" s="28">
        <v>0</v>
      </c>
      <c r="AZ10" s="18">
        <v>1253.3012421899994</v>
      </c>
      <c r="BA10" s="18">
        <v>175.15650079999998</v>
      </c>
      <c r="BB10" s="51">
        <v>17.76802</v>
      </c>
      <c r="BC10" s="51">
        <v>4.24</v>
      </c>
      <c r="BD10" s="19">
        <v>1450.4657629899993</v>
      </c>
      <c r="BE10" s="17"/>
      <c r="BF10" s="114" t="s">
        <v>542</v>
      </c>
      <c r="BG10" s="31">
        <v>0</v>
      </c>
      <c r="BH10" s="18">
        <v>349.08590000000009</v>
      </c>
      <c r="BI10" s="18">
        <v>82.733899999999991</v>
      </c>
      <c r="BJ10" s="18">
        <v>8.6694900000000015</v>
      </c>
      <c r="BK10" s="18">
        <v>0</v>
      </c>
      <c r="BL10" s="19">
        <v>440.4892900000001</v>
      </c>
      <c r="BM10" s="28">
        <v>0</v>
      </c>
      <c r="BN10" s="18">
        <v>1602.3871421899996</v>
      </c>
      <c r="BO10" s="18">
        <v>257.89040080000001</v>
      </c>
      <c r="BP10" s="51">
        <v>26.437510000000003</v>
      </c>
      <c r="BQ10" s="51">
        <v>4.24</v>
      </c>
      <c r="BR10" s="19">
        <v>1890.9550529899996</v>
      </c>
      <c r="BS10" s="17"/>
      <c r="BT10" s="114" t="s">
        <v>542</v>
      </c>
      <c r="BU10" s="31">
        <v>0</v>
      </c>
      <c r="BV10" s="18">
        <v>347.71580000000006</v>
      </c>
      <c r="BW10" s="18">
        <v>61.675379999999997</v>
      </c>
      <c r="BX10" s="18">
        <v>16.41263</v>
      </c>
      <c r="BY10" s="18">
        <v>0</v>
      </c>
      <c r="BZ10" s="19">
        <v>425.80381000000006</v>
      </c>
      <c r="CA10" s="28">
        <v>0</v>
      </c>
      <c r="CB10" s="18">
        <v>1950.1029421899996</v>
      </c>
      <c r="CC10" s="18">
        <v>319.56578080000003</v>
      </c>
      <c r="CD10" s="51">
        <v>42.850139999999996</v>
      </c>
      <c r="CE10" s="51">
        <v>4.24</v>
      </c>
      <c r="CF10" s="19">
        <v>2316.7588629899992</v>
      </c>
      <c r="CG10" s="17"/>
      <c r="CH10" s="114" t="s">
        <v>542</v>
      </c>
      <c r="CI10" s="18">
        <v>341.8974</v>
      </c>
      <c r="CJ10" s="18">
        <v>50.431359999999998</v>
      </c>
      <c r="CK10" s="18">
        <v>7.4260800000000016</v>
      </c>
      <c r="CL10" s="18">
        <v>1.708</v>
      </c>
      <c r="CM10" s="19">
        <v>401.46284000000003</v>
      </c>
      <c r="CN10" s="18">
        <v>2292.0003421900001</v>
      </c>
      <c r="CO10" s="18">
        <v>369.99714080000007</v>
      </c>
      <c r="CP10" s="51">
        <v>50.276220000000009</v>
      </c>
      <c r="CQ10" s="51">
        <v>5.9480000000000004</v>
      </c>
      <c r="CR10" s="19">
        <v>2718.2217029900003</v>
      </c>
      <c r="CT10" s="114" t="s">
        <v>542</v>
      </c>
      <c r="CU10" s="31">
        <v>121.11000000000001</v>
      </c>
      <c r="CV10" s="18">
        <v>303.10176000000007</v>
      </c>
      <c r="CW10" s="18">
        <v>55.467470000000013</v>
      </c>
      <c r="CX10" s="18">
        <v>7.4642800000000005</v>
      </c>
      <c r="CY10" s="18">
        <v>0</v>
      </c>
      <c r="CZ10" s="19">
        <v>487.14351000000005</v>
      </c>
      <c r="DA10" s="28">
        <v>121.11000000000001</v>
      </c>
      <c r="DB10" s="18">
        <v>2595.102102190001</v>
      </c>
      <c r="DC10" s="18">
        <v>425.46461080000006</v>
      </c>
      <c r="DD10" s="51">
        <v>57.740500000000004</v>
      </c>
      <c r="DE10" s="51">
        <v>5.9480000000000004</v>
      </c>
      <c r="DF10" s="19">
        <v>3205.3652129900011</v>
      </c>
      <c r="DG10" s="17"/>
      <c r="DH10" s="114" t="s">
        <v>542</v>
      </c>
      <c r="DI10" s="31">
        <v>0</v>
      </c>
      <c r="DJ10" s="18">
        <v>380.64709000000022</v>
      </c>
      <c r="DK10" s="18">
        <v>99.416650000000004</v>
      </c>
      <c r="DL10" s="18">
        <v>3.3768800000000003</v>
      </c>
      <c r="DM10" s="18">
        <v>0</v>
      </c>
      <c r="DN10" s="19">
        <v>483.44062000000025</v>
      </c>
      <c r="DO10" s="28">
        <v>121.11000000000001</v>
      </c>
      <c r="DP10" s="18">
        <v>2975.7491921900023</v>
      </c>
      <c r="DQ10" s="18">
        <v>524.88126080000018</v>
      </c>
      <c r="DR10" s="51">
        <v>61.117380000000004</v>
      </c>
      <c r="DS10" s="51">
        <v>5.9480000000000004</v>
      </c>
      <c r="DT10" s="19">
        <v>3688.8058329900027</v>
      </c>
      <c r="DU10" s="17"/>
      <c r="DV10" s="114" t="s">
        <v>542</v>
      </c>
      <c r="DW10" s="31">
        <v>0</v>
      </c>
      <c r="DX10" s="18">
        <v>302.42015000000004</v>
      </c>
      <c r="DY10" s="18">
        <v>59.398949999999999</v>
      </c>
      <c r="DZ10" s="18">
        <v>9.1603600000000007</v>
      </c>
      <c r="EA10" s="18">
        <v>0.191</v>
      </c>
      <c r="EB10" s="18">
        <v>0</v>
      </c>
      <c r="EC10" s="19">
        <v>371.17046000000005</v>
      </c>
      <c r="ED10" s="28">
        <v>121.11000000000001</v>
      </c>
      <c r="EE10" s="18">
        <v>3278.1693421900013</v>
      </c>
      <c r="EF10" s="18">
        <v>584.28021079999985</v>
      </c>
      <c r="EG10" s="51">
        <v>70.277740000000009</v>
      </c>
      <c r="EH10" s="51">
        <v>0.191</v>
      </c>
      <c r="EI10" s="51">
        <v>5.9480000000000004</v>
      </c>
      <c r="EJ10" s="19">
        <v>4059.9762929900007</v>
      </c>
      <c r="EK10" s="17"/>
      <c r="EL10" s="114" t="s">
        <v>542</v>
      </c>
      <c r="EM10" s="31">
        <v>0</v>
      </c>
      <c r="EN10" s="18">
        <v>320.23404000000005</v>
      </c>
      <c r="EO10" s="18">
        <v>19.579789999999996</v>
      </c>
      <c r="EP10" s="18">
        <v>7.1357600000000003</v>
      </c>
      <c r="EQ10" s="18">
        <v>0</v>
      </c>
      <c r="ER10" s="18">
        <v>0</v>
      </c>
      <c r="ES10" s="19">
        <v>346.94959000000006</v>
      </c>
      <c r="ET10" s="28">
        <v>121.11000000000001</v>
      </c>
      <c r="EU10" s="18">
        <v>3598.4033821900002</v>
      </c>
      <c r="EV10" s="18">
        <v>603.86000079999997</v>
      </c>
      <c r="EW10" s="51">
        <v>77.413499999999985</v>
      </c>
      <c r="EX10" s="51">
        <v>0.191</v>
      </c>
      <c r="EY10" s="51">
        <v>5.9480000000000004</v>
      </c>
      <c r="EZ10" s="19">
        <v>4406.92588299</v>
      </c>
      <c r="FA10" s="17"/>
      <c r="FB10" s="114" t="s">
        <v>542</v>
      </c>
      <c r="FC10" s="31">
        <v>40.369999999999997</v>
      </c>
      <c r="FD10" s="18">
        <v>350.89293000000009</v>
      </c>
      <c r="FE10" s="18">
        <v>47.893050000000002</v>
      </c>
      <c r="FF10" s="18">
        <v>8.5281500000000001</v>
      </c>
      <c r="FG10" s="18">
        <v>0</v>
      </c>
      <c r="FH10" s="18">
        <v>0</v>
      </c>
      <c r="FI10" s="19">
        <v>447.6841300000001</v>
      </c>
      <c r="FJ10" s="28">
        <v>161.47999999999999</v>
      </c>
      <c r="FK10" s="18">
        <v>3949.2963121899998</v>
      </c>
      <c r="FL10" s="18">
        <v>651.75305079999998</v>
      </c>
      <c r="FM10" s="51">
        <v>85.94165000000001</v>
      </c>
      <c r="FN10" s="51">
        <v>0.191</v>
      </c>
      <c r="FO10" s="51">
        <v>5.9480000000000004</v>
      </c>
      <c r="FP10" s="19">
        <v>4854.6100129899996</v>
      </c>
      <c r="FQ10" s="17"/>
      <c r="FR10" s="114" t="s">
        <v>542</v>
      </c>
      <c r="FS10" s="31">
        <v>141.29499999999999</v>
      </c>
      <c r="FT10" s="18">
        <v>201.52435000000003</v>
      </c>
      <c r="FU10" s="18">
        <v>53.862700000000004</v>
      </c>
      <c r="FV10" s="18">
        <v>16.617000000000001</v>
      </c>
      <c r="FW10" s="18">
        <v>0</v>
      </c>
      <c r="FX10" s="18">
        <v>0</v>
      </c>
      <c r="FY10" s="19">
        <v>413.29905000000002</v>
      </c>
      <c r="FZ10" s="28">
        <v>444.07</v>
      </c>
      <c r="GA10" s="18">
        <v>5077.6463021900017</v>
      </c>
      <c r="GB10" s="18">
        <v>892.71721079999986</v>
      </c>
      <c r="GC10" s="51">
        <v>120.21850999999999</v>
      </c>
      <c r="GD10" s="51">
        <v>0.191</v>
      </c>
      <c r="GE10" s="51">
        <v>5.9480000000000004</v>
      </c>
      <c r="GF10" s="19">
        <v>6540.7910229900008</v>
      </c>
      <c r="GH10" s="114" t="s">
        <v>542</v>
      </c>
      <c r="GI10" s="31">
        <v>0</v>
      </c>
      <c r="GJ10" s="18">
        <v>140.16560000000001</v>
      </c>
      <c r="GK10" s="18">
        <v>57.700650000000003</v>
      </c>
      <c r="GL10" s="18">
        <v>13.767280000000001</v>
      </c>
      <c r="GM10" s="18">
        <v>0</v>
      </c>
      <c r="GN10" s="18">
        <v>0</v>
      </c>
      <c r="GO10" s="19">
        <v>211.63353000000001</v>
      </c>
      <c r="GP10" s="28">
        <v>444.07</v>
      </c>
      <c r="GQ10" s="18">
        <v>5380.1427621900011</v>
      </c>
      <c r="GR10" s="18">
        <v>1002.1162608</v>
      </c>
      <c r="GS10" s="51">
        <v>133.98578999999995</v>
      </c>
      <c r="GT10" s="51">
        <v>0.191</v>
      </c>
      <c r="GU10" s="51">
        <v>5.9480000000000004</v>
      </c>
      <c r="GV10" s="19">
        <v>6966.4538129900011</v>
      </c>
      <c r="GW10" s="17"/>
      <c r="GX10" s="114" t="s">
        <v>542</v>
      </c>
      <c r="GY10" s="31">
        <v>80.739999999999995</v>
      </c>
      <c r="GZ10" s="18">
        <v>311.05261000000007</v>
      </c>
      <c r="HA10" s="18">
        <v>62.861760000000011</v>
      </c>
      <c r="HB10" s="18">
        <v>6.2036800000000003</v>
      </c>
      <c r="HC10" s="18">
        <v>0</v>
      </c>
      <c r="HD10" s="18">
        <v>0</v>
      </c>
      <c r="HE10" s="19">
        <v>460.85805000000011</v>
      </c>
      <c r="HF10" s="28">
        <v>524.80999999999995</v>
      </c>
      <c r="HG10" s="18">
        <v>5691.1953721900018</v>
      </c>
      <c r="HH10" s="18">
        <v>1064.9780208000002</v>
      </c>
      <c r="HI10" s="51">
        <v>140.18946999999997</v>
      </c>
      <c r="HJ10" s="51">
        <v>0.191</v>
      </c>
      <c r="HK10" s="51">
        <v>5.9480000000000004</v>
      </c>
      <c r="HL10" s="19">
        <v>7427.3118629900027</v>
      </c>
      <c r="HM10" s="17"/>
      <c r="HN10" s="114" t="s">
        <v>542</v>
      </c>
      <c r="HO10" s="31">
        <v>0</v>
      </c>
      <c r="HP10" s="18">
        <v>261.32326000000006</v>
      </c>
      <c r="HQ10" s="18">
        <v>55.724750000000007</v>
      </c>
      <c r="HR10" s="18">
        <v>19.68064</v>
      </c>
      <c r="HS10" s="18">
        <v>0</v>
      </c>
      <c r="HT10" s="18">
        <v>0</v>
      </c>
      <c r="HU10" s="19">
        <v>336.72865000000007</v>
      </c>
      <c r="HV10" s="28">
        <v>524.80999999999995</v>
      </c>
      <c r="HW10" s="18">
        <v>5952.5186321899992</v>
      </c>
      <c r="HX10" s="18">
        <v>1120.7027708000003</v>
      </c>
      <c r="HY10" s="51">
        <v>159.87011000000004</v>
      </c>
      <c r="HZ10" s="51">
        <v>0.191</v>
      </c>
      <c r="IA10" s="51">
        <v>5.9480000000000004</v>
      </c>
      <c r="IB10" s="19">
        <v>7764.04051299</v>
      </c>
      <c r="IC10" s="17"/>
      <c r="ID10" s="114" t="s">
        <v>542</v>
      </c>
      <c r="IE10" s="31">
        <v>0</v>
      </c>
      <c r="IF10" s="18">
        <v>218.89920000000001</v>
      </c>
      <c r="IG10" s="18">
        <v>3.1415999999999999</v>
      </c>
      <c r="IH10" s="18">
        <v>7.3344000000000014</v>
      </c>
      <c r="II10" s="18">
        <v>0</v>
      </c>
      <c r="IJ10" s="18">
        <v>0</v>
      </c>
      <c r="IK10" s="19">
        <v>229.37520000000001</v>
      </c>
      <c r="IL10" s="28">
        <v>524.80999999999995</v>
      </c>
      <c r="IM10" s="18">
        <v>6171.4178321899981</v>
      </c>
      <c r="IN10" s="18">
        <v>1123.8443708000004</v>
      </c>
      <c r="IO10" s="51">
        <v>167.20451</v>
      </c>
      <c r="IP10" s="51">
        <v>0.191</v>
      </c>
      <c r="IQ10" s="51">
        <v>5.9480000000000004</v>
      </c>
      <c r="IR10" s="19">
        <v>7993.4157129899977</v>
      </c>
      <c r="IS10" s="17"/>
      <c r="IT10" s="114" t="s">
        <v>542</v>
      </c>
      <c r="IU10" s="31">
        <v>83.567300000000003</v>
      </c>
      <c r="IV10" s="18">
        <v>67.739500000000021</v>
      </c>
      <c r="IW10" s="18">
        <v>4.5919999999999996</v>
      </c>
      <c r="IX10" s="18">
        <v>6.4176000000000002</v>
      </c>
      <c r="IY10" s="18">
        <v>0</v>
      </c>
      <c r="IZ10" s="18">
        <v>0</v>
      </c>
      <c r="JA10" s="19">
        <v>162.31640000000002</v>
      </c>
      <c r="JB10" s="28">
        <v>608.37729999999999</v>
      </c>
      <c r="JC10" s="18">
        <v>6239.1573321899978</v>
      </c>
      <c r="JD10" s="18">
        <v>1128.4363708000003</v>
      </c>
      <c r="JE10" s="51">
        <v>173.62211000000002</v>
      </c>
      <c r="JF10" s="51">
        <v>0.191</v>
      </c>
      <c r="JG10" s="51">
        <v>5.9480000000000004</v>
      </c>
      <c r="JH10" s="19">
        <v>8155.7321129899983</v>
      </c>
      <c r="JI10" s="17">
        <f t="shared" si="1"/>
        <v>0</v>
      </c>
      <c r="JJ10" s="17">
        <f t="shared" si="0"/>
        <v>0</v>
      </c>
      <c r="JK10" s="17">
        <f t="shared" si="0"/>
        <v>0</v>
      </c>
      <c r="JL10" s="17">
        <f t="shared" si="0"/>
        <v>0</v>
      </c>
      <c r="JM10" s="17">
        <f t="shared" si="0"/>
        <v>0</v>
      </c>
      <c r="JN10" s="17">
        <f t="shared" si="0"/>
        <v>0</v>
      </c>
      <c r="JO10" s="17">
        <f t="shared" si="0"/>
        <v>0</v>
      </c>
    </row>
    <row r="11" spans="2:275" ht="15" thickBot="1" x14ac:dyDescent="0.35">
      <c r="B11" s="118" t="s">
        <v>543</v>
      </c>
      <c r="C11" s="31">
        <v>0</v>
      </c>
      <c r="D11" s="18">
        <v>287.6909170200006</v>
      </c>
      <c r="E11" s="18">
        <v>38.102236350000226</v>
      </c>
      <c r="F11" s="18">
        <v>9.0384600000000432</v>
      </c>
      <c r="G11" s="18">
        <v>0</v>
      </c>
      <c r="H11" s="19">
        <v>334.83161337000092</v>
      </c>
      <c r="I11" s="28">
        <v>0</v>
      </c>
      <c r="J11" s="28">
        <v>287.6909170200006</v>
      </c>
      <c r="K11" s="28">
        <v>38.102236350000226</v>
      </c>
      <c r="L11" s="82">
        <v>9.0384600000000432</v>
      </c>
      <c r="M11" s="146">
        <v>0</v>
      </c>
      <c r="N11" s="19">
        <v>334.83161337000092</v>
      </c>
      <c r="P11" s="118" t="s">
        <v>543</v>
      </c>
      <c r="Q11" s="31">
        <v>0</v>
      </c>
      <c r="R11" s="18">
        <v>251.16883331000054</v>
      </c>
      <c r="S11" s="18">
        <v>-11.183086150000037</v>
      </c>
      <c r="T11" s="18">
        <v>52.318000000000097</v>
      </c>
      <c r="U11" s="18">
        <v>0</v>
      </c>
      <c r="V11" s="19">
        <v>292.30374716000051</v>
      </c>
      <c r="W11" s="28">
        <v>0</v>
      </c>
      <c r="X11" s="28">
        <v>538.85975032999704</v>
      </c>
      <c r="Y11" s="28">
        <v>26.919150200000217</v>
      </c>
      <c r="Z11" s="82">
        <v>61.356460000000197</v>
      </c>
      <c r="AA11" s="146">
        <v>0</v>
      </c>
      <c r="AB11" s="19">
        <v>627.13536052999643</v>
      </c>
      <c r="AC11" s="17"/>
      <c r="AD11" s="118" t="s">
        <v>543</v>
      </c>
      <c r="AE11" s="31">
        <v>0</v>
      </c>
      <c r="AF11" s="18">
        <v>598.66725748000044</v>
      </c>
      <c r="AG11" s="18">
        <v>189.34381900000062</v>
      </c>
      <c r="AH11" s="18">
        <v>11.151120000000049</v>
      </c>
      <c r="AI11" s="18">
        <v>0</v>
      </c>
      <c r="AJ11" s="19">
        <v>799.1621964800006</v>
      </c>
      <c r="AK11" s="28">
        <v>0</v>
      </c>
      <c r="AL11" s="28">
        <v>1137.5270078100075</v>
      </c>
      <c r="AM11" s="28">
        <v>216.26296920000095</v>
      </c>
      <c r="AN11" s="82">
        <v>72.507580000000189</v>
      </c>
      <c r="AO11" s="146">
        <v>0</v>
      </c>
      <c r="AP11" s="19">
        <v>1426.2975570100079</v>
      </c>
      <c r="AQ11" s="17"/>
      <c r="AR11" s="118" t="s">
        <v>543</v>
      </c>
      <c r="AS11" s="31">
        <v>0</v>
      </c>
      <c r="AT11" s="18">
        <v>284.68603000000076</v>
      </c>
      <c r="AU11" s="18">
        <v>93.618000000000393</v>
      </c>
      <c r="AV11" s="18">
        <v>23.999520000000018</v>
      </c>
      <c r="AW11" s="18">
        <v>30.419999999999931</v>
      </c>
      <c r="AX11" s="19">
        <v>432.72355000000061</v>
      </c>
      <c r="AY11" s="28">
        <v>0</v>
      </c>
      <c r="AZ11" s="28">
        <v>1422.2130378100119</v>
      </c>
      <c r="BA11" s="28">
        <v>309.88096920000135</v>
      </c>
      <c r="BB11" s="82">
        <v>96.507100000000037</v>
      </c>
      <c r="BC11" s="82">
        <v>30.419999999999931</v>
      </c>
      <c r="BD11" s="19">
        <v>1859.0211070100122</v>
      </c>
      <c r="BE11" s="17"/>
      <c r="BF11" s="118" t="s">
        <v>543</v>
      </c>
      <c r="BG11" s="31">
        <v>0</v>
      </c>
      <c r="BH11" s="18">
        <v>276.26350000000093</v>
      </c>
      <c r="BI11" s="18">
        <v>132.29905000000053</v>
      </c>
      <c r="BJ11" s="18">
        <v>61.596900000000232</v>
      </c>
      <c r="BK11" s="18">
        <v>0</v>
      </c>
      <c r="BL11" s="19">
        <v>470.15945000000283</v>
      </c>
      <c r="BM11" s="28">
        <v>0</v>
      </c>
      <c r="BN11" s="28">
        <v>1698.4765378100092</v>
      </c>
      <c r="BO11" s="28">
        <v>442.18001920000188</v>
      </c>
      <c r="BP11" s="82">
        <v>158.10400000000072</v>
      </c>
      <c r="BQ11" s="82">
        <v>30.419999999999931</v>
      </c>
      <c r="BR11" s="19">
        <v>2329.1805570100114</v>
      </c>
      <c r="BS11" s="17"/>
      <c r="BT11" s="118" t="s">
        <v>543</v>
      </c>
      <c r="BU11" s="31">
        <v>0</v>
      </c>
      <c r="BV11" s="18">
        <v>241.88439999999991</v>
      </c>
      <c r="BW11" s="18">
        <v>82.059700000000362</v>
      </c>
      <c r="BX11" s="18">
        <v>112.84514000000036</v>
      </c>
      <c r="BY11" s="18">
        <v>0</v>
      </c>
      <c r="BZ11" s="19">
        <v>436.78924000000006</v>
      </c>
      <c r="CA11" s="28">
        <v>0</v>
      </c>
      <c r="CB11" s="28">
        <v>1940.3609378099973</v>
      </c>
      <c r="CC11" s="28">
        <v>524.23971919999985</v>
      </c>
      <c r="CD11" s="82">
        <v>270.94914000000153</v>
      </c>
      <c r="CE11" s="82">
        <v>30.419999999999931</v>
      </c>
      <c r="CF11" s="19">
        <v>2765.9697970099951</v>
      </c>
      <c r="CG11" s="17"/>
      <c r="CH11" s="118" t="s">
        <v>543</v>
      </c>
      <c r="CI11" s="18">
        <v>205.59800000000041</v>
      </c>
      <c r="CJ11" s="18">
        <v>95.849400000000173</v>
      </c>
      <c r="CK11" s="18">
        <v>52.453600000000165</v>
      </c>
      <c r="CL11" s="18">
        <v>24.051999999999992</v>
      </c>
      <c r="CM11" s="19">
        <v>377.95300000000225</v>
      </c>
      <c r="CN11" s="28">
        <v>2145.9589378099918</v>
      </c>
      <c r="CO11" s="28">
        <v>620.08911920000173</v>
      </c>
      <c r="CP11" s="82">
        <v>323.40274000000045</v>
      </c>
      <c r="CQ11" s="82">
        <v>54.47199999999998</v>
      </c>
      <c r="CR11" s="19">
        <v>3143.9227970100037</v>
      </c>
      <c r="CT11" s="118" t="s">
        <v>543</v>
      </c>
      <c r="CU11" s="31">
        <v>534</v>
      </c>
      <c r="CV11" s="18">
        <v>143.52956000000131</v>
      </c>
      <c r="CW11" s="18">
        <v>99.56955000000039</v>
      </c>
      <c r="CX11" s="18">
        <v>62.223600000000147</v>
      </c>
      <c r="CY11" s="18">
        <v>0</v>
      </c>
      <c r="CZ11" s="19">
        <v>839.32271000000219</v>
      </c>
      <c r="DA11" s="28">
        <v>534</v>
      </c>
      <c r="DB11" s="28">
        <v>2289.4884978099981</v>
      </c>
      <c r="DC11" s="28">
        <v>719.6586692000019</v>
      </c>
      <c r="DD11" s="82">
        <v>385.62634000000071</v>
      </c>
      <c r="DE11" s="82">
        <v>54.47199999999998</v>
      </c>
      <c r="DF11" s="19">
        <v>3983.2455070100041</v>
      </c>
      <c r="DG11" s="17"/>
      <c r="DH11" s="118" t="s">
        <v>543</v>
      </c>
      <c r="DI11" s="31">
        <v>0</v>
      </c>
      <c r="DJ11" s="18">
        <v>249.10428000000138</v>
      </c>
      <c r="DK11" s="18">
        <v>165.58425000000034</v>
      </c>
      <c r="DL11" s="18">
        <v>26.868640000000084</v>
      </c>
      <c r="DM11" s="18">
        <v>0</v>
      </c>
      <c r="DN11" s="19">
        <v>441.55717000000186</v>
      </c>
      <c r="DO11" s="28">
        <v>534</v>
      </c>
      <c r="DP11" s="28">
        <v>2538.592777809994</v>
      </c>
      <c r="DQ11" s="28">
        <v>885.24291920000087</v>
      </c>
      <c r="DR11" s="82">
        <v>412.49498000000131</v>
      </c>
      <c r="DS11" s="82">
        <v>54.47199999999998</v>
      </c>
      <c r="DT11" s="19">
        <v>4424.8026770100041</v>
      </c>
      <c r="DU11" s="17"/>
      <c r="DV11" s="118" t="s">
        <v>543</v>
      </c>
      <c r="DW11" s="31">
        <v>0</v>
      </c>
      <c r="DX11" s="18">
        <v>194.82472999999982</v>
      </c>
      <c r="DY11" s="18">
        <v>111.66475000000037</v>
      </c>
      <c r="DZ11" s="18">
        <v>71.343280000000163</v>
      </c>
      <c r="EA11" s="18">
        <v>3.972999999999999</v>
      </c>
      <c r="EB11" s="18">
        <v>0</v>
      </c>
      <c r="EC11" s="19">
        <v>381.80576000000019</v>
      </c>
      <c r="ED11" s="28">
        <v>534</v>
      </c>
      <c r="EE11" s="28">
        <v>2733.4175078100088</v>
      </c>
      <c r="EF11" s="28">
        <v>996.90766920000169</v>
      </c>
      <c r="EG11" s="82">
        <v>483.83826000000045</v>
      </c>
      <c r="EH11" s="82">
        <v>3.972999999999999</v>
      </c>
      <c r="EI11" s="82">
        <v>54.47199999999998</v>
      </c>
      <c r="EJ11" s="19">
        <v>4806.6084370100216</v>
      </c>
      <c r="EK11" s="17"/>
      <c r="EL11" s="118" t="s">
        <v>543</v>
      </c>
      <c r="EM11" s="31">
        <v>0</v>
      </c>
      <c r="EN11" s="18">
        <v>146.90641000000005</v>
      </c>
      <c r="EO11" s="18">
        <v>30.281550000000095</v>
      </c>
      <c r="EP11" s="18">
        <v>56.712480000000141</v>
      </c>
      <c r="EQ11" s="18">
        <v>0</v>
      </c>
      <c r="ER11" s="18">
        <v>0</v>
      </c>
      <c r="ES11" s="19">
        <v>233.90044000000034</v>
      </c>
      <c r="ET11" s="28">
        <v>534</v>
      </c>
      <c r="EU11" s="28">
        <v>2880.3239178100121</v>
      </c>
      <c r="EV11" s="28">
        <v>1027.1892192000014</v>
      </c>
      <c r="EW11" s="82">
        <v>540.5507400000015</v>
      </c>
      <c r="EX11" s="82">
        <v>3.972999999999999</v>
      </c>
      <c r="EY11" s="82">
        <v>54.47199999999998</v>
      </c>
      <c r="EZ11" s="19">
        <v>5040.5088770100192</v>
      </c>
      <c r="FA11" s="17"/>
      <c r="FB11" s="118" t="s">
        <v>543</v>
      </c>
      <c r="FC11" s="31">
        <v>174.46999999999991</v>
      </c>
      <c r="FD11" s="18">
        <v>181.70792000000029</v>
      </c>
      <c r="FE11" s="18">
        <v>85.595500000000015</v>
      </c>
      <c r="FF11" s="18">
        <v>68.783419999999978</v>
      </c>
      <c r="FG11" s="18">
        <v>0</v>
      </c>
      <c r="FH11" s="18">
        <v>0</v>
      </c>
      <c r="FI11" s="19">
        <v>510.55684000000019</v>
      </c>
      <c r="FJ11" s="28">
        <v>708.47</v>
      </c>
      <c r="FK11" s="28">
        <v>3062.0318378100201</v>
      </c>
      <c r="FL11" s="28">
        <v>1112.7847192000027</v>
      </c>
      <c r="FM11" s="82">
        <v>609.33416000000034</v>
      </c>
      <c r="FN11" s="82">
        <v>3.972999999999999</v>
      </c>
      <c r="FO11" s="82">
        <v>54.47199999999998</v>
      </c>
      <c r="FP11" s="19">
        <v>5551.0657170100312</v>
      </c>
      <c r="FQ11" s="17"/>
      <c r="FR11" s="118" t="s">
        <v>543</v>
      </c>
      <c r="FS11" s="31">
        <v>623</v>
      </c>
      <c r="FT11" s="18">
        <v>164.95355000000109</v>
      </c>
      <c r="FU11" s="18">
        <v>75.120000000000346</v>
      </c>
      <c r="FV11" s="18">
        <v>134.20464000000015</v>
      </c>
      <c r="FW11" s="18">
        <v>0</v>
      </c>
      <c r="FX11" s="18">
        <v>0</v>
      </c>
      <c r="FY11" s="19">
        <v>997.27819000000272</v>
      </c>
      <c r="FZ11" s="28">
        <v>1954.4699999999993</v>
      </c>
      <c r="GA11" s="28">
        <v>3734.2744378100033</v>
      </c>
      <c r="GB11" s="28">
        <v>1484.4693692000037</v>
      </c>
      <c r="GC11" s="82">
        <v>920.94012000000293</v>
      </c>
      <c r="GD11" s="82">
        <v>3.972999999999999</v>
      </c>
      <c r="GE11" s="82">
        <v>54.47199999999998</v>
      </c>
      <c r="GF11" s="19">
        <v>8152.5989270100254</v>
      </c>
      <c r="GH11" s="118" t="s">
        <v>543</v>
      </c>
      <c r="GI11" s="31">
        <v>0</v>
      </c>
      <c r="GJ11" s="18">
        <v>173.17155000000048</v>
      </c>
      <c r="GK11" s="18">
        <v>94.941000000000486</v>
      </c>
      <c r="GL11" s="18">
        <v>128.86512000000016</v>
      </c>
      <c r="GM11" s="18">
        <v>0</v>
      </c>
      <c r="GN11" s="18">
        <v>0</v>
      </c>
      <c r="GO11" s="19">
        <v>396.97767000000113</v>
      </c>
      <c r="GP11" s="28">
        <v>1954.4699999999993</v>
      </c>
      <c r="GQ11" s="28">
        <v>3969.1869478099834</v>
      </c>
      <c r="GR11" s="28">
        <v>1662.3528692000018</v>
      </c>
      <c r="GS11" s="82">
        <v>1049.8052400000033</v>
      </c>
      <c r="GT11" s="82">
        <v>3.972999999999999</v>
      </c>
      <c r="GU11" s="82">
        <v>54.47199999999998</v>
      </c>
      <c r="GV11" s="19">
        <v>8694.2600570100039</v>
      </c>
      <c r="GW11" s="17"/>
      <c r="GX11" s="118" t="s">
        <v>543</v>
      </c>
      <c r="GY11" s="31">
        <v>355.99999999999977</v>
      </c>
      <c r="GZ11" s="18">
        <v>219.77928999999995</v>
      </c>
      <c r="HA11" s="18">
        <v>103.74105000000009</v>
      </c>
      <c r="HB11" s="18">
        <v>50.836799999999926</v>
      </c>
      <c r="HC11" s="18">
        <v>0</v>
      </c>
      <c r="HD11" s="18">
        <v>0</v>
      </c>
      <c r="HE11" s="19">
        <v>730.35714000000098</v>
      </c>
      <c r="HF11" s="28">
        <v>2310.4700000000003</v>
      </c>
      <c r="HG11" s="28">
        <v>4188.9662378099893</v>
      </c>
      <c r="HH11" s="28">
        <v>1766.0939192000096</v>
      </c>
      <c r="HI11" s="82">
        <v>1100.6420400000043</v>
      </c>
      <c r="HJ11" s="82">
        <v>3.972999999999999</v>
      </c>
      <c r="HK11" s="82">
        <v>54.47199999999998</v>
      </c>
      <c r="HL11" s="19">
        <v>9424.6171970100258</v>
      </c>
      <c r="HM11" s="17"/>
      <c r="HN11" s="118" t="s">
        <v>543</v>
      </c>
      <c r="HO11" s="31">
        <v>0</v>
      </c>
      <c r="HP11" s="18">
        <v>120.10013000000026</v>
      </c>
      <c r="HQ11" s="18">
        <v>86.391250000000355</v>
      </c>
      <c r="HR11" s="18">
        <v>125.63134000000036</v>
      </c>
      <c r="HS11" s="18">
        <v>0</v>
      </c>
      <c r="HT11" s="18">
        <v>0</v>
      </c>
      <c r="HU11" s="19">
        <v>332.12272000000121</v>
      </c>
      <c r="HV11" s="28">
        <v>2310.4700000000003</v>
      </c>
      <c r="HW11" s="28">
        <v>4309.0663678099954</v>
      </c>
      <c r="HX11" s="28">
        <v>1852.4851692000084</v>
      </c>
      <c r="HY11" s="82">
        <v>1226.2733800000042</v>
      </c>
      <c r="HZ11" s="82">
        <v>3.972999999999999</v>
      </c>
      <c r="IA11" s="82">
        <v>54.47199999999998</v>
      </c>
      <c r="IB11" s="19">
        <v>9756.7399170100252</v>
      </c>
      <c r="IC11" s="17"/>
      <c r="ID11" s="118" t="s">
        <v>543</v>
      </c>
      <c r="IE11" s="31">
        <v>0</v>
      </c>
      <c r="IF11" s="18">
        <v>210.19284000000061</v>
      </c>
      <c r="IG11" s="18">
        <v>-11.475000000000009</v>
      </c>
      <c r="IH11" s="18">
        <v>46.211599999999976</v>
      </c>
      <c r="II11" s="18">
        <v>0</v>
      </c>
      <c r="IJ11" s="18">
        <v>0</v>
      </c>
      <c r="IK11" s="19">
        <v>244.92944000000034</v>
      </c>
      <c r="IL11" s="28">
        <v>2310.4700000000003</v>
      </c>
      <c r="IM11" s="28">
        <v>4519.2592078099988</v>
      </c>
      <c r="IN11" s="28">
        <v>1841.0101692000026</v>
      </c>
      <c r="IO11" s="82">
        <v>1272.4849800000029</v>
      </c>
      <c r="IP11" s="82">
        <v>3.972999999999999</v>
      </c>
      <c r="IQ11" s="82">
        <v>54.47199999999998</v>
      </c>
      <c r="IR11" s="19">
        <v>10001.669357010018</v>
      </c>
      <c r="IS11" s="17"/>
      <c r="IT11" s="118" t="s">
        <v>543</v>
      </c>
      <c r="IU11" s="31">
        <v>362.31459999999981</v>
      </c>
      <c r="IV11" s="18">
        <v>79.301750000000197</v>
      </c>
      <c r="IW11" s="18">
        <v>-16.56525000000002</v>
      </c>
      <c r="IX11" s="18">
        <v>45.438399999999888</v>
      </c>
      <c r="IY11" s="18">
        <v>0</v>
      </c>
      <c r="IZ11" s="18">
        <v>0</v>
      </c>
      <c r="JA11" s="19">
        <v>470.48949999999968</v>
      </c>
      <c r="JB11" s="28">
        <v>2672.7846</v>
      </c>
      <c r="JC11" s="28">
        <v>4598.560957810012</v>
      </c>
      <c r="JD11" s="28">
        <v>1824.4449191999993</v>
      </c>
      <c r="JE11" s="82">
        <v>1317.923380000002</v>
      </c>
      <c r="JF11" s="82">
        <v>3.972999999999999</v>
      </c>
      <c r="JG11" s="82">
        <v>54.47199999999998</v>
      </c>
      <c r="JH11" s="19">
        <v>10472.158857010014</v>
      </c>
      <c r="JI11" s="17">
        <f t="shared" si="1"/>
        <v>0</v>
      </c>
      <c r="JJ11" s="17">
        <f t="shared" si="0"/>
        <v>1.2732925824820995E-11</v>
      </c>
      <c r="JK11" s="17">
        <f t="shared" si="0"/>
        <v>-3.1832314562052488E-12</v>
      </c>
      <c r="JL11" s="17">
        <f t="shared" si="0"/>
        <v>0</v>
      </c>
      <c r="JM11" s="17">
        <f t="shared" si="0"/>
        <v>0</v>
      </c>
      <c r="JN11" s="17">
        <f t="shared" si="0"/>
        <v>0</v>
      </c>
      <c r="JO11" s="17">
        <f t="shared" si="0"/>
        <v>0</v>
      </c>
    </row>
    <row r="12" spans="2:275" ht="15" thickBot="1" x14ac:dyDescent="0.35">
      <c r="B12" s="116" t="s">
        <v>460</v>
      </c>
      <c r="C12" s="57" t="s">
        <v>478</v>
      </c>
      <c r="D12" s="58">
        <v>8.6134799558577294E-2</v>
      </c>
      <c r="E12" s="58">
        <v>7.8833096068607472E-2</v>
      </c>
      <c r="F12" s="58">
        <v>3.8743176674211344E-2</v>
      </c>
      <c r="G12" s="58" t="s">
        <v>478</v>
      </c>
      <c r="H12" s="59">
        <v>8.253940230968479E-2</v>
      </c>
      <c r="I12" s="60" t="s">
        <v>478</v>
      </c>
      <c r="J12" s="58">
        <v>8.6134799558577294E-2</v>
      </c>
      <c r="K12" s="58">
        <v>7.8833096068607472E-2</v>
      </c>
      <c r="L12" s="61">
        <v>3.8743176674211344E-2</v>
      </c>
      <c r="M12" s="61" t="s">
        <v>478</v>
      </c>
      <c r="N12" s="59">
        <v>8.253940230968479E-2</v>
      </c>
      <c r="P12" s="116" t="s">
        <v>460</v>
      </c>
      <c r="Q12" s="57" t="s">
        <v>478</v>
      </c>
      <c r="R12" s="58">
        <v>8.9750503272648108E-2</v>
      </c>
      <c r="S12" s="58">
        <v>-7.6764515901623545E-2</v>
      </c>
      <c r="T12" s="58">
        <v>8.0140317089614124E-2</v>
      </c>
      <c r="U12" s="58" t="s">
        <v>478</v>
      </c>
      <c r="V12" s="59">
        <v>8.1262454388070685E-2</v>
      </c>
      <c r="W12" s="60" t="s">
        <v>478</v>
      </c>
      <c r="X12" s="58">
        <v>8.7783179234380532E-2</v>
      </c>
      <c r="Y12" s="58">
        <v>4.279617441632326E-2</v>
      </c>
      <c r="Z12" s="61">
        <v>6.9241578825263508E-2</v>
      </c>
      <c r="AA12" s="61" t="s">
        <v>478</v>
      </c>
      <c r="AB12" s="59">
        <v>8.1939268043805552E-2</v>
      </c>
      <c r="AD12" s="116" t="s">
        <v>460</v>
      </c>
      <c r="AE12" s="57" t="s">
        <v>478</v>
      </c>
      <c r="AF12" s="58">
        <v>9.0615591795769349E-2</v>
      </c>
      <c r="AG12" s="58">
        <v>0.11615030124918292</v>
      </c>
      <c r="AH12" s="58">
        <v>3.8743176674211323E-2</v>
      </c>
      <c r="AI12" s="58" t="s">
        <v>478</v>
      </c>
      <c r="AJ12" s="59">
        <v>9.3747181803770424E-2</v>
      </c>
      <c r="AK12" s="60" t="s">
        <v>478</v>
      </c>
      <c r="AL12" s="58">
        <v>8.9251403592506412E-2</v>
      </c>
      <c r="AM12" s="58">
        <v>9.5726717350846757E-2</v>
      </c>
      <c r="AN12" s="61">
        <v>6.1764132801185062E-2</v>
      </c>
      <c r="AO12" s="61" t="s">
        <v>478</v>
      </c>
      <c r="AP12" s="59">
        <v>8.8161076389384252E-2</v>
      </c>
      <c r="AR12" s="116" t="s">
        <v>460</v>
      </c>
      <c r="AS12" s="57" t="s">
        <v>478</v>
      </c>
      <c r="AT12" s="58">
        <v>6.4433934043162028E-2</v>
      </c>
      <c r="AU12" s="58">
        <v>8.2551784671564737E-2</v>
      </c>
      <c r="AV12" s="58">
        <v>7.6994228910474E-2</v>
      </c>
      <c r="AW12" s="58">
        <v>0.11266666666666642</v>
      </c>
      <c r="AX12" s="59">
        <v>7.0544858556021009E-2</v>
      </c>
      <c r="AY12" s="60" t="s">
        <v>478</v>
      </c>
      <c r="AZ12" s="58">
        <v>8.2862827136961206E-2</v>
      </c>
      <c r="BA12" s="58">
        <v>9.1323511457721801E-2</v>
      </c>
      <c r="BB12" s="61">
        <v>6.4959574760270727E-2</v>
      </c>
      <c r="BC12" s="61">
        <v>0.11266666666666642</v>
      </c>
      <c r="BD12" s="59">
        <v>8.3318094504813534E-2</v>
      </c>
      <c r="BF12" s="116" t="s">
        <v>460</v>
      </c>
      <c r="BG12" s="57" t="s">
        <v>478</v>
      </c>
      <c r="BH12" s="58">
        <v>6.6889494850523479E-2</v>
      </c>
      <c r="BI12" s="58">
        <v>0.10396935040127862</v>
      </c>
      <c r="BJ12" s="58">
        <v>8.6546163053927511E-2</v>
      </c>
      <c r="BK12" s="58" t="s">
        <v>478</v>
      </c>
      <c r="BL12" s="59">
        <v>7.6894402018836086E-2</v>
      </c>
      <c r="BM12" s="60" t="s">
        <v>478</v>
      </c>
      <c r="BN12" s="58">
        <v>7.9764610261650354E-2</v>
      </c>
      <c r="BO12" s="58">
        <v>9.4772421811142996E-2</v>
      </c>
      <c r="BP12" s="61">
        <v>7.1951415555723069E-2</v>
      </c>
      <c r="BQ12" s="61">
        <v>0.11266666666666642</v>
      </c>
      <c r="BR12" s="59">
        <v>8.1936409760978379E-2</v>
      </c>
      <c r="BT12" s="116" t="s">
        <v>460</v>
      </c>
      <c r="BU12" s="57" t="s">
        <v>478</v>
      </c>
      <c r="BV12" s="58">
        <v>5.7640775107053954E-2</v>
      </c>
      <c r="BW12" s="58">
        <v>7.7751307242454021E-2</v>
      </c>
      <c r="BX12" s="58">
        <v>8.3175864849179673E-2</v>
      </c>
      <c r="BY12" s="58" t="s">
        <v>478</v>
      </c>
      <c r="BZ12" s="59">
        <v>6.6094774202947015E-2</v>
      </c>
      <c r="CA12" s="60" t="s">
        <v>478</v>
      </c>
      <c r="CB12" s="58">
        <v>7.6122372809321784E-2</v>
      </c>
      <c r="CC12" s="58">
        <v>9.1632423105731928E-2</v>
      </c>
      <c r="CD12" s="61">
        <v>7.6236148379656518E-2</v>
      </c>
      <c r="CE12" s="61">
        <v>0.11266666666666642</v>
      </c>
      <c r="CF12" s="59">
        <v>7.8948275941333898E-2</v>
      </c>
      <c r="CH12" s="116" t="s">
        <v>460</v>
      </c>
      <c r="CI12" s="58">
        <v>5.0253761968199029E-2</v>
      </c>
      <c r="CJ12" s="58">
        <v>0.12412986170564767</v>
      </c>
      <c r="CK12" s="58">
        <v>8.1049756715991239E-2</v>
      </c>
      <c r="CL12" s="58">
        <v>0.16749303621169911</v>
      </c>
      <c r="CM12" s="59">
        <v>6.6845304719778037E-2</v>
      </c>
      <c r="CN12" s="58">
        <v>7.2544644448469642E-2</v>
      </c>
      <c r="CO12" s="58">
        <v>9.5496962198493074E-2</v>
      </c>
      <c r="CP12" s="61">
        <v>7.6977655489655086E-2</v>
      </c>
      <c r="CQ12" s="61">
        <v>0.13170212765957443</v>
      </c>
      <c r="CR12" s="59">
        <v>7.7266461637730363E-2</v>
      </c>
      <c r="CT12" s="116" t="s">
        <v>460</v>
      </c>
      <c r="CU12" s="57">
        <v>0.26997922070042923</v>
      </c>
      <c r="CV12" s="58">
        <v>4.1159218045068995E-2</v>
      </c>
      <c r="CW12" s="58">
        <v>0.11468588078313728</v>
      </c>
      <c r="CX12" s="58">
        <v>8.6148136760437283E-2</v>
      </c>
      <c r="CY12" s="58" t="s">
        <v>478</v>
      </c>
      <c r="CZ12" s="59">
        <v>0.11895856576491957</v>
      </c>
      <c r="DA12" s="60">
        <v>0.26997922070042923</v>
      </c>
      <c r="DB12" s="58">
        <v>6.9234940639813683E-2</v>
      </c>
      <c r="DC12" s="58">
        <v>9.7760052881758097E-2</v>
      </c>
      <c r="DD12" s="61">
        <v>7.8322970012463647E-2</v>
      </c>
      <c r="DE12" s="61">
        <v>0.13170212765957443</v>
      </c>
      <c r="DF12" s="59">
        <v>8.3427581340596565E-2</v>
      </c>
      <c r="DH12" s="116" t="s">
        <v>460</v>
      </c>
      <c r="DI12" s="57" t="s">
        <v>478</v>
      </c>
      <c r="DJ12" s="58">
        <v>5.3172410442016496E-2</v>
      </c>
      <c r="DK12" s="58">
        <v>0.10347717633169411</v>
      </c>
      <c r="DL12" s="58">
        <v>9.2979334634302732E-2</v>
      </c>
      <c r="DM12" s="58" t="s">
        <v>478</v>
      </c>
      <c r="DN12" s="59">
        <v>6.7167037531303098E-2</v>
      </c>
      <c r="DO12" s="60">
        <v>0.26997922070042923</v>
      </c>
      <c r="DP12" s="58">
        <v>6.7241723582703222E-2</v>
      </c>
      <c r="DQ12" s="58">
        <v>9.8780904360835586E-2</v>
      </c>
      <c r="DR12" s="61">
        <v>7.9135497724425075E-2</v>
      </c>
      <c r="DS12" s="61">
        <v>0.13170212765957443</v>
      </c>
      <c r="DT12" s="59">
        <v>8.1459630078122194E-2</v>
      </c>
      <c r="DV12" s="116" t="s">
        <v>460</v>
      </c>
      <c r="DW12" s="57" t="s">
        <v>478</v>
      </c>
      <c r="DX12" s="58">
        <v>5.3253439805919636E-2</v>
      </c>
      <c r="DY12" s="58">
        <v>0.12182334272043799</v>
      </c>
      <c r="DZ12" s="58">
        <v>9.0111843183197315E-2</v>
      </c>
      <c r="EA12" s="58">
        <v>0.29329691421821935</v>
      </c>
      <c r="EB12" s="58" t="s">
        <v>478</v>
      </c>
      <c r="EC12" s="59">
        <v>7.0963374178656669E-2</v>
      </c>
      <c r="ED12" s="60">
        <v>0.26997922070042923</v>
      </c>
      <c r="EE12" s="58">
        <v>6.6005952628322095E-2</v>
      </c>
      <c r="EF12" s="58">
        <v>0.10091902461586813</v>
      </c>
      <c r="EG12" s="61">
        <v>8.0582840272134817E-2</v>
      </c>
      <c r="EH12" s="61">
        <v>0.29329691421821935</v>
      </c>
      <c r="EI12" s="61">
        <v>0.13170212765957443</v>
      </c>
      <c r="EJ12" s="59">
        <v>8.0513668494368737E-2</v>
      </c>
      <c r="EL12" s="116" t="s">
        <v>460</v>
      </c>
      <c r="EM12" s="57" t="s">
        <v>478</v>
      </c>
      <c r="EN12" s="58">
        <v>3.9773490945073202E-2</v>
      </c>
      <c r="EO12" s="58">
        <v>9.3961454813773451E-2</v>
      </c>
      <c r="EP12" s="58">
        <v>9.3163127531606965E-2</v>
      </c>
      <c r="EQ12" s="58" t="s">
        <v>478</v>
      </c>
      <c r="ER12" s="58" t="s">
        <v>478</v>
      </c>
      <c r="ES12" s="59">
        <v>5.0577485026205932E-2</v>
      </c>
      <c r="ET12" s="60">
        <v>0.26997922070042923</v>
      </c>
      <c r="EU12" s="58">
        <v>6.3857830776565164E-2</v>
      </c>
      <c r="EV12" s="58">
        <v>0.10069920748195919</v>
      </c>
      <c r="EW12" s="61">
        <v>8.174089222994621E-2</v>
      </c>
      <c r="EX12" s="61">
        <v>0.29329691421821935</v>
      </c>
      <c r="EY12" s="61">
        <v>0.13170212765957443</v>
      </c>
      <c r="EZ12" s="59">
        <v>7.8361392308955405E-2</v>
      </c>
      <c r="FB12" s="116" t="s">
        <v>460</v>
      </c>
      <c r="FC12" s="57">
        <v>0.26462915213104798</v>
      </c>
      <c r="FD12" s="58">
        <v>4.4191484851520205E-2</v>
      </c>
      <c r="FE12" s="58">
        <v>0.11374573157001351</v>
      </c>
      <c r="FF12" s="58">
        <v>9.084479503960835E-2</v>
      </c>
      <c r="FG12" s="58" t="s">
        <v>478</v>
      </c>
      <c r="FH12" s="58" t="s">
        <v>478</v>
      </c>
      <c r="FI12" s="59">
        <v>8.1288500378103909E-2</v>
      </c>
      <c r="FJ12" s="60">
        <v>0.26864171877310666</v>
      </c>
      <c r="FK12" s="58">
        <v>6.2214810152354541E-2</v>
      </c>
      <c r="FL12" s="58">
        <v>0.10159555037515847</v>
      </c>
      <c r="FM12" s="61">
        <v>8.2676160286717551E-2</v>
      </c>
      <c r="FN12" s="61">
        <v>0.29329691421821935</v>
      </c>
      <c r="FO12" s="61">
        <v>0.13170212765957443</v>
      </c>
      <c r="FP12" s="59">
        <v>7.8621779877738857E-2</v>
      </c>
      <c r="FR12" s="116" t="s">
        <v>460</v>
      </c>
      <c r="FS12" s="57">
        <v>0.26997922070042923</v>
      </c>
      <c r="FT12" s="58">
        <v>6.4114898608541929E-2</v>
      </c>
      <c r="FU12" s="58">
        <v>8.2967048320243472E-2</v>
      </c>
      <c r="FV12" s="58">
        <v>9.0639631217787078E-2</v>
      </c>
      <c r="FW12" s="58" t="s">
        <v>478</v>
      </c>
      <c r="FX12" s="58" t="s">
        <v>478</v>
      </c>
      <c r="FY12" s="59">
        <v>0.13724468656406424</v>
      </c>
      <c r="FZ12" s="60">
        <v>0.26949285753681534</v>
      </c>
      <c r="GA12" s="58">
        <v>5.9668015362389699E-2</v>
      </c>
      <c r="GB12" s="58">
        <v>9.9645918773305101E-2</v>
      </c>
      <c r="GC12" s="61">
        <v>8.8819145648620382E-2</v>
      </c>
      <c r="GD12" s="61">
        <v>0.29329691421821935</v>
      </c>
      <c r="GE12" s="61">
        <v>0.13170212765957443</v>
      </c>
      <c r="GF12" s="59">
        <v>8.5340816838403555E-2</v>
      </c>
      <c r="GH12" s="116" t="s">
        <v>460</v>
      </c>
      <c r="GI12" s="57" t="s">
        <v>478</v>
      </c>
      <c r="GJ12" s="58">
        <v>8.848467379661025E-2</v>
      </c>
      <c r="GK12" s="58">
        <v>0.10199005816884921</v>
      </c>
      <c r="GL12" s="58">
        <v>0.10672759654297836</v>
      </c>
      <c r="GM12" s="58" t="s">
        <v>478</v>
      </c>
      <c r="GN12" s="58" t="s">
        <v>478</v>
      </c>
      <c r="GO12" s="59">
        <v>9.6932924686389657E-2</v>
      </c>
      <c r="GP12" s="60">
        <v>0.26949285753681534</v>
      </c>
      <c r="GQ12" s="58">
        <v>5.9808865354416839E-2</v>
      </c>
      <c r="GR12" s="58">
        <v>9.9733985181400378E-2</v>
      </c>
      <c r="GS12" s="61">
        <v>9.0687043756520647E-2</v>
      </c>
      <c r="GT12" s="61">
        <v>0.29329691421821935</v>
      </c>
      <c r="GU12" s="61">
        <v>0.13170212765957443</v>
      </c>
      <c r="GV12" s="59">
        <v>8.4997790453110053E-2</v>
      </c>
      <c r="GX12" s="116" t="s">
        <v>460</v>
      </c>
      <c r="GY12" s="57">
        <v>0.26997922070042907</v>
      </c>
      <c r="GZ12" s="58">
        <v>5.666170268878977E-2</v>
      </c>
      <c r="HA12" s="58">
        <v>0.11871307947880394</v>
      </c>
      <c r="HB12" s="58">
        <v>8.8502994946028465E-2</v>
      </c>
      <c r="HC12" s="58" t="s">
        <v>478</v>
      </c>
      <c r="HD12" s="58" t="s">
        <v>478</v>
      </c>
      <c r="HE12" s="59">
        <v>0.10989910378311268</v>
      </c>
      <c r="HF12" s="60">
        <v>0.26956768272620996</v>
      </c>
      <c r="HG12" s="58">
        <v>5.9635080754921591E-2</v>
      </c>
      <c r="HH12" s="58">
        <v>0.10067947025825083</v>
      </c>
      <c r="HI12" s="61">
        <v>9.058379448649144E-2</v>
      </c>
      <c r="HJ12" s="61">
        <v>0.29329691421821935</v>
      </c>
      <c r="HK12" s="61">
        <v>0.13170212765957443</v>
      </c>
      <c r="HL12" s="59">
        <v>8.6516941012176315E-2</v>
      </c>
      <c r="HN12" s="116" t="s">
        <v>460</v>
      </c>
      <c r="HO12" s="57" t="s">
        <v>478</v>
      </c>
      <c r="HP12" s="58">
        <v>3.909808301167092E-2</v>
      </c>
      <c r="HQ12" s="58">
        <v>9.4958146035799718E-2</v>
      </c>
      <c r="HR12" s="58">
        <v>7.7400660334013632E-2</v>
      </c>
      <c r="HS12" s="58" t="s">
        <v>478</v>
      </c>
      <c r="HT12" s="58" t="s">
        <v>478</v>
      </c>
      <c r="HU12" s="59">
        <v>5.9258130466686154E-2</v>
      </c>
      <c r="HV12" s="60">
        <v>0.26956768272620996</v>
      </c>
      <c r="HW12" s="58">
        <v>5.8774618929650635E-2</v>
      </c>
      <c r="HX12" s="58">
        <v>0.10039737116378235</v>
      </c>
      <c r="HY12" s="61">
        <v>8.9030254936434711E-2</v>
      </c>
      <c r="HZ12" s="61">
        <v>0.29329691421821935</v>
      </c>
      <c r="IA12" s="61">
        <v>0.13170212765957443</v>
      </c>
      <c r="IB12" s="59">
        <v>8.5183093385463551E-2</v>
      </c>
      <c r="ID12" s="116" t="s">
        <v>460</v>
      </c>
      <c r="IE12" s="57" t="s">
        <v>478</v>
      </c>
      <c r="IF12" s="58">
        <v>7.1565527727980235E-2</v>
      </c>
      <c r="IG12" s="58">
        <v>-0.11811850348230855</v>
      </c>
      <c r="IH12" s="58">
        <v>7.0433474754261038E-2</v>
      </c>
      <c r="II12" s="58" t="s">
        <v>478</v>
      </c>
      <c r="IJ12" s="58" t="s">
        <v>478</v>
      </c>
      <c r="IK12" s="59">
        <v>6.6370799582256307E-2</v>
      </c>
      <c r="IL12" s="60">
        <v>0.26956768272620996</v>
      </c>
      <c r="IM12" s="58">
        <v>5.9267297091381996E-2</v>
      </c>
      <c r="IN12" s="58">
        <v>9.9252900223945645E-2</v>
      </c>
      <c r="IO12" s="61">
        <v>8.8184683807419617E-2</v>
      </c>
      <c r="IP12" s="61">
        <v>0.29329691421821935</v>
      </c>
      <c r="IQ12" s="61">
        <v>0.13170212765957443</v>
      </c>
      <c r="IR12" s="59">
        <v>8.4595898174123788E-2</v>
      </c>
      <c r="IT12" s="116" t="s">
        <v>460</v>
      </c>
      <c r="IU12" s="57">
        <v>0.26562665643401295</v>
      </c>
      <c r="IV12" s="58">
        <v>8.5581830288392738E-2</v>
      </c>
      <c r="IW12" s="58">
        <v>-0.11885368374491451</v>
      </c>
      <c r="IX12" s="58">
        <v>7.4045007391724746E-2</v>
      </c>
      <c r="IY12" s="58" t="s">
        <v>478</v>
      </c>
      <c r="IZ12" s="58" t="s">
        <v>478</v>
      </c>
      <c r="JA12" s="59">
        <v>0.15458054470898486</v>
      </c>
      <c r="JB12" s="60">
        <v>0.26902661106026626</v>
      </c>
      <c r="JC12" s="58">
        <v>5.9583232998721286E-2</v>
      </c>
      <c r="JD12" s="58">
        <v>9.7626265482351718E-2</v>
      </c>
      <c r="JE12" s="61">
        <v>8.7607891069370142E-2</v>
      </c>
      <c r="JF12" s="61">
        <v>0.29329691421821935</v>
      </c>
      <c r="JG12" s="61">
        <v>0.13170212765957443</v>
      </c>
      <c r="JH12" s="59">
        <v>8.6352348234205401E-2</v>
      </c>
    </row>
    <row r="13" spans="2:275" ht="15" thickBot="1" x14ac:dyDescent="0.35">
      <c r="B13" s="377" t="s">
        <v>482</v>
      </c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70"/>
      <c r="P13" s="377" t="s">
        <v>482</v>
      </c>
      <c r="Q13" s="369"/>
      <c r="R13" s="369"/>
      <c r="S13" s="369"/>
      <c r="T13" s="369"/>
      <c r="U13" s="369"/>
      <c r="V13" s="369"/>
      <c r="W13" s="369"/>
      <c r="X13" s="369"/>
      <c r="Y13" s="369"/>
      <c r="Z13" s="369"/>
      <c r="AA13" s="369"/>
      <c r="AB13" s="370"/>
      <c r="AD13" s="377" t="s">
        <v>482</v>
      </c>
      <c r="AE13" s="369"/>
      <c r="AF13" s="369"/>
      <c r="AG13" s="369"/>
      <c r="AH13" s="369"/>
      <c r="AI13" s="369"/>
      <c r="AJ13" s="369"/>
      <c r="AK13" s="369"/>
      <c r="AL13" s="369"/>
      <c r="AM13" s="369"/>
      <c r="AN13" s="369"/>
      <c r="AO13" s="369"/>
      <c r="AP13" s="370"/>
      <c r="AR13" s="377" t="s">
        <v>482</v>
      </c>
      <c r="AS13" s="369"/>
      <c r="AT13" s="369"/>
      <c r="AU13" s="369"/>
      <c r="AV13" s="369"/>
      <c r="AW13" s="369"/>
      <c r="AX13" s="369"/>
      <c r="AY13" s="369"/>
      <c r="AZ13" s="369"/>
      <c r="BA13" s="369"/>
      <c r="BB13" s="369"/>
      <c r="BC13" s="369"/>
      <c r="BD13" s="370"/>
      <c r="BF13" s="377" t="s">
        <v>482</v>
      </c>
      <c r="BG13" s="369"/>
      <c r="BH13" s="369"/>
      <c r="BI13" s="369"/>
      <c r="BJ13" s="369"/>
      <c r="BK13" s="369"/>
      <c r="BL13" s="369"/>
      <c r="BM13" s="369"/>
      <c r="BN13" s="369"/>
      <c r="BO13" s="369"/>
      <c r="BP13" s="369"/>
      <c r="BQ13" s="369"/>
      <c r="BR13" s="370"/>
      <c r="BT13" s="377" t="s">
        <v>482</v>
      </c>
      <c r="BU13" s="369"/>
      <c r="BV13" s="369"/>
      <c r="BW13" s="369"/>
      <c r="BX13" s="369"/>
      <c r="BY13" s="369"/>
      <c r="BZ13" s="369"/>
      <c r="CA13" s="369"/>
      <c r="CB13" s="369"/>
      <c r="CC13" s="369"/>
      <c r="CD13" s="369"/>
      <c r="CE13" s="369"/>
      <c r="CF13" s="370"/>
      <c r="CH13" s="377" t="s">
        <v>482</v>
      </c>
      <c r="CI13" s="369"/>
      <c r="CJ13" s="369"/>
      <c r="CK13" s="369"/>
      <c r="CL13" s="369"/>
      <c r="CM13" s="369"/>
      <c r="CN13" s="369"/>
      <c r="CO13" s="369"/>
      <c r="CP13" s="369"/>
      <c r="CQ13" s="369"/>
      <c r="CR13" s="370"/>
      <c r="CT13" s="377" t="s">
        <v>482</v>
      </c>
      <c r="CU13" s="369"/>
      <c r="CV13" s="369"/>
      <c r="CW13" s="369"/>
      <c r="CX13" s="369"/>
      <c r="CY13" s="369"/>
      <c r="CZ13" s="369"/>
      <c r="DA13" s="369"/>
      <c r="DB13" s="369"/>
      <c r="DC13" s="369"/>
      <c r="DD13" s="369"/>
      <c r="DE13" s="369"/>
      <c r="DF13" s="370"/>
      <c r="DH13" s="377" t="s">
        <v>482</v>
      </c>
      <c r="DI13" s="369"/>
      <c r="DJ13" s="369"/>
      <c r="DK13" s="369"/>
      <c r="DL13" s="369"/>
      <c r="DM13" s="369"/>
      <c r="DN13" s="369"/>
      <c r="DO13" s="369"/>
      <c r="DP13" s="369"/>
      <c r="DQ13" s="369"/>
      <c r="DR13" s="369"/>
      <c r="DS13" s="369"/>
      <c r="DT13" s="370"/>
      <c r="DV13" s="377" t="s">
        <v>482</v>
      </c>
      <c r="DW13" s="369"/>
      <c r="DX13" s="369"/>
      <c r="DY13" s="369"/>
      <c r="DZ13" s="369"/>
      <c r="EA13" s="369"/>
      <c r="EB13" s="369"/>
      <c r="EC13" s="369"/>
      <c r="ED13" s="369"/>
      <c r="EE13" s="369"/>
      <c r="EF13" s="369"/>
      <c r="EG13" s="369"/>
      <c r="EH13" s="369"/>
      <c r="EI13" s="369"/>
      <c r="EJ13" s="370"/>
      <c r="EL13" s="377" t="s">
        <v>482</v>
      </c>
      <c r="EM13" s="369"/>
      <c r="EN13" s="369"/>
      <c r="EO13" s="369"/>
      <c r="EP13" s="369"/>
      <c r="EQ13" s="369"/>
      <c r="ER13" s="369"/>
      <c r="ES13" s="369"/>
      <c r="ET13" s="369"/>
      <c r="EU13" s="369"/>
      <c r="EV13" s="369"/>
      <c r="EW13" s="369"/>
      <c r="EX13" s="369"/>
      <c r="EY13" s="369"/>
      <c r="EZ13" s="370"/>
      <c r="FB13" s="377" t="s">
        <v>482</v>
      </c>
      <c r="FC13" s="369"/>
      <c r="FD13" s="369"/>
      <c r="FE13" s="369"/>
      <c r="FF13" s="369"/>
      <c r="FG13" s="369"/>
      <c r="FH13" s="369"/>
      <c r="FI13" s="369"/>
      <c r="FJ13" s="369"/>
      <c r="FK13" s="369"/>
      <c r="FL13" s="369"/>
      <c r="FM13" s="369"/>
      <c r="FN13" s="369"/>
      <c r="FO13" s="369"/>
      <c r="FP13" s="370"/>
      <c r="FR13" s="377" t="s">
        <v>482</v>
      </c>
      <c r="FS13" s="369"/>
      <c r="FT13" s="369"/>
      <c r="FU13" s="369"/>
      <c r="FV13" s="369"/>
      <c r="FW13" s="369"/>
      <c r="FX13" s="369"/>
      <c r="FY13" s="369"/>
      <c r="FZ13" s="369"/>
      <c r="GA13" s="369"/>
      <c r="GB13" s="369"/>
      <c r="GC13" s="369"/>
      <c r="GD13" s="369"/>
      <c r="GE13" s="369"/>
      <c r="GF13" s="370"/>
      <c r="GH13" s="377" t="s">
        <v>482</v>
      </c>
      <c r="GI13" s="369"/>
      <c r="GJ13" s="369"/>
      <c r="GK13" s="369"/>
      <c r="GL13" s="369"/>
      <c r="GM13" s="369"/>
      <c r="GN13" s="369"/>
      <c r="GO13" s="369"/>
      <c r="GP13" s="369"/>
      <c r="GQ13" s="369"/>
      <c r="GR13" s="369"/>
      <c r="GS13" s="369"/>
      <c r="GT13" s="369"/>
      <c r="GU13" s="369"/>
      <c r="GV13" s="370"/>
      <c r="GX13" s="377" t="s">
        <v>482</v>
      </c>
      <c r="GY13" s="369"/>
      <c r="GZ13" s="369"/>
      <c r="HA13" s="369"/>
      <c r="HB13" s="369"/>
      <c r="HC13" s="369"/>
      <c r="HD13" s="369"/>
      <c r="HE13" s="369"/>
      <c r="HF13" s="369"/>
      <c r="HG13" s="369"/>
      <c r="HH13" s="369"/>
      <c r="HI13" s="369"/>
      <c r="HJ13" s="369"/>
      <c r="HK13" s="369"/>
      <c r="HL13" s="370"/>
      <c r="HN13" s="377" t="s">
        <v>482</v>
      </c>
      <c r="HO13" s="369"/>
      <c r="HP13" s="369"/>
      <c r="HQ13" s="369"/>
      <c r="HR13" s="369"/>
      <c r="HS13" s="369"/>
      <c r="HT13" s="369"/>
      <c r="HU13" s="369"/>
      <c r="HV13" s="369"/>
      <c r="HW13" s="369"/>
      <c r="HX13" s="369"/>
      <c r="HY13" s="369"/>
      <c r="HZ13" s="369"/>
      <c r="IA13" s="369"/>
      <c r="IB13" s="370"/>
      <c r="ID13" s="377" t="s">
        <v>482</v>
      </c>
      <c r="IE13" s="369"/>
      <c r="IF13" s="369"/>
      <c r="IG13" s="369"/>
      <c r="IH13" s="369"/>
      <c r="II13" s="369"/>
      <c r="IJ13" s="369"/>
      <c r="IK13" s="369"/>
      <c r="IL13" s="369"/>
      <c r="IM13" s="369"/>
      <c r="IN13" s="369"/>
      <c r="IO13" s="369"/>
      <c r="IP13" s="369"/>
      <c r="IQ13" s="369"/>
      <c r="IR13" s="370"/>
      <c r="IT13" s="377" t="s">
        <v>482</v>
      </c>
      <c r="IU13" s="369"/>
      <c r="IV13" s="369"/>
      <c r="IW13" s="369"/>
      <c r="IX13" s="369"/>
      <c r="IY13" s="369"/>
      <c r="IZ13" s="369"/>
      <c r="JA13" s="369"/>
      <c r="JB13" s="369"/>
      <c r="JC13" s="369"/>
      <c r="JD13" s="369"/>
      <c r="JE13" s="369"/>
      <c r="JF13" s="369"/>
      <c r="JG13" s="369"/>
      <c r="JH13" s="370"/>
    </row>
    <row r="15" spans="2:275" x14ac:dyDescent="0.3">
      <c r="X15" s="15">
        <f>X10*1000</f>
        <v>427259.23966999998</v>
      </c>
    </row>
  </sheetData>
  <mergeCells count="54">
    <mergeCell ref="IU3:JA3"/>
    <mergeCell ref="JB3:JH3"/>
    <mergeCell ref="IT13:JH13"/>
    <mergeCell ref="CU3:CZ3"/>
    <mergeCell ref="DA3:DF3"/>
    <mergeCell ref="CT13:DF13"/>
    <mergeCell ref="FC3:FI3"/>
    <mergeCell ref="HO3:HU3"/>
    <mergeCell ref="HN13:IB13"/>
    <mergeCell ref="GI3:GO3"/>
    <mergeCell ref="GP3:GV3"/>
    <mergeCell ref="GH13:GV13"/>
    <mergeCell ref="GY3:HE3"/>
    <mergeCell ref="HF3:HL3"/>
    <mergeCell ref="GX13:HL13"/>
    <mergeCell ref="DI3:DN3"/>
    <mergeCell ref="DO3:DT3"/>
    <mergeCell ref="DH13:DT13"/>
    <mergeCell ref="C3:H3"/>
    <mergeCell ref="I3:N3"/>
    <mergeCell ref="B13:N13"/>
    <mergeCell ref="Q3:V3"/>
    <mergeCell ref="W3:AB3"/>
    <mergeCell ref="P13:AB13"/>
    <mergeCell ref="AE3:AJ3"/>
    <mergeCell ref="AK3:AP3"/>
    <mergeCell ref="AD13:AP13"/>
    <mergeCell ref="CI3:CM3"/>
    <mergeCell ref="CN3:CR3"/>
    <mergeCell ref="CH13:CR13"/>
    <mergeCell ref="AS3:AX3"/>
    <mergeCell ref="AY3:BD3"/>
    <mergeCell ref="AR13:BD13"/>
    <mergeCell ref="BU3:BZ3"/>
    <mergeCell ref="CA3:CF3"/>
    <mergeCell ref="BT13:CF13"/>
    <mergeCell ref="BG3:BL3"/>
    <mergeCell ref="BM3:BR3"/>
    <mergeCell ref="BF13:BR13"/>
    <mergeCell ref="IL3:IR3"/>
    <mergeCell ref="ID13:IR13"/>
    <mergeCell ref="DW3:EC3"/>
    <mergeCell ref="ED3:EJ3"/>
    <mergeCell ref="DV13:EJ13"/>
    <mergeCell ref="IE3:IK3"/>
    <mergeCell ref="FJ3:FP3"/>
    <mergeCell ref="FB13:FP13"/>
    <mergeCell ref="EM3:ES3"/>
    <mergeCell ref="ET3:EZ3"/>
    <mergeCell ref="EL13:EZ13"/>
    <mergeCell ref="FS3:FY3"/>
    <mergeCell ref="FZ3:GF3"/>
    <mergeCell ref="FR13:GF13"/>
    <mergeCell ref="HV3:I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C2FD-590C-472F-A85A-287B53905DD0}">
  <dimension ref="B1:SL31"/>
  <sheetViews>
    <sheetView topLeftCell="RQ1" zoomScale="80" zoomScaleNormal="80" workbookViewId="0">
      <selection activeCell="SG15" activeCellId="1" sqref="SE15 SG15"/>
    </sheetView>
  </sheetViews>
  <sheetFormatPr defaultRowHeight="14.4" x14ac:dyDescent="0.3"/>
  <cols>
    <col min="2" max="2" width="15.109375" bestFit="1" customWidth="1"/>
    <col min="3" max="3" width="6.88671875" bestFit="1" customWidth="1"/>
    <col min="4" max="4" width="7.88671875" bestFit="1" customWidth="1"/>
    <col min="5" max="5" width="5.109375" bestFit="1" customWidth="1"/>
    <col min="6" max="6" width="6.88671875" bestFit="1" customWidth="1"/>
    <col min="7" max="7" width="7.88671875" bestFit="1" customWidth="1"/>
    <col min="8" max="8" width="6.88671875" bestFit="1" customWidth="1"/>
    <col min="9" max="9" width="7.88671875" bestFit="1" customWidth="1"/>
    <col min="10" max="10" width="5.109375" bestFit="1" customWidth="1"/>
    <col min="11" max="11" width="6.88671875" bestFit="1" customWidth="1"/>
    <col min="12" max="12" width="7.88671875" bestFit="1" customWidth="1"/>
    <col min="14" max="14" width="15.21875" bestFit="1" customWidth="1"/>
    <col min="15" max="15" width="5.21875" bestFit="1" customWidth="1"/>
    <col min="16" max="16" width="8" bestFit="1" customWidth="1"/>
    <col min="17" max="17" width="5.21875" bestFit="1" customWidth="1"/>
    <col min="18" max="18" width="7" bestFit="1" customWidth="1"/>
    <col min="19" max="19" width="6.109375" bestFit="1" customWidth="1"/>
    <col min="20" max="20" width="6.77734375" bestFit="1" customWidth="1"/>
    <col min="21" max="21" width="8" bestFit="1" customWidth="1"/>
    <col min="22" max="22" width="7" bestFit="1" customWidth="1"/>
    <col min="23" max="23" width="8" bestFit="1" customWidth="1"/>
    <col min="24" max="24" width="5.21875" bestFit="1" customWidth="1"/>
    <col min="25" max="25" width="7" bestFit="1" customWidth="1"/>
    <col min="26" max="26" width="6.109375" bestFit="1" customWidth="1"/>
    <col min="27" max="27" width="6.77734375" bestFit="1" customWidth="1"/>
    <col min="28" max="28" width="8" bestFit="1" customWidth="1"/>
    <col min="30" max="30" width="15.109375" bestFit="1" customWidth="1"/>
    <col min="31" max="31" width="5.109375" bestFit="1" customWidth="1"/>
    <col min="32" max="33" width="6.88671875" bestFit="1" customWidth="1"/>
    <col min="34" max="34" width="7.88671875" bestFit="1" customWidth="1"/>
    <col min="35" max="35" width="6.88671875" bestFit="1" customWidth="1"/>
    <col min="36" max="38" width="7.88671875" bestFit="1" customWidth="1"/>
    <col min="40" max="40" width="15.109375" bestFit="1" customWidth="1"/>
    <col min="41" max="41" width="5.109375" bestFit="1" customWidth="1"/>
    <col min="42" max="42" width="6.88671875" bestFit="1" customWidth="1"/>
    <col min="43" max="43" width="5" bestFit="1" customWidth="1"/>
    <col min="44" max="44" width="5.44140625" bestFit="1" customWidth="1"/>
    <col min="45" max="47" width="6.88671875" bestFit="1" customWidth="1"/>
    <col min="48" max="48" width="7.88671875" bestFit="1" customWidth="1"/>
    <col min="49" max="49" width="5" bestFit="1" customWidth="1"/>
    <col min="50" max="50" width="5.44140625" bestFit="1" customWidth="1"/>
    <col min="51" max="52" width="7.88671875" bestFit="1" customWidth="1"/>
    <col min="54" max="54" width="15.109375" bestFit="1" customWidth="1"/>
    <col min="55" max="56" width="6.88671875" bestFit="1" customWidth="1"/>
    <col min="57" max="58" width="5.109375" bestFit="1" customWidth="1"/>
    <col min="59" max="59" width="6.88671875" bestFit="1" customWidth="1"/>
    <col min="60" max="60" width="7.88671875" bestFit="1" customWidth="1"/>
    <col min="61" max="61" width="6.88671875" bestFit="1" customWidth="1"/>
    <col min="62" max="62" width="7.88671875" bestFit="1" customWidth="1"/>
    <col min="63" max="63" width="5" bestFit="1" customWidth="1"/>
    <col min="64" max="64" width="5.44140625" bestFit="1" customWidth="1"/>
    <col min="65" max="66" width="7.88671875" bestFit="1" customWidth="1"/>
    <col min="68" max="68" width="15.5546875" bestFit="1" customWidth="1"/>
    <col min="69" max="71" width="8.6640625" bestFit="1" customWidth="1"/>
    <col min="72" max="72" width="8.77734375" bestFit="1" customWidth="1"/>
    <col min="73" max="73" width="7.21875" bestFit="1" customWidth="1"/>
    <col min="74" max="74" width="8.6640625" bestFit="1" customWidth="1"/>
    <col min="75" max="76" width="7.21875" bestFit="1" customWidth="1"/>
    <col min="77" max="79" width="8.6640625" bestFit="1" customWidth="1"/>
    <col min="80" max="80" width="8.77734375" bestFit="1" customWidth="1"/>
    <col min="81" max="81" width="8.21875" bestFit="1" customWidth="1"/>
    <col min="82" max="82" width="8.6640625" bestFit="1" customWidth="1"/>
    <col min="83" max="84" width="8.21875" bestFit="1" customWidth="1"/>
    <col min="86" max="86" width="15.109375" bestFit="1" customWidth="1"/>
    <col min="87" max="89" width="8.33203125" bestFit="1" customWidth="1"/>
    <col min="90" max="90" width="8.6640625" bestFit="1" customWidth="1"/>
    <col min="91" max="91" width="6.88671875" bestFit="1" customWidth="1"/>
    <col min="92" max="92" width="8.33203125" bestFit="1" customWidth="1"/>
    <col min="93" max="94" width="6.88671875" bestFit="1" customWidth="1"/>
    <col min="95" max="97" width="8.33203125" bestFit="1" customWidth="1"/>
    <col min="98" max="98" width="8.6640625" bestFit="1" customWidth="1"/>
    <col min="99" max="99" width="7.88671875" bestFit="1" customWidth="1"/>
    <col min="100" max="100" width="8.33203125" bestFit="1" customWidth="1"/>
    <col min="101" max="102" width="7.88671875" bestFit="1" customWidth="1"/>
    <col min="104" max="104" width="15.5546875" bestFit="1" customWidth="1"/>
    <col min="105" max="107" width="8.6640625" bestFit="1" customWidth="1"/>
    <col min="108" max="108" width="8.77734375" bestFit="1" customWidth="1"/>
    <col min="109" max="109" width="8.21875" bestFit="1" customWidth="1"/>
    <col min="110" max="110" width="8.6640625" bestFit="1" customWidth="1"/>
    <col min="111" max="111" width="7.21875" bestFit="1" customWidth="1"/>
    <col min="112" max="112" width="8.21875" bestFit="1" customWidth="1"/>
    <col min="113" max="115" width="8.6640625" bestFit="1" customWidth="1"/>
    <col min="116" max="116" width="8.77734375" bestFit="1" customWidth="1"/>
    <col min="117" max="117" width="8.21875" bestFit="1" customWidth="1"/>
    <col min="118" max="118" width="8.6640625" bestFit="1" customWidth="1"/>
    <col min="119" max="119" width="8.21875" bestFit="1" customWidth="1"/>
    <col min="120" max="120" width="9.6640625" bestFit="1" customWidth="1"/>
    <col min="122" max="122" width="15.5546875" bestFit="1" customWidth="1"/>
    <col min="123" max="123" width="7.21875" bestFit="1" customWidth="1"/>
    <col min="124" max="125" width="5.6640625" bestFit="1" customWidth="1"/>
    <col min="126" max="126" width="8.77734375" bestFit="1" customWidth="1"/>
    <col min="127" max="127" width="7.21875" bestFit="1" customWidth="1"/>
    <col min="128" max="128" width="8.6640625" bestFit="1" customWidth="1"/>
    <col min="129" max="129" width="7.21875" bestFit="1" customWidth="1"/>
    <col min="130" max="131" width="8.21875" bestFit="1" customWidth="1"/>
    <col min="132" max="133" width="5.6640625" bestFit="1" customWidth="1"/>
    <col min="134" max="134" width="8.77734375" bestFit="1" customWidth="1"/>
    <col min="135" max="135" width="8.21875" bestFit="1" customWidth="1"/>
    <col min="136" max="136" width="8.6640625" bestFit="1" customWidth="1"/>
    <col min="137" max="137" width="8.21875" bestFit="1" customWidth="1"/>
    <col min="138" max="138" width="9.6640625" bestFit="1" customWidth="1"/>
    <col min="140" max="140" width="15.5546875" bestFit="1" customWidth="1"/>
    <col min="141" max="141" width="7.21875" bestFit="1" customWidth="1"/>
    <col min="142" max="143" width="5.33203125" bestFit="1" customWidth="1"/>
    <col min="144" max="144" width="8.77734375" bestFit="1" customWidth="1"/>
    <col min="145" max="145" width="7.21875" bestFit="1" customWidth="1"/>
    <col min="146" max="146" width="8.6640625" bestFit="1" customWidth="1"/>
    <col min="147" max="147" width="7.21875" bestFit="1" customWidth="1"/>
    <col min="148" max="149" width="8.21875" bestFit="1" customWidth="1"/>
    <col min="150" max="151" width="5.6640625" bestFit="1" customWidth="1"/>
    <col min="152" max="152" width="8.77734375" bestFit="1" customWidth="1"/>
    <col min="153" max="153" width="8.21875" bestFit="1" customWidth="1"/>
    <col min="154" max="154" width="8.6640625" bestFit="1" customWidth="1"/>
    <col min="155" max="155" width="8.21875" bestFit="1" customWidth="1"/>
    <col min="156" max="156" width="9.6640625" bestFit="1" customWidth="1"/>
    <col min="158" max="158" width="15.5546875" bestFit="1" customWidth="1"/>
    <col min="159" max="159" width="7.21875" bestFit="1" customWidth="1"/>
    <col min="160" max="161" width="5.33203125" bestFit="1" customWidth="1"/>
    <col min="162" max="162" width="8.77734375" bestFit="1" customWidth="1"/>
    <col min="163" max="163" width="7.21875" bestFit="1" customWidth="1"/>
    <col min="164" max="164" width="8.6640625" bestFit="1" customWidth="1"/>
    <col min="165" max="165" width="6.44140625" bestFit="1" customWidth="1"/>
    <col min="166" max="166" width="7.21875" bestFit="1" customWidth="1"/>
    <col min="167" max="167" width="8.21875" bestFit="1" customWidth="1"/>
    <col min="168" max="169" width="5.6640625" bestFit="1" customWidth="1"/>
    <col min="170" max="170" width="8.77734375" bestFit="1" customWidth="1"/>
    <col min="171" max="171" width="8.21875" bestFit="1" customWidth="1"/>
    <col min="172" max="172" width="8.6640625" bestFit="1" customWidth="1"/>
    <col min="173" max="173" width="8.21875" bestFit="1" customWidth="1"/>
    <col min="174" max="174" width="9.6640625" bestFit="1" customWidth="1"/>
    <col min="176" max="176" width="15.5546875" bestFit="1" customWidth="1"/>
    <col min="177" max="177" width="7.21875" bestFit="1" customWidth="1"/>
    <col min="178" max="179" width="5.33203125" bestFit="1" customWidth="1"/>
    <col min="180" max="180" width="5.6640625" bestFit="1" customWidth="1"/>
    <col min="181" max="181" width="8.77734375" bestFit="1" customWidth="1"/>
    <col min="182" max="182" width="7.21875" bestFit="1" customWidth="1"/>
    <col min="183" max="183" width="8.6640625" bestFit="1" customWidth="1"/>
    <col min="184" max="184" width="7.21875" bestFit="1" customWidth="1"/>
    <col min="185" max="186" width="8.21875" bestFit="1" customWidth="1"/>
    <col min="187" max="189" width="5.6640625" bestFit="1" customWidth="1"/>
    <col min="190" max="190" width="8.77734375" bestFit="1" customWidth="1"/>
    <col min="191" max="191" width="9.6640625" bestFit="1" customWidth="1"/>
    <col min="192" max="192" width="8.6640625" bestFit="1" customWidth="1"/>
    <col min="193" max="193" width="8.21875" bestFit="1" customWidth="1"/>
    <col min="194" max="194" width="9.6640625" bestFit="1" customWidth="1"/>
    <col min="196" max="196" width="15.5546875" bestFit="1" customWidth="1"/>
    <col min="197" max="197" width="7.21875" bestFit="1" customWidth="1"/>
    <col min="198" max="199" width="5.33203125" bestFit="1" customWidth="1"/>
    <col min="200" max="200" width="5.44140625" bestFit="1" customWidth="1"/>
    <col min="201" max="201" width="8.77734375" bestFit="1" customWidth="1"/>
    <col min="202" max="202" width="8.21875" bestFit="1" customWidth="1"/>
    <col min="203" max="203" width="8.6640625" bestFit="1" customWidth="1"/>
    <col min="204" max="204" width="7.21875" bestFit="1" customWidth="1"/>
    <col min="205" max="206" width="8.21875" bestFit="1" customWidth="1"/>
    <col min="207" max="209" width="5.6640625" bestFit="1" customWidth="1"/>
    <col min="210" max="210" width="8.77734375" bestFit="1" customWidth="1"/>
    <col min="211" max="211" width="9.6640625" bestFit="1" customWidth="1"/>
    <col min="212" max="212" width="8.6640625" bestFit="1" customWidth="1"/>
    <col min="213" max="213" width="8.21875" bestFit="1" customWidth="1"/>
    <col min="214" max="214" width="9.6640625" bestFit="1" customWidth="1"/>
    <col min="216" max="216" width="15.5546875" bestFit="1" customWidth="1"/>
    <col min="217" max="217" width="7.21875" bestFit="1" customWidth="1"/>
    <col min="218" max="219" width="5.33203125" bestFit="1" customWidth="1"/>
    <col min="220" max="220" width="5.44140625" bestFit="1" customWidth="1"/>
    <col min="221" max="221" width="8.77734375" bestFit="1" customWidth="1"/>
    <col min="222" max="222" width="7.21875" bestFit="1" customWidth="1"/>
    <col min="223" max="223" width="8.6640625" bestFit="1" customWidth="1"/>
    <col min="224" max="226" width="7.21875" bestFit="1" customWidth="1"/>
    <col min="227" max="228" width="8.21875" bestFit="1" customWidth="1"/>
    <col min="229" max="231" width="5.6640625" bestFit="1" customWidth="1"/>
    <col min="232" max="232" width="8.77734375" bestFit="1" customWidth="1"/>
    <col min="233" max="233" width="9.6640625" bestFit="1" customWidth="1"/>
    <col min="234" max="234" width="8.6640625" bestFit="1" customWidth="1"/>
    <col min="235" max="236" width="7.21875" bestFit="1" customWidth="1"/>
    <col min="237" max="237" width="8.21875" bestFit="1" customWidth="1"/>
    <col min="238" max="238" width="9.6640625" bestFit="1" customWidth="1"/>
    <col min="240" max="240" width="15.5546875" bestFit="1" customWidth="1"/>
    <col min="241" max="241" width="7.21875" bestFit="1" customWidth="1"/>
    <col min="242" max="242" width="5.6640625" bestFit="1" customWidth="1"/>
    <col min="243" max="243" width="5.33203125" bestFit="1" customWidth="1"/>
    <col min="244" max="244" width="5.44140625" bestFit="1" customWidth="1"/>
    <col min="245" max="245" width="8.77734375" bestFit="1" customWidth="1"/>
    <col min="246" max="246" width="7.21875" bestFit="1" customWidth="1"/>
    <col min="247" max="247" width="8.6640625" bestFit="1" customWidth="1"/>
    <col min="248" max="250" width="7.21875" bestFit="1" customWidth="1"/>
    <col min="251" max="252" width="8.21875" bestFit="1" customWidth="1"/>
    <col min="253" max="255" width="5.6640625" bestFit="1" customWidth="1"/>
    <col min="256" max="256" width="8.77734375" bestFit="1" customWidth="1"/>
    <col min="257" max="257" width="9.6640625" bestFit="1" customWidth="1"/>
    <col min="258" max="258" width="8.6640625" bestFit="1" customWidth="1"/>
    <col min="259" max="260" width="7.21875" bestFit="1" customWidth="1"/>
    <col min="261" max="261" width="8.21875" bestFit="1" customWidth="1"/>
    <col min="262" max="262" width="9.6640625" bestFit="1" customWidth="1"/>
    <col min="264" max="264" width="15.5546875" bestFit="1" customWidth="1"/>
    <col min="265" max="265" width="7.21875" bestFit="1" customWidth="1"/>
    <col min="266" max="267" width="5.33203125" bestFit="1" customWidth="1"/>
    <col min="268" max="268" width="5.44140625" bestFit="1" customWidth="1"/>
    <col min="269" max="269" width="8.77734375" bestFit="1" customWidth="1"/>
    <col min="270" max="270" width="8.21875" bestFit="1" customWidth="1"/>
    <col min="271" max="271" width="8.6640625" bestFit="1" customWidth="1"/>
    <col min="272" max="274" width="7.21875" bestFit="1" customWidth="1"/>
    <col min="275" max="275" width="8.21875" bestFit="1" customWidth="1"/>
    <col min="276" max="276" width="9.6640625" bestFit="1" customWidth="1"/>
    <col min="277" max="279" width="5.6640625" bestFit="1" customWidth="1"/>
    <col min="280" max="280" width="8.77734375" bestFit="1" customWidth="1"/>
    <col min="281" max="281" width="9.6640625" bestFit="1" customWidth="1"/>
    <col min="282" max="282" width="8.6640625" bestFit="1" customWidth="1"/>
    <col min="283" max="284" width="7.21875" bestFit="1" customWidth="1"/>
    <col min="285" max="285" width="8.21875" bestFit="1" customWidth="1"/>
    <col min="286" max="286" width="9.6640625" bestFit="1" customWidth="1"/>
    <col min="288" max="288" width="15.5546875" bestFit="1" customWidth="1"/>
    <col min="289" max="289" width="7.21875" bestFit="1" customWidth="1"/>
    <col min="290" max="291" width="5.33203125" bestFit="1" customWidth="1"/>
    <col min="292" max="292" width="5.6640625" bestFit="1" customWidth="1"/>
    <col min="293" max="293" width="8.77734375" bestFit="1" customWidth="1"/>
    <col min="294" max="294" width="7.21875" bestFit="1" customWidth="1"/>
    <col min="295" max="295" width="8.6640625" bestFit="1" customWidth="1"/>
    <col min="296" max="297" width="7.21875" bestFit="1" customWidth="1"/>
    <col min="298" max="299" width="8.21875" bestFit="1" customWidth="1"/>
    <col min="300" max="300" width="9.6640625" bestFit="1" customWidth="1"/>
    <col min="301" max="303" width="5.6640625" bestFit="1" customWidth="1"/>
    <col min="304" max="304" width="8.77734375" bestFit="1" customWidth="1"/>
    <col min="305" max="305" width="9.6640625" bestFit="1" customWidth="1"/>
    <col min="306" max="306" width="8.6640625" bestFit="1" customWidth="1"/>
    <col min="307" max="308" width="7.21875" bestFit="1" customWidth="1"/>
    <col min="309" max="309" width="8.21875" bestFit="1" customWidth="1"/>
    <col min="310" max="310" width="9.6640625" bestFit="1" customWidth="1"/>
    <col min="312" max="312" width="15.44140625" bestFit="1" customWidth="1"/>
    <col min="313" max="313" width="7" bestFit="1" customWidth="1"/>
    <col min="314" max="314" width="5.21875" bestFit="1" customWidth="1"/>
    <col min="315" max="315" width="4.44140625" bestFit="1" customWidth="1"/>
    <col min="316" max="316" width="5.44140625" bestFit="1" customWidth="1"/>
    <col min="318" max="318" width="7" bestFit="1" customWidth="1"/>
    <col min="319" max="319" width="8.5546875" bestFit="1" customWidth="1"/>
    <col min="320" max="320" width="7.33203125" hidden="1" customWidth="1"/>
    <col min="321" max="321" width="7.109375" bestFit="1" customWidth="1"/>
    <col min="322" max="322" width="7.21875" bestFit="1" customWidth="1"/>
    <col min="323" max="323" width="6.33203125" bestFit="1" customWidth="1"/>
    <col min="324" max="324" width="7" bestFit="1" customWidth="1"/>
    <col min="325" max="325" width="9.44140625" bestFit="1" customWidth="1"/>
    <col min="326" max="328" width="5.5546875" bestFit="1" customWidth="1"/>
    <col min="330" max="330" width="9.44140625" bestFit="1" customWidth="1"/>
    <col min="331" max="331" width="8.5546875" bestFit="1" customWidth="1"/>
    <col min="332" max="332" width="7.33203125" hidden="1" customWidth="1"/>
    <col min="333" max="333" width="7.109375" bestFit="1" customWidth="1"/>
    <col min="334" max="334" width="7.21875" bestFit="1" customWidth="1"/>
    <col min="335" max="335" width="8" bestFit="1" customWidth="1"/>
    <col min="336" max="336" width="9.44140625" bestFit="1" customWidth="1"/>
    <col min="338" max="338" width="15.44140625" bestFit="1" customWidth="1"/>
    <col min="339" max="339" width="8" bestFit="1" customWidth="1"/>
    <col min="340" max="341" width="5.21875" bestFit="1" customWidth="1"/>
    <col min="342" max="342" width="5.44140625" bestFit="1" customWidth="1"/>
    <col min="344" max="344" width="8" bestFit="1" customWidth="1"/>
    <col min="345" max="345" width="8.5546875" bestFit="1" customWidth="1"/>
    <col min="346" max="346" width="7.33203125" bestFit="1" customWidth="1"/>
    <col min="347" max="347" width="7.109375" bestFit="1" customWidth="1"/>
    <col min="348" max="348" width="7.21875" bestFit="1" customWidth="1"/>
    <col min="349" max="349" width="6.33203125" bestFit="1" customWidth="1"/>
    <col min="350" max="350" width="8" bestFit="1" customWidth="1"/>
    <col min="351" max="351" width="9.44140625" bestFit="1" customWidth="1"/>
    <col min="352" max="354" width="5.5546875" bestFit="1" customWidth="1"/>
    <col min="356" max="356" width="9.44140625" bestFit="1" customWidth="1"/>
    <col min="357" max="357" width="8.5546875" bestFit="1" customWidth="1"/>
    <col min="358" max="358" width="7.33203125" bestFit="1" customWidth="1"/>
    <col min="359" max="359" width="7.109375" bestFit="1" customWidth="1"/>
    <col min="360" max="360" width="7.21875" bestFit="1" customWidth="1"/>
    <col min="361" max="361" width="8" bestFit="1" customWidth="1"/>
    <col min="362" max="362" width="9.44140625" bestFit="1" customWidth="1"/>
    <col min="364" max="364" width="15.5546875" bestFit="1" customWidth="1"/>
    <col min="365" max="365" width="8.21875" bestFit="1" customWidth="1"/>
    <col min="366" max="366" width="5.21875" bestFit="1" customWidth="1"/>
    <col min="367" max="367" width="5.33203125" bestFit="1" customWidth="1"/>
    <col min="368" max="368" width="5.44140625" bestFit="1" customWidth="1"/>
    <col min="369" max="369" width="8.77734375" bestFit="1" customWidth="1"/>
    <col min="370" max="370" width="8.21875" bestFit="1" customWidth="1"/>
    <col min="371" max="371" width="8.6640625" bestFit="1" customWidth="1"/>
    <col min="372" max="374" width="7.21875" bestFit="1" customWidth="1"/>
    <col min="375" max="375" width="8.21875" bestFit="1" customWidth="1"/>
    <col min="376" max="376" width="9.6640625" bestFit="1" customWidth="1"/>
    <col min="377" max="379" width="5.6640625" bestFit="1" customWidth="1"/>
    <col min="380" max="380" width="8.77734375" bestFit="1" customWidth="1"/>
    <col min="381" max="381" width="9.6640625" bestFit="1" customWidth="1"/>
    <col min="382" max="382" width="8.6640625" bestFit="1" customWidth="1"/>
    <col min="383" max="384" width="7.21875" bestFit="1" customWidth="1"/>
    <col min="385" max="385" width="8.21875" bestFit="1" customWidth="1"/>
    <col min="386" max="386" width="9.6640625" bestFit="1" customWidth="1"/>
    <col min="388" max="388" width="15.5546875" bestFit="1" customWidth="1"/>
    <col min="389" max="389" width="8.21875" bestFit="1" customWidth="1"/>
    <col min="390" max="391" width="5.33203125" bestFit="1" customWidth="1"/>
    <col min="392" max="392" width="5.6640625" bestFit="1" customWidth="1"/>
    <col min="393" max="393" width="8.77734375" bestFit="1" customWidth="1"/>
    <col min="394" max="394" width="8.21875" bestFit="1" customWidth="1"/>
    <col min="395" max="395" width="8.6640625" bestFit="1" customWidth="1"/>
    <col min="396" max="397" width="7.21875" bestFit="1" customWidth="1"/>
    <col min="398" max="398" width="6.44140625" bestFit="1" customWidth="1"/>
    <col min="399" max="399" width="8.21875" bestFit="1" customWidth="1"/>
    <col min="400" max="400" width="9.6640625" bestFit="1" customWidth="1"/>
    <col min="401" max="403" width="5.6640625" bestFit="1" customWidth="1"/>
    <col min="404" max="404" width="8.77734375" bestFit="1" customWidth="1"/>
    <col min="405" max="405" width="9.6640625" bestFit="1" customWidth="1"/>
    <col min="406" max="406" width="8.6640625" bestFit="1" customWidth="1"/>
    <col min="407" max="408" width="7.21875" bestFit="1" customWidth="1"/>
    <col min="409" max="409" width="8.21875" bestFit="1" customWidth="1"/>
    <col min="410" max="410" width="9.6640625" bestFit="1" customWidth="1"/>
    <col min="412" max="412" width="15.5546875" bestFit="1" customWidth="1"/>
    <col min="413" max="413" width="8.21875" bestFit="1" customWidth="1"/>
    <col min="414" max="415" width="5.33203125" bestFit="1" customWidth="1"/>
    <col min="416" max="416" width="5.44140625" bestFit="1" customWidth="1"/>
    <col min="417" max="417" width="8.77734375" bestFit="1" customWidth="1"/>
    <col min="418" max="418" width="8.21875" bestFit="1" customWidth="1"/>
    <col min="419" max="419" width="8.6640625" bestFit="1" customWidth="1"/>
    <col min="420" max="421" width="7.21875" bestFit="1" customWidth="1"/>
    <col min="422" max="422" width="6.44140625" bestFit="1" customWidth="1"/>
    <col min="423" max="423" width="8.21875" bestFit="1" customWidth="1"/>
    <col min="424" max="424" width="9.6640625" bestFit="1" customWidth="1"/>
    <col min="425" max="427" width="5.6640625" bestFit="1" customWidth="1"/>
    <col min="428" max="428" width="8.77734375" bestFit="1" customWidth="1"/>
    <col min="429" max="429" width="9.6640625" bestFit="1" customWidth="1"/>
    <col min="430" max="430" width="8.6640625" bestFit="1" customWidth="1"/>
    <col min="431" max="432" width="7.21875" bestFit="1" customWidth="1"/>
    <col min="433" max="433" width="8.21875" bestFit="1" customWidth="1"/>
    <col min="434" max="434" width="9.6640625" bestFit="1" customWidth="1"/>
    <col min="436" max="436" width="15.5546875" bestFit="1" customWidth="1"/>
    <col min="437" max="437" width="7.21875" bestFit="1" customWidth="1"/>
    <col min="438" max="439" width="5.33203125" bestFit="1" customWidth="1"/>
    <col min="440" max="440" width="5.44140625" bestFit="1" customWidth="1"/>
    <col min="441" max="441" width="8.77734375" bestFit="1" customWidth="1"/>
    <col min="442" max="442" width="7.21875" bestFit="1" customWidth="1"/>
    <col min="443" max="443" width="8.6640625" bestFit="1" customWidth="1"/>
    <col min="444" max="445" width="7.21875" bestFit="1" customWidth="1"/>
    <col min="446" max="447" width="8.21875" bestFit="1" customWidth="1"/>
    <col min="448" max="448" width="9.6640625" bestFit="1" customWidth="1"/>
    <col min="449" max="451" width="5.6640625" bestFit="1" customWidth="1"/>
    <col min="452" max="452" width="8.77734375" bestFit="1" customWidth="1"/>
    <col min="453" max="453" width="9.6640625" bestFit="1" customWidth="1"/>
    <col min="454" max="454" width="8.6640625" bestFit="1" customWidth="1"/>
    <col min="455" max="456" width="7.21875" bestFit="1" customWidth="1"/>
    <col min="457" max="457" width="8.21875" bestFit="1" customWidth="1"/>
    <col min="458" max="458" width="9.6640625" bestFit="1" customWidth="1"/>
    <col min="460" max="460" width="15.5546875" bestFit="1" customWidth="1"/>
    <col min="461" max="461" width="9.6640625" bestFit="1" customWidth="1"/>
    <col min="462" max="464" width="5.6640625" bestFit="1" customWidth="1"/>
    <col min="465" max="465" width="8.77734375" bestFit="1" customWidth="1"/>
    <col min="466" max="466" width="9.6640625" bestFit="1" customWidth="1"/>
    <col min="467" max="467" width="14.21875" bestFit="1" customWidth="1"/>
    <col min="468" max="469" width="7.21875" bestFit="1" customWidth="1"/>
    <col min="470" max="471" width="9.6640625" bestFit="1" customWidth="1"/>
    <col min="472" max="472" width="15.21875" bestFit="1" customWidth="1"/>
    <col min="473" max="473" width="15.5546875" bestFit="1" customWidth="1"/>
    <col min="474" max="474" width="11.44140625" bestFit="1" customWidth="1"/>
    <col min="475" max="477" width="9" bestFit="1" customWidth="1"/>
    <col min="478" max="480" width="11.44140625" bestFit="1" customWidth="1"/>
    <col min="481" max="481" width="9" bestFit="1" customWidth="1"/>
    <col min="482" max="482" width="7.44140625" bestFit="1" customWidth="1"/>
    <col min="483" max="483" width="11.44140625" bestFit="1" customWidth="1"/>
    <col min="484" max="484" width="12.44140625" bestFit="1" customWidth="1"/>
    <col min="485" max="485" width="12.44140625" customWidth="1"/>
    <col min="486" max="486" width="16" bestFit="1" customWidth="1"/>
    <col min="487" max="487" width="11.77734375" bestFit="1" customWidth="1"/>
    <col min="488" max="488" width="5.44140625" bestFit="1" customWidth="1"/>
    <col min="489" max="489" width="11.77734375" bestFit="1" customWidth="1"/>
    <col min="490" max="490" width="5.44140625" bestFit="1" customWidth="1"/>
    <col min="491" max="491" width="11.77734375" bestFit="1" customWidth="1"/>
    <col min="492" max="492" width="5.44140625" bestFit="1" customWidth="1"/>
    <col min="493" max="493" width="11.77734375" customWidth="1"/>
    <col min="494" max="494" width="6.21875" bestFit="1" customWidth="1"/>
    <col min="495" max="495" width="14" customWidth="1"/>
    <col min="496" max="496" width="5.44140625" customWidth="1"/>
    <col min="497" max="497" width="11.77734375" bestFit="1" customWidth="1"/>
    <col min="498" max="498" width="5.44140625" bestFit="1" customWidth="1"/>
    <col min="499" max="499" width="10.6640625" bestFit="1" customWidth="1"/>
    <col min="500" max="500" width="5.44140625" bestFit="1" customWidth="1"/>
    <col min="501" max="501" width="11.109375" bestFit="1" customWidth="1"/>
    <col min="502" max="502" width="5.44140625" bestFit="1" customWidth="1"/>
    <col min="503" max="503" width="12.77734375" bestFit="1" customWidth="1"/>
    <col min="504" max="504" width="5.44140625" bestFit="1" customWidth="1"/>
  </cols>
  <sheetData>
    <row r="1" spans="2:506" ht="15" thickBot="1" x14ac:dyDescent="0.35">
      <c r="RS1" t="s">
        <v>1114</v>
      </c>
      <c r="RU1" t="s">
        <v>1104</v>
      </c>
      <c r="RW1" t="s">
        <v>1109</v>
      </c>
      <c r="RY1" t="s">
        <v>692</v>
      </c>
      <c r="SA1" t="s">
        <v>1106</v>
      </c>
      <c r="SC1" t="s">
        <v>299</v>
      </c>
      <c r="SE1" t="s">
        <v>831</v>
      </c>
      <c r="SG1" t="s">
        <v>833</v>
      </c>
    </row>
    <row r="2" spans="2:506" ht="15" thickBot="1" x14ac:dyDescent="0.35">
      <c r="B2" s="14" t="s">
        <v>481</v>
      </c>
      <c r="C2" s="357">
        <v>45963</v>
      </c>
      <c r="D2" s="358"/>
      <c r="E2" s="358"/>
      <c r="F2" s="358"/>
      <c r="G2" s="359"/>
      <c r="H2" s="360" t="str">
        <f>Dashboard!Q4</f>
        <v>MTD - Nov-25</v>
      </c>
      <c r="I2" s="361"/>
      <c r="J2" s="361"/>
      <c r="K2" s="361"/>
      <c r="L2" s="362"/>
      <c r="N2" s="14" t="s">
        <v>481</v>
      </c>
      <c r="O2" s="357">
        <v>45964</v>
      </c>
      <c r="P2" s="358"/>
      <c r="Q2" s="358"/>
      <c r="R2" s="358"/>
      <c r="S2" s="358"/>
      <c r="T2" s="358"/>
      <c r="U2" s="359"/>
      <c r="V2" s="360" t="s">
        <v>1624</v>
      </c>
      <c r="W2" s="361"/>
      <c r="X2" s="361"/>
      <c r="Y2" s="361"/>
      <c r="Z2" s="361"/>
      <c r="AA2" s="361"/>
      <c r="AB2" s="362"/>
      <c r="AD2" s="14" t="s">
        <v>481</v>
      </c>
      <c r="AE2" s="357">
        <v>45965</v>
      </c>
      <c r="AF2" s="358"/>
      <c r="AG2" s="358"/>
      <c r="AH2" s="359"/>
      <c r="AI2" s="360" t="s">
        <v>1624</v>
      </c>
      <c r="AJ2" s="361"/>
      <c r="AK2" s="361"/>
      <c r="AL2" s="362"/>
      <c r="AN2" s="14" t="s">
        <v>481</v>
      </c>
      <c r="AO2" s="357">
        <v>45966</v>
      </c>
      <c r="AP2" s="358"/>
      <c r="AQ2" s="358"/>
      <c r="AR2" s="358"/>
      <c r="AS2" s="358"/>
      <c r="AT2" s="359"/>
      <c r="AU2" s="360" t="s">
        <v>1624</v>
      </c>
      <c r="AV2" s="361"/>
      <c r="AW2" s="361"/>
      <c r="AX2" s="361"/>
      <c r="AY2" s="361"/>
      <c r="AZ2" s="362"/>
      <c r="BB2" s="14" t="s">
        <v>481</v>
      </c>
      <c r="BC2" s="357">
        <v>45967</v>
      </c>
      <c r="BD2" s="358"/>
      <c r="BE2" s="358"/>
      <c r="BF2" s="358"/>
      <c r="BG2" s="358"/>
      <c r="BH2" s="359"/>
      <c r="BI2" s="360" t="s">
        <v>1624</v>
      </c>
      <c r="BJ2" s="361"/>
      <c r="BK2" s="361"/>
      <c r="BL2" s="361"/>
      <c r="BM2" s="361"/>
      <c r="BN2" s="362"/>
      <c r="BP2" s="14" t="s">
        <v>481</v>
      </c>
      <c r="BQ2" s="357">
        <v>45968</v>
      </c>
      <c r="BR2" s="358"/>
      <c r="BS2" s="358"/>
      <c r="BT2" s="358"/>
      <c r="BU2" s="358"/>
      <c r="BV2" s="358"/>
      <c r="BW2" s="358"/>
      <c r="BX2" s="359"/>
      <c r="BY2" s="371" t="s">
        <v>1624</v>
      </c>
      <c r="BZ2" s="372"/>
      <c r="CA2" s="372"/>
      <c r="CB2" s="372"/>
      <c r="CC2" s="372"/>
      <c r="CD2" s="372"/>
      <c r="CE2" s="372"/>
      <c r="CF2" s="373"/>
      <c r="CH2" s="14" t="s">
        <v>481</v>
      </c>
      <c r="CI2" s="374">
        <v>45970</v>
      </c>
      <c r="CJ2" s="375"/>
      <c r="CK2" s="375"/>
      <c r="CL2" s="375"/>
      <c r="CM2" s="375"/>
      <c r="CN2" s="375"/>
      <c r="CO2" s="375"/>
      <c r="CP2" s="376"/>
      <c r="CQ2" s="371" t="s">
        <v>1624</v>
      </c>
      <c r="CR2" s="372"/>
      <c r="CS2" s="372"/>
      <c r="CT2" s="372"/>
      <c r="CU2" s="372"/>
      <c r="CV2" s="372"/>
      <c r="CW2" s="372"/>
      <c r="CX2" s="373"/>
      <c r="CZ2" s="14" t="s">
        <v>481</v>
      </c>
      <c r="DA2" s="357">
        <v>45971</v>
      </c>
      <c r="DB2" s="358"/>
      <c r="DC2" s="358"/>
      <c r="DD2" s="358"/>
      <c r="DE2" s="358"/>
      <c r="DF2" s="358"/>
      <c r="DG2" s="358"/>
      <c r="DH2" s="359"/>
      <c r="DI2" s="371" t="s">
        <v>1624</v>
      </c>
      <c r="DJ2" s="372"/>
      <c r="DK2" s="372"/>
      <c r="DL2" s="372"/>
      <c r="DM2" s="372"/>
      <c r="DN2" s="372"/>
      <c r="DO2" s="372"/>
      <c r="DP2" s="373"/>
      <c r="DR2" s="14" t="s">
        <v>481</v>
      </c>
      <c r="DS2" s="357">
        <v>45972</v>
      </c>
      <c r="DT2" s="358"/>
      <c r="DU2" s="358"/>
      <c r="DV2" s="358"/>
      <c r="DW2" s="358"/>
      <c r="DX2" s="358"/>
      <c r="DY2" s="358"/>
      <c r="DZ2" s="359"/>
      <c r="EA2" s="371" t="s">
        <v>1624</v>
      </c>
      <c r="EB2" s="372"/>
      <c r="EC2" s="372"/>
      <c r="ED2" s="372"/>
      <c r="EE2" s="372"/>
      <c r="EF2" s="372"/>
      <c r="EG2" s="372"/>
      <c r="EH2" s="373"/>
      <c r="EJ2" s="14" t="s">
        <v>481</v>
      </c>
      <c r="EK2" s="357">
        <v>45973</v>
      </c>
      <c r="EL2" s="358"/>
      <c r="EM2" s="358"/>
      <c r="EN2" s="358"/>
      <c r="EO2" s="358"/>
      <c r="EP2" s="358"/>
      <c r="EQ2" s="358"/>
      <c r="ER2" s="359"/>
      <c r="ES2" s="371" t="s">
        <v>1624</v>
      </c>
      <c r="ET2" s="372"/>
      <c r="EU2" s="372"/>
      <c r="EV2" s="372"/>
      <c r="EW2" s="372"/>
      <c r="EX2" s="372"/>
      <c r="EY2" s="372"/>
      <c r="EZ2" s="373"/>
      <c r="FB2" s="14" t="s">
        <v>481</v>
      </c>
      <c r="FC2" s="357">
        <v>45974</v>
      </c>
      <c r="FD2" s="358"/>
      <c r="FE2" s="358"/>
      <c r="FF2" s="358"/>
      <c r="FG2" s="358"/>
      <c r="FH2" s="358"/>
      <c r="FI2" s="358"/>
      <c r="FJ2" s="359"/>
      <c r="FK2" s="371" t="s">
        <v>1624</v>
      </c>
      <c r="FL2" s="372"/>
      <c r="FM2" s="372"/>
      <c r="FN2" s="372"/>
      <c r="FO2" s="372"/>
      <c r="FP2" s="372"/>
      <c r="FQ2" s="372"/>
      <c r="FR2" s="373"/>
      <c r="FT2" s="14" t="s">
        <v>481</v>
      </c>
      <c r="FU2" s="357">
        <v>45975</v>
      </c>
      <c r="FV2" s="358"/>
      <c r="FW2" s="358"/>
      <c r="FX2" s="358"/>
      <c r="FY2" s="358"/>
      <c r="FZ2" s="358"/>
      <c r="GA2" s="358"/>
      <c r="GB2" s="358"/>
      <c r="GC2" s="359"/>
      <c r="GD2" s="371" t="s">
        <v>1624</v>
      </c>
      <c r="GE2" s="372"/>
      <c r="GF2" s="372"/>
      <c r="GG2" s="372"/>
      <c r="GH2" s="372"/>
      <c r="GI2" s="372"/>
      <c r="GJ2" s="372"/>
      <c r="GK2" s="372"/>
      <c r="GL2" s="373"/>
      <c r="GN2" s="14" t="s">
        <v>481</v>
      </c>
      <c r="GO2" s="357">
        <v>45977</v>
      </c>
      <c r="GP2" s="358"/>
      <c r="GQ2" s="358"/>
      <c r="GR2" s="358"/>
      <c r="GS2" s="358"/>
      <c r="GT2" s="358"/>
      <c r="GU2" s="358"/>
      <c r="GV2" s="358"/>
      <c r="GW2" s="359"/>
      <c r="GX2" s="371" t="s">
        <v>1624</v>
      </c>
      <c r="GY2" s="372"/>
      <c r="GZ2" s="372"/>
      <c r="HA2" s="372"/>
      <c r="HB2" s="372"/>
      <c r="HC2" s="372"/>
      <c r="HD2" s="372"/>
      <c r="HE2" s="372"/>
      <c r="HF2" s="373"/>
      <c r="HH2" s="14" t="s">
        <v>481</v>
      </c>
      <c r="HI2" s="357">
        <v>45978</v>
      </c>
      <c r="HJ2" s="358"/>
      <c r="HK2" s="358"/>
      <c r="HL2" s="358"/>
      <c r="HM2" s="358"/>
      <c r="HN2" s="358"/>
      <c r="HO2" s="358"/>
      <c r="HP2" s="358"/>
      <c r="HQ2" s="358"/>
      <c r="HR2" s="358"/>
      <c r="HS2" s="359"/>
      <c r="HT2" s="371" t="s">
        <v>1624</v>
      </c>
      <c r="HU2" s="372"/>
      <c r="HV2" s="372"/>
      <c r="HW2" s="372"/>
      <c r="HX2" s="372"/>
      <c r="HY2" s="372"/>
      <c r="HZ2" s="372"/>
      <c r="IA2" s="372"/>
      <c r="IB2" s="372"/>
      <c r="IC2" s="372"/>
      <c r="ID2" s="373"/>
      <c r="IF2" s="14" t="s">
        <v>481</v>
      </c>
      <c r="IG2" s="357">
        <v>45979</v>
      </c>
      <c r="IH2" s="358"/>
      <c r="II2" s="358"/>
      <c r="IJ2" s="358"/>
      <c r="IK2" s="358"/>
      <c r="IL2" s="358"/>
      <c r="IM2" s="358"/>
      <c r="IN2" s="358"/>
      <c r="IO2" s="358"/>
      <c r="IP2" s="358"/>
      <c r="IQ2" s="359"/>
      <c r="IR2" s="371" t="s">
        <v>1624</v>
      </c>
      <c r="IS2" s="372"/>
      <c r="IT2" s="372"/>
      <c r="IU2" s="372"/>
      <c r="IV2" s="372"/>
      <c r="IW2" s="372"/>
      <c r="IX2" s="372"/>
      <c r="IY2" s="372"/>
      <c r="IZ2" s="372"/>
      <c r="JA2" s="372"/>
      <c r="JB2" s="373"/>
      <c r="JD2" s="14" t="s">
        <v>481</v>
      </c>
      <c r="JE2" s="357">
        <v>45980</v>
      </c>
      <c r="JF2" s="358"/>
      <c r="JG2" s="358"/>
      <c r="JH2" s="358"/>
      <c r="JI2" s="358"/>
      <c r="JJ2" s="358"/>
      <c r="JK2" s="358"/>
      <c r="JL2" s="358"/>
      <c r="JM2" s="358"/>
      <c r="JN2" s="358"/>
      <c r="JO2" s="359"/>
      <c r="JP2" s="371" t="s">
        <v>1624</v>
      </c>
      <c r="JQ2" s="372"/>
      <c r="JR2" s="372"/>
      <c r="JS2" s="372"/>
      <c r="JT2" s="372"/>
      <c r="JU2" s="372"/>
      <c r="JV2" s="372"/>
      <c r="JW2" s="372"/>
      <c r="JX2" s="372"/>
      <c r="JY2" s="372"/>
      <c r="JZ2" s="373"/>
      <c r="KB2" s="14" t="s">
        <v>481</v>
      </c>
      <c r="KC2" s="357">
        <v>45981</v>
      </c>
      <c r="KD2" s="358"/>
      <c r="KE2" s="358"/>
      <c r="KF2" s="358"/>
      <c r="KG2" s="358"/>
      <c r="KH2" s="358"/>
      <c r="KI2" s="358"/>
      <c r="KJ2" s="358"/>
      <c r="KK2" s="358"/>
      <c r="KL2" s="358"/>
      <c r="KM2" s="359"/>
      <c r="KN2" s="371" t="s">
        <v>1624</v>
      </c>
      <c r="KO2" s="372"/>
      <c r="KP2" s="372"/>
      <c r="KQ2" s="372"/>
      <c r="KR2" s="372"/>
      <c r="KS2" s="372"/>
      <c r="KT2" s="372"/>
      <c r="KU2" s="372"/>
      <c r="KV2" s="372"/>
      <c r="KW2" s="372"/>
      <c r="KX2" s="373"/>
      <c r="KZ2" s="14" t="s">
        <v>481</v>
      </c>
      <c r="LA2" s="357">
        <v>45982</v>
      </c>
      <c r="LB2" s="358"/>
      <c r="LC2" s="358"/>
      <c r="LD2" s="358"/>
      <c r="LE2" s="358"/>
      <c r="LF2" s="358"/>
      <c r="LG2" s="358"/>
      <c r="LH2" s="358"/>
      <c r="LI2" s="358"/>
      <c r="LJ2" s="358"/>
      <c r="LK2" s="358"/>
      <c r="LL2" s="359"/>
      <c r="LM2" s="371" t="s">
        <v>1624</v>
      </c>
      <c r="LN2" s="372"/>
      <c r="LO2" s="372"/>
      <c r="LP2" s="372"/>
      <c r="LQ2" s="372"/>
      <c r="LR2" s="372"/>
      <c r="LS2" s="372"/>
      <c r="LT2" s="372"/>
      <c r="LU2" s="372"/>
      <c r="LV2" s="372"/>
      <c r="LW2" s="372"/>
      <c r="LX2" s="373"/>
      <c r="LZ2" s="14" t="s">
        <v>481</v>
      </c>
      <c r="MA2" s="357">
        <v>45984</v>
      </c>
      <c r="MB2" s="358"/>
      <c r="MC2" s="358"/>
      <c r="MD2" s="358"/>
      <c r="ME2" s="358"/>
      <c r="MF2" s="358"/>
      <c r="MG2" s="358"/>
      <c r="MH2" s="358"/>
      <c r="MI2" s="358"/>
      <c r="MJ2" s="358"/>
      <c r="MK2" s="358"/>
      <c r="ML2" s="359"/>
      <c r="MM2" s="371" t="s">
        <v>1624</v>
      </c>
      <c r="MN2" s="372"/>
      <c r="MO2" s="372"/>
      <c r="MP2" s="372"/>
      <c r="MQ2" s="372"/>
      <c r="MR2" s="372"/>
      <c r="MS2" s="372"/>
      <c r="MT2" s="372"/>
      <c r="MU2" s="372"/>
      <c r="MV2" s="372"/>
      <c r="MW2" s="372"/>
      <c r="MX2" s="373"/>
      <c r="MZ2" s="14" t="s">
        <v>481</v>
      </c>
      <c r="NA2" s="357">
        <v>45985</v>
      </c>
      <c r="NB2" s="358"/>
      <c r="NC2" s="358"/>
      <c r="ND2" s="358"/>
      <c r="NE2" s="358"/>
      <c r="NF2" s="358"/>
      <c r="NG2" s="358"/>
      <c r="NH2" s="358"/>
      <c r="NI2" s="358"/>
      <c r="NJ2" s="358"/>
      <c r="NK2" s="359"/>
      <c r="NL2" s="371" t="s">
        <v>1624</v>
      </c>
      <c r="NM2" s="372"/>
      <c r="NN2" s="372"/>
      <c r="NO2" s="372"/>
      <c r="NP2" s="372"/>
      <c r="NQ2" s="372"/>
      <c r="NR2" s="372"/>
      <c r="NS2" s="372"/>
      <c r="NT2" s="372"/>
      <c r="NU2" s="372"/>
      <c r="NV2" s="373"/>
      <c r="NX2" s="14" t="s">
        <v>481</v>
      </c>
      <c r="NY2" s="357">
        <v>45986</v>
      </c>
      <c r="NZ2" s="358"/>
      <c r="OA2" s="358"/>
      <c r="OB2" s="358"/>
      <c r="OC2" s="358"/>
      <c r="OD2" s="358"/>
      <c r="OE2" s="358"/>
      <c r="OF2" s="358"/>
      <c r="OG2" s="358"/>
      <c r="OH2" s="358"/>
      <c r="OI2" s="359"/>
      <c r="OJ2" s="371" t="s">
        <v>1624</v>
      </c>
      <c r="OK2" s="372"/>
      <c r="OL2" s="372"/>
      <c r="OM2" s="372"/>
      <c r="ON2" s="372"/>
      <c r="OO2" s="372"/>
      <c r="OP2" s="372"/>
      <c r="OQ2" s="372"/>
      <c r="OR2" s="372"/>
      <c r="OS2" s="372"/>
      <c r="OT2" s="373"/>
      <c r="OV2" s="14" t="s">
        <v>481</v>
      </c>
      <c r="OW2" s="357">
        <v>45987</v>
      </c>
      <c r="OX2" s="358"/>
      <c r="OY2" s="358"/>
      <c r="OZ2" s="358"/>
      <c r="PA2" s="358"/>
      <c r="PB2" s="358"/>
      <c r="PC2" s="358"/>
      <c r="PD2" s="358"/>
      <c r="PE2" s="358"/>
      <c r="PF2" s="358"/>
      <c r="PG2" s="359"/>
      <c r="PH2" s="371" t="s">
        <v>1624</v>
      </c>
      <c r="PI2" s="372"/>
      <c r="PJ2" s="372"/>
      <c r="PK2" s="372"/>
      <c r="PL2" s="372"/>
      <c r="PM2" s="372"/>
      <c r="PN2" s="372"/>
      <c r="PO2" s="372"/>
      <c r="PP2" s="372"/>
      <c r="PQ2" s="372"/>
      <c r="PR2" s="373"/>
      <c r="PT2" s="14" t="s">
        <v>481</v>
      </c>
      <c r="PU2" s="357">
        <v>45988</v>
      </c>
      <c r="PV2" s="358"/>
      <c r="PW2" s="358"/>
      <c r="PX2" s="358"/>
      <c r="PY2" s="358"/>
      <c r="PZ2" s="358"/>
      <c r="QA2" s="358"/>
      <c r="QB2" s="358"/>
      <c r="QC2" s="358"/>
      <c r="QD2" s="358"/>
      <c r="QE2" s="359"/>
      <c r="QF2" s="371" t="s">
        <v>1624</v>
      </c>
      <c r="QG2" s="372"/>
      <c r="QH2" s="372"/>
      <c r="QI2" s="372"/>
      <c r="QJ2" s="372"/>
      <c r="QK2" s="372"/>
      <c r="QL2" s="372"/>
      <c r="QM2" s="372"/>
      <c r="QN2" s="372"/>
      <c r="QO2" s="372"/>
      <c r="QP2" s="373"/>
      <c r="QR2" s="14" t="s">
        <v>481</v>
      </c>
      <c r="QS2" s="371" t="s">
        <v>1624</v>
      </c>
      <c r="QT2" s="372"/>
      <c r="QU2" s="372"/>
      <c r="QV2" s="372"/>
      <c r="QW2" s="372"/>
      <c r="QX2" s="372"/>
      <c r="QY2" s="372"/>
      <c r="QZ2" s="372"/>
      <c r="RA2" s="372"/>
      <c r="RB2" s="372"/>
      <c r="RC2" s="373"/>
      <c r="RE2" s="14" t="s">
        <v>481</v>
      </c>
      <c r="RF2" s="371" t="s">
        <v>1624</v>
      </c>
      <c r="RG2" s="372"/>
      <c r="RH2" s="372"/>
      <c r="RI2" s="372"/>
      <c r="RJ2" s="372"/>
      <c r="RK2" s="372"/>
      <c r="RL2" s="372"/>
      <c r="RM2" s="372"/>
      <c r="RN2" s="372"/>
      <c r="RO2" s="372"/>
      <c r="RP2" s="373"/>
      <c r="RQ2" s="324"/>
      <c r="RR2" s="332"/>
      <c r="RS2" s="384">
        <v>45962</v>
      </c>
      <c r="RT2" s="385"/>
      <c r="RU2" s="385"/>
      <c r="RV2" s="385"/>
      <c r="RW2" s="385"/>
      <c r="RX2" s="385"/>
      <c r="RY2" s="385"/>
      <c r="RZ2" s="385"/>
      <c r="SA2" s="385"/>
      <c r="SB2" s="385"/>
      <c r="SC2" s="385"/>
      <c r="SD2" s="385"/>
      <c r="SE2" s="385"/>
      <c r="SF2" s="385"/>
      <c r="SG2" s="385"/>
      <c r="SH2" s="385"/>
      <c r="SI2" s="385"/>
      <c r="SJ2" s="386"/>
    </row>
    <row r="3" spans="2:506" ht="15" customHeight="1" thickBot="1" x14ac:dyDescent="0.35">
      <c r="B3" s="112" t="s">
        <v>551</v>
      </c>
      <c r="C3" s="107" t="s">
        <v>544</v>
      </c>
      <c r="D3" s="108" t="s">
        <v>548</v>
      </c>
      <c r="E3" s="108" t="s">
        <v>549</v>
      </c>
      <c r="F3" s="109" t="s">
        <v>1475</v>
      </c>
      <c r="G3" s="110" t="s">
        <v>462</v>
      </c>
      <c r="H3" s="107" t="s">
        <v>544</v>
      </c>
      <c r="I3" s="108" t="s">
        <v>548</v>
      </c>
      <c r="J3" s="108" t="s">
        <v>549</v>
      </c>
      <c r="K3" s="109" t="s">
        <v>1475</v>
      </c>
      <c r="L3" s="110" t="s">
        <v>462</v>
      </c>
      <c r="N3" s="112" t="s">
        <v>551</v>
      </c>
      <c r="O3" s="107" t="s">
        <v>544</v>
      </c>
      <c r="P3" s="108" t="s">
        <v>548</v>
      </c>
      <c r="Q3" s="108" t="s">
        <v>549</v>
      </c>
      <c r="R3" s="109" t="s">
        <v>1475</v>
      </c>
      <c r="S3" s="109" t="s">
        <v>1527</v>
      </c>
      <c r="T3" s="109" t="s">
        <v>1518</v>
      </c>
      <c r="U3" s="110" t="s">
        <v>462</v>
      </c>
      <c r="V3" s="107" t="s">
        <v>544</v>
      </c>
      <c r="W3" s="108" t="s">
        <v>548</v>
      </c>
      <c r="X3" s="108" t="s">
        <v>549</v>
      </c>
      <c r="Y3" s="109" t="s">
        <v>1475</v>
      </c>
      <c r="Z3" s="109" t="s">
        <v>1527</v>
      </c>
      <c r="AA3" s="109" t="s">
        <v>1518</v>
      </c>
      <c r="AB3" s="110" t="s">
        <v>462</v>
      </c>
      <c r="AD3" s="112" t="s">
        <v>551</v>
      </c>
      <c r="AE3" s="107" t="s">
        <v>544</v>
      </c>
      <c r="AF3" s="108" t="s">
        <v>548</v>
      </c>
      <c r="AG3" s="109" t="s">
        <v>1475</v>
      </c>
      <c r="AH3" s="110" t="s">
        <v>462</v>
      </c>
      <c r="AI3" s="107" t="s">
        <v>544</v>
      </c>
      <c r="AJ3" s="108" t="s">
        <v>548</v>
      </c>
      <c r="AK3" s="109" t="s">
        <v>1475</v>
      </c>
      <c r="AL3" s="110" t="s">
        <v>462</v>
      </c>
      <c r="AN3" s="112" t="s">
        <v>551</v>
      </c>
      <c r="AO3" s="107" t="s">
        <v>544</v>
      </c>
      <c r="AP3" s="108" t="s">
        <v>548</v>
      </c>
      <c r="AQ3" s="108" t="s">
        <v>549</v>
      </c>
      <c r="AR3" s="108" t="s">
        <v>693</v>
      </c>
      <c r="AS3" s="109" t="s">
        <v>1475</v>
      </c>
      <c r="AT3" s="110" t="s">
        <v>462</v>
      </c>
      <c r="AU3" s="107" t="s">
        <v>544</v>
      </c>
      <c r="AV3" s="108" t="s">
        <v>548</v>
      </c>
      <c r="AW3" s="108" t="s">
        <v>549</v>
      </c>
      <c r="AX3" s="108" t="s">
        <v>693</v>
      </c>
      <c r="AY3" s="109" t="s">
        <v>1475</v>
      </c>
      <c r="AZ3" s="110" t="s">
        <v>462</v>
      </c>
      <c r="BB3" s="112" t="s">
        <v>551</v>
      </c>
      <c r="BC3" s="107" t="s">
        <v>544</v>
      </c>
      <c r="BD3" s="108" t="s">
        <v>548</v>
      </c>
      <c r="BE3" s="108" t="s">
        <v>549</v>
      </c>
      <c r="BF3" s="108" t="s">
        <v>693</v>
      </c>
      <c r="BG3" s="109" t="s">
        <v>1475</v>
      </c>
      <c r="BH3" s="110" t="s">
        <v>462</v>
      </c>
      <c r="BI3" s="107" t="s">
        <v>544</v>
      </c>
      <c r="BJ3" s="108" t="s">
        <v>548</v>
      </c>
      <c r="BK3" s="108" t="s">
        <v>549</v>
      </c>
      <c r="BL3" s="108" t="s">
        <v>693</v>
      </c>
      <c r="BM3" s="109" t="s">
        <v>1475</v>
      </c>
      <c r="BN3" s="110" t="s">
        <v>462</v>
      </c>
      <c r="BP3" s="112" t="s">
        <v>455</v>
      </c>
      <c r="BQ3" s="402" t="s">
        <v>1627</v>
      </c>
      <c r="BR3" s="402"/>
      <c r="BS3" s="402"/>
      <c r="BT3" s="402"/>
      <c r="BU3" s="402"/>
      <c r="BV3" s="402" t="s">
        <v>1628</v>
      </c>
      <c r="BW3" s="402"/>
      <c r="BX3" s="403" t="s">
        <v>462</v>
      </c>
      <c r="BY3" s="387" t="s">
        <v>1627</v>
      </c>
      <c r="BZ3" s="388"/>
      <c r="CA3" s="388"/>
      <c r="CB3" s="388"/>
      <c r="CC3" s="389"/>
      <c r="CD3" s="387" t="s">
        <v>1628</v>
      </c>
      <c r="CE3" s="389"/>
      <c r="CF3" s="390" t="s">
        <v>462</v>
      </c>
      <c r="CH3" s="112" t="s">
        <v>455</v>
      </c>
      <c r="CI3" s="387" t="s">
        <v>1627</v>
      </c>
      <c r="CJ3" s="388"/>
      <c r="CK3" s="388"/>
      <c r="CL3" s="388"/>
      <c r="CM3" s="389"/>
      <c r="CN3" s="387" t="s">
        <v>1628</v>
      </c>
      <c r="CO3" s="389"/>
      <c r="CP3" s="390" t="s">
        <v>462</v>
      </c>
      <c r="CQ3" s="387" t="s">
        <v>1627</v>
      </c>
      <c r="CR3" s="388"/>
      <c r="CS3" s="388"/>
      <c r="CT3" s="388"/>
      <c r="CU3" s="389"/>
      <c r="CV3" s="387" t="s">
        <v>1628</v>
      </c>
      <c r="CW3" s="389"/>
      <c r="CX3" s="390" t="s">
        <v>462</v>
      </c>
      <c r="CZ3" s="112" t="s">
        <v>455</v>
      </c>
      <c r="DA3" s="402" t="s">
        <v>1627</v>
      </c>
      <c r="DB3" s="402"/>
      <c r="DC3" s="402"/>
      <c r="DD3" s="402"/>
      <c r="DE3" s="402"/>
      <c r="DF3" s="402" t="s">
        <v>1628</v>
      </c>
      <c r="DG3" s="402"/>
      <c r="DH3" s="403" t="s">
        <v>462</v>
      </c>
      <c r="DI3" s="387" t="s">
        <v>1627</v>
      </c>
      <c r="DJ3" s="388"/>
      <c r="DK3" s="388"/>
      <c r="DL3" s="388"/>
      <c r="DM3" s="389"/>
      <c r="DN3" s="387" t="s">
        <v>1628</v>
      </c>
      <c r="DO3" s="389"/>
      <c r="DP3" s="390" t="s">
        <v>462</v>
      </c>
      <c r="DR3" s="112" t="s">
        <v>455</v>
      </c>
      <c r="DS3" s="402" t="s">
        <v>1627</v>
      </c>
      <c r="DT3" s="402"/>
      <c r="DU3" s="402"/>
      <c r="DV3" s="402"/>
      <c r="DW3" s="402"/>
      <c r="DX3" s="402" t="s">
        <v>1628</v>
      </c>
      <c r="DY3" s="402"/>
      <c r="DZ3" s="403" t="s">
        <v>462</v>
      </c>
      <c r="EA3" s="387" t="s">
        <v>1627</v>
      </c>
      <c r="EB3" s="388"/>
      <c r="EC3" s="388"/>
      <c r="ED3" s="388"/>
      <c r="EE3" s="389"/>
      <c r="EF3" s="387" t="s">
        <v>1628</v>
      </c>
      <c r="EG3" s="389"/>
      <c r="EH3" s="390" t="s">
        <v>462</v>
      </c>
      <c r="EJ3" s="112" t="s">
        <v>455</v>
      </c>
      <c r="EK3" s="402" t="s">
        <v>1627</v>
      </c>
      <c r="EL3" s="402"/>
      <c r="EM3" s="402"/>
      <c r="EN3" s="402"/>
      <c r="EO3" s="402"/>
      <c r="EP3" s="402" t="s">
        <v>1628</v>
      </c>
      <c r="EQ3" s="402"/>
      <c r="ER3" s="403" t="s">
        <v>462</v>
      </c>
      <c r="ES3" s="387" t="s">
        <v>1627</v>
      </c>
      <c r="ET3" s="388"/>
      <c r="EU3" s="388"/>
      <c r="EV3" s="388"/>
      <c r="EW3" s="389"/>
      <c r="EX3" s="387" t="s">
        <v>1628</v>
      </c>
      <c r="EY3" s="389"/>
      <c r="EZ3" s="390" t="s">
        <v>462</v>
      </c>
      <c r="FB3" s="112" t="s">
        <v>455</v>
      </c>
      <c r="FC3" s="402" t="s">
        <v>1627</v>
      </c>
      <c r="FD3" s="402"/>
      <c r="FE3" s="402"/>
      <c r="FF3" s="402"/>
      <c r="FG3" s="402"/>
      <c r="FH3" s="402" t="s">
        <v>1628</v>
      </c>
      <c r="FI3" s="402"/>
      <c r="FJ3" s="403" t="s">
        <v>462</v>
      </c>
      <c r="FK3" s="387" t="s">
        <v>1627</v>
      </c>
      <c r="FL3" s="388"/>
      <c r="FM3" s="388"/>
      <c r="FN3" s="388"/>
      <c r="FO3" s="389"/>
      <c r="FP3" s="387" t="s">
        <v>1628</v>
      </c>
      <c r="FQ3" s="389"/>
      <c r="FR3" s="390" t="s">
        <v>462</v>
      </c>
      <c r="FT3" s="112" t="s">
        <v>455</v>
      </c>
      <c r="FU3" s="402" t="s">
        <v>1627</v>
      </c>
      <c r="FV3" s="402"/>
      <c r="FW3" s="402"/>
      <c r="FX3" s="402"/>
      <c r="FY3" s="402"/>
      <c r="FZ3" s="402"/>
      <c r="GA3" s="402" t="s">
        <v>1628</v>
      </c>
      <c r="GB3" s="402"/>
      <c r="GC3" s="403" t="s">
        <v>462</v>
      </c>
      <c r="GD3" s="387" t="s">
        <v>1627</v>
      </c>
      <c r="GE3" s="388"/>
      <c r="GF3" s="388"/>
      <c r="GG3" s="388"/>
      <c r="GH3" s="388"/>
      <c r="GI3" s="389"/>
      <c r="GJ3" s="387" t="s">
        <v>1628</v>
      </c>
      <c r="GK3" s="389"/>
      <c r="GL3" s="390" t="s">
        <v>462</v>
      </c>
      <c r="GN3" s="112" t="s">
        <v>455</v>
      </c>
      <c r="GO3" s="402" t="s">
        <v>1627</v>
      </c>
      <c r="GP3" s="402"/>
      <c r="GQ3" s="402"/>
      <c r="GR3" s="402"/>
      <c r="GS3" s="402"/>
      <c r="GT3" s="402"/>
      <c r="GU3" s="402" t="s">
        <v>1628</v>
      </c>
      <c r="GV3" s="402"/>
      <c r="GW3" s="403" t="s">
        <v>462</v>
      </c>
      <c r="GX3" s="387" t="s">
        <v>1627</v>
      </c>
      <c r="GY3" s="388"/>
      <c r="GZ3" s="388"/>
      <c r="HA3" s="388"/>
      <c r="HB3" s="388"/>
      <c r="HC3" s="389"/>
      <c r="HD3" s="387" t="s">
        <v>1628</v>
      </c>
      <c r="HE3" s="389"/>
      <c r="HF3" s="390" t="s">
        <v>462</v>
      </c>
      <c r="HH3" s="112" t="s">
        <v>455</v>
      </c>
      <c r="HI3" s="402" t="s">
        <v>1627</v>
      </c>
      <c r="HJ3" s="402"/>
      <c r="HK3" s="402"/>
      <c r="HL3" s="402"/>
      <c r="HM3" s="402"/>
      <c r="HN3" s="402"/>
      <c r="HO3" s="402" t="s">
        <v>1628</v>
      </c>
      <c r="HP3" s="402"/>
      <c r="HQ3" s="402"/>
      <c r="HR3" s="402"/>
      <c r="HS3" s="403" t="s">
        <v>462</v>
      </c>
      <c r="HT3" s="387" t="s">
        <v>1627</v>
      </c>
      <c r="HU3" s="388"/>
      <c r="HV3" s="388"/>
      <c r="HW3" s="388"/>
      <c r="HX3" s="388"/>
      <c r="HY3" s="389"/>
      <c r="HZ3" s="387" t="s">
        <v>1628</v>
      </c>
      <c r="IA3" s="388"/>
      <c r="IB3" s="388"/>
      <c r="IC3" s="389"/>
      <c r="ID3" s="390" t="s">
        <v>462</v>
      </c>
      <c r="IF3" s="112" t="s">
        <v>455</v>
      </c>
      <c r="IG3" s="402" t="s">
        <v>1627</v>
      </c>
      <c r="IH3" s="402"/>
      <c r="II3" s="402"/>
      <c r="IJ3" s="402"/>
      <c r="IK3" s="402"/>
      <c r="IL3" s="402"/>
      <c r="IM3" s="402" t="s">
        <v>1628</v>
      </c>
      <c r="IN3" s="402"/>
      <c r="IO3" s="402"/>
      <c r="IP3" s="402"/>
      <c r="IQ3" s="403" t="s">
        <v>462</v>
      </c>
      <c r="IR3" s="387" t="s">
        <v>1627</v>
      </c>
      <c r="IS3" s="388"/>
      <c r="IT3" s="388"/>
      <c r="IU3" s="388"/>
      <c r="IV3" s="388"/>
      <c r="IW3" s="389"/>
      <c r="IX3" s="387" t="s">
        <v>1628</v>
      </c>
      <c r="IY3" s="388"/>
      <c r="IZ3" s="388"/>
      <c r="JA3" s="389"/>
      <c r="JB3" s="390" t="s">
        <v>462</v>
      </c>
      <c r="JD3" s="112" t="s">
        <v>455</v>
      </c>
      <c r="JE3" s="402" t="s">
        <v>1627</v>
      </c>
      <c r="JF3" s="402"/>
      <c r="JG3" s="402"/>
      <c r="JH3" s="402"/>
      <c r="JI3" s="402"/>
      <c r="JJ3" s="402"/>
      <c r="JK3" s="402" t="s">
        <v>1628</v>
      </c>
      <c r="JL3" s="402"/>
      <c r="JM3" s="402"/>
      <c r="JN3" s="402"/>
      <c r="JO3" s="403" t="s">
        <v>462</v>
      </c>
      <c r="JP3" s="387" t="s">
        <v>1627</v>
      </c>
      <c r="JQ3" s="388"/>
      <c r="JR3" s="388"/>
      <c r="JS3" s="388"/>
      <c r="JT3" s="388"/>
      <c r="JU3" s="389"/>
      <c r="JV3" s="387" t="s">
        <v>1628</v>
      </c>
      <c r="JW3" s="388"/>
      <c r="JX3" s="388"/>
      <c r="JY3" s="389"/>
      <c r="JZ3" s="390" t="s">
        <v>462</v>
      </c>
      <c r="KB3" s="112" t="s">
        <v>455</v>
      </c>
      <c r="KC3" s="402" t="s">
        <v>1627</v>
      </c>
      <c r="KD3" s="402"/>
      <c r="KE3" s="402"/>
      <c r="KF3" s="402"/>
      <c r="KG3" s="402"/>
      <c r="KH3" s="402"/>
      <c r="KI3" s="402" t="s">
        <v>1628</v>
      </c>
      <c r="KJ3" s="402"/>
      <c r="KK3" s="402"/>
      <c r="KL3" s="402"/>
      <c r="KM3" s="403" t="s">
        <v>462</v>
      </c>
      <c r="KN3" s="387" t="s">
        <v>1627</v>
      </c>
      <c r="KO3" s="388"/>
      <c r="KP3" s="388"/>
      <c r="KQ3" s="388"/>
      <c r="KR3" s="388"/>
      <c r="KS3" s="389"/>
      <c r="KT3" s="387" t="s">
        <v>1628</v>
      </c>
      <c r="KU3" s="388"/>
      <c r="KV3" s="388"/>
      <c r="KW3" s="389"/>
      <c r="KX3" s="390" t="s">
        <v>462</v>
      </c>
      <c r="KZ3" s="112" t="s">
        <v>455</v>
      </c>
      <c r="LA3" s="402" t="s">
        <v>1627</v>
      </c>
      <c r="LB3" s="402"/>
      <c r="LC3" s="402"/>
      <c r="LD3" s="402"/>
      <c r="LE3" s="402"/>
      <c r="LF3" s="402"/>
      <c r="LG3" s="402" t="s">
        <v>1628</v>
      </c>
      <c r="LH3" s="402"/>
      <c r="LI3" s="402"/>
      <c r="LJ3" s="402"/>
      <c r="LK3" s="402"/>
      <c r="LL3" s="403" t="s">
        <v>462</v>
      </c>
      <c r="LM3" s="387" t="s">
        <v>1627</v>
      </c>
      <c r="LN3" s="388"/>
      <c r="LO3" s="388"/>
      <c r="LP3" s="388"/>
      <c r="LQ3" s="388"/>
      <c r="LR3" s="389"/>
      <c r="LS3" s="387" t="s">
        <v>1628</v>
      </c>
      <c r="LT3" s="388"/>
      <c r="LU3" s="388"/>
      <c r="LV3" s="388"/>
      <c r="LW3" s="389"/>
      <c r="LX3" s="390" t="s">
        <v>462</v>
      </c>
      <c r="LZ3" s="112" t="s">
        <v>455</v>
      </c>
      <c r="MA3" s="402" t="s">
        <v>1627</v>
      </c>
      <c r="MB3" s="402"/>
      <c r="MC3" s="402"/>
      <c r="MD3" s="402"/>
      <c r="ME3" s="402"/>
      <c r="MF3" s="402"/>
      <c r="MG3" s="402" t="s">
        <v>1628</v>
      </c>
      <c r="MH3" s="402"/>
      <c r="MI3" s="402"/>
      <c r="MJ3" s="402"/>
      <c r="MK3" s="402"/>
      <c r="ML3" s="403" t="s">
        <v>462</v>
      </c>
      <c r="MM3" s="387" t="s">
        <v>1627</v>
      </c>
      <c r="MN3" s="388"/>
      <c r="MO3" s="388"/>
      <c r="MP3" s="388"/>
      <c r="MQ3" s="388"/>
      <c r="MR3" s="389"/>
      <c r="MS3" s="387" t="s">
        <v>1628</v>
      </c>
      <c r="MT3" s="388"/>
      <c r="MU3" s="388"/>
      <c r="MV3" s="388"/>
      <c r="MW3" s="389"/>
      <c r="MX3" s="390" t="s">
        <v>462</v>
      </c>
      <c r="MZ3" s="112" t="s">
        <v>455</v>
      </c>
      <c r="NA3" s="402" t="s">
        <v>1627</v>
      </c>
      <c r="NB3" s="402"/>
      <c r="NC3" s="402"/>
      <c r="ND3" s="402"/>
      <c r="NE3" s="402"/>
      <c r="NF3" s="402"/>
      <c r="NG3" s="402" t="s">
        <v>1628</v>
      </c>
      <c r="NH3" s="402"/>
      <c r="NI3" s="402"/>
      <c r="NJ3" s="402"/>
      <c r="NK3" s="403" t="s">
        <v>462</v>
      </c>
      <c r="NL3" s="387" t="s">
        <v>1627</v>
      </c>
      <c r="NM3" s="388"/>
      <c r="NN3" s="388"/>
      <c r="NO3" s="388"/>
      <c r="NP3" s="388"/>
      <c r="NQ3" s="389"/>
      <c r="NR3" s="387" t="s">
        <v>1628</v>
      </c>
      <c r="NS3" s="388"/>
      <c r="NT3" s="388"/>
      <c r="NU3" s="389"/>
      <c r="NV3" s="390" t="s">
        <v>462</v>
      </c>
      <c r="NX3" s="112" t="s">
        <v>455</v>
      </c>
      <c r="NY3" s="402" t="s">
        <v>1627</v>
      </c>
      <c r="NZ3" s="402"/>
      <c r="OA3" s="402"/>
      <c r="OB3" s="402"/>
      <c r="OC3" s="402"/>
      <c r="OD3" s="402"/>
      <c r="OE3" s="402" t="s">
        <v>1628</v>
      </c>
      <c r="OF3" s="402"/>
      <c r="OG3" s="402"/>
      <c r="OH3" s="402"/>
      <c r="OI3" s="403" t="s">
        <v>462</v>
      </c>
      <c r="OJ3" s="387" t="s">
        <v>1627</v>
      </c>
      <c r="OK3" s="388"/>
      <c r="OL3" s="388"/>
      <c r="OM3" s="388"/>
      <c r="ON3" s="388"/>
      <c r="OO3" s="389"/>
      <c r="OP3" s="387" t="s">
        <v>1628</v>
      </c>
      <c r="OQ3" s="388"/>
      <c r="OR3" s="388"/>
      <c r="OS3" s="389"/>
      <c r="OT3" s="390" t="s">
        <v>462</v>
      </c>
      <c r="OV3" s="112" t="s">
        <v>455</v>
      </c>
      <c r="OW3" s="402" t="s">
        <v>1627</v>
      </c>
      <c r="OX3" s="402"/>
      <c r="OY3" s="402"/>
      <c r="OZ3" s="402"/>
      <c r="PA3" s="402"/>
      <c r="PB3" s="402"/>
      <c r="PC3" s="402" t="s">
        <v>1628</v>
      </c>
      <c r="PD3" s="402"/>
      <c r="PE3" s="402"/>
      <c r="PF3" s="402"/>
      <c r="PG3" s="403" t="s">
        <v>462</v>
      </c>
      <c r="PH3" s="387" t="s">
        <v>1627</v>
      </c>
      <c r="PI3" s="388"/>
      <c r="PJ3" s="388"/>
      <c r="PK3" s="388"/>
      <c r="PL3" s="388"/>
      <c r="PM3" s="389"/>
      <c r="PN3" s="387" t="s">
        <v>1628</v>
      </c>
      <c r="PO3" s="388"/>
      <c r="PP3" s="388"/>
      <c r="PQ3" s="389"/>
      <c r="PR3" s="390" t="s">
        <v>462</v>
      </c>
      <c r="PT3" s="112" t="s">
        <v>455</v>
      </c>
      <c r="PU3" s="402" t="s">
        <v>1627</v>
      </c>
      <c r="PV3" s="402"/>
      <c r="PW3" s="402"/>
      <c r="PX3" s="402"/>
      <c r="PY3" s="402"/>
      <c r="PZ3" s="402"/>
      <c r="QA3" s="402" t="s">
        <v>1628</v>
      </c>
      <c r="QB3" s="402"/>
      <c r="QC3" s="402"/>
      <c r="QD3" s="402"/>
      <c r="QE3" s="403" t="s">
        <v>462</v>
      </c>
      <c r="QF3" s="387" t="s">
        <v>1627</v>
      </c>
      <c r="QG3" s="388"/>
      <c r="QH3" s="388"/>
      <c r="QI3" s="388"/>
      <c r="QJ3" s="388"/>
      <c r="QK3" s="389"/>
      <c r="QL3" s="387" t="s">
        <v>1628</v>
      </c>
      <c r="QM3" s="388"/>
      <c r="QN3" s="388"/>
      <c r="QO3" s="389"/>
      <c r="QP3" s="390" t="s">
        <v>462</v>
      </c>
      <c r="QR3" s="112" t="s">
        <v>455</v>
      </c>
      <c r="QS3" s="387" t="s">
        <v>1627</v>
      </c>
      <c r="QT3" s="388"/>
      <c r="QU3" s="388"/>
      <c r="QV3" s="388"/>
      <c r="QW3" s="388"/>
      <c r="QX3" s="389"/>
      <c r="QY3" s="387" t="s">
        <v>1628</v>
      </c>
      <c r="QZ3" s="388"/>
      <c r="RA3" s="388"/>
      <c r="RB3" s="389"/>
      <c r="RC3" s="390" t="s">
        <v>462</v>
      </c>
      <c r="RE3" s="112" t="s">
        <v>455</v>
      </c>
      <c r="RF3" s="387" t="s">
        <v>1627</v>
      </c>
      <c r="RG3" s="388"/>
      <c r="RH3" s="388"/>
      <c r="RI3" s="388"/>
      <c r="RJ3" s="388"/>
      <c r="RK3" s="389"/>
      <c r="RL3" s="387" t="s">
        <v>1628</v>
      </c>
      <c r="RM3" s="388"/>
      <c r="RN3" s="388"/>
      <c r="RO3" s="389"/>
      <c r="RP3" s="390" t="s">
        <v>462</v>
      </c>
      <c r="RQ3" s="324"/>
      <c r="RR3" s="333" t="s">
        <v>470</v>
      </c>
      <c r="RS3" s="290" t="s">
        <v>1130</v>
      </c>
      <c r="RT3" s="291"/>
      <c r="RU3" s="292" t="s">
        <v>966</v>
      </c>
      <c r="RV3" s="293"/>
      <c r="RW3" s="292" t="s">
        <v>1644</v>
      </c>
      <c r="RX3" s="293"/>
      <c r="RY3" s="292" t="s">
        <v>1643</v>
      </c>
      <c r="RZ3" s="293"/>
      <c r="SA3" s="292" t="s">
        <v>786</v>
      </c>
      <c r="SB3" s="293"/>
      <c r="SC3" s="292" t="s">
        <v>1961</v>
      </c>
      <c r="SD3" s="294"/>
      <c r="SE3" s="295" t="s">
        <v>1962</v>
      </c>
      <c r="SF3" s="296"/>
      <c r="SG3" s="297" t="s">
        <v>1963</v>
      </c>
      <c r="SH3" s="294"/>
      <c r="SI3" s="298" t="s">
        <v>462</v>
      </c>
      <c r="SJ3" s="299" t="s">
        <v>1964</v>
      </c>
    </row>
    <row r="4" spans="2:506" ht="15" thickBot="1" x14ac:dyDescent="0.35">
      <c r="B4" s="113" t="s">
        <v>550</v>
      </c>
      <c r="C4" s="77">
        <v>2400</v>
      </c>
      <c r="D4" s="78">
        <v>10905</v>
      </c>
      <c r="E4" s="78">
        <v>0</v>
      </c>
      <c r="F4" s="78">
        <v>6475</v>
      </c>
      <c r="G4" s="79">
        <v>19780</v>
      </c>
      <c r="H4" s="80">
        <v>2400</v>
      </c>
      <c r="I4" s="80">
        <v>10905</v>
      </c>
      <c r="J4" s="80">
        <v>0</v>
      </c>
      <c r="K4" s="78">
        <v>6475</v>
      </c>
      <c r="L4" s="79">
        <v>19780</v>
      </c>
      <c r="N4" s="113" t="s">
        <v>550</v>
      </c>
      <c r="O4" s="77">
        <v>0</v>
      </c>
      <c r="P4" s="78">
        <v>11973</v>
      </c>
      <c r="Q4" s="78">
        <v>0</v>
      </c>
      <c r="R4" s="78">
        <v>3152</v>
      </c>
      <c r="S4" s="78">
        <v>0</v>
      </c>
      <c r="T4" s="78">
        <v>0</v>
      </c>
      <c r="U4" s="79">
        <v>15125</v>
      </c>
      <c r="V4" s="80">
        <v>2400</v>
      </c>
      <c r="W4" s="80">
        <v>22878</v>
      </c>
      <c r="X4" s="80">
        <v>0</v>
      </c>
      <c r="Y4" s="78">
        <v>9627</v>
      </c>
      <c r="Z4" s="78">
        <v>0</v>
      </c>
      <c r="AA4" s="78">
        <v>0</v>
      </c>
      <c r="AB4" s="79">
        <v>34905</v>
      </c>
      <c r="AC4" s="17">
        <f>V4-O4-H4</f>
        <v>0</v>
      </c>
      <c r="AD4" s="113" t="s">
        <v>550</v>
      </c>
      <c r="AE4" s="77">
        <v>0</v>
      </c>
      <c r="AF4" s="78">
        <v>8263</v>
      </c>
      <c r="AG4" s="78">
        <v>5908</v>
      </c>
      <c r="AH4" s="79">
        <v>14171</v>
      </c>
      <c r="AI4" s="80">
        <v>2400</v>
      </c>
      <c r="AJ4" s="80">
        <v>31141</v>
      </c>
      <c r="AK4" s="78">
        <v>15535</v>
      </c>
      <c r="AL4" s="79">
        <v>49076</v>
      </c>
      <c r="AN4" s="113" t="s">
        <v>550</v>
      </c>
      <c r="AO4" s="77">
        <v>0</v>
      </c>
      <c r="AP4" s="78">
        <v>5520</v>
      </c>
      <c r="AQ4" s="78">
        <v>-4</v>
      </c>
      <c r="AR4" s="78">
        <v>105</v>
      </c>
      <c r="AS4" s="78">
        <v>3096</v>
      </c>
      <c r="AT4" s="79">
        <v>8717</v>
      </c>
      <c r="AU4" s="80">
        <v>2400</v>
      </c>
      <c r="AV4" s="80">
        <v>36661</v>
      </c>
      <c r="AW4" s="80">
        <v>-4</v>
      </c>
      <c r="AX4" s="80">
        <v>105</v>
      </c>
      <c r="AY4" s="78">
        <v>18631</v>
      </c>
      <c r="AZ4" s="79">
        <v>57793</v>
      </c>
      <c r="BA4" s="17">
        <f>AU4-AO4-AI4</f>
        <v>0</v>
      </c>
      <c r="BB4" s="113" t="s">
        <v>550</v>
      </c>
      <c r="BC4" s="77">
        <v>5000</v>
      </c>
      <c r="BD4" s="78">
        <v>1977</v>
      </c>
      <c r="BE4" s="78">
        <v>0</v>
      </c>
      <c r="BF4" s="78">
        <v>0</v>
      </c>
      <c r="BG4" s="78">
        <v>6867</v>
      </c>
      <c r="BH4" s="79">
        <f>SUM(BC4:BG4)</f>
        <v>13844</v>
      </c>
      <c r="BI4" s="80">
        <v>7400</v>
      </c>
      <c r="BJ4" s="80">
        <v>38638</v>
      </c>
      <c r="BK4" s="80">
        <v>-4</v>
      </c>
      <c r="BL4" s="80">
        <v>105</v>
      </c>
      <c r="BM4" s="78">
        <v>25498</v>
      </c>
      <c r="BN4" s="79">
        <f>SUM(BI4:BM4)</f>
        <v>71637</v>
      </c>
      <c r="BO4" s="17">
        <f t="shared" ref="BO4:BO10" si="0">BI4-BC4-AU4</f>
        <v>0</v>
      </c>
      <c r="BP4" s="393" t="s">
        <v>1631</v>
      </c>
      <c r="BQ4" s="214" t="s">
        <v>1630</v>
      </c>
      <c r="BR4" s="214" t="s">
        <v>1630</v>
      </c>
      <c r="BS4" s="214" t="s">
        <v>1630</v>
      </c>
      <c r="BT4" s="227" t="s">
        <v>1629</v>
      </c>
      <c r="BU4" s="404" t="s">
        <v>1637</v>
      </c>
      <c r="BV4" s="229" t="s">
        <v>1630</v>
      </c>
      <c r="BW4" s="404" t="s">
        <v>1636</v>
      </c>
      <c r="BX4" s="403"/>
      <c r="BY4" s="214" t="s">
        <v>1630</v>
      </c>
      <c r="BZ4" s="214" t="s">
        <v>1630</v>
      </c>
      <c r="CA4" s="227" t="s">
        <v>1630</v>
      </c>
      <c r="CB4" s="214" t="s">
        <v>1629</v>
      </c>
      <c r="CC4" s="398" t="s">
        <v>1637</v>
      </c>
      <c r="CD4" s="229" t="s">
        <v>1630</v>
      </c>
      <c r="CE4" s="398" t="s">
        <v>1636</v>
      </c>
      <c r="CF4" s="391"/>
      <c r="CG4" s="17"/>
      <c r="CH4" s="393" t="s">
        <v>1631</v>
      </c>
      <c r="CI4" s="214" t="s">
        <v>1630</v>
      </c>
      <c r="CJ4" s="214" t="s">
        <v>1630</v>
      </c>
      <c r="CK4" s="214" t="s">
        <v>1630</v>
      </c>
      <c r="CL4" s="227" t="s">
        <v>1629</v>
      </c>
      <c r="CM4" s="398" t="s">
        <v>1637</v>
      </c>
      <c r="CN4" s="229" t="s">
        <v>1630</v>
      </c>
      <c r="CO4" s="398" t="s">
        <v>1636</v>
      </c>
      <c r="CP4" s="391"/>
      <c r="CQ4" s="214" t="s">
        <v>1630</v>
      </c>
      <c r="CR4" s="214" t="s">
        <v>1630</v>
      </c>
      <c r="CS4" s="227" t="s">
        <v>1630</v>
      </c>
      <c r="CT4" s="214" t="s">
        <v>1629</v>
      </c>
      <c r="CU4" s="398" t="s">
        <v>1637</v>
      </c>
      <c r="CV4" s="229" t="s">
        <v>1630</v>
      </c>
      <c r="CW4" s="398" t="s">
        <v>1636</v>
      </c>
      <c r="CX4" s="391"/>
      <c r="CZ4" s="393" t="s">
        <v>1631</v>
      </c>
      <c r="DA4" s="395" t="s">
        <v>1630</v>
      </c>
      <c r="DB4" s="396"/>
      <c r="DC4" s="397"/>
      <c r="DD4" s="227" t="s">
        <v>1629</v>
      </c>
      <c r="DE4" s="404" t="s">
        <v>1637</v>
      </c>
      <c r="DF4" s="229" t="s">
        <v>1630</v>
      </c>
      <c r="DG4" s="404" t="s">
        <v>1636</v>
      </c>
      <c r="DH4" s="403"/>
      <c r="DI4" s="395" t="s">
        <v>1630</v>
      </c>
      <c r="DJ4" s="396"/>
      <c r="DK4" s="397"/>
      <c r="DL4" s="214" t="s">
        <v>1629</v>
      </c>
      <c r="DM4" s="398" t="s">
        <v>1637</v>
      </c>
      <c r="DN4" s="229" t="s">
        <v>1630</v>
      </c>
      <c r="DO4" s="398" t="s">
        <v>1636</v>
      </c>
      <c r="DP4" s="391"/>
      <c r="DR4" s="393" t="s">
        <v>1631</v>
      </c>
      <c r="DS4" s="395" t="s">
        <v>1630</v>
      </c>
      <c r="DT4" s="396"/>
      <c r="DU4" s="396"/>
      <c r="DV4" s="214" t="s">
        <v>1629</v>
      </c>
      <c r="DW4" s="404" t="s">
        <v>1637</v>
      </c>
      <c r="DX4" s="229" t="s">
        <v>1630</v>
      </c>
      <c r="DY4" s="404" t="s">
        <v>1636</v>
      </c>
      <c r="DZ4" s="403"/>
      <c r="EA4" s="395" t="s">
        <v>1630</v>
      </c>
      <c r="EB4" s="396"/>
      <c r="EC4" s="397"/>
      <c r="ED4" s="214" t="s">
        <v>1629</v>
      </c>
      <c r="EE4" s="398" t="s">
        <v>1637</v>
      </c>
      <c r="EF4" s="229" t="s">
        <v>1630</v>
      </c>
      <c r="EG4" s="398" t="s">
        <v>1636</v>
      </c>
      <c r="EH4" s="391"/>
      <c r="EJ4" s="393" t="s">
        <v>1631</v>
      </c>
      <c r="EK4" s="395" t="s">
        <v>1630</v>
      </c>
      <c r="EL4" s="396"/>
      <c r="EM4" s="396"/>
      <c r="EN4" s="214" t="s">
        <v>1629</v>
      </c>
      <c r="EO4" s="404" t="s">
        <v>1637</v>
      </c>
      <c r="EP4" s="229" t="s">
        <v>1630</v>
      </c>
      <c r="EQ4" s="404" t="s">
        <v>1636</v>
      </c>
      <c r="ER4" s="403"/>
      <c r="ES4" s="395" t="s">
        <v>1630</v>
      </c>
      <c r="ET4" s="396"/>
      <c r="EU4" s="397"/>
      <c r="EV4" s="214" t="s">
        <v>1629</v>
      </c>
      <c r="EW4" s="398" t="s">
        <v>1637</v>
      </c>
      <c r="EX4" s="229" t="s">
        <v>1630</v>
      </c>
      <c r="EY4" s="398" t="s">
        <v>1636</v>
      </c>
      <c r="EZ4" s="391"/>
      <c r="FB4" s="393" t="s">
        <v>1631</v>
      </c>
      <c r="FC4" s="395" t="s">
        <v>1630</v>
      </c>
      <c r="FD4" s="396"/>
      <c r="FE4" s="396"/>
      <c r="FF4" s="214" t="s">
        <v>1629</v>
      </c>
      <c r="FG4" s="404" t="s">
        <v>1637</v>
      </c>
      <c r="FH4" s="229" t="s">
        <v>1630</v>
      </c>
      <c r="FI4" s="404" t="s">
        <v>1636</v>
      </c>
      <c r="FJ4" s="403"/>
      <c r="FK4" s="395" t="s">
        <v>1630</v>
      </c>
      <c r="FL4" s="396"/>
      <c r="FM4" s="397"/>
      <c r="FN4" s="214" t="s">
        <v>1629</v>
      </c>
      <c r="FO4" s="398" t="s">
        <v>1637</v>
      </c>
      <c r="FP4" s="229" t="s">
        <v>1630</v>
      </c>
      <c r="FQ4" s="398" t="s">
        <v>1636</v>
      </c>
      <c r="FR4" s="391"/>
      <c r="FT4" s="393" t="s">
        <v>1631</v>
      </c>
      <c r="FU4" s="395" t="s">
        <v>1630</v>
      </c>
      <c r="FV4" s="396"/>
      <c r="FW4" s="396"/>
      <c r="FX4" s="397"/>
      <c r="FY4" s="214" t="s">
        <v>1629</v>
      </c>
      <c r="FZ4" s="404" t="s">
        <v>1637</v>
      </c>
      <c r="GA4" s="229" t="s">
        <v>1630</v>
      </c>
      <c r="GB4" s="404" t="s">
        <v>1636</v>
      </c>
      <c r="GC4" s="403"/>
      <c r="GD4" s="395" t="s">
        <v>1630</v>
      </c>
      <c r="GE4" s="396"/>
      <c r="GF4" s="396"/>
      <c r="GG4" s="397"/>
      <c r="GH4" s="214" t="s">
        <v>1629</v>
      </c>
      <c r="GI4" s="398" t="s">
        <v>1637</v>
      </c>
      <c r="GJ4" s="229" t="s">
        <v>1630</v>
      </c>
      <c r="GK4" s="398" t="s">
        <v>1636</v>
      </c>
      <c r="GL4" s="391"/>
      <c r="GN4" s="393" t="s">
        <v>1631</v>
      </c>
      <c r="GO4" s="395" t="s">
        <v>1630</v>
      </c>
      <c r="GP4" s="396"/>
      <c r="GQ4" s="396"/>
      <c r="GR4" s="397"/>
      <c r="GS4" s="214" t="s">
        <v>1629</v>
      </c>
      <c r="GT4" s="404" t="s">
        <v>1637</v>
      </c>
      <c r="GU4" s="229" t="s">
        <v>1630</v>
      </c>
      <c r="GV4" s="404" t="s">
        <v>1636</v>
      </c>
      <c r="GW4" s="403"/>
      <c r="GX4" s="395" t="s">
        <v>1630</v>
      </c>
      <c r="GY4" s="396"/>
      <c r="GZ4" s="396"/>
      <c r="HA4" s="397"/>
      <c r="HB4" s="214" t="s">
        <v>1629</v>
      </c>
      <c r="HC4" s="398" t="s">
        <v>1637</v>
      </c>
      <c r="HD4" s="229" t="s">
        <v>1630</v>
      </c>
      <c r="HE4" s="398" t="s">
        <v>1636</v>
      </c>
      <c r="HF4" s="391"/>
      <c r="HH4" s="393" t="s">
        <v>1631</v>
      </c>
      <c r="HI4" s="395" t="s">
        <v>1630</v>
      </c>
      <c r="HJ4" s="396"/>
      <c r="HK4" s="396"/>
      <c r="HL4" s="397"/>
      <c r="HM4" s="214" t="s">
        <v>1629</v>
      </c>
      <c r="HN4" s="404" t="s">
        <v>1637</v>
      </c>
      <c r="HO4" s="229" t="s">
        <v>1630</v>
      </c>
      <c r="HP4" s="396" t="s">
        <v>1686</v>
      </c>
      <c r="HQ4" s="397"/>
      <c r="HR4" s="404" t="s">
        <v>1636</v>
      </c>
      <c r="HS4" s="403"/>
      <c r="HT4" s="395" t="s">
        <v>1630</v>
      </c>
      <c r="HU4" s="396"/>
      <c r="HV4" s="396"/>
      <c r="HW4" s="397"/>
      <c r="HX4" s="214" t="s">
        <v>1629</v>
      </c>
      <c r="HY4" s="398" t="s">
        <v>1637</v>
      </c>
      <c r="HZ4" s="229" t="s">
        <v>1630</v>
      </c>
      <c r="IA4" s="396" t="s">
        <v>1686</v>
      </c>
      <c r="IB4" s="397"/>
      <c r="IC4" s="400" t="s">
        <v>1636</v>
      </c>
      <c r="ID4" s="391"/>
      <c r="IF4" s="393" t="s">
        <v>1631</v>
      </c>
      <c r="IG4" s="395" t="s">
        <v>1630</v>
      </c>
      <c r="IH4" s="396"/>
      <c r="II4" s="396"/>
      <c r="IJ4" s="397"/>
      <c r="IK4" s="214" t="s">
        <v>1629</v>
      </c>
      <c r="IL4" s="404" t="s">
        <v>1637</v>
      </c>
      <c r="IM4" s="214" t="s">
        <v>1630</v>
      </c>
      <c r="IN4" s="396" t="s">
        <v>1686</v>
      </c>
      <c r="IO4" s="397"/>
      <c r="IP4" s="404" t="s">
        <v>1636</v>
      </c>
      <c r="IQ4" s="403"/>
      <c r="IR4" s="395" t="s">
        <v>1630</v>
      </c>
      <c r="IS4" s="396"/>
      <c r="IT4" s="396"/>
      <c r="IU4" s="397"/>
      <c r="IV4" s="214" t="s">
        <v>1629</v>
      </c>
      <c r="IW4" s="398" t="s">
        <v>1637</v>
      </c>
      <c r="IX4" s="214" t="s">
        <v>1630</v>
      </c>
      <c r="IY4" s="396" t="s">
        <v>1686</v>
      </c>
      <c r="IZ4" s="397"/>
      <c r="JA4" s="400" t="s">
        <v>1636</v>
      </c>
      <c r="JB4" s="391"/>
      <c r="JD4" s="393" t="s">
        <v>1631</v>
      </c>
      <c r="JE4" s="395" t="s">
        <v>1630</v>
      </c>
      <c r="JF4" s="396"/>
      <c r="JG4" s="396"/>
      <c r="JH4" s="397"/>
      <c r="JI4" s="214" t="s">
        <v>1629</v>
      </c>
      <c r="JJ4" s="404" t="s">
        <v>1637</v>
      </c>
      <c r="JK4" s="229" t="s">
        <v>1630</v>
      </c>
      <c r="JL4" s="395" t="s">
        <v>1629</v>
      </c>
      <c r="JM4" s="397"/>
      <c r="JN4" s="404" t="s">
        <v>1636</v>
      </c>
      <c r="JO4" s="403"/>
      <c r="JP4" s="395" t="s">
        <v>1630</v>
      </c>
      <c r="JQ4" s="396"/>
      <c r="JR4" s="396"/>
      <c r="JS4" s="397"/>
      <c r="JT4" s="214" t="s">
        <v>1629</v>
      </c>
      <c r="JU4" s="398" t="s">
        <v>1637</v>
      </c>
      <c r="JV4" s="229" t="s">
        <v>1630</v>
      </c>
      <c r="JW4" s="395" t="s">
        <v>1629</v>
      </c>
      <c r="JX4" s="397"/>
      <c r="JY4" s="400" t="s">
        <v>1636</v>
      </c>
      <c r="JZ4" s="391"/>
      <c r="KB4" s="393" t="s">
        <v>1631</v>
      </c>
      <c r="KC4" s="395" t="s">
        <v>1630</v>
      </c>
      <c r="KD4" s="396"/>
      <c r="KE4" s="396"/>
      <c r="KF4" s="397"/>
      <c r="KG4" s="214" t="s">
        <v>1629</v>
      </c>
      <c r="KH4" s="404" t="s">
        <v>1637</v>
      </c>
      <c r="KI4" s="214" t="s">
        <v>1630</v>
      </c>
      <c r="KJ4" s="396"/>
      <c r="KK4" s="397"/>
      <c r="KL4" s="404" t="s">
        <v>1636</v>
      </c>
      <c r="KM4" s="403"/>
      <c r="KN4" s="395" t="s">
        <v>1630</v>
      </c>
      <c r="KO4" s="396"/>
      <c r="KP4" s="396"/>
      <c r="KQ4" s="397"/>
      <c r="KR4" s="214" t="s">
        <v>1629</v>
      </c>
      <c r="KS4" s="398" t="s">
        <v>1637</v>
      </c>
      <c r="KT4" s="214" t="s">
        <v>1630</v>
      </c>
      <c r="KU4" s="396"/>
      <c r="KV4" s="397"/>
      <c r="KW4" s="400" t="s">
        <v>1636</v>
      </c>
      <c r="KX4" s="391"/>
      <c r="KZ4" s="393" t="s">
        <v>1631</v>
      </c>
      <c r="LA4" s="395" t="s">
        <v>1630</v>
      </c>
      <c r="LB4" s="396"/>
      <c r="LC4" s="396"/>
      <c r="LD4" s="397"/>
      <c r="LE4" s="214" t="s">
        <v>1629</v>
      </c>
      <c r="LF4" s="404" t="s">
        <v>1637</v>
      </c>
      <c r="LG4" s="229" t="s">
        <v>1630</v>
      </c>
      <c r="LH4" s="395" t="s">
        <v>1629</v>
      </c>
      <c r="LI4" s="396"/>
      <c r="LJ4" s="397"/>
      <c r="LK4" s="404" t="s">
        <v>1636</v>
      </c>
      <c r="LL4" s="403"/>
      <c r="LM4" s="395" t="s">
        <v>1630</v>
      </c>
      <c r="LN4" s="396"/>
      <c r="LO4" s="396"/>
      <c r="LP4" s="397"/>
      <c r="LQ4" s="214" t="s">
        <v>1629</v>
      </c>
      <c r="LR4" s="398" t="s">
        <v>1637</v>
      </c>
      <c r="LS4" s="229" t="s">
        <v>1630</v>
      </c>
      <c r="LT4" s="395" t="s">
        <v>1629</v>
      </c>
      <c r="LU4" s="396"/>
      <c r="LV4" s="397"/>
      <c r="LW4" s="400" t="s">
        <v>1636</v>
      </c>
      <c r="LX4" s="391"/>
      <c r="LZ4" s="393" t="s">
        <v>1631</v>
      </c>
      <c r="MA4" s="395" t="s">
        <v>1630</v>
      </c>
      <c r="MB4" s="396"/>
      <c r="MC4" s="396"/>
      <c r="MD4" s="397"/>
      <c r="ME4" s="214" t="s">
        <v>1629</v>
      </c>
      <c r="MF4" s="404" t="s">
        <v>1637</v>
      </c>
      <c r="MG4" s="229" t="s">
        <v>1630</v>
      </c>
      <c r="MH4" s="395" t="s">
        <v>1629</v>
      </c>
      <c r="MI4" s="396"/>
      <c r="MJ4" s="397"/>
      <c r="MK4" s="404" t="s">
        <v>1636</v>
      </c>
      <c r="ML4" s="403"/>
      <c r="MM4" s="395" t="s">
        <v>1630</v>
      </c>
      <c r="MN4" s="396"/>
      <c r="MO4" s="396"/>
      <c r="MP4" s="397"/>
      <c r="MQ4" s="214" t="s">
        <v>1629</v>
      </c>
      <c r="MR4" s="398" t="s">
        <v>1637</v>
      </c>
      <c r="MS4" s="229" t="s">
        <v>1630</v>
      </c>
      <c r="MT4" s="395" t="s">
        <v>1629</v>
      </c>
      <c r="MU4" s="396"/>
      <c r="MV4" s="397"/>
      <c r="MW4" s="400" t="s">
        <v>1636</v>
      </c>
      <c r="MX4" s="391"/>
      <c r="MZ4" s="393" t="s">
        <v>1631</v>
      </c>
      <c r="NA4" s="395" t="s">
        <v>1630</v>
      </c>
      <c r="NB4" s="396"/>
      <c r="NC4" s="396"/>
      <c r="ND4" s="397"/>
      <c r="NE4" s="214" t="s">
        <v>1686</v>
      </c>
      <c r="NF4" s="404" t="s">
        <v>1637</v>
      </c>
      <c r="NG4" s="229" t="s">
        <v>1630</v>
      </c>
      <c r="NH4" s="396"/>
      <c r="NI4" s="397"/>
      <c r="NJ4" s="404" t="s">
        <v>1636</v>
      </c>
      <c r="NK4" s="403"/>
      <c r="NL4" s="395" t="s">
        <v>1630</v>
      </c>
      <c r="NM4" s="396"/>
      <c r="NN4" s="396"/>
      <c r="NO4" s="397"/>
      <c r="NP4" s="214" t="s">
        <v>1686</v>
      </c>
      <c r="NQ4" s="398" t="s">
        <v>1637</v>
      </c>
      <c r="NR4" s="214" t="s">
        <v>1630</v>
      </c>
      <c r="NS4" s="396"/>
      <c r="NT4" s="397"/>
      <c r="NU4" s="400" t="s">
        <v>1636</v>
      </c>
      <c r="NV4" s="391"/>
      <c r="NX4" s="393" t="s">
        <v>1631</v>
      </c>
      <c r="NY4" s="395" t="s">
        <v>1630</v>
      </c>
      <c r="NZ4" s="396"/>
      <c r="OA4" s="396"/>
      <c r="OB4" s="397"/>
      <c r="OC4" s="214" t="s">
        <v>1686</v>
      </c>
      <c r="OD4" s="404" t="s">
        <v>1637</v>
      </c>
      <c r="OE4" s="229" t="s">
        <v>1630</v>
      </c>
      <c r="OF4" s="396"/>
      <c r="OG4" s="397"/>
      <c r="OH4" s="404" t="s">
        <v>1636</v>
      </c>
      <c r="OI4" s="403"/>
      <c r="OJ4" s="395" t="s">
        <v>1630</v>
      </c>
      <c r="OK4" s="396"/>
      <c r="OL4" s="396"/>
      <c r="OM4" s="397"/>
      <c r="ON4" s="214" t="s">
        <v>1686</v>
      </c>
      <c r="OO4" s="398" t="s">
        <v>1637</v>
      </c>
      <c r="OP4" s="214" t="s">
        <v>1630</v>
      </c>
      <c r="OQ4" s="396"/>
      <c r="OR4" s="397"/>
      <c r="OS4" s="400" t="s">
        <v>1636</v>
      </c>
      <c r="OT4" s="391"/>
      <c r="OV4" s="393" t="s">
        <v>1631</v>
      </c>
      <c r="OW4" s="395" t="s">
        <v>1630</v>
      </c>
      <c r="OX4" s="396"/>
      <c r="OY4" s="396"/>
      <c r="OZ4" s="397"/>
      <c r="PA4" s="214" t="s">
        <v>1686</v>
      </c>
      <c r="PB4" s="404" t="s">
        <v>1637</v>
      </c>
      <c r="PC4" s="229" t="s">
        <v>1630</v>
      </c>
      <c r="PD4" s="396"/>
      <c r="PE4" s="397"/>
      <c r="PF4" s="404" t="s">
        <v>1636</v>
      </c>
      <c r="PG4" s="403"/>
      <c r="PH4" s="395" t="s">
        <v>1630</v>
      </c>
      <c r="PI4" s="396"/>
      <c r="PJ4" s="396"/>
      <c r="PK4" s="397"/>
      <c r="PL4" s="214" t="s">
        <v>1686</v>
      </c>
      <c r="PM4" s="398" t="s">
        <v>1637</v>
      </c>
      <c r="PN4" s="214" t="s">
        <v>1630</v>
      </c>
      <c r="PO4" s="396"/>
      <c r="PP4" s="397"/>
      <c r="PQ4" s="400" t="s">
        <v>1636</v>
      </c>
      <c r="PR4" s="391"/>
      <c r="PT4" s="393" t="s">
        <v>1631</v>
      </c>
      <c r="PU4" s="395" t="s">
        <v>1630</v>
      </c>
      <c r="PV4" s="396"/>
      <c r="PW4" s="396"/>
      <c r="PX4" s="397"/>
      <c r="PY4" s="214" t="s">
        <v>1686</v>
      </c>
      <c r="PZ4" s="404" t="s">
        <v>1637</v>
      </c>
      <c r="QA4" s="229" t="s">
        <v>1630</v>
      </c>
      <c r="QB4" s="396"/>
      <c r="QC4" s="397"/>
      <c r="QD4" s="404" t="s">
        <v>1636</v>
      </c>
      <c r="QE4" s="403"/>
      <c r="QF4" s="395" t="s">
        <v>1630</v>
      </c>
      <c r="QG4" s="396"/>
      <c r="QH4" s="396"/>
      <c r="QI4" s="397"/>
      <c r="QJ4" s="214" t="s">
        <v>1686</v>
      </c>
      <c r="QK4" s="398" t="s">
        <v>1637</v>
      </c>
      <c r="QL4" s="214" t="s">
        <v>1630</v>
      </c>
      <c r="QM4" s="396"/>
      <c r="QN4" s="397"/>
      <c r="QO4" s="400" t="s">
        <v>1636</v>
      </c>
      <c r="QP4" s="391"/>
      <c r="QR4" s="393" t="s">
        <v>1631</v>
      </c>
      <c r="QS4" s="395" t="s">
        <v>1630</v>
      </c>
      <c r="QT4" s="396"/>
      <c r="QU4" s="396"/>
      <c r="QV4" s="397"/>
      <c r="QW4" s="214" t="s">
        <v>1686</v>
      </c>
      <c r="QX4" s="398" t="s">
        <v>1637</v>
      </c>
      <c r="QY4" s="214" t="s">
        <v>1630</v>
      </c>
      <c r="QZ4" s="396"/>
      <c r="RA4" s="397"/>
      <c r="RB4" s="400" t="s">
        <v>1636</v>
      </c>
      <c r="RC4" s="391"/>
      <c r="RE4" s="393" t="s">
        <v>1631</v>
      </c>
      <c r="RF4" s="395" t="s">
        <v>1630</v>
      </c>
      <c r="RG4" s="396"/>
      <c r="RH4" s="396"/>
      <c r="RI4" s="397"/>
      <c r="RJ4" s="214" t="s">
        <v>1686</v>
      </c>
      <c r="RK4" s="398" t="s">
        <v>1637</v>
      </c>
      <c r="RL4" s="214" t="s">
        <v>1630</v>
      </c>
      <c r="RM4" s="396"/>
      <c r="RN4" s="397"/>
      <c r="RO4" s="400" t="s">
        <v>1636</v>
      </c>
      <c r="RP4" s="391"/>
      <c r="RQ4" s="324"/>
      <c r="RR4" s="334" t="s">
        <v>1965</v>
      </c>
      <c r="RS4" s="300">
        <f>RF6</f>
        <v>195677</v>
      </c>
      <c r="RT4" s="301"/>
      <c r="RU4" s="55">
        <f>RJ6</f>
        <v>38782</v>
      </c>
      <c r="RV4" s="301"/>
      <c r="RW4" s="55">
        <f>RG6</f>
        <v>996</v>
      </c>
      <c r="RX4" s="301"/>
      <c r="RY4" s="55">
        <f>RH6</f>
        <v>527</v>
      </c>
      <c r="RZ4" s="301"/>
      <c r="SA4" s="55">
        <f>RI6</f>
        <v>623</v>
      </c>
      <c r="SB4" s="301"/>
      <c r="SC4" s="55">
        <f>RL6</f>
        <v>107987</v>
      </c>
      <c r="SD4" s="302"/>
      <c r="SE4" s="300">
        <f>RM6</f>
        <v>499</v>
      </c>
      <c r="SF4" s="301"/>
      <c r="SG4" s="55">
        <f>RN6</f>
        <v>504</v>
      </c>
      <c r="SH4" s="301"/>
      <c r="SI4" s="300">
        <f>RS4+RU4+RW4+SC4+SG4+SE4+RY4+SA4</f>
        <v>345595</v>
      </c>
      <c r="SJ4" s="301"/>
    </row>
    <row r="5" spans="2:506" ht="15" thickBot="1" x14ac:dyDescent="0.35">
      <c r="B5" s="114" t="s">
        <v>499</v>
      </c>
      <c r="C5" s="31">
        <v>1582.3440000000001</v>
      </c>
      <c r="D5" s="18">
        <v>4266.1821200000004</v>
      </c>
      <c r="E5" s="18">
        <v>0</v>
      </c>
      <c r="F5" s="18">
        <v>1085.9320499999999</v>
      </c>
      <c r="G5" s="19">
        <v>6934.4581699999999</v>
      </c>
      <c r="H5" s="28">
        <v>1582.3440000000001</v>
      </c>
      <c r="I5" s="18">
        <v>4266.1821200000004</v>
      </c>
      <c r="J5" s="18">
        <v>0</v>
      </c>
      <c r="K5" s="51">
        <v>1085.9320499999999</v>
      </c>
      <c r="L5" s="19">
        <v>6934.4581699999999</v>
      </c>
      <c r="N5" s="114" t="s">
        <v>499</v>
      </c>
      <c r="O5" s="31">
        <v>0</v>
      </c>
      <c r="P5" s="18">
        <v>4725.5742299999993</v>
      </c>
      <c r="Q5" s="18">
        <v>0</v>
      </c>
      <c r="R5" s="18">
        <v>513.58687999999995</v>
      </c>
      <c r="S5" s="18">
        <v>0</v>
      </c>
      <c r="T5" s="18">
        <v>0</v>
      </c>
      <c r="U5" s="19">
        <v>5239.1611099999991</v>
      </c>
      <c r="V5" s="28">
        <v>1582.3440000000001</v>
      </c>
      <c r="W5" s="18">
        <v>8991.7563499999997</v>
      </c>
      <c r="X5" s="18">
        <v>0</v>
      </c>
      <c r="Y5" s="51">
        <v>1599.5189300000002</v>
      </c>
      <c r="Z5" s="51">
        <v>0</v>
      </c>
      <c r="AA5" s="51">
        <v>0</v>
      </c>
      <c r="AB5" s="19">
        <v>12173.619280000001</v>
      </c>
      <c r="AC5" s="17">
        <f t="shared" ref="AC5:AC10" si="1">V5-O5-H5</f>
        <v>0</v>
      </c>
      <c r="AD5" s="114" t="s">
        <v>499</v>
      </c>
      <c r="AE5" s="31">
        <v>0</v>
      </c>
      <c r="AF5" s="18">
        <v>3333.4097400000001</v>
      </c>
      <c r="AG5" s="18">
        <v>1094.7788799999998</v>
      </c>
      <c r="AH5" s="19">
        <v>4428.1886199999999</v>
      </c>
      <c r="AI5" s="28">
        <v>1582.3440000000001</v>
      </c>
      <c r="AJ5" s="18">
        <v>12325.166090000001</v>
      </c>
      <c r="AK5" s="51">
        <v>2694.29781</v>
      </c>
      <c r="AL5" s="19">
        <v>16601.8079</v>
      </c>
      <c r="AN5" s="114" t="s">
        <v>499</v>
      </c>
      <c r="AO5" s="31">
        <v>0</v>
      </c>
      <c r="AP5" s="18">
        <v>2403.4780000000001</v>
      </c>
      <c r="AQ5" s="18">
        <v>-3.44896</v>
      </c>
      <c r="AR5" s="18">
        <v>43.669499999999999</v>
      </c>
      <c r="AS5" s="18">
        <v>504.46224000000001</v>
      </c>
      <c r="AT5" s="19">
        <v>2948.1607799999997</v>
      </c>
      <c r="AU5" s="28">
        <v>1582.3440000000001</v>
      </c>
      <c r="AV5" s="18">
        <v>14728.64409</v>
      </c>
      <c r="AW5" s="18">
        <v>-3.44896</v>
      </c>
      <c r="AX5" s="18">
        <v>43.669499999999999</v>
      </c>
      <c r="AY5" s="51">
        <v>3198.7600499999999</v>
      </c>
      <c r="AZ5" s="19">
        <v>19549.968679999998</v>
      </c>
      <c r="BA5" s="17">
        <f t="shared" ref="BA5:BA10" si="2">AU5-AO5-AI5</f>
        <v>0</v>
      </c>
      <c r="BB5" s="114" t="s">
        <v>499</v>
      </c>
      <c r="BC5" s="31">
        <v>3296.55</v>
      </c>
      <c r="BD5" s="18">
        <v>948.52909</v>
      </c>
      <c r="BE5" s="18">
        <v>0</v>
      </c>
      <c r="BF5" s="18">
        <v>0</v>
      </c>
      <c r="BG5" s="18">
        <v>1185.7356000000002</v>
      </c>
      <c r="BH5" s="19">
        <f t="shared" ref="BH5:BH10" si="3">SUM(BC5:BG5)</f>
        <v>5430.8146900000002</v>
      </c>
      <c r="BI5" s="28">
        <v>4878.8940000000002</v>
      </c>
      <c r="BJ5" s="18">
        <v>15677.17318</v>
      </c>
      <c r="BK5" s="18">
        <v>-3.44896</v>
      </c>
      <c r="BL5" s="18">
        <v>43.669499999999999</v>
      </c>
      <c r="BM5" s="51">
        <v>4384.4956500000008</v>
      </c>
      <c r="BN5" s="19">
        <f t="shared" ref="BN5:BN10" si="4">SUM(BI5:BM5)</f>
        <v>24980.783369999997</v>
      </c>
      <c r="BO5" s="17">
        <f t="shared" si="0"/>
        <v>0</v>
      </c>
      <c r="BP5" s="394"/>
      <c r="BQ5" s="215" t="s">
        <v>1641</v>
      </c>
      <c r="BR5" s="215" t="s">
        <v>1642</v>
      </c>
      <c r="BS5" s="215" t="s">
        <v>1643</v>
      </c>
      <c r="BT5" s="228" t="s">
        <v>966</v>
      </c>
      <c r="BU5" s="405"/>
      <c r="BV5" s="230" t="s">
        <v>1638</v>
      </c>
      <c r="BW5" s="405"/>
      <c r="BX5" s="403"/>
      <c r="BY5" s="215" t="s">
        <v>1641</v>
      </c>
      <c r="BZ5" s="215" t="s">
        <v>1644</v>
      </c>
      <c r="CA5" s="228" t="s">
        <v>1643</v>
      </c>
      <c r="CB5" s="215" t="s">
        <v>966</v>
      </c>
      <c r="CC5" s="399"/>
      <c r="CD5" s="230" t="s">
        <v>1638</v>
      </c>
      <c r="CE5" s="399"/>
      <c r="CF5" s="392"/>
      <c r="CG5" s="17"/>
      <c r="CH5" s="394"/>
      <c r="CI5" s="215" t="s">
        <v>1641</v>
      </c>
      <c r="CJ5" s="215" t="s">
        <v>1642</v>
      </c>
      <c r="CK5" s="215" t="s">
        <v>1643</v>
      </c>
      <c r="CL5" s="228" t="s">
        <v>966</v>
      </c>
      <c r="CM5" s="399"/>
      <c r="CN5" s="230" t="s">
        <v>1638</v>
      </c>
      <c r="CO5" s="399"/>
      <c r="CP5" s="392"/>
      <c r="CQ5" s="215" t="s">
        <v>1641</v>
      </c>
      <c r="CR5" s="215" t="s">
        <v>1644</v>
      </c>
      <c r="CS5" s="228" t="s">
        <v>1643</v>
      </c>
      <c r="CT5" s="215" t="s">
        <v>966</v>
      </c>
      <c r="CU5" s="399"/>
      <c r="CV5" s="230" t="s">
        <v>1638</v>
      </c>
      <c r="CW5" s="399"/>
      <c r="CX5" s="392"/>
      <c r="CZ5" s="394"/>
      <c r="DA5" s="215" t="s">
        <v>1641</v>
      </c>
      <c r="DB5" s="215" t="s">
        <v>1642</v>
      </c>
      <c r="DC5" s="215" t="s">
        <v>1643</v>
      </c>
      <c r="DD5" s="228" t="s">
        <v>966</v>
      </c>
      <c r="DE5" s="405"/>
      <c r="DF5" s="230" t="s">
        <v>1638</v>
      </c>
      <c r="DG5" s="405"/>
      <c r="DH5" s="403"/>
      <c r="DI5" s="215" t="s">
        <v>1641</v>
      </c>
      <c r="DJ5" s="215" t="s">
        <v>1644</v>
      </c>
      <c r="DK5" s="228" t="s">
        <v>1643</v>
      </c>
      <c r="DL5" s="215" t="s">
        <v>966</v>
      </c>
      <c r="DM5" s="399"/>
      <c r="DN5" s="230" t="s">
        <v>1638</v>
      </c>
      <c r="DO5" s="399"/>
      <c r="DP5" s="392"/>
      <c r="DR5" s="394"/>
      <c r="DS5" s="215" t="s">
        <v>1641</v>
      </c>
      <c r="DT5" s="215" t="s">
        <v>1642</v>
      </c>
      <c r="DU5" s="228" t="s">
        <v>1643</v>
      </c>
      <c r="DV5" s="215" t="s">
        <v>966</v>
      </c>
      <c r="DW5" s="405"/>
      <c r="DX5" s="230" t="s">
        <v>1638</v>
      </c>
      <c r="DY5" s="405"/>
      <c r="DZ5" s="403"/>
      <c r="EA5" s="215" t="s">
        <v>1641</v>
      </c>
      <c r="EB5" s="215" t="s">
        <v>1644</v>
      </c>
      <c r="EC5" s="228" t="s">
        <v>1643</v>
      </c>
      <c r="ED5" s="215" t="s">
        <v>966</v>
      </c>
      <c r="EE5" s="399"/>
      <c r="EF5" s="230" t="s">
        <v>1638</v>
      </c>
      <c r="EG5" s="399"/>
      <c r="EH5" s="392"/>
      <c r="EJ5" s="394"/>
      <c r="EK5" s="215" t="s">
        <v>1641</v>
      </c>
      <c r="EL5" s="215" t="s">
        <v>1642</v>
      </c>
      <c r="EM5" s="228" t="s">
        <v>1643</v>
      </c>
      <c r="EN5" s="215" t="s">
        <v>966</v>
      </c>
      <c r="EO5" s="405"/>
      <c r="EP5" s="230" t="s">
        <v>1638</v>
      </c>
      <c r="EQ5" s="405"/>
      <c r="ER5" s="403"/>
      <c r="ES5" s="215" t="s">
        <v>1641</v>
      </c>
      <c r="ET5" s="215" t="s">
        <v>1644</v>
      </c>
      <c r="EU5" s="228" t="s">
        <v>1643</v>
      </c>
      <c r="EV5" s="215" t="s">
        <v>966</v>
      </c>
      <c r="EW5" s="399"/>
      <c r="EX5" s="230" t="s">
        <v>1638</v>
      </c>
      <c r="EY5" s="399"/>
      <c r="EZ5" s="392"/>
      <c r="FB5" s="394"/>
      <c r="FC5" s="215" t="s">
        <v>1641</v>
      </c>
      <c r="FD5" s="215" t="s">
        <v>1642</v>
      </c>
      <c r="FE5" s="228" t="s">
        <v>1643</v>
      </c>
      <c r="FF5" s="215" t="s">
        <v>966</v>
      </c>
      <c r="FG5" s="405"/>
      <c r="FH5" s="230" t="s">
        <v>1638</v>
      </c>
      <c r="FI5" s="405"/>
      <c r="FJ5" s="403"/>
      <c r="FK5" s="215" t="s">
        <v>1641</v>
      </c>
      <c r="FL5" s="215" t="s">
        <v>1644</v>
      </c>
      <c r="FM5" s="228" t="s">
        <v>1643</v>
      </c>
      <c r="FN5" s="215" t="s">
        <v>966</v>
      </c>
      <c r="FO5" s="399"/>
      <c r="FP5" s="230" t="s">
        <v>1638</v>
      </c>
      <c r="FQ5" s="399"/>
      <c r="FR5" s="392"/>
      <c r="FT5" s="394"/>
      <c r="FU5" s="215" t="s">
        <v>1641</v>
      </c>
      <c r="FV5" s="215" t="s">
        <v>1642</v>
      </c>
      <c r="FW5" s="228" t="s">
        <v>1643</v>
      </c>
      <c r="FX5" s="215" t="s">
        <v>786</v>
      </c>
      <c r="FY5" s="215" t="s">
        <v>966</v>
      </c>
      <c r="FZ5" s="405"/>
      <c r="GA5" s="230" t="s">
        <v>1638</v>
      </c>
      <c r="GB5" s="405"/>
      <c r="GC5" s="403"/>
      <c r="GD5" s="215" t="s">
        <v>1641</v>
      </c>
      <c r="GE5" s="215" t="s">
        <v>1644</v>
      </c>
      <c r="GF5" s="215" t="s">
        <v>1643</v>
      </c>
      <c r="GG5" s="215" t="s">
        <v>786</v>
      </c>
      <c r="GH5" s="215" t="s">
        <v>966</v>
      </c>
      <c r="GI5" s="399"/>
      <c r="GJ5" s="230" t="s">
        <v>1638</v>
      </c>
      <c r="GK5" s="399"/>
      <c r="GL5" s="392"/>
      <c r="GN5" s="394"/>
      <c r="GO5" s="215" t="s">
        <v>1641</v>
      </c>
      <c r="GP5" s="215" t="s">
        <v>1642</v>
      </c>
      <c r="GQ5" s="228" t="s">
        <v>1643</v>
      </c>
      <c r="GR5" s="215" t="s">
        <v>786</v>
      </c>
      <c r="GS5" s="215" t="s">
        <v>966</v>
      </c>
      <c r="GT5" s="405"/>
      <c r="GU5" s="230" t="s">
        <v>1638</v>
      </c>
      <c r="GV5" s="405"/>
      <c r="GW5" s="403"/>
      <c r="GX5" s="215" t="s">
        <v>1641</v>
      </c>
      <c r="GY5" s="215" t="s">
        <v>1644</v>
      </c>
      <c r="GZ5" s="215" t="s">
        <v>1643</v>
      </c>
      <c r="HA5" s="215" t="s">
        <v>786</v>
      </c>
      <c r="HB5" s="215" t="s">
        <v>966</v>
      </c>
      <c r="HC5" s="399"/>
      <c r="HD5" s="230" t="s">
        <v>1638</v>
      </c>
      <c r="HE5" s="399"/>
      <c r="HF5" s="392"/>
      <c r="HH5" s="394"/>
      <c r="HI5" s="215" t="s">
        <v>1641</v>
      </c>
      <c r="HJ5" s="215" t="s">
        <v>1642</v>
      </c>
      <c r="HK5" s="228" t="s">
        <v>1643</v>
      </c>
      <c r="HL5" s="215" t="s">
        <v>786</v>
      </c>
      <c r="HM5" s="215" t="s">
        <v>966</v>
      </c>
      <c r="HN5" s="405"/>
      <c r="HO5" s="230" t="s">
        <v>1638</v>
      </c>
      <c r="HP5" s="228" t="s">
        <v>1640</v>
      </c>
      <c r="HQ5" s="228" t="s">
        <v>1685</v>
      </c>
      <c r="HR5" s="405"/>
      <c r="HS5" s="403"/>
      <c r="HT5" s="215" t="s">
        <v>1641</v>
      </c>
      <c r="HU5" s="215" t="s">
        <v>1644</v>
      </c>
      <c r="HV5" s="215" t="s">
        <v>1643</v>
      </c>
      <c r="HW5" s="215" t="s">
        <v>786</v>
      </c>
      <c r="HX5" s="215" t="s">
        <v>966</v>
      </c>
      <c r="HY5" s="399"/>
      <c r="HZ5" s="230" t="s">
        <v>1638</v>
      </c>
      <c r="IA5" s="215" t="s">
        <v>1640</v>
      </c>
      <c r="IB5" s="215" t="s">
        <v>1685</v>
      </c>
      <c r="IC5" s="401"/>
      <c r="ID5" s="392"/>
      <c r="IF5" s="394"/>
      <c r="IG5" s="215" t="s">
        <v>1641</v>
      </c>
      <c r="IH5" s="215" t="s">
        <v>1642</v>
      </c>
      <c r="II5" s="228" t="s">
        <v>1643</v>
      </c>
      <c r="IJ5" s="215" t="s">
        <v>786</v>
      </c>
      <c r="IK5" s="215" t="s">
        <v>966</v>
      </c>
      <c r="IL5" s="405"/>
      <c r="IM5" s="215" t="s">
        <v>1638</v>
      </c>
      <c r="IN5" s="251" t="s">
        <v>1640</v>
      </c>
      <c r="IO5" s="228" t="s">
        <v>1685</v>
      </c>
      <c r="IP5" s="405"/>
      <c r="IQ5" s="403"/>
      <c r="IR5" s="215" t="s">
        <v>1641</v>
      </c>
      <c r="IS5" s="215" t="s">
        <v>1644</v>
      </c>
      <c r="IT5" s="215" t="s">
        <v>1643</v>
      </c>
      <c r="IU5" s="215" t="s">
        <v>786</v>
      </c>
      <c r="IV5" s="215" t="s">
        <v>966</v>
      </c>
      <c r="IW5" s="399"/>
      <c r="IX5" s="215" t="s">
        <v>1638</v>
      </c>
      <c r="IY5" s="230" t="s">
        <v>1640</v>
      </c>
      <c r="IZ5" s="215" t="s">
        <v>1685</v>
      </c>
      <c r="JA5" s="401"/>
      <c r="JB5" s="392"/>
      <c r="JD5" s="394"/>
      <c r="JE5" s="215" t="s">
        <v>1641</v>
      </c>
      <c r="JF5" s="215" t="s">
        <v>1642</v>
      </c>
      <c r="JG5" s="228" t="s">
        <v>1643</v>
      </c>
      <c r="JH5" s="215" t="s">
        <v>786</v>
      </c>
      <c r="JI5" s="215" t="s">
        <v>966</v>
      </c>
      <c r="JJ5" s="405"/>
      <c r="JK5" s="230" t="s">
        <v>1638</v>
      </c>
      <c r="JL5" s="228" t="s">
        <v>1640</v>
      </c>
      <c r="JM5" s="228" t="s">
        <v>1685</v>
      </c>
      <c r="JN5" s="405"/>
      <c r="JO5" s="403"/>
      <c r="JP5" s="215" t="s">
        <v>1641</v>
      </c>
      <c r="JQ5" s="215" t="s">
        <v>1644</v>
      </c>
      <c r="JR5" s="215" t="s">
        <v>1643</v>
      </c>
      <c r="JS5" s="215" t="s">
        <v>786</v>
      </c>
      <c r="JT5" s="215" t="s">
        <v>966</v>
      </c>
      <c r="JU5" s="399"/>
      <c r="JV5" s="230" t="s">
        <v>1638</v>
      </c>
      <c r="JW5" s="215" t="s">
        <v>1640</v>
      </c>
      <c r="JX5" s="215" t="s">
        <v>1685</v>
      </c>
      <c r="JY5" s="401"/>
      <c r="JZ5" s="392"/>
      <c r="KB5" s="394"/>
      <c r="KC5" s="215" t="s">
        <v>1641</v>
      </c>
      <c r="KD5" s="215" t="s">
        <v>1642</v>
      </c>
      <c r="KE5" s="228" t="s">
        <v>1643</v>
      </c>
      <c r="KF5" s="215" t="s">
        <v>786</v>
      </c>
      <c r="KG5" s="215" t="s">
        <v>966</v>
      </c>
      <c r="KH5" s="405"/>
      <c r="KI5" s="215" t="s">
        <v>1638</v>
      </c>
      <c r="KJ5" s="251" t="s">
        <v>1640</v>
      </c>
      <c r="KK5" s="228" t="s">
        <v>1685</v>
      </c>
      <c r="KL5" s="405"/>
      <c r="KM5" s="403"/>
      <c r="KN5" s="215" t="s">
        <v>1641</v>
      </c>
      <c r="KO5" s="215" t="s">
        <v>1644</v>
      </c>
      <c r="KP5" s="215" t="s">
        <v>1643</v>
      </c>
      <c r="KQ5" s="215" t="s">
        <v>786</v>
      </c>
      <c r="KR5" s="215" t="s">
        <v>966</v>
      </c>
      <c r="KS5" s="399"/>
      <c r="KT5" s="215" t="s">
        <v>1638</v>
      </c>
      <c r="KU5" s="230" t="s">
        <v>1640</v>
      </c>
      <c r="KV5" s="215" t="s">
        <v>1685</v>
      </c>
      <c r="KW5" s="401"/>
      <c r="KX5" s="392"/>
      <c r="KZ5" s="394"/>
      <c r="LA5" s="215" t="s">
        <v>1641</v>
      </c>
      <c r="LB5" s="215" t="s">
        <v>1642</v>
      </c>
      <c r="LC5" s="228" t="s">
        <v>1643</v>
      </c>
      <c r="LD5" s="215" t="s">
        <v>786</v>
      </c>
      <c r="LE5" s="215" t="s">
        <v>966</v>
      </c>
      <c r="LF5" s="405"/>
      <c r="LG5" s="230" t="s">
        <v>1638</v>
      </c>
      <c r="LH5" s="215" t="s">
        <v>1639</v>
      </c>
      <c r="LI5" s="228" t="s">
        <v>1640</v>
      </c>
      <c r="LJ5" s="228" t="s">
        <v>1685</v>
      </c>
      <c r="LK5" s="405"/>
      <c r="LL5" s="403"/>
      <c r="LM5" s="215" t="s">
        <v>1641</v>
      </c>
      <c r="LN5" s="215" t="s">
        <v>1644</v>
      </c>
      <c r="LO5" s="215" t="s">
        <v>1643</v>
      </c>
      <c r="LP5" s="215" t="s">
        <v>786</v>
      </c>
      <c r="LQ5" s="215" t="s">
        <v>966</v>
      </c>
      <c r="LR5" s="399"/>
      <c r="LS5" s="230" t="s">
        <v>1638</v>
      </c>
      <c r="LT5" s="215" t="s">
        <v>1639</v>
      </c>
      <c r="LU5" s="215" t="s">
        <v>1640</v>
      </c>
      <c r="LV5" s="215" t="s">
        <v>1685</v>
      </c>
      <c r="LW5" s="401"/>
      <c r="LX5" s="392"/>
      <c r="LZ5" s="394"/>
      <c r="MA5" s="215" t="s">
        <v>1641</v>
      </c>
      <c r="MB5" s="215" t="s">
        <v>1642</v>
      </c>
      <c r="MC5" s="228" t="s">
        <v>1643</v>
      </c>
      <c r="MD5" s="215" t="s">
        <v>786</v>
      </c>
      <c r="ME5" s="215" t="s">
        <v>966</v>
      </c>
      <c r="MF5" s="405"/>
      <c r="MG5" s="230" t="s">
        <v>1638</v>
      </c>
      <c r="MH5" s="215" t="s">
        <v>1639</v>
      </c>
      <c r="MI5" s="228" t="s">
        <v>1640</v>
      </c>
      <c r="MJ5" s="228" t="s">
        <v>1685</v>
      </c>
      <c r="MK5" s="405"/>
      <c r="ML5" s="403"/>
      <c r="MM5" s="215" t="s">
        <v>1641</v>
      </c>
      <c r="MN5" s="215" t="s">
        <v>1644</v>
      </c>
      <c r="MO5" s="215" t="s">
        <v>1643</v>
      </c>
      <c r="MP5" s="215" t="s">
        <v>786</v>
      </c>
      <c r="MQ5" s="215" t="s">
        <v>966</v>
      </c>
      <c r="MR5" s="399"/>
      <c r="MS5" s="230" t="s">
        <v>1638</v>
      </c>
      <c r="MT5" s="215" t="s">
        <v>1639</v>
      </c>
      <c r="MU5" s="215" t="s">
        <v>1640</v>
      </c>
      <c r="MV5" s="215" t="s">
        <v>1685</v>
      </c>
      <c r="MW5" s="401"/>
      <c r="MX5" s="392"/>
      <c r="MZ5" s="394"/>
      <c r="NA5" s="215" t="s">
        <v>1641</v>
      </c>
      <c r="NB5" s="215" t="s">
        <v>1642</v>
      </c>
      <c r="NC5" s="228" t="s">
        <v>1643</v>
      </c>
      <c r="ND5" s="215" t="s">
        <v>786</v>
      </c>
      <c r="NE5" s="215" t="s">
        <v>966</v>
      </c>
      <c r="NF5" s="405"/>
      <c r="NG5" s="230" t="s">
        <v>1638</v>
      </c>
      <c r="NH5" s="228" t="s">
        <v>1640</v>
      </c>
      <c r="NI5" s="228" t="s">
        <v>1685</v>
      </c>
      <c r="NJ5" s="405"/>
      <c r="NK5" s="403"/>
      <c r="NL5" s="215" t="s">
        <v>1641</v>
      </c>
      <c r="NM5" s="215" t="s">
        <v>1644</v>
      </c>
      <c r="NN5" s="215" t="s">
        <v>1643</v>
      </c>
      <c r="NO5" s="215" t="s">
        <v>786</v>
      </c>
      <c r="NP5" s="215" t="s">
        <v>966</v>
      </c>
      <c r="NQ5" s="399"/>
      <c r="NR5" s="215" t="s">
        <v>1638</v>
      </c>
      <c r="NS5" s="215" t="s">
        <v>1640</v>
      </c>
      <c r="NT5" s="215" t="s">
        <v>1685</v>
      </c>
      <c r="NU5" s="401"/>
      <c r="NV5" s="392"/>
      <c r="NX5" s="394"/>
      <c r="NY5" s="215" t="s">
        <v>1641</v>
      </c>
      <c r="NZ5" s="215" t="s">
        <v>1642</v>
      </c>
      <c r="OA5" s="228" t="s">
        <v>1643</v>
      </c>
      <c r="OB5" s="215" t="s">
        <v>786</v>
      </c>
      <c r="OC5" s="215" t="s">
        <v>966</v>
      </c>
      <c r="OD5" s="405"/>
      <c r="OE5" s="230" t="s">
        <v>1638</v>
      </c>
      <c r="OF5" s="228" t="s">
        <v>1640</v>
      </c>
      <c r="OG5" s="228" t="s">
        <v>1685</v>
      </c>
      <c r="OH5" s="405"/>
      <c r="OI5" s="403"/>
      <c r="OJ5" s="215" t="s">
        <v>1641</v>
      </c>
      <c r="OK5" s="215" t="s">
        <v>1644</v>
      </c>
      <c r="OL5" s="215" t="s">
        <v>1643</v>
      </c>
      <c r="OM5" s="215" t="s">
        <v>786</v>
      </c>
      <c r="ON5" s="215" t="s">
        <v>966</v>
      </c>
      <c r="OO5" s="399"/>
      <c r="OP5" s="215" t="s">
        <v>1638</v>
      </c>
      <c r="OQ5" s="215" t="s">
        <v>1640</v>
      </c>
      <c r="OR5" s="215" t="s">
        <v>1685</v>
      </c>
      <c r="OS5" s="401"/>
      <c r="OT5" s="392"/>
      <c r="OV5" s="394"/>
      <c r="OW5" s="215" t="s">
        <v>1641</v>
      </c>
      <c r="OX5" s="215" t="s">
        <v>1642</v>
      </c>
      <c r="OY5" s="228" t="s">
        <v>1643</v>
      </c>
      <c r="OZ5" s="215" t="s">
        <v>786</v>
      </c>
      <c r="PA5" s="215" t="s">
        <v>966</v>
      </c>
      <c r="PB5" s="405"/>
      <c r="PC5" s="230" t="s">
        <v>1638</v>
      </c>
      <c r="PD5" s="228" t="s">
        <v>1640</v>
      </c>
      <c r="PE5" s="228" t="s">
        <v>1685</v>
      </c>
      <c r="PF5" s="405"/>
      <c r="PG5" s="403"/>
      <c r="PH5" s="215" t="s">
        <v>1641</v>
      </c>
      <c r="PI5" s="215" t="s">
        <v>1644</v>
      </c>
      <c r="PJ5" s="215" t="s">
        <v>1643</v>
      </c>
      <c r="PK5" s="215" t="s">
        <v>786</v>
      </c>
      <c r="PL5" s="215" t="s">
        <v>966</v>
      </c>
      <c r="PM5" s="399"/>
      <c r="PN5" s="215" t="s">
        <v>1638</v>
      </c>
      <c r="PO5" s="215" t="s">
        <v>1640</v>
      </c>
      <c r="PP5" s="215" t="s">
        <v>1685</v>
      </c>
      <c r="PQ5" s="401"/>
      <c r="PR5" s="392"/>
      <c r="PT5" s="394"/>
      <c r="PU5" s="215" t="s">
        <v>1641</v>
      </c>
      <c r="PV5" s="215" t="s">
        <v>1642</v>
      </c>
      <c r="PW5" s="228" t="s">
        <v>1643</v>
      </c>
      <c r="PX5" s="215" t="s">
        <v>786</v>
      </c>
      <c r="PY5" s="215" t="s">
        <v>966</v>
      </c>
      <c r="PZ5" s="405"/>
      <c r="QA5" s="230" t="s">
        <v>1638</v>
      </c>
      <c r="QB5" s="228" t="s">
        <v>1640</v>
      </c>
      <c r="QC5" s="228" t="s">
        <v>1685</v>
      </c>
      <c r="QD5" s="405"/>
      <c r="QE5" s="403"/>
      <c r="QF5" s="215" t="s">
        <v>1641</v>
      </c>
      <c r="QG5" s="215" t="s">
        <v>1644</v>
      </c>
      <c r="QH5" s="215" t="s">
        <v>1643</v>
      </c>
      <c r="QI5" s="215" t="s">
        <v>786</v>
      </c>
      <c r="QJ5" s="215" t="s">
        <v>966</v>
      </c>
      <c r="QK5" s="399"/>
      <c r="QL5" s="215" t="s">
        <v>1638</v>
      </c>
      <c r="QM5" s="215" t="s">
        <v>1640</v>
      </c>
      <c r="QN5" s="215" t="s">
        <v>1685</v>
      </c>
      <c r="QO5" s="401"/>
      <c r="QP5" s="392"/>
      <c r="QR5" s="394"/>
      <c r="QS5" s="215" t="s">
        <v>1641</v>
      </c>
      <c r="QT5" s="215" t="s">
        <v>1644</v>
      </c>
      <c r="QU5" s="215" t="s">
        <v>1643</v>
      </c>
      <c r="QV5" s="215" t="s">
        <v>786</v>
      </c>
      <c r="QW5" s="215" t="s">
        <v>966</v>
      </c>
      <c r="QX5" s="399"/>
      <c r="QY5" s="215" t="s">
        <v>1638</v>
      </c>
      <c r="QZ5" s="215" t="s">
        <v>1640</v>
      </c>
      <c r="RA5" s="215" t="s">
        <v>1685</v>
      </c>
      <c r="RB5" s="401"/>
      <c r="RC5" s="392"/>
      <c r="RE5" s="394"/>
      <c r="RF5" s="215" t="s">
        <v>1641</v>
      </c>
      <c r="RG5" s="215" t="s">
        <v>1644</v>
      </c>
      <c r="RH5" s="215" t="s">
        <v>1643</v>
      </c>
      <c r="RI5" s="215" t="s">
        <v>786</v>
      </c>
      <c r="RJ5" s="215" t="s">
        <v>966</v>
      </c>
      <c r="RK5" s="399"/>
      <c r="RL5" s="215" t="s">
        <v>1638</v>
      </c>
      <c r="RM5" s="215" t="s">
        <v>1640</v>
      </c>
      <c r="RN5" s="215" t="s">
        <v>1685</v>
      </c>
      <c r="RO5" s="401"/>
      <c r="RP5" s="392"/>
      <c r="RQ5" s="324"/>
      <c r="RR5" s="335" t="s">
        <v>457</v>
      </c>
      <c r="RS5" s="303">
        <f>RF7</f>
        <v>71330568.280000031</v>
      </c>
      <c r="RT5" s="304"/>
      <c r="RU5" s="317">
        <f>RJ7</f>
        <v>25557935.420000002</v>
      </c>
      <c r="RV5" s="304"/>
      <c r="RW5" s="317">
        <f>RG7</f>
        <v>348111.73999999993</v>
      </c>
      <c r="RX5" s="304"/>
      <c r="RY5" s="317">
        <f>RH7</f>
        <v>219179.3</v>
      </c>
      <c r="RZ5" s="304"/>
      <c r="SA5" s="317">
        <f>RI7</f>
        <v>342693.95999999996</v>
      </c>
      <c r="SB5" s="304"/>
      <c r="SC5" s="317">
        <f>RL7</f>
        <v>17486298.420000002</v>
      </c>
      <c r="SD5" s="305"/>
      <c r="SE5" s="303">
        <f>RM7</f>
        <v>310149.59999999998</v>
      </c>
      <c r="SF5" s="304"/>
      <c r="SG5" s="317">
        <f>RN7</f>
        <v>82353.600000000006</v>
      </c>
      <c r="SH5" s="304"/>
      <c r="SI5" s="303">
        <f>RS5+RU5+RW5+SC5+SG5+SE5+RY5+SA5</f>
        <v>115677290.32000001</v>
      </c>
      <c r="SJ5" s="304"/>
    </row>
    <row r="6" spans="2:506" x14ac:dyDescent="0.3">
      <c r="B6" s="115" t="s">
        <v>539</v>
      </c>
      <c r="C6" s="32">
        <v>1107.864</v>
      </c>
      <c r="D6" s="21">
        <v>3943.517679999999</v>
      </c>
      <c r="E6" s="21">
        <v>0</v>
      </c>
      <c r="F6" s="21">
        <v>1001.8767499999999</v>
      </c>
      <c r="G6" s="23">
        <v>6053.258429999998</v>
      </c>
      <c r="H6" s="29">
        <v>1107.864</v>
      </c>
      <c r="I6" s="21">
        <v>3943.517679999999</v>
      </c>
      <c r="J6" s="21">
        <v>0</v>
      </c>
      <c r="K6" s="52">
        <v>1001.8767499999999</v>
      </c>
      <c r="L6" s="23">
        <v>6053.258429999998</v>
      </c>
      <c r="N6" s="115" t="s">
        <v>539</v>
      </c>
      <c r="O6" s="32">
        <v>0</v>
      </c>
      <c r="P6" s="21">
        <v>4339.9060199999994</v>
      </c>
      <c r="Q6" s="21">
        <v>0</v>
      </c>
      <c r="R6" s="21">
        <v>465.45583999999997</v>
      </c>
      <c r="S6" s="21">
        <v>0</v>
      </c>
      <c r="T6" s="21">
        <v>0</v>
      </c>
      <c r="U6" s="23">
        <v>4805.3618599999991</v>
      </c>
      <c r="V6" s="29">
        <v>1107.864</v>
      </c>
      <c r="W6" s="21">
        <v>8283.4236999999976</v>
      </c>
      <c r="X6" s="21">
        <v>0</v>
      </c>
      <c r="Y6" s="52">
        <v>1467.3325899999998</v>
      </c>
      <c r="Z6" s="52">
        <v>0</v>
      </c>
      <c r="AA6" s="52">
        <v>0</v>
      </c>
      <c r="AB6" s="23">
        <v>10858.620289999997</v>
      </c>
      <c r="AC6" s="17">
        <f t="shared" si="1"/>
        <v>0</v>
      </c>
      <c r="AD6" s="115" t="s">
        <v>539</v>
      </c>
      <c r="AE6" s="32">
        <v>0</v>
      </c>
      <c r="AF6" s="21">
        <v>3081.5844699999998</v>
      </c>
      <c r="AG6" s="21">
        <v>1000.0827599999999</v>
      </c>
      <c r="AH6" s="23">
        <v>4081.6672299999996</v>
      </c>
      <c r="AI6" s="29">
        <v>1107.864</v>
      </c>
      <c r="AJ6" s="21">
        <v>11365.008169999997</v>
      </c>
      <c r="AK6" s="52">
        <v>2467.4153500000002</v>
      </c>
      <c r="AL6" s="23">
        <v>14940.287519999998</v>
      </c>
      <c r="AN6" s="115" t="s">
        <v>539</v>
      </c>
      <c r="AO6" s="32">
        <v>0</v>
      </c>
      <c r="AP6" s="21">
        <v>2183.6359999999991</v>
      </c>
      <c r="AQ6" s="21">
        <v>-2.7891199999999987</v>
      </c>
      <c r="AR6" s="21">
        <v>47.743499999999997</v>
      </c>
      <c r="AS6" s="21">
        <v>457.18631999999991</v>
      </c>
      <c r="AT6" s="23">
        <v>2685.776699999999</v>
      </c>
      <c r="AU6" s="29">
        <v>1107.864</v>
      </c>
      <c r="AV6" s="21">
        <v>13548.644169999996</v>
      </c>
      <c r="AW6" s="21">
        <v>-2.7891199999999987</v>
      </c>
      <c r="AX6" s="21">
        <v>47.743499999999997</v>
      </c>
      <c r="AY6" s="52">
        <v>2924.6016699999996</v>
      </c>
      <c r="AZ6" s="23">
        <v>17626.064219999997</v>
      </c>
      <c r="BA6" s="17">
        <f t="shared" si="2"/>
        <v>0</v>
      </c>
      <c r="BB6" s="115" t="s">
        <v>539</v>
      </c>
      <c r="BC6" s="32">
        <v>2308.0500000000002</v>
      </c>
      <c r="BD6" s="21">
        <v>829.14829999999972</v>
      </c>
      <c r="BE6" s="21">
        <v>0</v>
      </c>
      <c r="BF6" s="21">
        <v>0</v>
      </c>
      <c r="BG6" s="21">
        <v>1078.6101899999996</v>
      </c>
      <c r="BH6" s="23">
        <f t="shared" si="3"/>
        <v>4215.8084899999994</v>
      </c>
      <c r="BI6" s="29">
        <v>3415.9140000000002</v>
      </c>
      <c r="BJ6" s="21">
        <v>14377.792469999997</v>
      </c>
      <c r="BK6" s="21">
        <v>-2.7891199999999987</v>
      </c>
      <c r="BL6" s="21">
        <v>47.743499999999997</v>
      </c>
      <c r="BM6" s="52">
        <v>4003.211859999999</v>
      </c>
      <c r="BN6" s="23">
        <f t="shared" si="4"/>
        <v>21841.872709999996</v>
      </c>
      <c r="BO6" s="17">
        <f t="shared" si="0"/>
        <v>0</v>
      </c>
      <c r="BP6" s="113" t="s">
        <v>1656</v>
      </c>
      <c r="BQ6" s="196">
        <v>1429</v>
      </c>
      <c r="BR6" s="195">
        <v>0</v>
      </c>
      <c r="BS6" s="195">
        <v>175</v>
      </c>
      <c r="BT6" s="199">
        <v>2300</v>
      </c>
      <c r="BU6" s="216">
        <v>3904</v>
      </c>
      <c r="BV6" s="198">
        <v>3848</v>
      </c>
      <c r="BW6" s="226">
        <v>3848</v>
      </c>
      <c r="BX6" s="210">
        <v>7752</v>
      </c>
      <c r="BY6" s="198">
        <v>40067</v>
      </c>
      <c r="BZ6" s="198">
        <v>-4</v>
      </c>
      <c r="CA6" s="197">
        <v>280</v>
      </c>
      <c r="CB6" s="196">
        <v>9700</v>
      </c>
      <c r="CC6" s="216">
        <v>50043</v>
      </c>
      <c r="CD6" s="198">
        <v>29346</v>
      </c>
      <c r="CE6" s="222">
        <v>29346</v>
      </c>
      <c r="CF6" s="226">
        <v>79389</v>
      </c>
      <c r="CG6" s="17"/>
      <c r="CH6" s="113" t="s">
        <v>1656</v>
      </c>
      <c r="CI6" s="196">
        <v>2756</v>
      </c>
      <c r="CJ6" s="195">
        <v>0</v>
      </c>
      <c r="CK6" s="195">
        <v>0</v>
      </c>
      <c r="CL6" s="199">
        <v>0</v>
      </c>
      <c r="CM6" s="216">
        <v>2756</v>
      </c>
      <c r="CN6" s="198">
        <v>3200</v>
      </c>
      <c r="CO6" s="226">
        <v>3200</v>
      </c>
      <c r="CP6" s="210">
        <v>5956</v>
      </c>
      <c r="CQ6" s="198">
        <v>42823</v>
      </c>
      <c r="CR6" s="198">
        <v>-4</v>
      </c>
      <c r="CS6" s="197">
        <v>280</v>
      </c>
      <c r="CT6" s="196">
        <v>9700</v>
      </c>
      <c r="CU6" s="216">
        <v>52799</v>
      </c>
      <c r="CV6" s="198">
        <v>32546</v>
      </c>
      <c r="CW6" s="222">
        <v>32546</v>
      </c>
      <c r="CX6" s="226">
        <v>85345</v>
      </c>
      <c r="CZ6" s="113" t="s">
        <v>1656</v>
      </c>
      <c r="DA6" s="196">
        <v>7773</v>
      </c>
      <c r="DB6" s="195">
        <v>0</v>
      </c>
      <c r="DC6" s="195">
        <v>0</v>
      </c>
      <c r="DD6" s="199">
        <v>4000</v>
      </c>
      <c r="DE6" s="216">
        <v>11773</v>
      </c>
      <c r="DF6" s="198">
        <v>3656</v>
      </c>
      <c r="DG6" s="226">
        <v>3656</v>
      </c>
      <c r="DH6" s="210">
        <v>15429</v>
      </c>
      <c r="DI6" s="198">
        <v>50596</v>
      </c>
      <c r="DJ6" s="198">
        <v>-4</v>
      </c>
      <c r="DK6" s="197">
        <v>280</v>
      </c>
      <c r="DL6" s="196">
        <v>13700</v>
      </c>
      <c r="DM6" s="216">
        <v>64572</v>
      </c>
      <c r="DN6" s="198">
        <v>36202</v>
      </c>
      <c r="DO6" s="222">
        <v>36202</v>
      </c>
      <c r="DP6" s="226">
        <v>100774</v>
      </c>
      <c r="DQ6" s="17"/>
      <c r="DR6" s="113" t="s">
        <v>1656</v>
      </c>
      <c r="DS6" s="196">
        <v>4441</v>
      </c>
      <c r="DT6" s="195">
        <v>230</v>
      </c>
      <c r="DU6" s="199">
        <v>247</v>
      </c>
      <c r="DV6" s="226">
        <v>0</v>
      </c>
      <c r="DW6" s="216">
        <v>4918</v>
      </c>
      <c r="DX6" s="198">
        <v>5896</v>
      </c>
      <c r="DY6" s="226">
        <v>5896</v>
      </c>
      <c r="DZ6" s="210">
        <v>10814</v>
      </c>
      <c r="EA6" s="198">
        <v>55037</v>
      </c>
      <c r="EB6" s="198">
        <v>226</v>
      </c>
      <c r="EC6" s="197">
        <v>527</v>
      </c>
      <c r="ED6" s="196">
        <v>13700</v>
      </c>
      <c r="EE6" s="216">
        <v>69490</v>
      </c>
      <c r="EF6" s="198">
        <v>42098</v>
      </c>
      <c r="EG6" s="222">
        <v>42098</v>
      </c>
      <c r="EH6" s="226">
        <v>111588</v>
      </c>
      <c r="EI6" s="17">
        <f>EA6-DS6-DI6</f>
        <v>0</v>
      </c>
      <c r="EJ6" s="113" t="s">
        <v>1656</v>
      </c>
      <c r="EK6" s="196">
        <v>4382</v>
      </c>
      <c r="EL6" s="195">
        <v>0</v>
      </c>
      <c r="EM6" s="199">
        <v>0</v>
      </c>
      <c r="EN6" s="226">
        <v>4000</v>
      </c>
      <c r="EO6" s="216">
        <v>8382</v>
      </c>
      <c r="EP6" s="198">
        <v>5408</v>
      </c>
      <c r="EQ6" s="226">
        <v>5408</v>
      </c>
      <c r="ER6" s="210">
        <v>13790</v>
      </c>
      <c r="ES6" s="198">
        <v>59419</v>
      </c>
      <c r="ET6" s="198">
        <v>226</v>
      </c>
      <c r="EU6" s="197">
        <v>527</v>
      </c>
      <c r="EV6" s="196">
        <v>17700</v>
      </c>
      <c r="EW6" s="216">
        <v>77872</v>
      </c>
      <c r="EX6" s="198">
        <v>47506</v>
      </c>
      <c r="EY6" s="222">
        <v>47506</v>
      </c>
      <c r="EZ6" s="226">
        <v>125378</v>
      </c>
      <c r="FA6" s="17">
        <f>ES6-EK6-EA6</f>
        <v>0</v>
      </c>
      <c r="FB6" s="113" t="s">
        <v>1656</v>
      </c>
      <c r="FC6" s="196">
        <v>5756</v>
      </c>
      <c r="FD6" s="195">
        <v>0</v>
      </c>
      <c r="FE6" s="199">
        <v>0</v>
      </c>
      <c r="FF6" s="226">
        <v>0</v>
      </c>
      <c r="FG6" s="216">
        <v>5756</v>
      </c>
      <c r="FH6" s="198">
        <v>0</v>
      </c>
      <c r="FI6" s="226">
        <v>0</v>
      </c>
      <c r="FJ6" s="210">
        <v>5756</v>
      </c>
      <c r="FK6" s="198">
        <v>65175</v>
      </c>
      <c r="FL6" s="198">
        <v>226</v>
      </c>
      <c r="FM6" s="197">
        <v>527</v>
      </c>
      <c r="FN6" s="196">
        <v>17700</v>
      </c>
      <c r="FO6" s="216">
        <v>83628</v>
      </c>
      <c r="FP6" s="198">
        <v>47506</v>
      </c>
      <c r="FQ6" s="222">
        <v>47506</v>
      </c>
      <c r="FR6" s="226">
        <v>131134</v>
      </c>
      <c r="FT6" s="113" t="s">
        <v>1656</v>
      </c>
      <c r="FU6" s="196">
        <v>9063</v>
      </c>
      <c r="FV6" s="195">
        <v>0</v>
      </c>
      <c r="FW6" s="199">
        <v>0</v>
      </c>
      <c r="FX6" s="199">
        <v>204</v>
      </c>
      <c r="FY6" s="226">
        <v>0</v>
      </c>
      <c r="FZ6" s="216">
        <v>9267</v>
      </c>
      <c r="GA6" s="197">
        <v>2128</v>
      </c>
      <c r="GB6" s="226">
        <v>2128</v>
      </c>
      <c r="GC6" s="210">
        <v>11395</v>
      </c>
      <c r="GD6" s="198">
        <v>83821</v>
      </c>
      <c r="GE6" s="198">
        <v>226</v>
      </c>
      <c r="GF6" s="198">
        <v>527</v>
      </c>
      <c r="GG6" s="198">
        <v>204</v>
      </c>
      <c r="GH6" s="196">
        <v>22700</v>
      </c>
      <c r="GI6" s="216">
        <v>107478</v>
      </c>
      <c r="GJ6" s="216">
        <v>54702</v>
      </c>
      <c r="GK6" s="246">
        <v>54702</v>
      </c>
      <c r="GL6" s="226">
        <v>162180</v>
      </c>
      <c r="GN6" s="113" t="s">
        <v>1656</v>
      </c>
      <c r="GO6" s="196">
        <v>9583</v>
      </c>
      <c r="GP6" s="195">
        <v>0</v>
      </c>
      <c r="GQ6" s="199">
        <v>0</v>
      </c>
      <c r="GR6" s="199">
        <v>0</v>
      </c>
      <c r="GS6" s="226">
        <v>5000</v>
      </c>
      <c r="GT6" s="216">
        <v>14583</v>
      </c>
      <c r="GU6" s="197">
        <v>5068</v>
      </c>
      <c r="GV6" s="226">
        <v>5068</v>
      </c>
      <c r="GW6" s="216">
        <v>19651</v>
      </c>
      <c r="GX6" s="198">
        <v>83821</v>
      </c>
      <c r="GY6" s="198">
        <v>226</v>
      </c>
      <c r="GZ6" s="198">
        <v>527</v>
      </c>
      <c r="HA6" s="198">
        <v>204</v>
      </c>
      <c r="HB6" s="196">
        <v>22700</v>
      </c>
      <c r="HC6" s="216">
        <v>107478</v>
      </c>
      <c r="HD6" s="216">
        <v>54702</v>
      </c>
      <c r="HE6" s="246">
        <v>54702</v>
      </c>
      <c r="HF6" s="226">
        <v>162180</v>
      </c>
      <c r="HG6" s="17"/>
      <c r="HH6" s="113" t="s">
        <v>1656</v>
      </c>
      <c r="HI6" s="196">
        <v>6557</v>
      </c>
      <c r="HJ6" s="195">
        <v>0</v>
      </c>
      <c r="HK6" s="199">
        <v>0</v>
      </c>
      <c r="HL6" s="199">
        <v>0</v>
      </c>
      <c r="HM6" s="226">
        <v>0</v>
      </c>
      <c r="HN6" s="216">
        <v>6557</v>
      </c>
      <c r="HO6" s="197">
        <v>3248</v>
      </c>
      <c r="HP6" s="249">
        <v>504</v>
      </c>
      <c r="HQ6" s="249">
        <v>504</v>
      </c>
      <c r="HR6" s="226">
        <v>4256</v>
      </c>
      <c r="HS6" s="216">
        <v>10813</v>
      </c>
      <c r="HT6" s="198">
        <v>90378</v>
      </c>
      <c r="HU6" s="198">
        <v>226</v>
      </c>
      <c r="HV6" s="198">
        <v>527</v>
      </c>
      <c r="HW6" s="198">
        <v>204</v>
      </c>
      <c r="HX6" s="196">
        <v>22700</v>
      </c>
      <c r="HY6" s="216">
        <v>114035</v>
      </c>
      <c r="HZ6" s="197">
        <v>57950</v>
      </c>
      <c r="IA6" s="195">
        <v>499</v>
      </c>
      <c r="IB6" s="250">
        <v>504</v>
      </c>
      <c r="IC6" s="246">
        <v>58953</v>
      </c>
      <c r="ID6" s="226">
        <v>172988</v>
      </c>
      <c r="IE6" s="17">
        <f>HT6-HI6-GX6</f>
        <v>0</v>
      </c>
      <c r="IF6" s="113" t="s">
        <v>1656</v>
      </c>
      <c r="IG6" s="196">
        <v>6765</v>
      </c>
      <c r="IH6" s="195">
        <v>773</v>
      </c>
      <c r="II6" s="199">
        <v>0</v>
      </c>
      <c r="IJ6" s="199">
        <v>52</v>
      </c>
      <c r="IK6" s="226">
        <v>0</v>
      </c>
      <c r="IL6" s="216">
        <v>7590</v>
      </c>
      <c r="IM6" s="226">
        <v>4060</v>
      </c>
      <c r="IN6" s="252">
        <v>0</v>
      </c>
      <c r="IO6" s="249">
        <v>0</v>
      </c>
      <c r="IP6" s="226">
        <v>4060</v>
      </c>
      <c r="IQ6" s="210">
        <v>11650</v>
      </c>
      <c r="IR6" s="198">
        <v>97143</v>
      </c>
      <c r="IS6" s="198">
        <v>999</v>
      </c>
      <c r="IT6" s="198">
        <v>527</v>
      </c>
      <c r="IU6" s="198">
        <v>256</v>
      </c>
      <c r="IV6" s="196">
        <v>22700</v>
      </c>
      <c r="IW6" s="216">
        <v>121625</v>
      </c>
      <c r="IX6" s="226">
        <v>62010</v>
      </c>
      <c r="IY6" s="198">
        <v>499</v>
      </c>
      <c r="IZ6" s="250">
        <v>504</v>
      </c>
      <c r="JA6" s="246">
        <v>63013</v>
      </c>
      <c r="JB6" s="226">
        <v>184638</v>
      </c>
      <c r="JD6" s="113" t="s">
        <v>1656</v>
      </c>
      <c r="JE6" s="196">
        <v>7354</v>
      </c>
      <c r="JF6" s="195">
        <v>0</v>
      </c>
      <c r="JG6" s="199">
        <v>0</v>
      </c>
      <c r="JH6" s="199">
        <v>0</v>
      </c>
      <c r="JI6" s="226">
        <v>4000</v>
      </c>
      <c r="JJ6" s="216">
        <v>11354</v>
      </c>
      <c r="JK6" s="197">
        <v>3861</v>
      </c>
      <c r="JL6" s="249">
        <v>0</v>
      </c>
      <c r="JM6" s="249">
        <v>0</v>
      </c>
      <c r="JN6" s="226">
        <v>3861</v>
      </c>
      <c r="JO6" s="210">
        <v>15215</v>
      </c>
      <c r="JP6" s="198">
        <v>104497</v>
      </c>
      <c r="JQ6" s="198">
        <v>999</v>
      </c>
      <c r="JR6" s="198">
        <v>527</v>
      </c>
      <c r="JS6" s="198">
        <v>256</v>
      </c>
      <c r="JT6" s="196">
        <v>26700</v>
      </c>
      <c r="JU6" s="216">
        <v>132979</v>
      </c>
      <c r="JV6" s="197">
        <v>65871</v>
      </c>
      <c r="JW6" s="195">
        <v>499</v>
      </c>
      <c r="JX6" s="250">
        <v>504</v>
      </c>
      <c r="JY6" s="246">
        <v>66874</v>
      </c>
      <c r="JZ6" s="226">
        <v>199853</v>
      </c>
      <c r="KA6" s="17">
        <f>JP6-JE6-IR6</f>
        <v>0</v>
      </c>
      <c r="KB6" s="113" t="s">
        <v>1656</v>
      </c>
      <c r="KC6" s="196">
        <v>6336</v>
      </c>
      <c r="KD6" s="195">
        <v>0</v>
      </c>
      <c r="KE6" s="199">
        <v>0</v>
      </c>
      <c r="KF6" s="199">
        <v>106</v>
      </c>
      <c r="KG6" s="226">
        <v>0</v>
      </c>
      <c r="KH6" s="216">
        <v>6442</v>
      </c>
      <c r="KI6" s="226">
        <v>15048</v>
      </c>
      <c r="KJ6" s="252">
        <v>0</v>
      </c>
      <c r="KK6" s="249">
        <v>0</v>
      </c>
      <c r="KL6" s="226">
        <v>15048</v>
      </c>
      <c r="KM6" s="210">
        <v>21490</v>
      </c>
      <c r="KN6" s="198">
        <v>110833</v>
      </c>
      <c r="KO6" s="198">
        <v>999</v>
      </c>
      <c r="KP6" s="198">
        <v>527</v>
      </c>
      <c r="KQ6" s="198">
        <v>414</v>
      </c>
      <c r="KR6" s="196">
        <v>26700</v>
      </c>
      <c r="KS6" s="216">
        <v>139473</v>
      </c>
      <c r="KT6" s="226">
        <v>80919</v>
      </c>
      <c r="KU6" s="198">
        <v>499</v>
      </c>
      <c r="KV6" s="250">
        <v>504</v>
      </c>
      <c r="KW6" s="246">
        <v>81922</v>
      </c>
      <c r="KX6" s="226">
        <v>221395</v>
      </c>
      <c r="KY6" s="17">
        <f>KN6-KC6-JP6</f>
        <v>0</v>
      </c>
      <c r="KZ6" s="113" t="s">
        <v>1656</v>
      </c>
      <c r="LA6" s="196">
        <v>6829</v>
      </c>
      <c r="LB6" s="195">
        <v>0</v>
      </c>
      <c r="LC6" s="199">
        <v>0</v>
      </c>
      <c r="LD6" s="199">
        <v>0</v>
      </c>
      <c r="LE6" s="226">
        <v>0</v>
      </c>
      <c r="LF6" s="216">
        <v>6829</v>
      </c>
      <c r="LG6" s="197">
        <v>0</v>
      </c>
      <c r="LH6" s="239">
        <v>0</v>
      </c>
      <c r="LI6" s="249">
        <v>0</v>
      </c>
      <c r="LJ6" s="249">
        <v>0</v>
      </c>
      <c r="LK6" s="226">
        <v>0</v>
      </c>
      <c r="LL6" s="210">
        <v>6829</v>
      </c>
      <c r="LM6" s="198">
        <v>117662</v>
      </c>
      <c r="LN6" s="198">
        <v>999</v>
      </c>
      <c r="LO6" s="198">
        <v>527</v>
      </c>
      <c r="LP6" s="198">
        <v>414</v>
      </c>
      <c r="LQ6" s="196">
        <v>26700</v>
      </c>
      <c r="LR6" s="216">
        <v>146302</v>
      </c>
      <c r="LS6" s="197">
        <v>80919</v>
      </c>
      <c r="LT6" s="239">
        <v>0</v>
      </c>
      <c r="LU6" s="195">
        <v>499</v>
      </c>
      <c r="LV6" s="250">
        <v>504</v>
      </c>
      <c r="LW6" s="246">
        <v>81922</v>
      </c>
      <c r="LX6" s="226">
        <v>228224</v>
      </c>
      <c r="LY6" s="17"/>
      <c r="LZ6" s="113" t="s">
        <v>1656</v>
      </c>
      <c r="MA6" s="196">
        <v>12363</v>
      </c>
      <c r="MB6" s="195">
        <v>0</v>
      </c>
      <c r="MC6" s="199">
        <v>0</v>
      </c>
      <c r="MD6" s="199">
        <v>0</v>
      </c>
      <c r="ME6" s="226">
        <v>4000</v>
      </c>
      <c r="MF6" s="216">
        <v>16363</v>
      </c>
      <c r="MG6" s="197">
        <v>0</v>
      </c>
      <c r="MH6" s="239">
        <v>0</v>
      </c>
      <c r="MI6" s="249">
        <v>0</v>
      </c>
      <c r="MJ6" s="249">
        <v>0</v>
      </c>
      <c r="MK6" s="226">
        <v>0</v>
      </c>
      <c r="ML6" s="210">
        <v>16363</v>
      </c>
      <c r="MM6" s="198">
        <v>130025</v>
      </c>
      <c r="MN6" s="198">
        <v>999</v>
      </c>
      <c r="MO6" s="198">
        <v>527</v>
      </c>
      <c r="MP6" s="198">
        <v>414</v>
      </c>
      <c r="MQ6" s="196">
        <v>30700</v>
      </c>
      <c r="MR6" s="216">
        <v>162665</v>
      </c>
      <c r="MS6" s="197">
        <v>80919</v>
      </c>
      <c r="MT6" s="239">
        <v>0</v>
      </c>
      <c r="MU6" s="195">
        <v>499</v>
      </c>
      <c r="MV6" s="250">
        <v>504</v>
      </c>
      <c r="MW6" s="246">
        <v>81922</v>
      </c>
      <c r="MX6" s="226">
        <v>244587</v>
      </c>
      <c r="MY6" s="17">
        <f>MM6-MA6-LM6</f>
        <v>0</v>
      </c>
      <c r="MZ6" s="113" t="s">
        <v>1656</v>
      </c>
      <c r="NA6" s="196">
        <v>17559</v>
      </c>
      <c r="NB6" s="195">
        <v>-3</v>
      </c>
      <c r="NC6" s="199">
        <v>0</v>
      </c>
      <c r="ND6" s="199">
        <v>0</v>
      </c>
      <c r="NE6" s="226">
        <v>0</v>
      </c>
      <c r="NF6" s="216">
        <v>17556</v>
      </c>
      <c r="NG6" s="216">
        <v>1000</v>
      </c>
      <c r="NH6" s="249">
        <v>0</v>
      </c>
      <c r="NI6" s="249">
        <v>0</v>
      </c>
      <c r="NJ6" s="226">
        <v>1000</v>
      </c>
      <c r="NK6" s="210">
        <v>18556</v>
      </c>
      <c r="NL6" s="198">
        <v>147584</v>
      </c>
      <c r="NM6" s="198">
        <v>996</v>
      </c>
      <c r="NN6" s="198">
        <v>527</v>
      </c>
      <c r="NO6" s="198">
        <v>414</v>
      </c>
      <c r="NP6" s="196">
        <v>30700</v>
      </c>
      <c r="NQ6" s="216">
        <v>180221</v>
      </c>
      <c r="NR6" s="226">
        <v>81919</v>
      </c>
      <c r="NS6" s="195">
        <v>499</v>
      </c>
      <c r="NT6" s="250">
        <v>504</v>
      </c>
      <c r="NU6" s="246">
        <v>82922</v>
      </c>
      <c r="NV6" s="226">
        <v>263143</v>
      </c>
      <c r="NW6" s="17"/>
      <c r="NX6" s="113" t="s">
        <v>1656</v>
      </c>
      <c r="NY6" s="196">
        <v>10655</v>
      </c>
      <c r="NZ6" s="195">
        <v>0</v>
      </c>
      <c r="OA6" s="199">
        <v>0</v>
      </c>
      <c r="OB6" s="199">
        <v>121</v>
      </c>
      <c r="OC6" s="226">
        <v>-18</v>
      </c>
      <c r="OD6" s="216">
        <v>10758</v>
      </c>
      <c r="OE6" s="216">
        <v>0</v>
      </c>
      <c r="OF6" s="249">
        <v>0</v>
      </c>
      <c r="OG6" s="249">
        <v>0</v>
      </c>
      <c r="OH6" s="226">
        <v>0</v>
      </c>
      <c r="OI6" s="210">
        <v>10758</v>
      </c>
      <c r="OJ6" s="198">
        <v>158239</v>
      </c>
      <c r="OK6" s="198">
        <v>996</v>
      </c>
      <c r="OL6" s="198">
        <v>527</v>
      </c>
      <c r="OM6" s="198">
        <v>535</v>
      </c>
      <c r="ON6" s="196">
        <v>30682</v>
      </c>
      <c r="OO6" s="216">
        <v>190979</v>
      </c>
      <c r="OP6" s="226">
        <v>81919</v>
      </c>
      <c r="OQ6" s="195">
        <v>499</v>
      </c>
      <c r="OR6" s="250">
        <v>504</v>
      </c>
      <c r="OS6" s="246">
        <v>82922</v>
      </c>
      <c r="OT6" s="226">
        <v>273901</v>
      </c>
      <c r="OU6" s="17">
        <f>OJ6-NY6-NL6</f>
        <v>0</v>
      </c>
      <c r="OV6" s="113" t="s">
        <v>1656</v>
      </c>
      <c r="OW6" s="196">
        <v>10550</v>
      </c>
      <c r="OX6" s="195">
        <v>0</v>
      </c>
      <c r="OY6" s="199">
        <v>0</v>
      </c>
      <c r="OZ6" s="199">
        <v>0</v>
      </c>
      <c r="PA6" s="226">
        <v>4100</v>
      </c>
      <c r="PB6" s="216">
        <v>14650</v>
      </c>
      <c r="PC6" s="216">
        <v>0</v>
      </c>
      <c r="PD6" s="249">
        <v>0</v>
      </c>
      <c r="PE6" s="249">
        <v>0</v>
      </c>
      <c r="PF6" s="226">
        <v>0</v>
      </c>
      <c r="PG6" s="210">
        <v>14650</v>
      </c>
      <c r="PH6" s="198">
        <v>168789</v>
      </c>
      <c r="PI6" s="198">
        <v>996</v>
      </c>
      <c r="PJ6" s="198">
        <v>527</v>
      </c>
      <c r="PK6" s="198">
        <v>535</v>
      </c>
      <c r="PL6" s="196">
        <v>34782</v>
      </c>
      <c r="PM6" s="216">
        <v>205629</v>
      </c>
      <c r="PN6" s="226">
        <v>81919</v>
      </c>
      <c r="PO6" s="195">
        <v>499</v>
      </c>
      <c r="PP6" s="250">
        <v>504</v>
      </c>
      <c r="PQ6" s="246">
        <v>82922</v>
      </c>
      <c r="PR6" s="226">
        <v>288551</v>
      </c>
      <c r="PS6" s="17">
        <f>PH6-OW6-OJ6</f>
        <v>0</v>
      </c>
      <c r="PT6" s="113" t="s">
        <v>1656</v>
      </c>
      <c r="PU6" s="196">
        <v>8351</v>
      </c>
      <c r="PV6" s="195">
        <v>0</v>
      </c>
      <c r="PW6" s="199">
        <v>0</v>
      </c>
      <c r="PX6" s="199">
        <v>0</v>
      </c>
      <c r="PY6" s="226">
        <v>0</v>
      </c>
      <c r="PZ6" s="216">
        <v>8351</v>
      </c>
      <c r="QA6" s="216">
        <v>10976</v>
      </c>
      <c r="QB6" s="249">
        <v>0</v>
      </c>
      <c r="QC6" s="249">
        <v>0</v>
      </c>
      <c r="QD6" s="226">
        <v>10976</v>
      </c>
      <c r="QE6" s="210">
        <v>19327</v>
      </c>
      <c r="QF6" s="198">
        <v>177140</v>
      </c>
      <c r="QG6" s="198">
        <v>996</v>
      </c>
      <c r="QH6" s="198">
        <v>527</v>
      </c>
      <c r="QI6" s="198">
        <v>535</v>
      </c>
      <c r="QJ6" s="196">
        <v>34782</v>
      </c>
      <c r="QK6" s="216">
        <v>213980</v>
      </c>
      <c r="QL6" s="226">
        <v>92895</v>
      </c>
      <c r="QM6" s="195">
        <v>499</v>
      </c>
      <c r="QN6" s="250">
        <v>504</v>
      </c>
      <c r="QO6" s="246">
        <v>93898</v>
      </c>
      <c r="QP6" s="226">
        <v>307878</v>
      </c>
      <c r="QQ6" s="17">
        <f>QF6-PU6-PH6</f>
        <v>0</v>
      </c>
      <c r="QR6" s="113" t="s">
        <v>1656</v>
      </c>
      <c r="QS6" s="198">
        <v>195677</v>
      </c>
      <c r="QT6" s="198">
        <v>996</v>
      </c>
      <c r="QU6" s="198">
        <v>527</v>
      </c>
      <c r="QV6" s="198">
        <v>623</v>
      </c>
      <c r="QW6" s="196">
        <v>38782</v>
      </c>
      <c r="QX6" s="216">
        <v>236605</v>
      </c>
      <c r="QY6" s="226">
        <v>107987</v>
      </c>
      <c r="QZ6" s="195">
        <v>499</v>
      </c>
      <c r="RA6" s="250">
        <v>504</v>
      </c>
      <c r="RB6" s="246">
        <v>108990</v>
      </c>
      <c r="RC6" s="226">
        <v>345595</v>
      </c>
      <c r="RE6" s="113" t="s">
        <v>1656</v>
      </c>
      <c r="RF6" s="198">
        <v>195677</v>
      </c>
      <c r="RG6" s="198">
        <v>996</v>
      </c>
      <c r="RH6" s="198">
        <v>527</v>
      </c>
      <c r="RI6" s="198">
        <v>623</v>
      </c>
      <c r="RJ6" s="196">
        <v>38782</v>
      </c>
      <c r="RK6" s="216">
        <v>236605</v>
      </c>
      <c r="RL6" s="226">
        <v>107987</v>
      </c>
      <c r="RM6" s="195">
        <v>499</v>
      </c>
      <c r="RN6" s="250">
        <v>504</v>
      </c>
      <c r="RO6" s="246">
        <v>108990</v>
      </c>
      <c r="RP6" s="226">
        <v>345595</v>
      </c>
      <c r="RQ6" s="325"/>
      <c r="RR6" s="335" t="s">
        <v>458</v>
      </c>
      <c r="RS6" s="306" t="e">
        <f>RS7+RS8</f>
        <v>#REF!</v>
      </c>
      <c r="RT6" s="307" t="str">
        <f t="shared" ref="RT6:SJ13" si="5">IFERROR(RS6/RS$5,"-")</f>
        <v>-</v>
      </c>
      <c r="RU6" s="306" t="e">
        <f>RU7+RU8</f>
        <v>#REF!</v>
      </c>
      <c r="RV6" s="307" t="str">
        <f t="shared" si="5"/>
        <v>-</v>
      </c>
      <c r="RW6" s="306" t="e">
        <f>RW7+RW8</f>
        <v>#REF!</v>
      </c>
      <c r="RX6" s="307" t="str">
        <f t="shared" si="5"/>
        <v>-</v>
      </c>
      <c r="RY6" s="306" t="e">
        <f>RY7+RY8</f>
        <v>#REF!</v>
      </c>
      <c r="RZ6" s="307" t="str">
        <f t="shared" ref="RZ6:RZ13" si="6">IFERROR(RY6/RY$5,"-")</f>
        <v>-</v>
      </c>
      <c r="SA6" s="306" t="e">
        <f>SA7+SA8</f>
        <v>#REF!</v>
      </c>
      <c r="SB6" s="307" t="str">
        <f t="shared" ref="SB6:SB13" si="7">IFERROR(SA6/SA$5,"-")</f>
        <v>-</v>
      </c>
      <c r="SC6" s="306" t="e">
        <f>SC7+SC8</f>
        <v>#REF!</v>
      </c>
      <c r="SD6" s="308" t="str">
        <f t="shared" si="5"/>
        <v>-</v>
      </c>
      <c r="SE6" s="309" t="e">
        <f>SE7+SE8</f>
        <v>#REF!</v>
      </c>
      <c r="SF6" s="307" t="str">
        <f t="shared" ref="SF6:SF13" si="8">IFERROR(SE6/SE$5,"-")</f>
        <v>-</v>
      </c>
      <c r="SG6" s="330" t="e">
        <f>SG7+SG8</f>
        <v>#REF!</v>
      </c>
      <c r="SH6" s="307" t="str">
        <f t="shared" si="5"/>
        <v>-</v>
      </c>
      <c r="SI6" s="309" t="e">
        <f>SI7+SI8</f>
        <v>#REF!</v>
      </c>
      <c r="SJ6" s="307" t="str">
        <f t="shared" si="5"/>
        <v>-</v>
      </c>
    </row>
    <row r="7" spans="2:506" x14ac:dyDescent="0.3">
      <c r="B7" s="114" t="s">
        <v>540</v>
      </c>
      <c r="C7" s="31">
        <v>963.81600000000014</v>
      </c>
      <c r="D7" s="18">
        <v>3394.7706999999987</v>
      </c>
      <c r="E7" s="18">
        <v>0</v>
      </c>
      <c r="F7" s="18">
        <v>979.5379999999999</v>
      </c>
      <c r="G7" s="19">
        <v>5338.1246999999985</v>
      </c>
      <c r="H7" s="28">
        <v>963.81600000000014</v>
      </c>
      <c r="I7" s="18">
        <v>3394.7706999999987</v>
      </c>
      <c r="J7" s="18">
        <v>0</v>
      </c>
      <c r="K7" s="51">
        <v>979.5379999999999</v>
      </c>
      <c r="L7" s="19">
        <v>5338.1246999999985</v>
      </c>
      <c r="N7" s="114" t="s">
        <v>540</v>
      </c>
      <c r="O7" s="31">
        <v>0</v>
      </c>
      <c r="P7" s="18">
        <v>3736.7345599999994</v>
      </c>
      <c r="Q7" s="18">
        <v>0</v>
      </c>
      <c r="R7" s="18">
        <v>454.58143999999993</v>
      </c>
      <c r="S7" s="18">
        <v>0</v>
      </c>
      <c r="T7" s="18">
        <v>0</v>
      </c>
      <c r="U7" s="19">
        <v>4191.3159999999989</v>
      </c>
      <c r="V7" s="28">
        <v>963.81600000000014</v>
      </c>
      <c r="W7" s="18">
        <v>7131.5052599999999</v>
      </c>
      <c r="X7" s="18">
        <v>0</v>
      </c>
      <c r="Y7" s="51">
        <v>1434.1194399999999</v>
      </c>
      <c r="Z7" s="51">
        <v>0</v>
      </c>
      <c r="AA7" s="51">
        <v>0</v>
      </c>
      <c r="AB7" s="19">
        <v>9529.4406999999992</v>
      </c>
      <c r="AC7" s="17">
        <f t="shared" si="1"/>
        <v>0</v>
      </c>
      <c r="AD7" s="114" t="s">
        <v>540</v>
      </c>
      <c r="AE7" s="31">
        <v>0</v>
      </c>
      <c r="AF7" s="18">
        <v>2663.3337499999998</v>
      </c>
      <c r="AG7" s="18">
        <v>979.70015999999976</v>
      </c>
      <c r="AH7" s="19">
        <v>3643.0339099999997</v>
      </c>
      <c r="AI7" s="28">
        <v>963.81600000000014</v>
      </c>
      <c r="AJ7" s="18">
        <v>9794.8390099999997</v>
      </c>
      <c r="AK7" s="51">
        <v>2413.8195999999998</v>
      </c>
      <c r="AL7" s="19">
        <v>13172.474610000001</v>
      </c>
      <c r="AN7" s="114" t="s">
        <v>540</v>
      </c>
      <c r="AO7" s="31">
        <v>0</v>
      </c>
      <c r="AP7" s="18">
        <v>1900.3749999999993</v>
      </c>
      <c r="AQ7" s="18">
        <v>-2.4955599999999984</v>
      </c>
      <c r="AR7" s="18">
        <v>41.221950000000007</v>
      </c>
      <c r="AS7" s="18">
        <v>446.50511999999986</v>
      </c>
      <c r="AT7" s="19">
        <v>2385.6065099999992</v>
      </c>
      <c r="AU7" s="28">
        <v>963.81600000000014</v>
      </c>
      <c r="AV7" s="18">
        <v>11695.214009999998</v>
      </c>
      <c r="AW7" s="18">
        <v>-2.4955599999999984</v>
      </c>
      <c r="AX7" s="18">
        <v>41.221950000000007</v>
      </c>
      <c r="AY7" s="51">
        <v>2860.3247199999992</v>
      </c>
      <c r="AZ7" s="19">
        <v>15558.081119999997</v>
      </c>
      <c r="BA7" s="17">
        <f t="shared" si="2"/>
        <v>0</v>
      </c>
      <c r="BB7" s="114" t="s">
        <v>540</v>
      </c>
      <c r="BC7" s="31">
        <v>2007.9500000000003</v>
      </c>
      <c r="BD7" s="18">
        <v>733.00117999999975</v>
      </c>
      <c r="BE7" s="18">
        <v>0</v>
      </c>
      <c r="BF7" s="18">
        <v>0</v>
      </c>
      <c r="BG7" s="18">
        <v>1054.9190399999998</v>
      </c>
      <c r="BH7" s="19">
        <f t="shared" si="3"/>
        <v>3795.8702199999998</v>
      </c>
      <c r="BI7" s="28">
        <v>2971.7660000000005</v>
      </c>
      <c r="BJ7" s="18">
        <v>12428.215189999997</v>
      </c>
      <c r="BK7" s="18">
        <v>-2.4955599999999984</v>
      </c>
      <c r="BL7" s="18">
        <v>41.221950000000007</v>
      </c>
      <c r="BM7" s="51">
        <v>3915.2437599999989</v>
      </c>
      <c r="BN7" s="19">
        <f t="shared" si="4"/>
        <v>19353.951339999996</v>
      </c>
      <c r="BO7" s="17">
        <f t="shared" si="0"/>
        <v>0</v>
      </c>
      <c r="BP7" s="114" t="s">
        <v>499</v>
      </c>
      <c r="BQ7" s="201">
        <v>1000.29139</v>
      </c>
      <c r="BR7" s="200">
        <v>0</v>
      </c>
      <c r="BS7" s="200">
        <v>72.782499999999999</v>
      </c>
      <c r="BT7" s="204">
        <v>1509.5129999999999</v>
      </c>
      <c r="BU7" s="217">
        <v>2582.5868899999996</v>
      </c>
      <c r="BV7" s="203">
        <v>626.99311999999998</v>
      </c>
      <c r="BW7" s="217">
        <v>626.99311999999998</v>
      </c>
      <c r="BX7" s="211">
        <v>3209.5800099999997</v>
      </c>
      <c r="BY7" s="200">
        <v>16677.46457</v>
      </c>
      <c r="BZ7" s="200">
        <v>-3.44896</v>
      </c>
      <c r="CA7" s="204">
        <v>116.452</v>
      </c>
      <c r="CB7" s="201">
        <v>6388.4070000000002</v>
      </c>
      <c r="CC7" s="217">
        <v>23178.874609999999</v>
      </c>
      <c r="CD7" s="202">
        <v>5011.4887699999999</v>
      </c>
      <c r="CE7" s="223">
        <v>5011.4887699999999</v>
      </c>
      <c r="CF7" s="217">
        <v>28190.363379999999</v>
      </c>
      <c r="CG7" s="17"/>
      <c r="CH7" s="114" t="s">
        <v>499</v>
      </c>
      <c r="CI7" s="201">
        <v>1076.3677600000001</v>
      </c>
      <c r="CJ7" s="200">
        <v>0</v>
      </c>
      <c r="CK7" s="200">
        <v>0</v>
      </c>
      <c r="CL7" s="204">
        <v>0</v>
      </c>
      <c r="CM7" s="217">
        <v>1076.3677600000001</v>
      </c>
      <c r="CN7" s="203">
        <v>521.40800000000002</v>
      </c>
      <c r="CO7" s="217">
        <v>521.40800000000002</v>
      </c>
      <c r="CP7" s="211">
        <v>1597.77576</v>
      </c>
      <c r="CQ7" s="200">
        <v>17753.832329999994</v>
      </c>
      <c r="CR7" s="200">
        <v>-3.44896</v>
      </c>
      <c r="CS7" s="204">
        <v>116.452</v>
      </c>
      <c r="CT7" s="201">
        <v>6388.4070000000002</v>
      </c>
      <c r="CU7" s="217">
        <v>24255.242369999993</v>
      </c>
      <c r="CV7" s="202">
        <v>5532.8967700000003</v>
      </c>
      <c r="CW7" s="223">
        <v>5532.8967700000003</v>
      </c>
      <c r="CX7" s="217">
        <v>29788.139139999992</v>
      </c>
      <c r="CZ7" s="114" t="s">
        <v>499</v>
      </c>
      <c r="DA7" s="201">
        <v>3015.5641299999997</v>
      </c>
      <c r="DB7" s="200">
        <v>0</v>
      </c>
      <c r="DC7" s="200">
        <v>0</v>
      </c>
      <c r="DD7" s="204">
        <v>2637.24</v>
      </c>
      <c r="DE7" s="217">
        <v>5652.8041299999995</v>
      </c>
      <c r="DF7" s="203">
        <v>579.82263999999998</v>
      </c>
      <c r="DG7" s="217">
        <v>579.82263999999998</v>
      </c>
      <c r="DH7" s="211">
        <v>6232.6267699999999</v>
      </c>
      <c r="DI7" s="200">
        <v>20769.396459999989</v>
      </c>
      <c r="DJ7" s="200">
        <v>-3.44896</v>
      </c>
      <c r="DK7" s="204">
        <v>116.452</v>
      </c>
      <c r="DL7" s="201">
        <v>9025.6470000000008</v>
      </c>
      <c r="DM7" s="217">
        <v>29908.046499999989</v>
      </c>
      <c r="DN7" s="202">
        <v>6112.7194099999988</v>
      </c>
      <c r="DO7" s="223">
        <v>6112.7194099999988</v>
      </c>
      <c r="DP7" s="217">
        <v>36020.765909999987</v>
      </c>
      <c r="DQ7" s="17"/>
      <c r="DR7" s="114" t="s">
        <v>499</v>
      </c>
      <c r="DS7" s="201">
        <v>1778.7302800000002</v>
      </c>
      <c r="DT7" s="200">
        <v>114.6734</v>
      </c>
      <c r="DU7" s="204">
        <v>102.7273</v>
      </c>
      <c r="DV7" s="217">
        <v>0</v>
      </c>
      <c r="DW7" s="217">
        <v>1996.1309800000001</v>
      </c>
      <c r="DX7" s="203">
        <v>914.01384000000007</v>
      </c>
      <c r="DY7" s="217">
        <v>914.01384000000007</v>
      </c>
      <c r="DZ7" s="211">
        <v>2910.1448200000004</v>
      </c>
      <c r="EA7" s="200">
        <v>22548.126739999992</v>
      </c>
      <c r="EB7" s="200">
        <v>111.22443999999999</v>
      </c>
      <c r="EC7" s="204">
        <v>219.17929999999998</v>
      </c>
      <c r="ED7" s="201">
        <v>9025.6470000000008</v>
      </c>
      <c r="EE7" s="217">
        <v>31904.177479999995</v>
      </c>
      <c r="EF7" s="202">
        <v>7026.7332499999993</v>
      </c>
      <c r="EG7" s="223">
        <v>7026.7332499999993</v>
      </c>
      <c r="EH7" s="217">
        <v>38930.910729999996</v>
      </c>
      <c r="EI7" s="17">
        <f t="shared" ref="EI7:EI12" si="9">EA7-DS7-DI7</f>
        <v>0</v>
      </c>
      <c r="EJ7" s="114" t="s">
        <v>499</v>
      </c>
      <c r="EK7" s="201">
        <v>1825.6446799999997</v>
      </c>
      <c r="EL7" s="200">
        <v>0</v>
      </c>
      <c r="EM7" s="204">
        <v>0</v>
      </c>
      <c r="EN7" s="217">
        <v>2637.24</v>
      </c>
      <c r="EO7" s="217">
        <v>4462.8846799999992</v>
      </c>
      <c r="EP7" s="203">
        <v>849.24688000000003</v>
      </c>
      <c r="EQ7" s="217">
        <v>849.24688000000003</v>
      </c>
      <c r="ER7" s="211">
        <v>5312.1315599999989</v>
      </c>
      <c r="ES7" s="200">
        <v>24373.771419999986</v>
      </c>
      <c r="ET7" s="200">
        <v>111.22443999999999</v>
      </c>
      <c r="EU7" s="204">
        <v>219.17929999999998</v>
      </c>
      <c r="EV7" s="201">
        <v>11662.887000000001</v>
      </c>
      <c r="EW7" s="217">
        <v>36367.062159999987</v>
      </c>
      <c r="EX7" s="202">
        <v>7875.980129999999</v>
      </c>
      <c r="EY7" s="223">
        <v>7875.980129999999</v>
      </c>
      <c r="EZ7" s="217">
        <v>44243.042289999983</v>
      </c>
      <c r="FA7" s="17">
        <f t="shared" ref="FA7:FA12" si="10">ES7-EK7-EA7</f>
        <v>0</v>
      </c>
      <c r="FB7" s="114" t="s">
        <v>499</v>
      </c>
      <c r="FC7" s="201">
        <v>2476.4761500000004</v>
      </c>
      <c r="FD7" s="200">
        <v>0</v>
      </c>
      <c r="FE7" s="204">
        <v>0</v>
      </c>
      <c r="FF7" s="217">
        <v>0</v>
      </c>
      <c r="FG7" s="217">
        <v>2476.4761500000004</v>
      </c>
      <c r="FH7" s="203">
        <v>0</v>
      </c>
      <c r="FI7" s="217">
        <v>0</v>
      </c>
      <c r="FJ7" s="211">
        <v>2476.4761500000004</v>
      </c>
      <c r="FK7" s="200">
        <v>26850.247569999989</v>
      </c>
      <c r="FL7" s="200">
        <v>111.22443999999999</v>
      </c>
      <c r="FM7" s="204">
        <v>219.17929999999998</v>
      </c>
      <c r="FN7" s="201">
        <v>11662.887000000001</v>
      </c>
      <c r="FO7" s="217">
        <v>38843.538309999989</v>
      </c>
      <c r="FP7" s="202">
        <v>7875.9801299999981</v>
      </c>
      <c r="FQ7" s="223">
        <v>7875.9801299999981</v>
      </c>
      <c r="FR7" s="217">
        <v>46719.518439999985</v>
      </c>
      <c r="FT7" s="114" t="s">
        <v>499</v>
      </c>
      <c r="FU7" s="201">
        <v>3643.7393200000001</v>
      </c>
      <c r="FV7" s="200">
        <v>0</v>
      </c>
      <c r="FW7" s="204">
        <v>0</v>
      </c>
      <c r="FX7" s="204">
        <v>66.605999999999995</v>
      </c>
      <c r="FY7" s="217">
        <v>0</v>
      </c>
      <c r="FZ7" s="217">
        <v>3710.3453200000004</v>
      </c>
      <c r="GA7" s="202">
        <v>346.73632000000003</v>
      </c>
      <c r="GB7" s="217">
        <v>346.73632000000003</v>
      </c>
      <c r="GC7" s="211">
        <v>4057.0816400000003</v>
      </c>
      <c r="GD7" s="200">
        <v>34186.686809999999</v>
      </c>
      <c r="GE7" s="200">
        <v>111.22443999999999</v>
      </c>
      <c r="GF7" s="200">
        <v>219.17929999999998</v>
      </c>
      <c r="GG7" s="200">
        <v>66.605999999999995</v>
      </c>
      <c r="GH7" s="201">
        <v>14959.437</v>
      </c>
      <c r="GI7" s="217">
        <v>49543.133549999999</v>
      </c>
      <c r="GJ7" s="217">
        <v>8988.3974500000004</v>
      </c>
      <c r="GK7" s="202">
        <v>8988.3974500000004</v>
      </c>
      <c r="GL7" s="217">
        <v>58531.531000000003</v>
      </c>
      <c r="GN7" s="114" t="s">
        <v>499</v>
      </c>
      <c r="GO7" s="201">
        <v>3692.6999199999996</v>
      </c>
      <c r="GP7" s="200">
        <v>0</v>
      </c>
      <c r="GQ7" s="204">
        <v>0</v>
      </c>
      <c r="GR7" s="204">
        <v>0</v>
      </c>
      <c r="GS7" s="217">
        <v>3296.55</v>
      </c>
      <c r="GT7" s="217">
        <v>6989.2499200000002</v>
      </c>
      <c r="GU7" s="202">
        <v>765.68100000000004</v>
      </c>
      <c r="GV7" s="217">
        <v>765.68100000000004</v>
      </c>
      <c r="GW7" s="217">
        <v>7754.9309200000007</v>
      </c>
      <c r="GX7" s="203">
        <v>34186.686809999999</v>
      </c>
      <c r="GY7" s="200">
        <v>111.22443999999999</v>
      </c>
      <c r="GZ7" s="200">
        <v>219.17929999999998</v>
      </c>
      <c r="HA7" s="200">
        <v>66.605999999999995</v>
      </c>
      <c r="HB7" s="201">
        <v>14959.437</v>
      </c>
      <c r="HC7" s="217">
        <v>49543.133549999999</v>
      </c>
      <c r="HD7" s="217">
        <v>8988.3974500000004</v>
      </c>
      <c r="HE7" s="202">
        <v>8988.3974500000004</v>
      </c>
      <c r="HF7" s="217">
        <v>58531.531000000003</v>
      </c>
      <c r="HG7" s="17"/>
      <c r="HH7" s="114" t="s">
        <v>499</v>
      </c>
      <c r="HI7" s="201">
        <v>2737.2533099999996</v>
      </c>
      <c r="HJ7" s="200">
        <v>0</v>
      </c>
      <c r="HK7" s="204">
        <v>0</v>
      </c>
      <c r="HL7" s="204">
        <v>0</v>
      </c>
      <c r="HM7" s="217">
        <v>0</v>
      </c>
      <c r="HN7" s="217">
        <v>2737.2533099999996</v>
      </c>
      <c r="HO7" s="202">
        <v>489.39071999999999</v>
      </c>
      <c r="HP7" s="200">
        <v>312.98399999999998</v>
      </c>
      <c r="HQ7" s="200">
        <v>82.3536</v>
      </c>
      <c r="HR7" s="217">
        <v>884.72832000000005</v>
      </c>
      <c r="HS7" s="217">
        <v>3621.9816299999998</v>
      </c>
      <c r="HT7" s="203">
        <v>36923.940119999999</v>
      </c>
      <c r="HU7" s="200">
        <v>111.22443999999999</v>
      </c>
      <c r="HV7" s="200">
        <v>219.17929999999998</v>
      </c>
      <c r="HW7" s="200">
        <v>66.605999999999995</v>
      </c>
      <c r="HX7" s="201">
        <v>14959.437</v>
      </c>
      <c r="HY7" s="217">
        <v>52280.386859999999</v>
      </c>
      <c r="HZ7" s="202">
        <v>9477.7881699999998</v>
      </c>
      <c r="IA7" s="200">
        <v>310.14959999999996</v>
      </c>
      <c r="IB7" s="240">
        <v>82.3536</v>
      </c>
      <c r="IC7" s="202">
        <v>9870.2913700000008</v>
      </c>
      <c r="ID7" s="217">
        <v>62150.678229999998</v>
      </c>
      <c r="IE7" s="17">
        <f t="shared" ref="IE7:IE12" si="11">HT7-HI7-GX7</f>
        <v>0</v>
      </c>
      <c r="IF7" s="114" t="s">
        <v>499</v>
      </c>
      <c r="IG7" s="201">
        <v>2664.1176300000002</v>
      </c>
      <c r="IH7" s="200">
        <v>241.26229000000001</v>
      </c>
      <c r="II7" s="204">
        <v>0</v>
      </c>
      <c r="IJ7" s="204">
        <v>56.975360000000002</v>
      </c>
      <c r="IK7" s="217">
        <v>0</v>
      </c>
      <c r="IL7" s="217">
        <v>2962.3552800000002</v>
      </c>
      <c r="IM7" s="217">
        <v>602.51380000000006</v>
      </c>
      <c r="IN7" s="203">
        <v>0</v>
      </c>
      <c r="IO7" s="200">
        <v>0</v>
      </c>
      <c r="IP7" s="217">
        <v>602.51380000000006</v>
      </c>
      <c r="IQ7" s="211">
        <v>3564.8690800000004</v>
      </c>
      <c r="IR7" s="200">
        <v>39588.05775</v>
      </c>
      <c r="IS7" s="200">
        <v>352.48672999999997</v>
      </c>
      <c r="IT7" s="200">
        <v>219.17929999999998</v>
      </c>
      <c r="IU7" s="200">
        <v>123.58136</v>
      </c>
      <c r="IV7" s="201">
        <v>14959.437</v>
      </c>
      <c r="IW7" s="217">
        <v>55242.742139999995</v>
      </c>
      <c r="IX7" s="217">
        <v>10080.301970000002</v>
      </c>
      <c r="IY7" s="203">
        <v>310.14959999999996</v>
      </c>
      <c r="IZ7" s="240">
        <v>82.3536</v>
      </c>
      <c r="JA7" s="202">
        <v>10472.805170000003</v>
      </c>
      <c r="JB7" s="217">
        <v>65715.547309999994</v>
      </c>
      <c r="JD7" s="114" t="s">
        <v>499</v>
      </c>
      <c r="JE7" s="201">
        <v>2990.3327300000001</v>
      </c>
      <c r="JF7" s="200">
        <v>0</v>
      </c>
      <c r="JG7" s="204">
        <v>0</v>
      </c>
      <c r="JH7" s="204">
        <v>0</v>
      </c>
      <c r="JI7" s="217">
        <v>2637.24</v>
      </c>
      <c r="JJ7" s="217">
        <v>5627.5727299999999</v>
      </c>
      <c r="JK7" s="202">
        <v>579.58978999999999</v>
      </c>
      <c r="JL7" s="200">
        <v>0</v>
      </c>
      <c r="JM7" s="200">
        <v>0</v>
      </c>
      <c r="JN7" s="217">
        <v>579.58978999999999</v>
      </c>
      <c r="JO7" s="211">
        <v>6207.1625199999999</v>
      </c>
      <c r="JP7" s="200">
        <v>42578.390480000016</v>
      </c>
      <c r="JQ7" s="200">
        <v>352.48672999999997</v>
      </c>
      <c r="JR7" s="200">
        <v>219.17929999999998</v>
      </c>
      <c r="JS7" s="200">
        <v>123.58136</v>
      </c>
      <c r="JT7" s="201">
        <v>17596.677</v>
      </c>
      <c r="JU7" s="217">
        <v>60870.314870000017</v>
      </c>
      <c r="JV7" s="202">
        <v>10659.891760000002</v>
      </c>
      <c r="JW7" s="200">
        <v>310.14959999999996</v>
      </c>
      <c r="JX7" s="240">
        <v>82.3536</v>
      </c>
      <c r="JY7" s="202">
        <v>11052.394960000003</v>
      </c>
      <c r="JZ7" s="217">
        <v>71922.709830000022</v>
      </c>
      <c r="KA7" s="17">
        <f t="shared" ref="KA7:KA12" si="12">JP7-JE7-IR7</f>
        <v>0</v>
      </c>
      <c r="KB7" s="114" t="s">
        <v>499</v>
      </c>
      <c r="KC7" s="201">
        <v>2289.4086999999995</v>
      </c>
      <c r="KD7" s="200">
        <v>0</v>
      </c>
      <c r="KE7" s="204">
        <v>0</v>
      </c>
      <c r="KF7" s="204">
        <v>58.925040000000003</v>
      </c>
      <c r="KG7" s="217">
        <v>0</v>
      </c>
      <c r="KH7" s="217">
        <v>2348.3337399999996</v>
      </c>
      <c r="KI7" s="217">
        <v>2432.0730600000002</v>
      </c>
      <c r="KJ7" s="203">
        <v>0</v>
      </c>
      <c r="KK7" s="200">
        <v>0</v>
      </c>
      <c r="KL7" s="217">
        <v>2432.0730600000002</v>
      </c>
      <c r="KM7" s="211">
        <v>4780.4067999999997</v>
      </c>
      <c r="KN7" s="200">
        <v>44867.799180000024</v>
      </c>
      <c r="KO7" s="200">
        <v>352.48672999999997</v>
      </c>
      <c r="KP7" s="200">
        <v>219.17929999999998</v>
      </c>
      <c r="KQ7" s="200">
        <v>182.50639999999999</v>
      </c>
      <c r="KR7" s="201">
        <v>17596.677</v>
      </c>
      <c r="KS7" s="217">
        <v>63218.648610000018</v>
      </c>
      <c r="KT7" s="217">
        <v>13091.964820000001</v>
      </c>
      <c r="KU7" s="203">
        <v>310.14959999999996</v>
      </c>
      <c r="KV7" s="240">
        <v>82.3536</v>
      </c>
      <c r="KW7" s="202">
        <v>13484.468020000002</v>
      </c>
      <c r="KX7" s="217">
        <v>76703.116630000019</v>
      </c>
      <c r="KY7" s="17">
        <f t="shared" ref="KY7:KY12" si="13">KN7-KC7-JP7</f>
        <v>0</v>
      </c>
      <c r="KZ7" s="114" t="s">
        <v>499</v>
      </c>
      <c r="LA7" s="201">
        <v>2546.0691900000002</v>
      </c>
      <c r="LB7" s="200">
        <v>0</v>
      </c>
      <c r="LC7" s="204">
        <v>0</v>
      </c>
      <c r="LD7" s="204">
        <v>0</v>
      </c>
      <c r="LE7" s="217">
        <v>0</v>
      </c>
      <c r="LF7" s="217">
        <v>2546.0691900000002</v>
      </c>
      <c r="LG7" s="202">
        <v>0</v>
      </c>
      <c r="LH7" s="201">
        <v>0</v>
      </c>
      <c r="LI7" s="200">
        <v>0</v>
      </c>
      <c r="LJ7" s="200">
        <v>0</v>
      </c>
      <c r="LK7" s="217">
        <v>0</v>
      </c>
      <c r="LL7" s="211">
        <v>2546.0691900000002</v>
      </c>
      <c r="LM7" s="200">
        <v>47413.868370000018</v>
      </c>
      <c r="LN7" s="200">
        <v>352.48672999999997</v>
      </c>
      <c r="LO7" s="200">
        <v>219.17929999999998</v>
      </c>
      <c r="LP7" s="200">
        <v>182.50639999999999</v>
      </c>
      <c r="LQ7" s="201">
        <v>17596.677</v>
      </c>
      <c r="LR7" s="217">
        <v>65764.717800000013</v>
      </c>
      <c r="LS7" s="202">
        <v>13091.964820000003</v>
      </c>
      <c r="LT7" s="223">
        <v>0</v>
      </c>
      <c r="LU7" s="200">
        <v>310.14959999999996</v>
      </c>
      <c r="LV7" s="240">
        <v>82.3536</v>
      </c>
      <c r="LW7" s="202">
        <v>13484.468020000004</v>
      </c>
      <c r="LX7" s="217">
        <v>79249.185820000013</v>
      </c>
      <c r="LY7" s="17"/>
      <c r="LZ7" s="114" t="s">
        <v>499</v>
      </c>
      <c r="MA7" s="201">
        <v>3457.1639300000002</v>
      </c>
      <c r="MB7" s="200">
        <v>0</v>
      </c>
      <c r="MC7" s="204">
        <v>0</v>
      </c>
      <c r="MD7" s="204">
        <v>0</v>
      </c>
      <c r="ME7" s="217">
        <v>2637.24</v>
      </c>
      <c r="MF7" s="217">
        <v>6094.4039300000004</v>
      </c>
      <c r="MG7" s="202">
        <v>0</v>
      </c>
      <c r="MH7" s="201">
        <v>0</v>
      </c>
      <c r="MI7" s="200">
        <v>0</v>
      </c>
      <c r="MJ7" s="200">
        <v>0</v>
      </c>
      <c r="MK7" s="217">
        <v>0</v>
      </c>
      <c r="ML7" s="211">
        <v>6094.4039300000004</v>
      </c>
      <c r="MM7" s="200">
        <v>50871.032300000035</v>
      </c>
      <c r="MN7" s="200">
        <v>352.48672999999997</v>
      </c>
      <c r="MO7" s="200">
        <v>219.17929999999998</v>
      </c>
      <c r="MP7" s="200">
        <v>182.50639999999999</v>
      </c>
      <c r="MQ7" s="201">
        <v>20233.917000000001</v>
      </c>
      <c r="MR7" s="217">
        <v>71859.121730000043</v>
      </c>
      <c r="MS7" s="202">
        <v>13091.964820000001</v>
      </c>
      <c r="MT7" s="223">
        <v>0</v>
      </c>
      <c r="MU7" s="200">
        <v>310.14959999999996</v>
      </c>
      <c r="MV7" s="240">
        <v>82.3536</v>
      </c>
      <c r="MW7" s="202">
        <v>13484.468020000002</v>
      </c>
      <c r="MX7" s="217">
        <v>85343.589750000043</v>
      </c>
      <c r="MY7" s="17">
        <f t="shared" ref="MY7:MY12" si="14">MM7-MA7-LM7</f>
        <v>0</v>
      </c>
      <c r="MZ7" s="114" t="s">
        <v>499</v>
      </c>
      <c r="NA7" s="201">
        <v>4812.5441599999995</v>
      </c>
      <c r="NB7" s="200">
        <v>-4.3749899999999995</v>
      </c>
      <c r="NC7" s="204">
        <v>0</v>
      </c>
      <c r="ND7" s="204">
        <v>0</v>
      </c>
      <c r="NE7" s="217">
        <v>0</v>
      </c>
      <c r="NF7" s="217">
        <v>4808.1691699999992</v>
      </c>
      <c r="NG7" s="217">
        <v>150.22</v>
      </c>
      <c r="NH7" s="200">
        <v>0</v>
      </c>
      <c r="NI7" s="200">
        <v>0</v>
      </c>
      <c r="NJ7" s="217">
        <v>150.22</v>
      </c>
      <c r="NK7" s="211">
        <v>4958.3891699999995</v>
      </c>
      <c r="NL7" s="200">
        <v>55683.576460000026</v>
      </c>
      <c r="NM7" s="200">
        <v>348.11173999999994</v>
      </c>
      <c r="NN7" s="200">
        <v>219.17929999999998</v>
      </c>
      <c r="NO7" s="200">
        <v>182.50639999999999</v>
      </c>
      <c r="NP7" s="201">
        <v>20233.917000000001</v>
      </c>
      <c r="NQ7" s="217">
        <v>76667.290900000022</v>
      </c>
      <c r="NR7" s="217">
        <v>13242.184820000002</v>
      </c>
      <c r="NS7" s="200">
        <v>310.14959999999996</v>
      </c>
      <c r="NT7" s="240">
        <v>82.3536</v>
      </c>
      <c r="NU7" s="202">
        <v>13634.688020000003</v>
      </c>
      <c r="NV7" s="217">
        <v>90301.978920000023</v>
      </c>
      <c r="NW7" s="17"/>
      <c r="NX7" s="114" t="s">
        <v>499</v>
      </c>
      <c r="NY7" s="201">
        <v>3816.6704499999996</v>
      </c>
      <c r="NZ7" s="200">
        <v>0</v>
      </c>
      <c r="OA7" s="204">
        <v>0</v>
      </c>
      <c r="OB7" s="204">
        <v>74.40164</v>
      </c>
      <c r="OC7" s="217">
        <v>-11.86758</v>
      </c>
      <c r="OD7" s="217">
        <v>3879.2045099999996</v>
      </c>
      <c r="OE7" s="217">
        <v>0</v>
      </c>
      <c r="OF7" s="200">
        <v>0</v>
      </c>
      <c r="OG7" s="200">
        <v>0</v>
      </c>
      <c r="OH7" s="217">
        <v>0</v>
      </c>
      <c r="OI7" s="211">
        <v>3879.2045099999996</v>
      </c>
      <c r="OJ7" s="200">
        <v>59500.246910000031</v>
      </c>
      <c r="OK7" s="200">
        <v>348.11173999999994</v>
      </c>
      <c r="OL7" s="200">
        <v>219.17929999999998</v>
      </c>
      <c r="OM7" s="200">
        <v>256.90803999999997</v>
      </c>
      <c r="ON7" s="201">
        <v>20222.049420000003</v>
      </c>
      <c r="OO7" s="217">
        <v>80546.495410000032</v>
      </c>
      <c r="OP7" s="217">
        <v>13242.184820000002</v>
      </c>
      <c r="OQ7" s="200">
        <v>310.14959999999996</v>
      </c>
      <c r="OR7" s="240">
        <v>82.3536</v>
      </c>
      <c r="OS7" s="202">
        <v>13634.688020000003</v>
      </c>
      <c r="OT7" s="217">
        <v>94181.183430000034</v>
      </c>
      <c r="OU7" s="17">
        <f t="shared" ref="OU7:OU12" si="15">OJ7-NY7-NL7</f>
        <v>0</v>
      </c>
      <c r="OV7" s="114" t="s">
        <v>499</v>
      </c>
      <c r="OW7" s="201">
        <v>3742.7370799999999</v>
      </c>
      <c r="OX7" s="200">
        <v>0</v>
      </c>
      <c r="OY7" s="204">
        <v>0</v>
      </c>
      <c r="OZ7" s="204">
        <v>0</v>
      </c>
      <c r="PA7" s="217">
        <v>2703.1709999999998</v>
      </c>
      <c r="PB7" s="217">
        <v>6445.9080799999992</v>
      </c>
      <c r="PC7" s="217">
        <v>0</v>
      </c>
      <c r="PD7" s="200">
        <v>0</v>
      </c>
      <c r="PE7" s="200">
        <v>0</v>
      </c>
      <c r="PF7" s="217">
        <v>0</v>
      </c>
      <c r="PG7" s="211">
        <v>6445.9080799999992</v>
      </c>
      <c r="PH7" s="200">
        <v>63242.983990000037</v>
      </c>
      <c r="PI7" s="200">
        <v>348.11173999999994</v>
      </c>
      <c r="PJ7" s="200">
        <v>219.17929999999998</v>
      </c>
      <c r="PK7" s="200">
        <v>256.90803999999997</v>
      </c>
      <c r="PL7" s="201">
        <v>22925.220420000001</v>
      </c>
      <c r="PM7" s="217">
        <v>86992.403490000041</v>
      </c>
      <c r="PN7" s="217">
        <v>13242.184820000002</v>
      </c>
      <c r="PO7" s="200">
        <v>310.14959999999996</v>
      </c>
      <c r="PP7" s="240">
        <v>82.3536</v>
      </c>
      <c r="PQ7" s="202">
        <v>13634.688020000003</v>
      </c>
      <c r="PR7" s="217">
        <v>100627.09151000004</v>
      </c>
      <c r="PS7" s="17">
        <f t="shared" ref="PS7:PS12" si="16">PH7-OW7-OJ7</f>
        <v>0</v>
      </c>
      <c r="PT7" s="114" t="s">
        <v>499</v>
      </c>
      <c r="PU7" s="201">
        <v>1512.8233799999994</v>
      </c>
      <c r="PV7" s="200">
        <v>0</v>
      </c>
      <c r="PW7" s="204">
        <v>0</v>
      </c>
      <c r="PX7" s="204">
        <v>0</v>
      </c>
      <c r="PY7" s="217">
        <v>0</v>
      </c>
      <c r="PZ7" s="217">
        <v>1512.8233799999994</v>
      </c>
      <c r="QA7" s="217">
        <v>1785.0231199999998</v>
      </c>
      <c r="QB7" s="200">
        <v>0</v>
      </c>
      <c r="QC7" s="200">
        <v>0</v>
      </c>
      <c r="QD7" s="217">
        <v>1785.0231199999998</v>
      </c>
      <c r="QE7" s="211">
        <v>3297.8464999999992</v>
      </c>
      <c r="QF7" s="200">
        <v>64755.807370000024</v>
      </c>
      <c r="QG7" s="200">
        <v>348.11173999999994</v>
      </c>
      <c r="QH7" s="200">
        <v>219.17929999999998</v>
      </c>
      <c r="QI7" s="200">
        <v>256.90803999999997</v>
      </c>
      <c r="QJ7" s="201">
        <v>22925.220420000001</v>
      </c>
      <c r="QK7" s="217">
        <v>88505.226870000028</v>
      </c>
      <c r="QL7" s="217">
        <v>15027.207940000008</v>
      </c>
      <c r="QM7" s="200">
        <v>310.14959999999996</v>
      </c>
      <c r="QN7" s="240">
        <v>82.3536</v>
      </c>
      <c r="QO7" s="202">
        <v>15419.711140000009</v>
      </c>
      <c r="QP7" s="217">
        <v>103924.93801000004</v>
      </c>
      <c r="QQ7" s="17">
        <f t="shared" ref="QQ7:QQ12" si="17">QF7-PU7-PH7</f>
        <v>0</v>
      </c>
      <c r="QR7" s="114" t="s">
        <v>499</v>
      </c>
      <c r="QS7" s="200">
        <v>71330.568280000036</v>
      </c>
      <c r="QT7" s="200">
        <v>348.11173999999994</v>
      </c>
      <c r="QU7" s="200">
        <v>219.17929999999998</v>
      </c>
      <c r="QV7" s="200">
        <v>342.69395999999995</v>
      </c>
      <c r="QW7" s="201">
        <v>25557.935420000002</v>
      </c>
      <c r="QX7" s="217">
        <v>97798.488700000045</v>
      </c>
      <c r="QY7" s="217">
        <v>17486.298420000003</v>
      </c>
      <c r="QZ7" s="200">
        <v>310.14959999999996</v>
      </c>
      <c r="RA7" s="240">
        <v>82.3536</v>
      </c>
      <c r="RB7" s="202">
        <v>17878.801620000002</v>
      </c>
      <c r="RC7" s="217">
        <v>115677.29032000004</v>
      </c>
      <c r="RD7" s="15"/>
      <c r="RE7" s="114" t="s">
        <v>499</v>
      </c>
      <c r="RF7" s="200">
        <f>QS7*10^3</f>
        <v>71330568.280000031</v>
      </c>
      <c r="RG7" s="200">
        <f t="shared" ref="RG7:RG12" si="18">QT7*10^3</f>
        <v>348111.73999999993</v>
      </c>
      <c r="RH7" s="200">
        <f t="shared" ref="RH7:RH12" si="19">QU7*10^3</f>
        <v>219179.3</v>
      </c>
      <c r="RI7" s="200">
        <f t="shared" ref="RI7:RI12" si="20">QV7*10^3</f>
        <v>342693.95999999996</v>
      </c>
      <c r="RJ7" s="201">
        <f t="shared" ref="RJ7:RJ12" si="21">QW7*10^3</f>
        <v>25557935.420000002</v>
      </c>
      <c r="RK7" s="217">
        <f t="shared" ref="RK7:RK12" si="22">QX7*10^3</f>
        <v>97798488.700000048</v>
      </c>
      <c r="RL7" s="217">
        <f t="shared" ref="RL7:RL12" si="23">QY7*10^3</f>
        <v>17486298.420000002</v>
      </c>
      <c r="RM7" s="200">
        <f t="shared" ref="RM7:RM12" si="24">QZ7*10^3</f>
        <v>310149.59999999998</v>
      </c>
      <c r="RN7" s="240">
        <f t="shared" ref="RN7:RN12" si="25">RA7*10^3</f>
        <v>82353.600000000006</v>
      </c>
      <c r="RO7" s="202">
        <f t="shared" ref="RO7:RO12" si="26">RB7*10^3</f>
        <v>17878801.620000001</v>
      </c>
      <c r="RP7" s="217">
        <f t="shared" ref="RP7:RP12" si="27">RC7*10^3</f>
        <v>115677290.32000004</v>
      </c>
      <c r="RQ7" s="326"/>
      <c r="RR7" s="336" t="s">
        <v>453</v>
      </c>
      <c r="RS7" s="310">
        <f>RF9</f>
        <v>56025642.899999984</v>
      </c>
      <c r="RT7" s="311">
        <f t="shared" si="5"/>
        <v>0.78543665431176291</v>
      </c>
      <c r="RU7" s="312">
        <f>RJ9</f>
        <v>15583263.380000001</v>
      </c>
      <c r="RV7" s="311">
        <f t="shared" si="5"/>
        <v>0.60972309084893994</v>
      </c>
      <c r="RW7" s="312">
        <f>RG9</f>
        <v>232028.48000000004</v>
      </c>
      <c r="RX7" s="311">
        <f t="shared" si="5"/>
        <v>0.66653448688630867</v>
      </c>
      <c r="RY7" s="312">
        <f>RH9</f>
        <v>206894.93</v>
      </c>
      <c r="RZ7" s="311">
        <f t="shared" si="6"/>
        <v>0.94395287328684785</v>
      </c>
      <c r="SA7" s="312">
        <f>RI9</f>
        <v>156998.21</v>
      </c>
      <c r="SB7" s="311">
        <f t="shared" si="7"/>
        <v>0.45812949256531982</v>
      </c>
      <c r="SC7" s="312">
        <f>RL9</f>
        <v>15503380.339999998</v>
      </c>
      <c r="SD7" s="313">
        <f t="shared" si="5"/>
        <v>0.88660161045106978</v>
      </c>
      <c r="SE7" s="310">
        <f>RM9</f>
        <v>263701.54000000004</v>
      </c>
      <c r="SF7" s="311">
        <f t="shared" si="8"/>
        <v>0.85023981975150076</v>
      </c>
      <c r="SG7" s="312">
        <f>RN9</f>
        <v>43711.920000000006</v>
      </c>
      <c r="SH7" s="311">
        <f t="shared" si="5"/>
        <v>0.5307833537331702</v>
      </c>
      <c r="SI7" s="310">
        <f>RS7+RU7+RW7+SC7+SG7+SE7+RY7+SA7</f>
        <v>88015621.700000003</v>
      </c>
      <c r="SJ7" s="311">
        <f t="shared" si="5"/>
        <v>0.76087209042086767</v>
      </c>
      <c r="SL7" s="17"/>
    </row>
    <row r="8" spans="2:506" x14ac:dyDescent="0.3">
      <c r="B8" s="114" t="s">
        <v>541</v>
      </c>
      <c r="C8" s="31">
        <v>67.968000000000004</v>
      </c>
      <c r="D8" s="18">
        <v>245.69355999999999</v>
      </c>
      <c r="E8" s="18">
        <v>0</v>
      </c>
      <c r="F8" s="18">
        <v>9.7125000000000004</v>
      </c>
      <c r="G8" s="19">
        <v>323.37405999999999</v>
      </c>
      <c r="H8" s="28">
        <v>67.968000000000004</v>
      </c>
      <c r="I8" s="18">
        <v>245.69355999999999</v>
      </c>
      <c r="J8" s="18">
        <v>0</v>
      </c>
      <c r="K8" s="51">
        <v>9.7125000000000004</v>
      </c>
      <c r="L8" s="19">
        <v>323.37405999999999</v>
      </c>
      <c r="N8" s="114" t="s">
        <v>541</v>
      </c>
      <c r="O8" s="31">
        <v>0</v>
      </c>
      <c r="P8" s="18">
        <v>269.83440000000002</v>
      </c>
      <c r="Q8" s="18">
        <v>0</v>
      </c>
      <c r="R8" s="18">
        <v>4.7279999999999998</v>
      </c>
      <c r="S8" s="18">
        <v>0</v>
      </c>
      <c r="T8" s="18">
        <v>0</v>
      </c>
      <c r="U8" s="19">
        <v>274.56240000000003</v>
      </c>
      <c r="V8" s="28">
        <v>67.968000000000004</v>
      </c>
      <c r="W8" s="18">
        <v>515.52796000000001</v>
      </c>
      <c r="X8" s="18">
        <v>0</v>
      </c>
      <c r="Y8" s="51">
        <v>14.4405</v>
      </c>
      <c r="Z8" s="51">
        <v>0</v>
      </c>
      <c r="AA8" s="51">
        <v>0</v>
      </c>
      <c r="AB8" s="19">
        <v>597.93646000000001</v>
      </c>
      <c r="AC8" s="17">
        <f t="shared" si="1"/>
        <v>0</v>
      </c>
      <c r="AD8" s="114" t="s">
        <v>541</v>
      </c>
      <c r="AE8" s="31">
        <v>0</v>
      </c>
      <c r="AF8" s="18">
        <v>190.81088</v>
      </c>
      <c r="AG8" s="18">
        <v>8.8620000000000001</v>
      </c>
      <c r="AH8" s="19">
        <v>199.67287999999999</v>
      </c>
      <c r="AI8" s="28">
        <v>67.968000000000004</v>
      </c>
      <c r="AJ8" s="18">
        <v>706.33883999999989</v>
      </c>
      <c r="AK8" s="51">
        <v>23.302499999999998</v>
      </c>
      <c r="AL8" s="19">
        <v>797.60933999999986</v>
      </c>
      <c r="AN8" s="114" t="s">
        <v>541</v>
      </c>
      <c r="AO8" s="31">
        <v>0</v>
      </c>
      <c r="AP8" s="18">
        <v>129.1808</v>
      </c>
      <c r="AQ8" s="18">
        <v>-0.11588</v>
      </c>
      <c r="AR8" s="18">
        <v>3.1027499999999999</v>
      </c>
      <c r="AS8" s="18">
        <v>4.6440000000000001</v>
      </c>
      <c r="AT8" s="19">
        <v>136.81166999999999</v>
      </c>
      <c r="AU8" s="28">
        <v>67.968000000000004</v>
      </c>
      <c r="AV8" s="18">
        <v>835.51963999999998</v>
      </c>
      <c r="AW8" s="18">
        <v>-0.11588</v>
      </c>
      <c r="AX8" s="18">
        <v>3.1027499999999999</v>
      </c>
      <c r="AY8" s="51">
        <v>27.9465</v>
      </c>
      <c r="AZ8" s="19">
        <v>934.42101000000002</v>
      </c>
      <c r="BA8" s="17">
        <f t="shared" si="2"/>
        <v>0</v>
      </c>
      <c r="BB8" s="114" t="s">
        <v>541</v>
      </c>
      <c r="BC8" s="31">
        <v>141.6</v>
      </c>
      <c r="BD8" s="18">
        <v>43.512800000000006</v>
      </c>
      <c r="BE8" s="18">
        <v>0</v>
      </c>
      <c r="BF8" s="18">
        <v>0</v>
      </c>
      <c r="BG8" s="18">
        <v>10.3005</v>
      </c>
      <c r="BH8" s="19">
        <f t="shared" si="3"/>
        <v>195.41329999999999</v>
      </c>
      <c r="BI8" s="28">
        <v>209.56800000000001</v>
      </c>
      <c r="BJ8" s="18">
        <v>879.03244000000007</v>
      </c>
      <c r="BK8" s="18">
        <v>-0.11588</v>
      </c>
      <c r="BL8" s="18">
        <v>3.1027499999999999</v>
      </c>
      <c r="BM8" s="51">
        <v>38.247</v>
      </c>
      <c r="BN8" s="19">
        <f t="shared" si="4"/>
        <v>1129.8343100000002</v>
      </c>
      <c r="BO8" s="17">
        <f t="shared" si="0"/>
        <v>0</v>
      </c>
      <c r="BP8" s="115" t="s">
        <v>539</v>
      </c>
      <c r="BQ8" s="206">
        <v>888.96918999999968</v>
      </c>
      <c r="BR8" s="205">
        <v>0</v>
      </c>
      <c r="BS8" s="205">
        <v>79.572500000000005</v>
      </c>
      <c r="BT8" s="209">
        <v>1061.703</v>
      </c>
      <c r="BU8" s="218">
        <v>2030.2446899999995</v>
      </c>
      <c r="BV8" s="208">
        <v>568.23415999999986</v>
      </c>
      <c r="BW8" s="218">
        <v>568.23415999999986</v>
      </c>
      <c r="BX8" s="212">
        <v>2598.4788499999995</v>
      </c>
      <c r="BY8" s="205">
        <v>15266.761659999998</v>
      </c>
      <c r="BZ8" s="205">
        <v>-2.7891199999999987</v>
      </c>
      <c r="CA8" s="209">
        <v>127.316</v>
      </c>
      <c r="CB8" s="206">
        <v>4477.6170000000002</v>
      </c>
      <c r="CC8" s="218">
        <v>19868.90554</v>
      </c>
      <c r="CD8" s="207">
        <v>4571.4460199999985</v>
      </c>
      <c r="CE8" s="224">
        <v>4571.4460199999985</v>
      </c>
      <c r="CF8" s="218">
        <v>24440.351559999999</v>
      </c>
      <c r="CG8" s="17"/>
      <c r="CH8" s="115" t="s">
        <v>539</v>
      </c>
      <c r="CI8" s="206">
        <v>973.5337599999998</v>
      </c>
      <c r="CJ8" s="205">
        <v>0</v>
      </c>
      <c r="CK8" s="205">
        <v>0</v>
      </c>
      <c r="CL8" s="209">
        <v>0</v>
      </c>
      <c r="CM8" s="218">
        <v>973.5337599999998</v>
      </c>
      <c r="CN8" s="208">
        <v>472.54399999999987</v>
      </c>
      <c r="CO8" s="218">
        <v>472.54399999999987</v>
      </c>
      <c r="CP8" s="212">
        <v>1446.0777599999997</v>
      </c>
      <c r="CQ8" s="205">
        <v>16240.29542</v>
      </c>
      <c r="CR8" s="205">
        <v>-2.7891199999999987</v>
      </c>
      <c r="CS8" s="209">
        <v>127.316</v>
      </c>
      <c r="CT8" s="206">
        <v>4477.6170000000002</v>
      </c>
      <c r="CU8" s="218">
        <v>20842.439300000002</v>
      </c>
      <c r="CV8" s="207">
        <v>5043.9900199999984</v>
      </c>
      <c r="CW8" s="224">
        <v>5043.9900199999984</v>
      </c>
      <c r="CX8" s="218">
        <v>25886.429319999999</v>
      </c>
      <c r="CZ8" s="115" t="s">
        <v>539</v>
      </c>
      <c r="DA8" s="206">
        <v>2769.7049599999996</v>
      </c>
      <c r="DB8" s="205">
        <v>0</v>
      </c>
      <c r="DC8" s="205">
        <v>0</v>
      </c>
      <c r="DD8" s="209">
        <v>1846.4400000000003</v>
      </c>
      <c r="DE8" s="218">
        <v>4616.1449599999996</v>
      </c>
      <c r="DF8" s="208">
        <v>528.16071999999986</v>
      </c>
      <c r="DG8" s="218">
        <v>528.16071999999986</v>
      </c>
      <c r="DH8" s="212">
        <v>5144.3056799999995</v>
      </c>
      <c r="DI8" s="205">
        <v>19010.000379999998</v>
      </c>
      <c r="DJ8" s="205">
        <v>-2.7891199999999987</v>
      </c>
      <c r="DK8" s="209">
        <v>127.316</v>
      </c>
      <c r="DL8" s="206">
        <v>6324.0569999999998</v>
      </c>
      <c r="DM8" s="218">
        <v>25458.584259999996</v>
      </c>
      <c r="DN8" s="207">
        <v>5572.1507399999982</v>
      </c>
      <c r="DO8" s="224">
        <v>5572.1507399999982</v>
      </c>
      <c r="DP8" s="218">
        <v>31030.734999999993</v>
      </c>
      <c r="DQ8" s="17"/>
      <c r="DR8" s="115" t="s">
        <v>539</v>
      </c>
      <c r="DS8" s="206">
        <v>1609.9397399999998</v>
      </c>
      <c r="DT8" s="205">
        <v>85.40130000000002</v>
      </c>
      <c r="DU8" s="209">
        <v>112.31089999999999</v>
      </c>
      <c r="DV8" s="218">
        <v>0</v>
      </c>
      <c r="DW8" s="218">
        <v>1807.6519399999997</v>
      </c>
      <c r="DX8" s="208">
        <v>836.22119999999984</v>
      </c>
      <c r="DY8" s="218">
        <v>836.22119999999984</v>
      </c>
      <c r="DZ8" s="212">
        <v>2643.8731399999997</v>
      </c>
      <c r="EA8" s="205">
        <v>20619.940119999992</v>
      </c>
      <c r="EB8" s="205">
        <v>82.612180000000023</v>
      </c>
      <c r="EC8" s="209">
        <v>239.62690000000001</v>
      </c>
      <c r="ED8" s="206">
        <v>6324.0569999999998</v>
      </c>
      <c r="EE8" s="218">
        <v>27266.236199999992</v>
      </c>
      <c r="EF8" s="207">
        <v>6408.3719399999982</v>
      </c>
      <c r="EG8" s="224">
        <v>6408.3719399999982</v>
      </c>
      <c r="EH8" s="218">
        <v>33674.608139999989</v>
      </c>
      <c r="EI8" s="17">
        <f t="shared" si="9"/>
        <v>0</v>
      </c>
      <c r="EJ8" s="115" t="s">
        <v>539</v>
      </c>
      <c r="EK8" s="206">
        <v>1629.8921899999996</v>
      </c>
      <c r="EL8" s="205">
        <v>0</v>
      </c>
      <c r="EM8" s="209">
        <v>0</v>
      </c>
      <c r="EN8" s="218">
        <v>1846.4400000000003</v>
      </c>
      <c r="EO8" s="218">
        <v>3476.3321900000001</v>
      </c>
      <c r="EP8" s="208">
        <v>774.25855999999987</v>
      </c>
      <c r="EQ8" s="218">
        <v>774.25855999999987</v>
      </c>
      <c r="ER8" s="212">
        <v>4250.5907500000003</v>
      </c>
      <c r="ES8" s="205">
        <v>22249.832309999994</v>
      </c>
      <c r="ET8" s="205">
        <v>82.612180000000023</v>
      </c>
      <c r="EU8" s="209">
        <v>239.62690000000001</v>
      </c>
      <c r="EV8" s="206">
        <v>8170.4970000000003</v>
      </c>
      <c r="EW8" s="218">
        <v>30742.568389999993</v>
      </c>
      <c r="EX8" s="207">
        <v>7182.6304999999984</v>
      </c>
      <c r="EY8" s="224">
        <v>7182.6304999999984</v>
      </c>
      <c r="EZ8" s="218">
        <v>37925.198889999992</v>
      </c>
      <c r="FA8" s="17">
        <f t="shared" si="10"/>
        <v>0</v>
      </c>
      <c r="FB8" s="115" t="s">
        <v>539</v>
      </c>
      <c r="FC8" s="206">
        <v>2188.2523199999991</v>
      </c>
      <c r="FD8" s="205">
        <v>0</v>
      </c>
      <c r="FE8" s="209">
        <v>0</v>
      </c>
      <c r="FF8" s="218">
        <v>0</v>
      </c>
      <c r="FG8" s="218">
        <v>2188.2523199999991</v>
      </c>
      <c r="FH8" s="208">
        <v>0</v>
      </c>
      <c r="FI8" s="218">
        <v>0</v>
      </c>
      <c r="FJ8" s="212">
        <v>2188.2523199999991</v>
      </c>
      <c r="FK8" s="205">
        <v>24438.084629999994</v>
      </c>
      <c r="FL8" s="205">
        <v>82.612180000000023</v>
      </c>
      <c r="FM8" s="209">
        <v>239.62690000000001</v>
      </c>
      <c r="FN8" s="206">
        <v>8170.4970000000003</v>
      </c>
      <c r="FO8" s="218">
        <v>32930.820709999993</v>
      </c>
      <c r="FP8" s="207">
        <v>7182.6304999999984</v>
      </c>
      <c r="FQ8" s="224">
        <v>7182.6304999999984</v>
      </c>
      <c r="FR8" s="218">
        <v>40113.451209999992</v>
      </c>
      <c r="FT8" s="115" t="s">
        <v>539</v>
      </c>
      <c r="FU8" s="206">
        <v>3341.5127199999997</v>
      </c>
      <c r="FV8" s="205">
        <v>0</v>
      </c>
      <c r="FW8" s="209">
        <v>0</v>
      </c>
      <c r="FX8" s="209">
        <v>44.715780000000002</v>
      </c>
      <c r="FY8" s="218">
        <v>0</v>
      </c>
      <c r="FZ8" s="218">
        <v>3386.2284999999997</v>
      </c>
      <c r="GA8" s="207">
        <v>314.24175999999989</v>
      </c>
      <c r="GB8" s="218">
        <v>314.24175999999989</v>
      </c>
      <c r="GC8" s="212">
        <v>3700.4702599999996</v>
      </c>
      <c r="GD8" s="205">
        <v>31181.290809999995</v>
      </c>
      <c r="GE8" s="205">
        <v>82.612180000000023</v>
      </c>
      <c r="GF8" s="205">
        <v>239.62690000000001</v>
      </c>
      <c r="GG8" s="205">
        <v>44.715780000000002</v>
      </c>
      <c r="GH8" s="206">
        <v>10478.547</v>
      </c>
      <c r="GI8" s="218">
        <v>42026.792669999995</v>
      </c>
      <c r="GJ8" s="218">
        <v>8179.0634199999977</v>
      </c>
      <c r="GK8" s="207">
        <v>8179.0634199999977</v>
      </c>
      <c r="GL8" s="218">
        <v>50205.856089999994</v>
      </c>
      <c r="GN8" s="115" t="s">
        <v>539</v>
      </c>
      <c r="GO8" s="206">
        <v>3401.6934599999995</v>
      </c>
      <c r="GP8" s="205">
        <v>0</v>
      </c>
      <c r="GQ8" s="209">
        <v>0</v>
      </c>
      <c r="GR8" s="209">
        <v>0</v>
      </c>
      <c r="GS8" s="218">
        <v>2308.0500000000002</v>
      </c>
      <c r="GT8" s="218">
        <v>5709.7434599999997</v>
      </c>
      <c r="GU8" s="207">
        <v>682.19115999999985</v>
      </c>
      <c r="GV8" s="218">
        <v>682.19115999999985</v>
      </c>
      <c r="GW8" s="218">
        <v>6391.93462</v>
      </c>
      <c r="GX8" s="208">
        <v>31181.290809999995</v>
      </c>
      <c r="GY8" s="205">
        <v>82.612180000000023</v>
      </c>
      <c r="GZ8" s="205">
        <v>239.62690000000001</v>
      </c>
      <c r="HA8" s="205">
        <v>44.715780000000002</v>
      </c>
      <c r="HB8" s="206">
        <v>10478.547</v>
      </c>
      <c r="HC8" s="218">
        <v>42026.792669999995</v>
      </c>
      <c r="HD8" s="218">
        <v>8179.0634199999977</v>
      </c>
      <c r="HE8" s="207">
        <v>8179.0634199999977</v>
      </c>
      <c r="HF8" s="218">
        <v>50205.856089999994</v>
      </c>
      <c r="HG8" s="17"/>
      <c r="HH8" s="115" t="s">
        <v>539</v>
      </c>
      <c r="HI8" s="206">
        <v>2442.1702899999991</v>
      </c>
      <c r="HJ8" s="205">
        <v>0</v>
      </c>
      <c r="HK8" s="209">
        <v>0</v>
      </c>
      <c r="HL8" s="209">
        <v>0</v>
      </c>
      <c r="HM8" s="218">
        <v>0</v>
      </c>
      <c r="HN8" s="218">
        <v>2442.1702899999991</v>
      </c>
      <c r="HO8" s="207">
        <v>422.91535999999991</v>
      </c>
      <c r="HP8" s="205">
        <v>268.08264000000003</v>
      </c>
      <c r="HQ8" s="205">
        <v>45.450720000000011</v>
      </c>
      <c r="HR8" s="218">
        <v>736.44871999999998</v>
      </c>
      <c r="HS8" s="218">
        <v>3178.619009999999</v>
      </c>
      <c r="HT8" s="208">
        <v>33623.461099999993</v>
      </c>
      <c r="HU8" s="205">
        <v>82.612180000000023</v>
      </c>
      <c r="HV8" s="205">
        <v>239.62690000000001</v>
      </c>
      <c r="HW8" s="205">
        <v>44.715780000000002</v>
      </c>
      <c r="HX8" s="206">
        <v>10478.547</v>
      </c>
      <c r="HY8" s="218">
        <v>44468.96295999999</v>
      </c>
      <c r="HZ8" s="207">
        <v>8601.9787799999976</v>
      </c>
      <c r="IA8" s="205">
        <v>265.42309</v>
      </c>
      <c r="IB8" s="241">
        <v>45.450720000000011</v>
      </c>
      <c r="IC8" s="207">
        <v>8912.8525899999986</v>
      </c>
      <c r="ID8" s="218">
        <v>53381.815549999985</v>
      </c>
      <c r="IE8" s="17">
        <f t="shared" si="11"/>
        <v>0</v>
      </c>
      <c r="IF8" s="115" t="s">
        <v>539</v>
      </c>
      <c r="IG8" s="206">
        <v>2061.1591599999997</v>
      </c>
      <c r="IH8" s="205">
        <v>254.02456000000004</v>
      </c>
      <c r="II8" s="209">
        <v>0</v>
      </c>
      <c r="IJ8" s="209">
        <v>30.486039999999999</v>
      </c>
      <c r="IK8" s="218">
        <v>0</v>
      </c>
      <c r="IL8" s="218">
        <v>2345.6697599999993</v>
      </c>
      <c r="IM8" s="218">
        <v>555.99291999999991</v>
      </c>
      <c r="IN8" s="208">
        <v>0</v>
      </c>
      <c r="IO8" s="205">
        <v>0</v>
      </c>
      <c r="IP8" s="218">
        <v>555.99291999999991</v>
      </c>
      <c r="IQ8" s="212">
        <v>2901.6626799999995</v>
      </c>
      <c r="IR8" s="205">
        <v>35684.620259999989</v>
      </c>
      <c r="IS8" s="205">
        <v>336.63674000000003</v>
      </c>
      <c r="IT8" s="205">
        <v>239.62690000000001</v>
      </c>
      <c r="IU8" s="205">
        <v>75.201820000000012</v>
      </c>
      <c r="IV8" s="206">
        <v>10478.547</v>
      </c>
      <c r="IW8" s="218">
        <v>46814.632719999994</v>
      </c>
      <c r="IX8" s="218">
        <v>9157.9717000000001</v>
      </c>
      <c r="IY8" s="208">
        <v>265.42309</v>
      </c>
      <c r="IZ8" s="241">
        <v>45.450720000000011</v>
      </c>
      <c r="JA8" s="207">
        <v>9468.845510000001</v>
      </c>
      <c r="JB8" s="218">
        <v>56283.478229999993</v>
      </c>
      <c r="JD8" s="115" t="s">
        <v>539</v>
      </c>
      <c r="JE8" s="206">
        <v>2735.8895999999986</v>
      </c>
      <c r="JF8" s="205">
        <v>0</v>
      </c>
      <c r="JG8" s="209">
        <v>0</v>
      </c>
      <c r="JH8" s="209">
        <v>0</v>
      </c>
      <c r="JI8" s="218">
        <v>1846.4400000000003</v>
      </c>
      <c r="JJ8" s="218">
        <v>4582.3295999999991</v>
      </c>
      <c r="JK8" s="207">
        <v>533.6165299999999</v>
      </c>
      <c r="JL8" s="205">
        <v>0</v>
      </c>
      <c r="JM8" s="205">
        <v>0</v>
      </c>
      <c r="JN8" s="218">
        <v>533.6165299999999</v>
      </c>
      <c r="JO8" s="212">
        <v>5115.9461299999994</v>
      </c>
      <c r="JP8" s="205">
        <v>38420.509859999991</v>
      </c>
      <c r="JQ8" s="205">
        <v>336.63674000000003</v>
      </c>
      <c r="JR8" s="205">
        <v>239.62690000000001</v>
      </c>
      <c r="JS8" s="205">
        <v>75.201820000000012</v>
      </c>
      <c r="JT8" s="206">
        <v>12324.986999999999</v>
      </c>
      <c r="JU8" s="218">
        <v>51396.962319999999</v>
      </c>
      <c r="JV8" s="207">
        <v>9691.5882300000012</v>
      </c>
      <c r="JW8" s="205">
        <v>265.42309</v>
      </c>
      <c r="JX8" s="241">
        <v>45.450720000000011</v>
      </c>
      <c r="JY8" s="207">
        <v>10002.462040000002</v>
      </c>
      <c r="JZ8" s="218">
        <v>61399.424360000005</v>
      </c>
      <c r="KA8" s="17">
        <f t="shared" si="12"/>
        <v>0</v>
      </c>
      <c r="KB8" s="115" t="s">
        <v>539</v>
      </c>
      <c r="KC8" s="206">
        <v>2146.97694</v>
      </c>
      <c r="KD8" s="205">
        <v>0</v>
      </c>
      <c r="KE8" s="209">
        <v>0</v>
      </c>
      <c r="KF8" s="209">
        <v>31.536880000000004</v>
      </c>
      <c r="KG8" s="218">
        <v>0</v>
      </c>
      <c r="KH8" s="218">
        <v>2178.5138200000001</v>
      </c>
      <c r="KI8" s="218">
        <v>2193.8810399999998</v>
      </c>
      <c r="KJ8" s="208">
        <v>0</v>
      </c>
      <c r="KK8" s="205">
        <v>0</v>
      </c>
      <c r="KL8" s="218">
        <v>2193.8810399999998</v>
      </c>
      <c r="KM8" s="212">
        <v>4372.3948600000003</v>
      </c>
      <c r="KN8" s="205">
        <v>40567.486799999999</v>
      </c>
      <c r="KO8" s="205">
        <v>336.63674000000003</v>
      </c>
      <c r="KP8" s="205">
        <v>239.62690000000001</v>
      </c>
      <c r="KQ8" s="205">
        <v>106.73869999999999</v>
      </c>
      <c r="KR8" s="206">
        <v>12324.986999999999</v>
      </c>
      <c r="KS8" s="218">
        <v>53575.476140000006</v>
      </c>
      <c r="KT8" s="218">
        <v>11885.46927</v>
      </c>
      <c r="KU8" s="208">
        <v>265.42309</v>
      </c>
      <c r="KV8" s="241">
        <v>45.450720000000011</v>
      </c>
      <c r="KW8" s="207">
        <v>12196.343080000001</v>
      </c>
      <c r="KX8" s="218">
        <v>65771.819220000005</v>
      </c>
      <c r="KY8" s="17">
        <f t="shared" si="13"/>
        <v>0</v>
      </c>
      <c r="KZ8" s="115" t="s">
        <v>539</v>
      </c>
      <c r="LA8" s="206">
        <v>2328.7633999999994</v>
      </c>
      <c r="LB8" s="205">
        <v>0</v>
      </c>
      <c r="LC8" s="209">
        <v>0</v>
      </c>
      <c r="LD8" s="209">
        <v>0</v>
      </c>
      <c r="LE8" s="218">
        <v>0</v>
      </c>
      <c r="LF8" s="218">
        <v>2328.7633999999994</v>
      </c>
      <c r="LG8" s="207">
        <v>0</v>
      </c>
      <c r="LH8" s="206">
        <v>0</v>
      </c>
      <c r="LI8" s="205">
        <v>0</v>
      </c>
      <c r="LJ8" s="205">
        <v>0</v>
      </c>
      <c r="LK8" s="218">
        <v>0</v>
      </c>
      <c r="LL8" s="212">
        <v>2328.7633999999994</v>
      </c>
      <c r="LM8" s="205">
        <v>42896.250200000002</v>
      </c>
      <c r="LN8" s="205">
        <v>336.63674000000003</v>
      </c>
      <c r="LO8" s="205">
        <v>239.62690000000001</v>
      </c>
      <c r="LP8" s="205">
        <v>106.73869999999999</v>
      </c>
      <c r="LQ8" s="206">
        <v>12324.986999999999</v>
      </c>
      <c r="LR8" s="218">
        <v>55904.23954000001</v>
      </c>
      <c r="LS8" s="207">
        <v>11885.469269999998</v>
      </c>
      <c r="LT8" s="224">
        <v>0</v>
      </c>
      <c r="LU8" s="205">
        <v>265.42309</v>
      </c>
      <c r="LV8" s="241">
        <v>45.450720000000011</v>
      </c>
      <c r="LW8" s="207">
        <v>12196.343079999999</v>
      </c>
      <c r="LX8" s="218">
        <v>68100.582620000001</v>
      </c>
      <c r="LY8" s="17"/>
      <c r="LZ8" s="115" t="s">
        <v>539</v>
      </c>
      <c r="MA8" s="206">
        <v>3236.7564199999993</v>
      </c>
      <c r="MB8" s="205">
        <v>0</v>
      </c>
      <c r="MC8" s="209">
        <v>0</v>
      </c>
      <c r="MD8" s="209">
        <v>0</v>
      </c>
      <c r="ME8" s="218">
        <v>1846.4400000000003</v>
      </c>
      <c r="MF8" s="218">
        <v>5083.1964199999993</v>
      </c>
      <c r="MG8" s="207">
        <v>0</v>
      </c>
      <c r="MH8" s="206">
        <v>0</v>
      </c>
      <c r="MI8" s="205">
        <v>0</v>
      </c>
      <c r="MJ8" s="205">
        <v>0</v>
      </c>
      <c r="MK8" s="218">
        <v>0</v>
      </c>
      <c r="ML8" s="212">
        <v>5083.1964199999993</v>
      </c>
      <c r="MM8" s="205">
        <v>46133.006619999993</v>
      </c>
      <c r="MN8" s="205">
        <v>336.63674000000003</v>
      </c>
      <c r="MO8" s="205">
        <v>239.62690000000001</v>
      </c>
      <c r="MP8" s="205">
        <v>106.73869999999999</v>
      </c>
      <c r="MQ8" s="206">
        <v>14171.427</v>
      </c>
      <c r="MR8" s="218">
        <v>60987.435960000003</v>
      </c>
      <c r="MS8" s="207">
        <v>11885.46927</v>
      </c>
      <c r="MT8" s="224">
        <v>0</v>
      </c>
      <c r="MU8" s="205">
        <v>265.42309</v>
      </c>
      <c r="MV8" s="241">
        <v>45.450720000000011</v>
      </c>
      <c r="MW8" s="207">
        <v>12196.343080000001</v>
      </c>
      <c r="MX8" s="218">
        <v>73183.779040000009</v>
      </c>
      <c r="MY8" s="17">
        <f t="shared" si="14"/>
        <v>0</v>
      </c>
      <c r="MZ8" s="115" t="s">
        <v>539</v>
      </c>
      <c r="NA8" s="206">
        <v>4464.1195599999983</v>
      </c>
      <c r="NB8" s="205">
        <v>-3.9504800000000015</v>
      </c>
      <c r="NC8" s="209">
        <v>0</v>
      </c>
      <c r="ND8" s="209">
        <v>0</v>
      </c>
      <c r="NE8" s="218">
        <v>0</v>
      </c>
      <c r="NF8" s="218">
        <v>4460.1690799999978</v>
      </c>
      <c r="NG8" s="218">
        <v>144.61999999999998</v>
      </c>
      <c r="NH8" s="205">
        <v>0</v>
      </c>
      <c r="NI8" s="205">
        <v>0</v>
      </c>
      <c r="NJ8" s="218">
        <v>144.61999999999998</v>
      </c>
      <c r="NK8" s="212">
        <v>4604.7890799999977</v>
      </c>
      <c r="NL8" s="205">
        <v>50597.126179999999</v>
      </c>
      <c r="NM8" s="205">
        <v>332.68626</v>
      </c>
      <c r="NN8" s="205">
        <v>239.62690000000001</v>
      </c>
      <c r="NO8" s="205">
        <v>106.73869999999999</v>
      </c>
      <c r="NP8" s="206">
        <v>14171.427</v>
      </c>
      <c r="NQ8" s="218">
        <v>65447.605040000009</v>
      </c>
      <c r="NR8" s="218">
        <v>12030.08927</v>
      </c>
      <c r="NS8" s="205">
        <v>265.42309</v>
      </c>
      <c r="NT8" s="241">
        <v>45.450720000000011</v>
      </c>
      <c r="NU8" s="207">
        <v>12340.963080000001</v>
      </c>
      <c r="NV8" s="218">
        <v>77788.568120000011</v>
      </c>
      <c r="NW8" s="17"/>
      <c r="NX8" s="115" t="s">
        <v>539</v>
      </c>
      <c r="NY8" s="206">
        <v>3564.2124499999991</v>
      </c>
      <c r="NZ8" s="205">
        <v>0</v>
      </c>
      <c r="OA8" s="209">
        <v>0</v>
      </c>
      <c r="OB8" s="209">
        <v>39.882750000000009</v>
      </c>
      <c r="OC8" s="218">
        <v>-8.3089800000000018</v>
      </c>
      <c r="OD8" s="218">
        <v>3595.7862199999995</v>
      </c>
      <c r="OE8" s="218">
        <v>0</v>
      </c>
      <c r="OF8" s="205">
        <v>0</v>
      </c>
      <c r="OG8" s="205">
        <v>0</v>
      </c>
      <c r="OH8" s="218">
        <v>0</v>
      </c>
      <c r="OI8" s="212">
        <v>3595.7862199999995</v>
      </c>
      <c r="OJ8" s="205">
        <v>54161.338629999991</v>
      </c>
      <c r="OK8" s="205">
        <v>332.68626</v>
      </c>
      <c r="OL8" s="205">
        <v>239.62690000000001</v>
      </c>
      <c r="OM8" s="205">
        <v>146.62145000000001</v>
      </c>
      <c r="ON8" s="206">
        <v>14163.118020000002</v>
      </c>
      <c r="OO8" s="218">
        <v>69043.391260000004</v>
      </c>
      <c r="OP8" s="218">
        <v>12030.089269999999</v>
      </c>
      <c r="OQ8" s="205">
        <v>265.42309</v>
      </c>
      <c r="OR8" s="241">
        <v>45.450720000000011</v>
      </c>
      <c r="OS8" s="207">
        <v>12340.96308</v>
      </c>
      <c r="OT8" s="218">
        <v>81384.354340000005</v>
      </c>
      <c r="OU8" s="17">
        <f t="shared" si="15"/>
        <v>0</v>
      </c>
      <c r="OV8" s="115" t="s">
        <v>539</v>
      </c>
      <c r="OW8" s="206">
        <v>3513.8774899999999</v>
      </c>
      <c r="OX8" s="205">
        <v>0</v>
      </c>
      <c r="OY8" s="209">
        <v>0</v>
      </c>
      <c r="OZ8" s="209">
        <v>0</v>
      </c>
      <c r="PA8" s="218">
        <v>1892.6010000000003</v>
      </c>
      <c r="PB8" s="218">
        <v>5406.4784900000004</v>
      </c>
      <c r="PC8" s="218">
        <v>0</v>
      </c>
      <c r="PD8" s="205">
        <v>0</v>
      </c>
      <c r="PE8" s="205">
        <v>0</v>
      </c>
      <c r="PF8" s="218">
        <v>0</v>
      </c>
      <c r="PG8" s="212">
        <v>5406.4784900000004</v>
      </c>
      <c r="PH8" s="205">
        <v>57675.21611999999</v>
      </c>
      <c r="PI8" s="205">
        <v>332.68626</v>
      </c>
      <c r="PJ8" s="205">
        <v>239.62690000000001</v>
      </c>
      <c r="PK8" s="205">
        <v>146.62145000000001</v>
      </c>
      <c r="PL8" s="206">
        <v>16055.719020000002</v>
      </c>
      <c r="PM8" s="218">
        <v>74449.869749999998</v>
      </c>
      <c r="PN8" s="218">
        <v>12030.089269999999</v>
      </c>
      <c r="PO8" s="205">
        <v>265.42309</v>
      </c>
      <c r="PP8" s="241">
        <v>45.450720000000011</v>
      </c>
      <c r="PQ8" s="207">
        <v>12340.96308</v>
      </c>
      <c r="PR8" s="218">
        <v>86790.832829999999</v>
      </c>
      <c r="PS8" s="17">
        <f t="shared" si="16"/>
        <v>0</v>
      </c>
      <c r="PT8" s="115" t="s">
        <v>539</v>
      </c>
      <c r="PU8" s="206">
        <v>1541.71822</v>
      </c>
      <c r="PV8" s="205">
        <v>0</v>
      </c>
      <c r="PW8" s="209">
        <v>0</v>
      </c>
      <c r="PX8" s="209">
        <v>0</v>
      </c>
      <c r="PY8" s="218">
        <v>0</v>
      </c>
      <c r="PZ8" s="218">
        <v>1541.71822</v>
      </c>
      <c r="QA8" s="218">
        <v>1617.5351199999993</v>
      </c>
      <c r="QB8" s="205">
        <v>0</v>
      </c>
      <c r="QC8" s="205">
        <v>0</v>
      </c>
      <c r="QD8" s="218">
        <v>1617.5351199999993</v>
      </c>
      <c r="QE8" s="212">
        <v>3159.2533399999993</v>
      </c>
      <c r="QF8" s="205">
        <v>59216.934339999978</v>
      </c>
      <c r="QG8" s="205">
        <v>332.68626</v>
      </c>
      <c r="QH8" s="205">
        <v>239.62690000000001</v>
      </c>
      <c r="QI8" s="205">
        <v>146.62145000000001</v>
      </c>
      <c r="QJ8" s="206">
        <v>16055.719020000002</v>
      </c>
      <c r="QK8" s="218">
        <v>75991.587969999979</v>
      </c>
      <c r="QL8" s="218">
        <v>13647.624389999999</v>
      </c>
      <c r="QM8" s="205">
        <v>265.42309</v>
      </c>
      <c r="QN8" s="241">
        <v>45.450720000000011</v>
      </c>
      <c r="QO8" s="207">
        <v>13958.4982</v>
      </c>
      <c r="QP8" s="218">
        <v>89950.08616999998</v>
      </c>
      <c r="QQ8" s="17">
        <f t="shared" si="17"/>
        <v>0</v>
      </c>
      <c r="QR8" s="115" t="s">
        <v>539</v>
      </c>
      <c r="QS8" s="205">
        <v>65397.026879999983</v>
      </c>
      <c r="QT8" s="205">
        <v>332.68626</v>
      </c>
      <c r="QU8" s="205">
        <v>239.62690000000001</v>
      </c>
      <c r="QV8" s="205">
        <v>192.85841000000002</v>
      </c>
      <c r="QW8" s="206">
        <v>17910.959019999998</v>
      </c>
      <c r="QX8" s="218">
        <v>84073.157469999976</v>
      </c>
      <c r="QY8" s="218">
        <v>15876.260029999998</v>
      </c>
      <c r="QZ8" s="205">
        <v>265.42309</v>
      </c>
      <c r="RA8" s="241">
        <v>45.450720000000011</v>
      </c>
      <c r="RB8" s="207">
        <v>16187.133839999999</v>
      </c>
      <c r="RC8" s="218">
        <v>100260.29130999997</v>
      </c>
      <c r="RE8" s="115" t="s">
        <v>539</v>
      </c>
      <c r="RF8" s="205">
        <f t="shared" ref="RF8:RF12" si="28">QS8*10^3</f>
        <v>65397026.87999998</v>
      </c>
      <c r="RG8" s="205">
        <f t="shared" si="18"/>
        <v>332686.26</v>
      </c>
      <c r="RH8" s="205">
        <f t="shared" si="19"/>
        <v>239626.9</v>
      </c>
      <c r="RI8" s="205">
        <f t="shared" si="20"/>
        <v>192858.41000000003</v>
      </c>
      <c r="RJ8" s="206">
        <f t="shared" si="21"/>
        <v>17910959.02</v>
      </c>
      <c r="RK8" s="218">
        <f t="shared" si="22"/>
        <v>84073157.469999969</v>
      </c>
      <c r="RL8" s="218">
        <f t="shared" si="23"/>
        <v>15876260.029999997</v>
      </c>
      <c r="RM8" s="205">
        <f t="shared" si="24"/>
        <v>265423.09000000003</v>
      </c>
      <c r="RN8" s="241">
        <f t="shared" si="25"/>
        <v>45450.720000000008</v>
      </c>
      <c r="RO8" s="207">
        <f t="shared" si="26"/>
        <v>16187133.839999998</v>
      </c>
      <c r="RP8" s="218">
        <f t="shared" si="27"/>
        <v>100260291.30999997</v>
      </c>
      <c r="RQ8" s="326"/>
      <c r="RR8" s="337" t="s">
        <v>1966</v>
      </c>
      <c r="RS8" s="331" t="e">
        <f>RS9+RS10</f>
        <v>#REF!</v>
      </c>
      <c r="RT8" s="314" t="str">
        <f t="shared" si="5"/>
        <v>-</v>
      </c>
      <c r="RU8" s="55" t="e">
        <f>RU9+RU10</f>
        <v>#REF!</v>
      </c>
      <c r="RV8" s="314" t="str">
        <f t="shared" si="5"/>
        <v>-</v>
      </c>
      <c r="RW8" s="55" t="e">
        <f>RW9+RW10</f>
        <v>#REF!</v>
      </c>
      <c r="RX8" s="314" t="str">
        <f t="shared" si="5"/>
        <v>-</v>
      </c>
      <c r="RY8" s="55" t="e">
        <f>RY9+RY10</f>
        <v>#REF!</v>
      </c>
      <c r="RZ8" s="314" t="str">
        <f t="shared" si="6"/>
        <v>-</v>
      </c>
      <c r="SA8" s="55" t="e">
        <f>SA9+SA10</f>
        <v>#REF!</v>
      </c>
      <c r="SB8" s="314" t="str">
        <f t="shared" si="7"/>
        <v>-</v>
      </c>
      <c r="SC8" s="55" t="e">
        <f>SC9+SC10</f>
        <v>#REF!</v>
      </c>
      <c r="SD8" s="315" t="str">
        <f t="shared" si="5"/>
        <v>-</v>
      </c>
      <c r="SE8" s="316" t="e">
        <f>SE9+SE10</f>
        <v>#REF!</v>
      </c>
      <c r="SF8" s="314" t="str">
        <f t="shared" si="8"/>
        <v>-</v>
      </c>
      <c r="SG8" s="55" t="e">
        <f>SG9+SG10</f>
        <v>#REF!</v>
      </c>
      <c r="SH8" s="314" t="str">
        <f t="shared" si="5"/>
        <v>-</v>
      </c>
      <c r="SI8" s="316" t="e">
        <f>SI9+SI10</f>
        <v>#REF!</v>
      </c>
      <c r="SJ8" s="314" t="str">
        <f t="shared" si="5"/>
        <v>-</v>
      </c>
      <c r="SL8" s="17"/>
    </row>
    <row r="9" spans="2:506" x14ac:dyDescent="0.3">
      <c r="B9" s="114" t="s">
        <v>542</v>
      </c>
      <c r="C9" s="31">
        <v>75.504000000000005</v>
      </c>
      <c r="D9" s="18">
        <v>300.77051</v>
      </c>
      <c r="E9" s="18">
        <v>0</v>
      </c>
      <c r="F9" s="18">
        <v>12.626250000000001</v>
      </c>
      <c r="G9" s="19">
        <v>388.90076000000005</v>
      </c>
      <c r="H9" s="28">
        <v>75.504000000000005</v>
      </c>
      <c r="I9" s="18">
        <v>300.77051</v>
      </c>
      <c r="J9" s="18">
        <v>0</v>
      </c>
      <c r="K9" s="51">
        <v>12.626250000000001</v>
      </c>
      <c r="L9" s="19">
        <v>388.90076000000005</v>
      </c>
      <c r="N9" s="114" t="s">
        <v>542</v>
      </c>
      <c r="O9" s="31">
        <v>0</v>
      </c>
      <c r="P9" s="18">
        <v>330.75968000000006</v>
      </c>
      <c r="Q9" s="18">
        <v>0</v>
      </c>
      <c r="R9" s="18">
        <v>6.1463999999999999</v>
      </c>
      <c r="S9" s="18">
        <v>0</v>
      </c>
      <c r="T9" s="18">
        <v>0</v>
      </c>
      <c r="U9" s="19">
        <v>336.90608000000009</v>
      </c>
      <c r="V9" s="28">
        <v>75.504000000000005</v>
      </c>
      <c r="W9" s="18">
        <v>631.53019000000018</v>
      </c>
      <c r="X9" s="18">
        <v>0</v>
      </c>
      <c r="Y9" s="51">
        <v>18.772650000000002</v>
      </c>
      <c r="Z9" s="51">
        <v>0</v>
      </c>
      <c r="AA9" s="51">
        <v>0</v>
      </c>
      <c r="AB9" s="19">
        <v>725.80684000000019</v>
      </c>
      <c r="AC9" s="17">
        <f t="shared" si="1"/>
        <v>0</v>
      </c>
      <c r="AD9" s="114" t="s">
        <v>542</v>
      </c>
      <c r="AE9" s="31">
        <v>0</v>
      </c>
      <c r="AF9" s="18">
        <v>225.66260000000003</v>
      </c>
      <c r="AG9" s="18">
        <v>11.5206</v>
      </c>
      <c r="AH9" s="19">
        <v>237.18320000000003</v>
      </c>
      <c r="AI9" s="28">
        <v>75.504000000000005</v>
      </c>
      <c r="AJ9" s="18">
        <v>857.19279000000006</v>
      </c>
      <c r="AK9" s="51">
        <v>30.29325</v>
      </c>
      <c r="AL9" s="19">
        <v>962.99004000000014</v>
      </c>
      <c r="AN9" s="114" t="s">
        <v>542</v>
      </c>
      <c r="AO9" s="31">
        <v>0</v>
      </c>
      <c r="AP9" s="18">
        <v>152.75960000000003</v>
      </c>
      <c r="AQ9" s="18">
        <v>-0.17623999999999998</v>
      </c>
      <c r="AR9" s="18">
        <v>3.4009499999999999</v>
      </c>
      <c r="AS9" s="18">
        <v>6.0371999999999995</v>
      </c>
      <c r="AT9" s="19">
        <v>162.02151000000003</v>
      </c>
      <c r="AU9" s="28">
        <v>75.504000000000005</v>
      </c>
      <c r="AV9" s="18">
        <v>1009.95239</v>
      </c>
      <c r="AW9" s="18">
        <v>-0.17623999999999998</v>
      </c>
      <c r="AX9" s="18">
        <v>3.4009499999999999</v>
      </c>
      <c r="AY9" s="51">
        <v>36.330449999999999</v>
      </c>
      <c r="AZ9" s="19">
        <v>1125.0115499999999</v>
      </c>
      <c r="BA9" s="17">
        <f t="shared" si="2"/>
        <v>0</v>
      </c>
      <c r="BB9" s="114" t="s">
        <v>542</v>
      </c>
      <c r="BC9" s="31">
        <v>157.30000000000001</v>
      </c>
      <c r="BD9" s="18">
        <v>52.124530000000007</v>
      </c>
      <c r="BE9" s="18">
        <v>0</v>
      </c>
      <c r="BF9" s="18">
        <v>0</v>
      </c>
      <c r="BG9" s="18">
        <v>13.390649999999997</v>
      </c>
      <c r="BH9" s="19">
        <f t="shared" si="3"/>
        <v>222.81518</v>
      </c>
      <c r="BI9" s="28">
        <v>232.804</v>
      </c>
      <c r="BJ9" s="18">
        <v>1062.07692</v>
      </c>
      <c r="BK9" s="18">
        <v>-0.17623999999999998</v>
      </c>
      <c r="BL9" s="18">
        <v>3.4009499999999999</v>
      </c>
      <c r="BM9" s="51">
        <v>49.721099999999993</v>
      </c>
      <c r="BN9" s="19">
        <f t="shared" si="4"/>
        <v>1347.82673</v>
      </c>
      <c r="BO9" s="17">
        <f t="shared" si="0"/>
        <v>0</v>
      </c>
      <c r="BP9" s="114" t="s">
        <v>540</v>
      </c>
      <c r="BQ9" s="201">
        <v>799.85315999999955</v>
      </c>
      <c r="BR9" s="200">
        <v>0</v>
      </c>
      <c r="BS9" s="200">
        <v>68.703249999999997</v>
      </c>
      <c r="BT9" s="204">
        <v>923.65700000000015</v>
      </c>
      <c r="BU9" s="217">
        <v>1792.2134099999998</v>
      </c>
      <c r="BV9" s="203">
        <v>554.95855999999981</v>
      </c>
      <c r="BW9" s="217">
        <v>554.95855999999981</v>
      </c>
      <c r="BX9" s="211">
        <v>2347.1719699999994</v>
      </c>
      <c r="BY9" s="200">
        <v>13228.068349999998</v>
      </c>
      <c r="BZ9" s="200">
        <v>-2.4955599999999984</v>
      </c>
      <c r="CA9" s="204">
        <v>109.92520000000002</v>
      </c>
      <c r="CB9" s="201">
        <v>3895.4230000000007</v>
      </c>
      <c r="CC9" s="217">
        <v>17230.920989999999</v>
      </c>
      <c r="CD9" s="202">
        <v>4470.2023199999985</v>
      </c>
      <c r="CE9" s="223">
        <v>4470.2023199999985</v>
      </c>
      <c r="CF9" s="217">
        <v>21701.123309999995</v>
      </c>
      <c r="CG9" s="17"/>
      <c r="CH9" s="114" t="s">
        <v>540</v>
      </c>
      <c r="CI9" s="201">
        <v>833.05127999999979</v>
      </c>
      <c r="CJ9" s="200">
        <v>0</v>
      </c>
      <c r="CK9" s="200">
        <v>0</v>
      </c>
      <c r="CL9" s="204">
        <v>0</v>
      </c>
      <c r="CM9" s="217">
        <v>833.05127999999979</v>
      </c>
      <c r="CN9" s="203">
        <v>461.50399999999991</v>
      </c>
      <c r="CO9" s="217">
        <v>461.50399999999991</v>
      </c>
      <c r="CP9" s="211">
        <v>1294.5552799999996</v>
      </c>
      <c r="CQ9" s="200">
        <v>14061.119629999997</v>
      </c>
      <c r="CR9" s="200">
        <v>-2.4955599999999984</v>
      </c>
      <c r="CS9" s="204">
        <v>109.92520000000002</v>
      </c>
      <c r="CT9" s="201">
        <v>3895.4230000000007</v>
      </c>
      <c r="CU9" s="217">
        <v>18063.972269999998</v>
      </c>
      <c r="CV9" s="202">
        <v>4931.7063199999993</v>
      </c>
      <c r="CW9" s="223">
        <v>4931.7063199999993</v>
      </c>
      <c r="CX9" s="217">
        <v>22995.678589999996</v>
      </c>
      <c r="CZ9" s="114" t="s">
        <v>540</v>
      </c>
      <c r="DA9" s="201">
        <v>2384.8117899999997</v>
      </c>
      <c r="DB9" s="200">
        <v>0</v>
      </c>
      <c r="DC9" s="200">
        <v>0</v>
      </c>
      <c r="DD9" s="204">
        <v>1606.3600000000001</v>
      </c>
      <c r="DE9" s="217">
        <v>3991.1717899999999</v>
      </c>
      <c r="DF9" s="203">
        <v>515.54751999999985</v>
      </c>
      <c r="DG9" s="217">
        <v>515.54751999999985</v>
      </c>
      <c r="DH9" s="211">
        <v>4506.7193099999995</v>
      </c>
      <c r="DI9" s="200">
        <v>16445.931419999997</v>
      </c>
      <c r="DJ9" s="200">
        <v>-2.4955599999999984</v>
      </c>
      <c r="DK9" s="204">
        <v>109.92520000000002</v>
      </c>
      <c r="DL9" s="201">
        <v>5501.7830000000013</v>
      </c>
      <c r="DM9" s="217">
        <v>22055.144059999999</v>
      </c>
      <c r="DN9" s="202">
        <v>5447.2538399999985</v>
      </c>
      <c r="DO9" s="223">
        <v>5447.2538399999985</v>
      </c>
      <c r="DP9" s="217">
        <v>27502.397899999996</v>
      </c>
      <c r="DQ9" s="17"/>
      <c r="DR9" s="114" t="s">
        <v>540</v>
      </c>
      <c r="DS9" s="201">
        <v>1386.0317399999994</v>
      </c>
      <c r="DT9" s="200">
        <v>56.218900000000019</v>
      </c>
      <c r="DU9" s="204">
        <v>96.969729999999998</v>
      </c>
      <c r="DV9" s="217">
        <v>0</v>
      </c>
      <c r="DW9" s="217">
        <v>1539.2203699999995</v>
      </c>
      <c r="DX9" s="203">
        <v>815.87999999999977</v>
      </c>
      <c r="DY9" s="217">
        <v>815.87999999999977</v>
      </c>
      <c r="DZ9" s="211">
        <v>2355.1003699999992</v>
      </c>
      <c r="EA9" s="200">
        <v>17831.963159999999</v>
      </c>
      <c r="EB9" s="200">
        <v>53.723340000000022</v>
      </c>
      <c r="EC9" s="204">
        <v>206.89492999999999</v>
      </c>
      <c r="ED9" s="201">
        <v>5501.7830000000013</v>
      </c>
      <c r="EE9" s="217">
        <v>23594.364430000001</v>
      </c>
      <c r="EF9" s="202">
        <v>6263.1338399999995</v>
      </c>
      <c r="EG9" s="223">
        <v>6263.1338399999995</v>
      </c>
      <c r="EH9" s="217">
        <v>29857.49827</v>
      </c>
      <c r="EI9" s="17">
        <f t="shared" si="9"/>
        <v>0</v>
      </c>
      <c r="EJ9" s="114" t="s">
        <v>540</v>
      </c>
      <c r="EK9" s="201">
        <v>1412.3713799999994</v>
      </c>
      <c r="EL9" s="200">
        <v>0</v>
      </c>
      <c r="EM9" s="204">
        <v>0</v>
      </c>
      <c r="EN9" s="217">
        <v>1606.3600000000001</v>
      </c>
      <c r="EO9" s="217">
        <v>3018.7313799999993</v>
      </c>
      <c r="EP9" s="203">
        <v>755.59807999999987</v>
      </c>
      <c r="EQ9" s="217">
        <v>755.59807999999987</v>
      </c>
      <c r="ER9" s="211">
        <v>3774.329459999999</v>
      </c>
      <c r="ES9" s="200">
        <v>19244.334539999993</v>
      </c>
      <c r="ET9" s="200">
        <v>53.723340000000022</v>
      </c>
      <c r="EU9" s="204">
        <v>206.89492999999999</v>
      </c>
      <c r="EV9" s="201">
        <v>7108.1430000000009</v>
      </c>
      <c r="EW9" s="217">
        <v>26613.095809999992</v>
      </c>
      <c r="EX9" s="202">
        <v>7018.7319200000002</v>
      </c>
      <c r="EY9" s="223">
        <v>7018.7319200000002</v>
      </c>
      <c r="EZ9" s="217">
        <v>33631.82772999999</v>
      </c>
      <c r="FA9" s="17">
        <f t="shared" si="10"/>
        <v>0</v>
      </c>
      <c r="FB9" s="114" t="s">
        <v>540</v>
      </c>
      <c r="FC9" s="201">
        <v>1903.2607799999989</v>
      </c>
      <c r="FD9" s="200">
        <v>0</v>
      </c>
      <c r="FE9" s="204">
        <v>0</v>
      </c>
      <c r="FF9" s="217">
        <v>0</v>
      </c>
      <c r="FG9" s="217">
        <v>1903.2607799999989</v>
      </c>
      <c r="FH9" s="203">
        <v>0</v>
      </c>
      <c r="FI9" s="217">
        <v>0</v>
      </c>
      <c r="FJ9" s="211">
        <v>1903.2607799999989</v>
      </c>
      <c r="FK9" s="200">
        <v>21147.59532</v>
      </c>
      <c r="FL9" s="200">
        <v>53.723340000000022</v>
      </c>
      <c r="FM9" s="204">
        <v>206.89492999999999</v>
      </c>
      <c r="FN9" s="201">
        <v>7108.1430000000009</v>
      </c>
      <c r="FO9" s="217">
        <v>28516.356589999999</v>
      </c>
      <c r="FP9" s="202">
        <v>7018.7319200000011</v>
      </c>
      <c r="FQ9" s="223">
        <v>7018.7319200000011</v>
      </c>
      <c r="FR9" s="217">
        <v>35535.088510000001</v>
      </c>
      <c r="FT9" s="114" t="s">
        <v>540</v>
      </c>
      <c r="FU9" s="201">
        <v>2888.1187599999994</v>
      </c>
      <c r="FV9" s="200">
        <v>0</v>
      </c>
      <c r="FW9" s="204">
        <v>0</v>
      </c>
      <c r="FX9" s="204">
        <v>30.200159999999997</v>
      </c>
      <c r="FY9" s="217">
        <v>0</v>
      </c>
      <c r="FZ9" s="217">
        <v>2918.3189199999993</v>
      </c>
      <c r="GA9" s="202">
        <v>306.90015999999991</v>
      </c>
      <c r="GB9" s="217">
        <v>306.90015999999991</v>
      </c>
      <c r="GC9" s="211">
        <v>3225.2190799999989</v>
      </c>
      <c r="GD9" s="200">
        <v>26962.969679999995</v>
      </c>
      <c r="GE9" s="200">
        <v>53.723340000000022</v>
      </c>
      <c r="GF9" s="200">
        <v>206.89492999999999</v>
      </c>
      <c r="GG9" s="200">
        <v>30.200159999999997</v>
      </c>
      <c r="GH9" s="201">
        <v>9116.0930000000026</v>
      </c>
      <c r="GI9" s="217">
        <v>36369.881109999995</v>
      </c>
      <c r="GJ9" s="217">
        <v>7990.2579999999989</v>
      </c>
      <c r="GK9" s="202">
        <v>7990.2579999999989</v>
      </c>
      <c r="GL9" s="217">
        <v>44360.139109999996</v>
      </c>
      <c r="GN9" s="114" t="s">
        <v>540</v>
      </c>
      <c r="GO9" s="201">
        <v>2927.2555999999995</v>
      </c>
      <c r="GP9" s="200">
        <v>0</v>
      </c>
      <c r="GQ9" s="204">
        <v>0</v>
      </c>
      <c r="GR9" s="204">
        <v>0</v>
      </c>
      <c r="GS9" s="217">
        <v>2007.9500000000003</v>
      </c>
      <c r="GT9" s="217">
        <v>4935.2055999999993</v>
      </c>
      <c r="GU9" s="202">
        <v>664.62591999999995</v>
      </c>
      <c r="GV9" s="217">
        <v>664.62591999999995</v>
      </c>
      <c r="GW9" s="217">
        <v>5599.8315199999997</v>
      </c>
      <c r="GX9" s="203">
        <v>26962.969679999995</v>
      </c>
      <c r="GY9" s="200">
        <v>53.723340000000022</v>
      </c>
      <c r="GZ9" s="200">
        <v>206.89492999999999</v>
      </c>
      <c r="HA9" s="200">
        <v>30.200159999999997</v>
      </c>
      <c r="HB9" s="201">
        <v>9116.0930000000026</v>
      </c>
      <c r="HC9" s="217">
        <v>36369.881109999995</v>
      </c>
      <c r="HD9" s="217">
        <v>7990.2579999999989</v>
      </c>
      <c r="HE9" s="202">
        <v>7990.2579999999989</v>
      </c>
      <c r="HF9" s="217">
        <v>44360.139109999996</v>
      </c>
      <c r="HG9" s="17"/>
      <c r="HH9" s="114" t="s">
        <v>540</v>
      </c>
      <c r="HI9" s="201">
        <v>2115.4252499999989</v>
      </c>
      <c r="HJ9" s="200">
        <v>0</v>
      </c>
      <c r="HK9" s="204">
        <v>0</v>
      </c>
      <c r="HL9" s="204">
        <v>0</v>
      </c>
      <c r="HM9" s="217">
        <v>0</v>
      </c>
      <c r="HN9" s="217">
        <v>2115.4252499999989</v>
      </c>
      <c r="HO9" s="202">
        <v>411.60895999999997</v>
      </c>
      <c r="HP9" s="200">
        <v>266.34384</v>
      </c>
      <c r="HQ9" s="200">
        <v>43.711920000000006</v>
      </c>
      <c r="HR9" s="217">
        <v>721.66471999999999</v>
      </c>
      <c r="HS9" s="217">
        <v>2837.0899699999991</v>
      </c>
      <c r="HT9" s="203">
        <v>29078.394929999995</v>
      </c>
      <c r="HU9" s="200">
        <v>53.723340000000022</v>
      </c>
      <c r="HV9" s="200">
        <v>206.89492999999999</v>
      </c>
      <c r="HW9" s="200">
        <v>30.200159999999997</v>
      </c>
      <c r="HX9" s="201">
        <v>9116.0930000000026</v>
      </c>
      <c r="HY9" s="217">
        <v>38485.306359999995</v>
      </c>
      <c r="HZ9" s="202">
        <v>8401.8669599999994</v>
      </c>
      <c r="IA9" s="200">
        <v>263.70154000000002</v>
      </c>
      <c r="IB9" s="240">
        <v>43.711920000000006</v>
      </c>
      <c r="IC9" s="202">
        <v>8709.2804199999991</v>
      </c>
      <c r="ID9" s="217">
        <v>47194.586779999998</v>
      </c>
      <c r="IE9" s="17">
        <f t="shared" si="11"/>
        <v>0</v>
      </c>
      <c r="IF9" s="114" t="s">
        <v>540</v>
      </c>
      <c r="IG9" s="201">
        <v>1704.3774999999996</v>
      </c>
      <c r="IH9" s="200">
        <v>181.48544000000004</v>
      </c>
      <c r="II9" s="204">
        <v>0</v>
      </c>
      <c r="IJ9" s="204">
        <v>26.022880000000004</v>
      </c>
      <c r="IK9" s="217">
        <v>0</v>
      </c>
      <c r="IL9" s="217">
        <v>1911.8858199999995</v>
      </c>
      <c r="IM9" s="217">
        <v>541.98591999999996</v>
      </c>
      <c r="IN9" s="203">
        <v>0</v>
      </c>
      <c r="IO9" s="200">
        <v>0</v>
      </c>
      <c r="IP9" s="217">
        <v>541.98591999999996</v>
      </c>
      <c r="IQ9" s="211">
        <v>2453.8717399999996</v>
      </c>
      <c r="IR9" s="200">
        <v>30782.772429999997</v>
      </c>
      <c r="IS9" s="200">
        <v>235.20878000000005</v>
      </c>
      <c r="IT9" s="200">
        <v>206.89492999999999</v>
      </c>
      <c r="IU9" s="200">
        <v>56.223040000000012</v>
      </c>
      <c r="IV9" s="201">
        <v>9116.0930000000026</v>
      </c>
      <c r="IW9" s="217">
        <v>40397.192179999998</v>
      </c>
      <c r="IX9" s="217">
        <v>8943.8528800000004</v>
      </c>
      <c r="IY9" s="203">
        <v>263.70154000000002</v>
      </c>
      <c r="IZ9" s="240">
        <v>43.711920000000006</v>
      </c>
      <c r="JA9" s="202">
        <v>9251.2663400000001</v>
      </c>
      <c r="JB9" s="217">
        <v>49648.45852</v>
      </c>
      <c r="JD9" s="114" t="s">
        <v>540</v>
      </c>
      <c r="JE9" s="201">
        <v>2375.4928599999994</v>
      </c>
      <c r="JF9" s="200">
        <v>0</v>
      </c>
      <c r="JG9" s="204">
        <v>0</v>
      </c>
      <c r="JH9" s="204">
        <v>0</v>
      </c>
      <c r="JI9" s="217">
        <v>1606.3600000000001</v>
      </c>
      <c r="JJ9" s="217">
        <v>3981.8528599999995</v>
      </c>
      <c r="JK9" s="202">
        <v>520.29607999999996</v>
      </c>
      <c r="JL9" s="200">
        <v>0</v>
      </c>
      <c r="JM9" s="200">
        <v>0</v>
      </c>
      <c r="JN9" s="217">
        <v>520.29607999999996</v>
      </c>
      <c r="JO9" s="211">
        <v>4502.1489399999991</v>
      </c>
      <c r="JP9" s="200">
        <v>33158.265289999996</v>
      </c>
      <c r="JQ9" s="200">
        <v>235.20878000000005</v>
      </c>
      <c r="JR9" s="200">
        <v>206.89492999999999</v>
      </c>
      <c r="JS9" s="200">
        <v>56.223040000000012</v>
      </c>
      <c r="JT9" s="201">
        <v>10722.453000000001</v>
      </c>
      <c r="JU9" s="217">
        <v>44379.045039999997</v>
      </c>
      <c r="JV9" s="202">
        <v>9464.1489600000004</v>
      </c>
      <c r="JW9" s="200">
        <v>263.70154000000002</v>
      </c>
      <c r="JX9" s="240">
        <v>43.711920000000006</v>
      </c>
      <c r="JY9" s="202">
        <v>9771.5624200000002</v>
      </c>
      <c r="JZ9" s="217">
        <v>54150.607459999999</v>
      </c>
      <c r="KA9" s="17">
        <f t="shared" si="12"/>
        <v>0</v>
      </c>
      <c r="KB9" s="114" t="s">
        <v>540</v>
      </c>
      <c r="KC9" s="201">
        <v>1837.7851899999994</v>
      </c>
      <c r="KD9" s="200">
        <v>0</v>
      </c>
      <c r="KE9" s="204">
        <v>0</v>
      </c>
      <c r="KF9" s="204">
        <v>26.926180000000009</v>
      </c>
      <c r="KG9" s="217">
        <v>0</v>
      </c>
      <c r="KH9" s="217">
        <v>1864.7113699999993</v>
      </c>
      <c r="KI9" s="217">
        <v>2141.9152199999999</v>
      </c>
      <c r="KJ9" s="203">
        <v>0</v>
      </c>
      <c r="KK9" s="200">
        <v>0</v>
      </c>
      <c r="KL9" s="217">
        <v>2141.9152199999999</v>
      </c>
      <c r="KM9" s="211">
        <v>4006.6265899999989</v>
      </c>
      <c r="KN9" s="200">
        <v>34996.050479999998</v>
      </c>
      <c r="KO9" s="200">
        <v>235.20878000000005</v>
      </c>
      <c r="KP9" s="200">
        <v>206.89492999999999</v>
      </c>
      <c r="KQ9" s="200">
        <v>83.149220000000014</v>
      </c>
      <c r="KR9" s="201">
        <v>10722.453000000001</v>
      </c>
      <c r="KS9" s="217">
        <v>46243.756410000002</v>
      </c>
      <c r="KT9" s="217">
        <v>11606.064180000001</v>
      </c>
      <c r="KU9" s="203">
        <v>263.70154000000002</v>
      </c>
      <c r="KV9" s="240">
        <v>43.711920000000006</v>
      </c>
      <c r="KW9" s="202">
        <v>11913.477640000001</v>
      </c>
      <c r="KX9" s="217">
        <v>58157.234049999999</v>
      </c>
      <c r="KY9" s="17">
        <f t="shared" si="13"/>
        <v>0</v>
      </c>
      <c r="KZ9" s="114" t="s">
        <v>540</v>
      </c>
      <c r="LA9" s="201">
        <v>1981.2687999999996</v>
      </c>
      <c r="LB9" s="200">
        <v>0</v>
      </c>
      <c r="LC9" s="204">
        <v>0</v>
      </c>
      <c r="LD9" s="204">
        <v>0</v>
      </c>
      <c r="LE9" s="217">
        <v>0</v>
      </c>
      <c r="LF9" s="217">
        <v>1981.2687999999996</v>
      </c>
      <c r="LG9" s="202">
        <v>0</v>
      </c>
      <c r="LH9" s="201">
        <v>0</v>
      </c>
      <c r="LI9" s="200">
        <v>0</v>
      </c>
      <c r="LJ9" s="200">
        <v>0</v>
      </c>
      <c r="LK9" s="217">
        <v>0</v>
      </c>
      <c r="LL9" s="211">
        <v>1981.2687999999996</v>
      </c>
      <c r="LM9" s="200">
        <v>36977.319279999989</v>
      </c>
      <c r="LN9" s="200">
        <v>235.20878000000005</v>
      </c>
      <c r="LO9" s="200">
        <v>206.89492999999999</v>
      </c>
      <c r="LP9" s="200">
        <v>83.149220000000014</v>
      </c>
      <c r="LQ9" s="201">
        <v>10722.453000000001</v>
      </c>
      <c r="LR9" s="217">
        <v>48225.025209999993</v>
      </c>
      <c r="LS9" s="202">
        <v>11606.064180000001</v>
      </c>
      <c r="LT9" s="223">
        <v>0</v>
      </c>
      <c r="LU9" s="200">
        <v>263.70154000000002</v>
      </c>
      <c r="LV9" s="240">
        <v>43.711920000000006</v>
      </c>
      <c r="LW9" s="202">
        <v>11913.477640000001</v>
      </c>
      <c r="LX9" s="217">
        <v>60138.50284999999</v>
      </c>
      <c r="LY9" s="17"/>
      <c r="LZ9" s="114" t="s">
        <v>540</v>
      </c>
      <c r="MA9" s="201">
        <v>2737.3554299999996</v>
      </c>
      <c r="MB9" s="200">
        <v>0</v>
      </c>
      <c r="MC9" s="204">
        <v>0</v>
      </c>
      <c r="MD9" s="204">
        <v>0</v>
      </c>
      <c r="ME9" s="217">
        <v>1606.3600000000001</v>
      </c>
      <c r="MF9" s="217">
        <v>4343.7154300000002</v>
      </c>
      <c r="MG9" s="202">
        <v>0</v>
      </c>
      <c r="MH9" s="201">
        <v>0</v>
      </c>
      <c r="MI9" s="200">
        <v>0</v>
      </c>
      <c r="MJ9" s="200">
        <v>0</v>
      </c>
      <c r="MK9" s="217">
        <v>0</v>
      </c>
      <c r="ML9" s="211">
        <v>4343.7154300000002</v>
      </c>
      <c r="MM9" s="200">
        <v>39714.674709999977</v>
      </c>
      <c r="MN9" s="200">
        <v>235.20878000000005</v>
      </c>
      <c r="MO9" s="200">
        <v>206.89492999999999</v>
      </c>
      <c r="MP9" s="200">
        <v>83.149220000000014</v>
      </c>
      <c r="MQ9" s="201">
        <v>12328.813000000002</v>
      </c>
      <c r="MR9" s="217">
        <v>52568.740639999982</v>
      </c>
      <c r="MS9" s="202">
        <v>11606.064180000001</v>
      </c>
      <c r="MT9" s="223">
        <v>0</v>
      </c>
      <c r="MU9" s="200">
        <v>263.70154000000002</v>
      </c>
      <c r="MV9" s="240">
        <v>43.711920000000006</v>
      </c>
      <c r="MW9" s="202">
        <v>11913.477640000001</v>
      </c>
      <c r="MX9" s="217">
        <v>64482.218279999986</v>
      </c>
      <c r="MY9" s="17">
        <f t="shared" si="14"/>
        <v>0</v>
      </c>
      <c r="MZ9" s="114" t="s">
        <v>540</v>
      </c>
      <c r="NA9" s="201">
        <v>3775.1039799999985</v>
      </c>
      <c r="NB9" s="200">
        <v>-3.1803000000000008</v>
      </c>
      <c r="NC9" s="204">
        <v>0</v>
      </c>
      <c r="ND9" s="204">
        <v>0</v>
      </c>
      <c r="NE9" s="217">
        <v>0</v>
      </c>
      <c r="NF9" s="217">
        <v>3771.9236799999985</v>
      </c>
      <c r="NG9" s="217">
        <v>141.07999999999998</v>
      </c>
      <c r="NH9" s="200">
        <v>0</v>
      </c>
      <c r="NI9" s="200">
        <v>0</v>
      </c>
      <c r="NJ9" s="217">
        <v>141.07999999999998</v>
      </c>
      <c r="NK9" s="211">
        <v>3913.0036799999984</v>
      </c>
      <c r="NL9" s="200">
        <v>43489.778689999985</v>
      </c>
      <c r="NM9" s="200">
        <v>232.02848000000003</v>
      </c>
      <c r="NN9" s="200">
        <v>206.89492999999999</v>
      </c>
      <c r="NO9" s="200">
        <v>83.149220000000014</v>
      </c>
      <c r="NP9" s="201">
        <v>12328.813000000002</v>
      </c>
      <c r="NQ9" s="217">
        <v>56340.664319999989</v>
      </c>
      <c r="NR9" s="217">
        <v>11747.144180000001</v>
      </c>
      <c r="NS9" s="200">
        <v>263.70154000000002</v>
      </c>
      <c r="NT9" s="240">
        <v>43.711920000000006</v>
      </c>
      <c r="NU9" s="202">
        <v>12054.557640000001</v>
      </c>
      <c r="NV9" s="217">
        <v>68395.221959999995</v>
      </c>
      <c r="NW9" s="17"/>
      <c r="NX9" s="114" t="s">
        <v>540</v>
      </c>
      <c r="NY9" s="201">
        <v>3038.2759000000001</v>
      </c>
      <c r="NZ9" s="200">
        <v>0</v>
      </c>
      <c r="OA9" s="204">
        <v>0</v>
      </c>
      <c r="OB9" s="204">
        <v>34.103790000000011</v>
      </c>
      <c r="OC9" s="217">
        <v>-7.2286200000000012</v>
      </c>
      <c r="OD9" s="217">
        <v>3065.1510700000003</v>
      </c>
      <c r="OE9" s="217">
        <v>0</v>
      </c>
      <c r="OF9" s="200">
        <v>0</v>
      </c>
      <c r="OG9" s="200">
        <v>0</v>
      </c>
      <c r="OH9" s="217">
        <v>0</v>
      </c>
      <c r="OI9" s="211">
        <v>3065.1510700000003</v>
      </c>
      <c r="OJ9" s="200">
        <v>46528.054589999978</v>
      </c>
      <c r="OK9" s="200">
        <v>232.02848000000003</v>
      </c>
      <c r="OL9" s="200">
        <v>206.89492999999999</v>
      </c>
      <c r="OM9" s="200">
        <v>117.25301</v>
      </c>
      <c r="ON9" s="201">
        <v>12321.58438</v>
      </c>
      <c r="OO9" s="217">
        <v>59405.815389999982</v>
      </c>
      <c r="OP9" s="217">
        <v>11747.144180000001</v>
      </c>
      <c r="OQ9" s="200">
        <v>263.70154000000002</v>
      </c>
      <c r="OR9" s="240">
        <v>43.711920000000006</v>
      </c>
      <c r="OS9" s="202">
        <v>12054.557640000001</v>
      </c>
      <c r="OT9" s="217">
        <v>71460.373029999988</v>
      </c>
      <c r="OU9" s="17">
        <f t="shared" si="15"/>
        <v>0</v>
      </c>
      <c r="OV9" s="114" t="s">
        <v>540</v>
      </c>
      <c r="OW9" s="201">
        <v>2989.5335999999998</v>
      </c>
      <c r="OX9" s="200">
        <v>0</v>
      </c>
      <c r="OY9" s="204">
        <v>0</v>
      </c>
      <c r="OZ9" s="204">
        <v>0</v>
      </c>
      <c r="PA9" s="217">
        <v>1646.5190000000002</v>
      </c>
      <c r="PB9" s="217">
        <v>4636.0526</v>
      </c>
      <c r="PC9" s="217">
        <v>0</v>
      </c>
      <c r="PD9" s="200">
        <v>0</v>
      </c>
      <c r="PE9" s="200">
        <v>0</v>
      </c>
      <c r="PF9" s="217">
        <v>0</v>
      </c>
      <c r="PG9" s="211">
        <v>4636.0526</v>
      </c>
      <c r="PH9" s="200">
        <v>49517.58818999998</v>
      </c>
      <c r="PI9" s="200">
        <v>232.02848000000003</v>
      </c>
      <c r="PJ9" s="200">
        <v>206.89492999999999</v>
      </c>
      <c r="PK9" s="200">
        <v>117.25301</v>
      </c>
      <c r="PL9" s="201">
        <v>13968.10338</v>
      </c>
      <c r="PM9" s="217">
        <v>64041.867989999984</v>
      </c>
      <c r="PN9" s="217">
        <v>11747.144180000001</v>
      </c>
      <c r="PO9" s="200">
        <v>263.70154000000002</v>
      </c>
      <c r="PP9" s="240">
        <v>43.711920000000006</v>
      </c>
      <c r="PQ9" s="202">
        <v>12054.557640000001</v>
      </c>
      <c r="PR9" s="217">
        <v>76096.425629999983</v>
      </c>
      <c r="PS9" s="17">
        <f t="shared" si="16"/>
        <v>0</v>
      </c>
      <c r="PT9" s="114" t="s">
        <v>540</v>
      </c>
      <c r="PU9" s="201">
        <v>1240.6178599999998</v>
      </c>
      <c r="PV9" s="200">
        <v>0</v>
      </c>
      <c r="PW9" s="204">
        <v>0</v>
      </c>
      <c r="PX9" s="204">
        <v>0</v>
      </c>
      <c r="PY9" s="217">
        <v>0</v>
      </c>
      <c r="PZ9" s="217">
        <v>1240.6178599999998</v>
      </c>
      <c r="QA9" s="217">
        <v>1579.6679199999994</v>
      </c>
      <c r="QB9" s="200">
        <v>0</v>
      </c>
      <c r="QC9" s="200">
        <v>0</v>
      </c>
      <c r="QD9" s="217">
        <v>1579.6679199999994</v>
      </c>
      <c r="QE9" s="211">
        <v>2820.2857799999992</v>
      </c>
      <c r="QF9" s="200">
        <v>50758.206049999972</v>
      </c>
      <c r="QG9" s="200">
        <v>232.02848000000003</v>
      </c>
      <c r="QH9" s="200">
        <v>206.89492999999999</v>
      </c>
      <c r="QI9" s="200">
        <v>117.25301</v>
      </c>
      <c r="QJ9" s="201">
        <v>13968.10338</v>
      </c>
      <c r="QK9" s="217">
        <v>65282.485849999975</v>
      </c>
      <c r="QL9" s="217">
        <v>13326.812100000003</v>
      </c>
      <c r="QM9" s="200">
        <v>263.70154000000002</v>
      </c>
      <c r="QN9" s="240">
        <v>43.711920000000006</v>
      </c>
      <c r="QO9" s="202">
        <v>13634.225560000003</v>
      </c>
      <c r="QP9" s="217">
        <v>78916.711409999974</v>
      </c>
      <c r="QQ9" s="17">
        <f t="shared" si="17"/>
        <v>0</v>
      </c>
      <c r="QR9" s="114" t="s">
        <v>540</v>
      </c>
      <c r="QS9" s="200">
        <v>56025.642899999984</v>
      </c>
      <c r="QT9" s="200">
        <v>232.02848000000003</v>
      </c>
      <c r="QU9" s="200">
        <v>206.89492999999999</v>
      </c>
      <c r="QV9" s="200">
        <v>156.99821</v>
      </c>
      <c r="QW9" s="201">
        <v>15583.26338</v>
      </c>
      <c r="QX9" s="217">
        <v>72204.827899999989</v>
      </c>
      <c r="QY9" s="217">
        <v>15503.380339999998</v>
      </c>
      <c r="QZ9" s="200">
        <v>263.70154000000002</v>
      </c>
      <c r="RA9" s="240">
        <v>43.711920000000006</v>
      </c>
      <c r="RB9" s="202">
        <v>15810.793799999998</v>
      </c>
      <c r="RC9" s="217">
        <v>88015.621699999989</v>
      </c>
      <c r="RE9" s="114" t="s">
        <v>540</v>
      </c>
      <c r="RF9" s="200">
        <f t="shared" si="28"/>
        <v>56025642.899999984</v>
      </c>
      <c r="RG9" s="200">
        <f t="shared" si="18"/>
        <v>232028.48000000004</v>
      </c>
      <c r="RH9" s="200">
        <f t="shared" si="19"/>
        <v>206894.93</v>
      </c>
      <c r="RI9" s="200">
        <f t="shared" si="20"/>
        <v>156998.21</v>
      </c>
      <c r="RJ9" s="201">
        <f t="shared" si="21"/>
        <v>15583263.380000001</v>
      </c>
      <c r="RK9" s="217">
        <f t="shared" si="22"/>
        <v>72204827.899999991</v>
      </c>
      <c r="RL9" s="217">
        <f t="shared" si="23"/>
        <v>15503380.339999998</v>
      </c>
      <c r="RM9" s="200">
        <f t="shared" si="24"/>
        <v>263701.54000000004</v>
      </c>
      <c r="RN9" s="240">
        <f t="shared" si="25"/>
        <v>43711.920000000006</v>
      </c>
      <c r="RO9" s="202">
        <f t="shared" si="26"/>
        <v>15810793.799999997</v>
      </c>
      <c r="RP9" s="217">
        <f t="shared" si="27"/>
        <v>88015621.699999988</v>
      </c>
      <c r="RQ9" s="326"/>
      <c r="RR9" s="338" t="s">
        <v>468</v>
      </c>
      <c r="RS9" s="303">
        <f>RF10</f>
        <v>4272075.3400000017</v>
      </c>
      <c r="RT9" s="307">
        <f t="shared" si="5"/>
        <v>5.9891228165047779E-2</v>
      </c>
      <c r="RU9" s="317">
        <f>RJ10</f>
        <v>1098306.24</v>
      </c>
      <c r="RV9" s="307">
        <f t="shared" si="5"/>
        <v>4.2973198810907706E-2</v>
      </c>
      <c r="RW9" s="317">
        <f>RG10</f>
        <v>44150.82</v>
      </c>
      <c r="RX9" s="307">
        <f t="shared" si="5"/>
        <v>0.12682944849834712</v>
      </c>
      <c r="RY9" s="317">
        <f>RH10</f>
        <v>15572.85</v>
      </c>
      <c r="RZ9" s="307">
        <f t="shared" si="6"/>
        <v>7.1050733349362835E-2</v>
      </c>
      <c r="SA9" s="317">
        <f>RI10</f>
        <v>17280.64</v>
      </c>
      <c r="SB9" s="307">
        <f t="shared" si="7"/>
        <v>5.0425866857997735E-2</v>
      </c>
      <c r="SC9" s="317">
        <f>RL10</f>
        <v>162449.28000000003</v>
      </c>
      <c r="SD9" s="308">
        <f t="shared" si="5"/>
        <v>9.2900896518040791E-3</v>
      </c>
      <c r="SE9" s="303">
        <f>RM10</f>
        <v>748.5</v>
      </c>
      <c r="SF9" s="307">
        <f t="shared" si="8"/>
        <v>2.4133514923120971E-3</v>
      </c>
      <c r="SG9" s="317">
        <f>RN10</f>
        <v>756</v>
      </c>
      <c r="SH9" s="307">
        <f t="shared" si="5"/>
        <v>9.1799265605875154E-3</v>
      </c>
      <c r="SI9" s="303">
        <f>RS9+RU9+RW9+SC9+SG9+SE9+RY9+SA9</f>
        <v>5611339.6700000018</v>
      </c>
      <c r="SJ9" s="307">
        <f t="shared" si="5"/>
        <v>4.8508567710025534E-2</v>
      </c>
      <c r="SL9" s="17"/>
    </row>
    <row r="10" spans="2:506" ht="15" thickBot="1" x14ac:dyDescent="0.35">
      <c r="B10" s="118" t="s">
        <v>543</v>
      </c>
      <c r="C10" s="31">
        <v>474.48</v>
      </c>
      <c r="D10" s="18">
        <v>322.66444000000138</v>
      </c>
      <c r="E10" s="18">
        <v>0</v>
      </c>
      <c r="F10" s="18">
        <v>84.055299999999988</v>
      </c>
      <c r="G10" s="19">
        <v>881.19974000000184</v>
      </c>
      <c r="H10" s="28">
        <v>474.48</v>
      </c>
      <c r="I10" s="28">
        <v>322.66444000000138</v>
      </c>
      <c r="J10" s="28">
        <v>0</v>
      </c>
      <c r="K10" s="82">
        <v>84.055299999999988</v>
      </c>
      <c r="L10" s="19">
        <v>881.19974000000184</v>
      </c>
      <c r="N10" s="118" t="s">
        <v>543</v>
      </c>
      <c r="O10" s="31">
        <v>0</v>
      </c>
      <c r="P10" s="18">
        <v>385.66820999999982</v>
      </c>
      <c r="Q10" s="18">
        <v>0</v>
      </c>
      <c r="R10" s="18">
        <v>48.131039999999985</v>
      </c>
      <c r="S10" s="18">
        <v>0</v>
      </c>
      <c r="T10" s="18">
        <v>0</v>
      </c>
      <c r="U10" s="19">
        <v>433.79925000000003</v>
      </c>
      <c r="V10" s="28">
        <v>474.48</v>
      </c>
      <c r="W10" s="28">
        <v>708.3326500000021</v>
      </c>
      <c r="X10" s="28">
        <v>0</v>
      </c>
      <c r="Y10" s="82">
        <v>132.18634000000043</v>
      </c>
      <c r="Z10" s="82">
        <v>0</v>
      </c>
      <c r="AA10" s="82">
        <v>0</v>
      </c>
      <c r="AB10" s="19">
        <v>1314.9989900000037</v>
      </c>
      <c r="AC10" s="17">
        <f t="shared" si="1"/>
        <v>0</v>
      </c>
      <c r="AD10" s="118" t="s">
        <v>543</v>
      </c>
      <c r="AE10" s="31">
        <v>0</v>
      </c>
      <c r="AF10" s="18">
        <v>251.82527000000027</v>
      </c>
      <c r="AG10" s="18">
        <v>94.696119999999951</v>
      </c>
      <c r="AH10" s="19">
        <v>346.52139000000034</v>
      </c>
      <c r="AI10" s="28">
        <v>474.48</v>
      </c>
      <c r="AJ10" s="28">
        <v>960.15792000000329</v>
      </c>
      <c r="AK10" s="82">
        <v>226.88245999999981</v>
      </c>
      <c r="AL10" s="19">
        <v>1661.5203800000018</v>
      </c>
      <c r="AN10" s="118" t="s">
        <v>543</v>
      </c>
      <c r="AO10" s="31">
        <v>0</v>
      </c>
      <c r="AP10" s="18">
        <v>219.84200000000101</v>
      </c>
      <c r="AQ10" s="18">
        <v>-0.65984000000000131</v>
      </c>
      <c r="AR10" s="18">
        <v>-4.0739999999999981</v>
      </c>
      <c r="AS10" s="18">
        <v>47.275920000000099</v>
      </c>
      <c r="AT10" s="19">
        <v>262.38408000000072</v>
      </c>
      <c r="AU10" s="28">
        <v>474.48</v>
      </c>
      <c r="AV10" s="28">
        <v>1179.9999200000038</v>
      </c>
      <c r="AW10" s="28">
        <v>-0.65984000000000131</v>
      </c>
      <c r="AX10" s="28">
        <v>-4.0739999999999981</v>
      </c>
      <c r="AY10" s="82">
        <v>274.15838000000031</v>
      </c>
      <c r="AZ10" s="19">
        <v>1923.9044600000016</v>
      </c>
      <c r="BA10" s="17">
        <f t="shared" si="2"/>
        <v>0</v>
      </c>
      <c r="BB10" s="118" t="s">
        <v>543</v>
      </c>
      <c r="BC10" s="31">
        <v>988.5</v>
      </c>
      <c r="BD10" s="18">
        <v>119.38079000000027</v>
      </c>
      <c r="BE10" s="18">
        <v>0</v>
      </c>
      <c r="BF10" s="18">
        <v>0</v>
      </c>
      <c r="BG10" s="18">
        <v>107.12541000000056</v>
      </c>
      <c r="BH10" s="19">
        <f t="shared" si="3"/>
        <v>1215.0062000000007</v>
      </c>
      <c r="BI10" s="28">
        <v>1462.98</v>
      </c>
      <c r="BJ10" s="28">
        <v>1299.3807100000031</v>
      </c>
      <c r="BK10" s="28">
        <v>-0.65984000000000131</v>
      </c>
      <c r="BL10" s="28">
        <v>-4.0739999999999981</v>
      </c>
      <c r="BM10" s="82">
        <v>381.28379000000177</v>
      </c>
      <c r="BN10" s="19">
        <f t="shared" si="4"/>
        <v>3138.910660000005</v>
      </c>
      <c r="BO10" s="17">
        <f t="shared" si="0"/>
        <v>0</v>
      </c>
      <c r="BP10" s="114" t="s">
        <v>541</v>
      </c>
      <c r="BQ10" s="201">
        <v>42.051719999999996</v>
      </c>
      <c r="BR10" s="200">
        <v>0</v>
      </c>
      <c r="BS10" s="200">
        <v>5.1712499999999997</v>
      </c>
      <c r="BT10" s="204">
        <v>65.135999999999996</v>
      </c>
      <c r="BU10" s="217">
        <v>112.35897</v>
      </c>
      <c r="BV10" s="203">
        <v>5.7720000000000002</v>
      </c>
      <c r="BW10" s="217">
        <v>5.7720000000000002</v>
      </c>
      <c r="BX10" s="211">
        <v>118.13097</v>
      </c>
      <c r="BY10" s="200">
        <v>921.08415999999988</v>
      </c>
      <c r="BZ10" s="200">
        <v>-0.11588</v>
      </c>
      <c r="CA10" s="204">
        <v>8.2739999999999991</v>
      </c>
      <c r="CB10" s="201">
        <v>274.70400000000001</v>
      </c>
      <c r="CC10" s="217">
        <v>1203.9462799999999</v>
      </c>
      <c r="CD10" s="202">
        <v>44.018999999999998</v>
      </c>
      <c r="CE10" s="223">
        <v>44.018999999999998</v>
      </c>
      <c r="CF10" s="217">
        <v>1247.9652799999999</v>
      </c>
      <c r="CG10" s="17"/>
      <c r="CH10" s="114" t="s">
        <v>541</v>
      </c>
      <c r="CI10" s="201">
        <v>63.058240000000005</v>
      </c>
      <c r="CJ10" s="200">
        <v>0</v>
      </c>
      <c r="CK10" s="200">
        <v>0</v>
      </c>
      <c r="CL10" s="204">
        <v>0</v>
      </c>
      <c r="CM10" s="217">
        <v>63.058240000000005</v>
      </c>
      <c r="CN10" s="203">
        <v>4.8</v>
      </c>
      <c r="CO10" s="217">
        <v>4.8</v>
      </c>
      <c r="CP10" s="211">
        <v>67.858240000000009</v>
      </c>
      <c r="CQ10" s="200">
        <v>984.14240000000007</v>
      </c>
      <c r="CR10" s="200">
        <v>-0.11588</v>
      </c>
      <c r="CS10" s="204">
        <v>8.2739999999999991</v>
      </c>
      <c r="CT10" s="201">
        <v>274.70400000000001</v>
      </c>
      <c r="CU10" s="217">
        <v>1267.0045200000002</v>
      </c>
      <c r="CV10" s="202">
        <v>48.819000000000003</v>
      </c>
      <c r="CW10" s="223">
        <v>48.819000000000003</v>
      </c>
      <c r="CX10" s="217">
        <v>1315.8235200000001</v>
      </c>
      <c r="CZ10" s="114" t="s">
        <v>541</v>
      </c>
      <c r="DA10" s="201">
        <v>174.40501</v>
      </c>
      <c r="DB10" s="200">
        <v>0</v>
      </c>
      <c r="DC10" s="200">
        <v>0</v>
      </c>
      <c r="DD10" s="204">
        <v>113.28</v>
      </c>
      <c r="DE10" s="217">
        <v>287.68501000000003</v>
      </c>
      <c r="DF10" s="203">
        <v>5.484</v>
      </c>
      <c r="DG10" s="217">
        <v>5.484</v>
      </c>
      <c r="DH10" s="211">
        <v>293.16901000000001</v>
      </c>
      <c r="DI10" s="200">
        <v>1158.5474099999999</v>
      </c>
      <c r="DJ10" s="200">
        <v>-0.11588</v>
      </c>
      <c r="DK10" s="204">
        <v>8.2739999999999991</v>
      </c>
      <c r="DL10" s="201">
        <v>387.98399999999998</v>
      </c>
      <c r="DM10" s="217">
        <v>1554.6895299999996</v>
      </c>
      <c r="DN10" s="202">
        <v>54.302999999999997</v>
      </c>
      <c r="DO10" s="223">
        <v>54.302999999999997</v>
      </c>
      <c r="DP10" s="217">
        <v>1608.9925299999995</v>
      </c>
      <c r="DQ10" s="17"/>
      <c r="DR10" s="114" t="s">
        <v>541</v>
      </c>
      <c r="DS10" s="201">
        <v>101.25163999999998</v>
      </c>
      <c r="DT10" s="200">
        <v>13.523999999999999</v>
      </c>
      <c r="DU10" s="204">
        <v>7.2988500000000007</v>
      </c>
      <c r="DV10" s="217">
        <v>0</v>
      </c>
      <c r="DW10" s="217">
        <v>122.07448999999998</v>
      </c>
      <c r="DX10" s="203">
        <v>8.8439999999999994</v>
      </c>
      <c r="DY10" s="217">
        <v>8.8439999999999994</v>
      </c>
      <c r="DZ10" s="211">
        <v>130.91848999999999</v>
      </c>
      <c r="EA10" s="200">
        <v>1259.7990500000001</v>
      </c>
      <c r="EB10" s="200">
        <v>13.40812</v>
      </c>
      <c r="EC10" s="204">
        <v>15.572850000000001</v>
      </c>
      <c r="ED10" s="201">
        <v>387.98399999999998</v>
      </c>
      <c r="EE10" s="217">
        <v>1676.7640200000001</v>
      </c>
      <c r="EF10" s="202">
        <v>63.146999999999998</v>
      </c>
      <c r="EG10" s="223">
        <v>63.146999999999998</v>
      </c>
      <c r="EH10" s="217">
        <v>1739.91102</v>
      </c>
      <c r="EI10" s="17">
        <f t="shared" si="9"/>
        <v>0</v>
      </c>
      <c r="EJ10" s="114" t="s">
        <v>541</v>
      </c>
      <c r="EK10" s="201">
        <v>97.912200000000013</v>
      </c>
      <c r="EL10" s="200">
        <v>0</v>
      </c>
      <c r="EM10" s="204">
        <v>0</v>
      </c>
      <c r="EN10" s="217">
        <v>113.28</v>
      </c>
      <c r="EO10" s="217">
        <v>211.19220000000001</v>
      </c>
      <c r="EP10" s="203">
        <v>8.1161600000000007</v>
      </c>
      <c r="EQ10" s="217">
        <v>8.1161600000000007</v>
      </c>
      <c r="ER10" s="211">
        <v>219.30836000000002</v>
      </c>
      <c r="ES10" s="200">
        <v>1357.7112499999998</v>
      </c>
      <c r="ET10" s="200">
        <v>13.40812</v>
      </c>
      <c r="EU10" s="204">
        <v>15.572850000000001</v>
      </c>
      <c r="EV10" s="201">
        <v>501.26400000000001</v>
      </c>
      <c r="EW10" s="217">
        <v>1887.95622</v>
      </c>
      <c r="EX10" s="202">
        <v>71.263159999999999</v>
      </c>
      <c r="EY10" s="223">
        <v>71.263159999999999</v>
      </c>
      <c r="EZ10" s="217">
        <v>1959.21938</v>
      </c>
      <c r="FA10" s="17">
        <f t="shared" si="10"/>
        <v>0</v>
      </c>
      <c r="FB10" s="114" t="s">
        <v>541</v>
      </c>
      <c r="FC10" s="201">
        <v>128.42990999999998</v>
      </c>
      <c r="FD10" s="200">
        <v>0</v>
      </c>
      <c r="FE10" s="204">
        <v>0</v>
      </c>
      <c r="FF10" s="217">
        <v>0</v>
      </c>
      <c r="FG10" s="217">
        <v>128.42990999999998</v>
      </c>
      <c r="FH10" s="203">
        <v>0</v>
      </c>
      <c r="FI10" s="217">
        <v>0</v>
      </c>
      <c r="FJ10" s="211">
        <v>128.42990999999998</v>
      </c>
      <c r="FK10" s="200">
        <v>1486.1411599999999</v>
      </c>
      <c r="FL10" s="200">
        <v>13.40812</v>
      </c>
      <c r="FM10" s="204">
        <v>15.572850000000001</v>
      </c>
      <c r="FN10" s="201">
        <v>501.26400000000001</v>
      </c>
      <c r="FO10" s="217">
        <v>2016.3861299999999</v>
      </c>
      <c r="FP10" s="202">
        <v>71.263159999999999</v>
      </c>
      <c r="FQ10" s="223">
        <v>71.263159999999999</v>
      </c>
      <c r="FR10" s="217">
        <v>2087.6492899999998</v>
      </c>
      <c r="FT10" s="114" t="s">
        <v>541</v>
      </c>
      <c r="FU10" s="201">
        <v>205.77149000000003</v>
      </c>
      <c r="FV10" s="200">
        <v>0</v>
      </c>
      <c r="FW10" s="204">
        <v>0</v>
      </c>
      <c r="FX10" s="204">
        <v>8.3792999999999989</v>
      </c>
      <c r="FY10" s="217">
        <v>0</v>
      </c>
      <c r="FZ10" s="217">
        <v>214.15079000000003</v>
      </c>
      <c r="GA10" s="202">
        <v>3.1920000000000002</v>
      </c>
      <c r="GB10" s="217">
        <v>3.1920000000000002</v>
      </c>
      <c r="GC10" s="211">
        <v>217.34279000000004</v>
      </c>
      <c r="GD10" s="200">
        <v>1906.7512499999998</v>
      </c>
      <c r="GE10" s="200">
        <v>13.40812</v>
      </c>
      <c r="GF10" s="200">
        <v>15.572850000000001</v>
      </c>
      <c r="GG10" s="200">
        <v>8.3792999999999989</v>
      </c>
      <c r="GH10" s="201">
        <v>642.86400000000003</v>
      </c>
      <c r="GI10" s="217">
        <v>2586.97552</v>
      </c>
      <c r="GJ10" s="217">
        <v>82.173640000000006</v>
      </c>
      <c r="GK10" s="202">
        <v>82.173640000000006</v>
      </c>
      <c r="GL10" s="217">
        <v>2669.1491599999999</v>
      </c>
      <c r="GN10" s="114" t="s">
        <v>541</v>
      </c>
      <c r="GO10" s="201">
        <v>214.83860000000001</v>
      </c>
      <c r="GP10" s="200">
        <v>0</v>
      </c>
      <c r="GQ10" s="204">
        <v>0</v>
      </c>
      <c r="GR10" s="204">
        <v>0</v>
      </c>
      <c r="GS10" s="217">
        <v>141.6</v>
      </c>
      <c r="GT10" s="217">
        <v>356.43860000000001</v>
      </c>
      <c r="GU10" s="202">
        <v>7.7184799999999996</v>
      </c>
      <c r="GV10" s="217">
        <v>7.7184799999999996</v>
      </c>
      <c r="GW10" s="217">
        <v>364.15708000000001</v>
      </c>
      <c r="GX10" s="203">
        <v>1906.7512499999998</v>
      </c>
      <c r="GY10" s="200">
        <v>13.40812</v>
      </c>
      <c r="GZ10" s="200">
        <v>15.572850000000001</v>
      </c>
      <c r="HA10" s="200">
        <v>8.3792999999999989</v>
      </c>
      <c r="HB10" s="201">
        <v>642.86400000000003</v>
      </c>
      <c r="HC10" s="217">
        <v>2586.97552</v>
      </c>
      <c r="HD10" s="217">
        <v>82.173640000000006</v>
      </c>
      <c r="HE10" s="202">
        <v>82.173640000000006</v>
      </c>
      <c r="HF10" s="217">
        <v>2669.1491599999999</v>
      </c>
      <c r="HG10" s="17"/>
      <c r="HH10" s="114" t="s">
        <v>541</v>
      </c>
      <c r="HI10" s="201">
        <v>146.58463</v>
      </c>
      <c r="HJ10" s="200">
        <v>0</v>
      </c>
      <c r="HK10" s="204">
        <v>0</v>
      </c>
      <c r="HL10" s="204">
        <v>0</v>
      </c>
      <c r="HM10" s="217">
        <v>0</v>
      </c>
      <c r="HN10" s="217">
        <v>146.58463</v>
      </c>
      <c r="HO10" s="202">
        <v>5.0176000000000007</v>
      </c>
      <c r="HP10" s="200">
        <v>0.75600000000000001</v>
      </c>
      <c r="HQ10" s="200">
        <v>0.75600000000000001</v>
      </c>
      <c r="HR10" s="217">
        <v>6.5296000000000012</v>
      </c>
      <c r="HS10" s="217">
        <v>153.11422999999999</v>
      </c>
      <c r="HT10" s="203">
        <v>2053.3358799999996</v>
      </c>
      <c r="HU10" s="200">
        <v>13.40812</v>
      </c>
      <c r="HV10" s="200">
        <v>15.572850000000001</v>
      </c>
      <c r="HW10" s="200">
        <v>8.3792999999999989</v>
      </c>
      <c r="HX10" s="201">
        <v>642.86400000000003</v>
      </c>
      <c r="HY10" s="217">
        <v>2733.5601499999998</v>
      </c>
      <c r="HZ10" s="202">
        <v>87.191240000000008</v>
      </c>
      <c r="IA10" s="200">
        <v>0.74850000000000005</v>
      </c>
      <c r="IB10" s="240">
        <v>0.75600000000000001</v>
      </c>
      <c r="IC10" s="202">
        <v>88.695740000000015</v>
      </c>
      <c r="ID10" s="217">
        <v>2822.2558899999999</v>
      </c>
      <c r="IE10" s="17">
        <f t="shared" si="11"/>
        <v>0</v>
      </c>
      <c r="IF10" s="114" t="s">
        <v>541</v>
      </c>
      <c r="IG10" s="201">
        <v>161.18707000000001</v>
      </c>
      <c r="IH10" s="200">
        <v>31.33135</v>
      </c>
      <c r="II10" s="204">
        <v>0</v>
      </c>
      <c r="IJ10" s="204">
        <v>2.0113599999999998</v>
      </c>
      <c r="IK10" s="217">
        <v>0</v>
      </c>
      <c r="IL10" s="217">
        <v>194.52977999999999</v>
      </c>
      <c r="IM10" s="217">
        <v>6.09</v>
      </c>
      <c r="IN10" s="203">
        <v>0</v>
      </c>
      <c r="IO10" s="200">
        <v>0</v>
      </c>
      <c r="IP10" s="217">
        <v>6.09</v>
      </c>
      <c r="IQ10" s="211">
        <v>200.61977999999999</v>
      </c>
      <c r="IR10" s="200">
        <v>2214.5229499999996</v>
      </c>
      <c r="IS10" s="200">
        <v>44.739470000000011</v>
      </c>
      <c r="IT10" s="200">
        <v>15.572850000000001</v>
      </c>
      <c r="IU10" s="200">
        <v>10.39066</v>
      </c>
      <c r="IV10" s="201">
        <v>642.86400000000003</v>
      </c>
      <c r="IW10" s="217">
        <v>2928.0899299999996</v>
      </c>
      <c r="IX10" s="217">
        <v>93.281239999999997</v>
      </c>
      <c r="IY10" s="203">
        <v>0.74850000000000005</v>
      </c>
      <c r="IZ10" s="240">
        <v>0.75600000000000001</v>
      </c>
      <c r="JA10" s="202">
        <v>94.785740000000004</v>
      </c>
      <c r="JB10" s="217">
        <v>3022.8756699999994</v>
      </c>
      <c r="JD10" s="114" t="s">
        <v>541</v>
      </c>
      <c r="JE10" s="201">
        <v>161.50860000000003</v>
      </c>
      <c r="JF10" s="200">
        <v>0</v>
      </c>
      <c r="JG10" s="204">
        <v>0</v>
      </c>
      <c r="JH10" s="204">
        <v>0</v>
      </c>
      <c r="JI10" s="217">
        <v>113.28</v>
      </c>
      <c r="JJ10" s="217">
        <v>274.78860000000003</v>
      </c>
      <c r="JK10" s="202">
        <v>5.7915000000000001</v>
      </c>
      <c r="JL10" s="200">
        <v>0</v>
      </c>
      <c r="JM10" s="200">
        <v>0</v>
      </c>
      <c r="JN10" s="217">
        <v>5.7915000000000001</v>
      </c>
      <c r="JO10" s="211">
        <v>280.58010000000002</v>
      </c>
      <c r="JP10" s="200">
        <v>2376.0315500000002</v>
      </c>
      <c r="JQ10" s="200">
        <v>44.739470000000011</v>
      </c>
      <c r="JR10" s="200">
        <v>15.572850000000001</v>
      </c>
      <c r="JS10" s="200">
        <v>10.39066</v>
      </c>
      <c r="JT10" s="201">
        <v>756.14400000000001</v>
      </c>
      <c r="JU10" s="217">
        <v>3202.87853</v>
      </c>
      <c r="JV10" s="202">
        <v>99.07274000000001</v>
      </c>
      <c r="JW10" s="200">
        <v>0.74850000000000005</v>
      </c>
      <c r="JX10" s="240">
        <v>0.75600000000000001</v>
      </c>
      <c r="JY10" s="202">
        <v>100.57724000000002</v>
      </c>
      <c r="JZ10" s="217">
        <v>3303.45577</v>
      </c>
      <c r="KA10" s="17">
        <f t="shared" si="12"/>
        <v>0</v>
      </c>
      <c r="KB10" s="114" t="s">
        <v>541</v>
      </c>
      <c r="KC10" s="201">
        <v>138.66308999999998</v>
      </c>
      <c r="KD10" s="200">
        <v>0</v>
      </c>
      <c r="KE10" s="204">
        <v>0</v>
      </c>
      <c r="KF10" s="204">
        <v>2.0646800000000001</v>
      </c>
      <c r="KG10" s="217">
        <v>0</v>
      </c>
      <c r="KH10" s="217">
        <v>140.72776999999999</v>
      </c>
      <c r="KI10" s="217">
        <v>22.644539999999999</v>
      </c>
      <c r="KJ10" s="203">
        <v>0</v>
      </c>
      <c r="KK10" s="200">
        <v>0</v>
      </c>
      <c r="KL10" s="217">
        <v>22.644539999999999</v>
      </c>
      <c r="KM10" s="211">
        <v>163.37231</v>
      </c>
      <c r="KN10" s="200">
        <v>2514.6946400000002</v>
      </c>
      <c r="KO10" s="200">
        <v>44.739470000000011</v>
      </c>
      <c r="KP10" s="200">
        <v>15.572850000000001</v>
      </c>
      <c r="KQ10" s="200">
        <v>12.45534</v>
      </c>
      <c r="KR10" s="201">
        <v>756.14400000000001</v>
      </c>
      <c r="KS10" s="217">
        <v>3343.6063000000004</v>
      </c>
      <c r="KT10" s="217">
        <v>121.71728</v>
      </c>
      <c r="KU10" s="203">
        <v>0.74850000000000005</v>
      </c>
      <c r="KV10" s="240">
        <v>0.75600000000000001</v>
      </c>
      <c r="KW10" s="202">
        <v>123.22178000000001</v>
      </c>
      <c r="KX10" s="217">
        <v>3466.8280800000002</v>
      </c>
      <c r="KY10" s="17">
        <f t="shared" si="13"/>
        <v>0</v>
      </c>
      <c r="KZ10" s="114" t="s">
        <v>541</v>
      </c>
      <c r="LA10" s="201">
        <v>148.01427999999999</v>
      </c>
      <c r="LB10" s="200">
        <v>0</v>
      </c>
      <c r="LC10" s="204">
        <v>0</v>
      </c>
      <c r="LD10" s="204">
        <v>0</v>
      </c>
      <c r="LE10" s="217">
        <v>0</v>
      </c>
      <c r="LF10" s="217">
        <v>148.01427999999999</v>
      </c>
      <c r="LG10" s="202">
        <v>0</v>
      </c>
      <c r="LH10" s="201">
        <v>0</v>
      </c>
      <c r="LI10" s="200">
        <v>0</v>
      </c>
      <c r="LJ10" s="200">
        <v>0</v>
      </c>
      <c r="LK10" s="217">
        <v>0</v>
      </c>
      <c r="LL10" s="211">
        <v>148.01427999999999</v>
      </c>
      <c r="LM10" s="200">
        <v>2662.70892</v>
      </c>
      <c r="LN10" s="200">
        <v>44.739470000000011</v>
      </c>
      <c r="LO10" s="200">
        <v>15.572850000000001</v>
      </c>
      <c r="LP10" s="200">
        <v>12.45534</v>
      </c>
      <c r="LQ10" s="201">
        <v>756.14400000000001</v>
      </c>
      <c r="LR10" s="217">
        <v>3491.6205799999998</v>
      </c>
      <c r="LS10" s="202">
        <v>121.71728</v>
      </c>
      <c r="LT10" s="223">
        <v>0</v>
      </c>
      <c r="LU10" s="200">
        <v>0.74850000000000005</v>
      </c>
      <c r="LV10" s="240">
        <v>0.75600000000000001</v>
      </c>
      <c r="LW10" s="202">
        <v>123.22178000000001</v>
      </c>
      <c r="LX10" s="217">
        <v>3614.8423599999996</v>
      </c>
      <c r="LY10" s="17"/>
      <c r="LZ10" s="114" t="s">
        <v>541</v>
      </c>
      <c r="MA10" s="201">
        <v>239.76003000000003</v>
      </c>
      <c r="MB10" s="200">
        <v>0</v>
      </c>
      <c r="MC10" s="204">
        <v>0</v>
      </c>
      <c r="MD10" s="204">
        <v>0</v>
      </c>
      <c r="ME10" s="217">
        <v>113.28</v>
      </c>
      <c r="MF10" s="217">
        <v>353.04003</v>
      </c>
      <c r="MG10" s="202">
        <v>0</v>
      </c>
      <c r="MH10" s="201">
        <v>0</v>
      </c>
      <c r="MI10" s="200">
        <v>0</v>
      </c>
      <c r="MJ10" s="200">
        <v>0</v>
      </c>
      <c r="MK10" s="217">
        <v>0</v>
      </c>
      <c r="ML10" s="211">
        <v>353.04003</v>
      </c>
      <c r="MM10" s="200">
        <v>2902.4689499999995</v>
      </c>
      <c r="MN10" s="200">
        <v>44.739470000000011</v>
      </c>
      <c r="MO10" s="200">
        <v>15.572850000000001</v>
      </c>
      <c r="MP10" s="200">
        <v>12.45534</v>
      </c>
      <c r="MQ10" s="201">
        <v>869.42399999999998</v>
      </c>
      <c r="MR10" s="217">
        <v>3844.6606099999995</v>
      </c>
      <c r="MS10" s="202">
        <v>121.71728</v>
      </c>
      <c r="MT10" s="223">
        <v>0</v>
      </c>
      <c r="MU10" s="200">
        <v>0.74850000000000005</v>
      </c>
      <c r="MV10" s="240">
        <v>0.75600000000000001</v>
      </c>
      <c r="MW10" s="202">
        <v>123.22178000000001</v>
      </c>
      <c r="MX10" s="217">
        <v>3967.8823899999993</v>
      </c>
      <c r="MY10" s="17">
        <f t="shared" si="14"/>
        <v>0</v>
      </c>
      <c r="MZ10" s="114" t="s">
        <v>541</v>
      </c>
      <c r="NA10" s="201">
        <v>336.86460999999997</v>
      </c>
      <c r="NB10" s="200">
        <v>-0.58865000000000012</v>
      </c>
      <c r="NC10" s="204">
        <v>0</v>
      </c>
      <c r="ND10" s="204">
        <v>0</v>
      </c>
      <c r="NE10" s="217">
        <v>0</v>
      </c>
      <c r="NF10" s="217">
        <v>336.27596</v>
      </c>
      <c r="NG10" s="217">
        <v>1.63</v>
      </c>
      <c r="NH10" s="200">
        <v>0</v>
      </c>
      <c r="NI10" s="200">
        <v>0</v>
      </c>
      <c r="NJ10" s="217">
        <v>1.63</v>
      </c>
      <c r="NK10" s="211">
        <v>337.90595999999999</v>
      </c>
      <c r="NL10" s="200">
        <v>3239.3335600000005</v>
      </c>
      <c r="NM10" s="200">
        <v>44.150820000000003</v>
      </c>
      <c r="NN10" s="200">
        <v>15.572850000000001</v>
      </c>
      <c r="NO10" s="200">
        <v>12.45534</v>
      </c>
      <c r="NP10" s="201">
        <v>869.42399999999998</v>
      </c>
      <c r="NQ10" s="217">
        <v>4180.9365699999998</v>
      </c>
      <c r="NR10" s="217">
        <v>123.34728</v>
      </c>
      <c r="NS10" s="200">
        <v>0.74850000000000005</v>
      </c>
      <c r="NT10" s="240">
        <v>0.75600000000000001</v>
      </c>
      <c r="NU10" s="202">
        <v>124.85178000000001</v>
      </c>
      <c r="NV10" s="217">
        <v>4305.7883499999998</v>
      </c>
      <c r="NW10" s="17"/>
      <c r="NX10" s="114" t="s">
        <v>541</v>
      </c>
      <c r="NY10" s="201">
        <v>234.50254999999999</v>
      </c>
      <c r="NZ10" s="200">
        <v>0</v>
      </c>
      <c r="OA10" s="204">
        <v>0</v>
      </c>
      <c r="OB10" s="204">
        <v>2.4792200000000002</v>
      </c>
      <c r="OC10" s="217">
        <v>-0.50975999999999999</v>
      </c>
      <c r="OD10" s="217">
        <v>236.47200999999998</v>
      </c>
      <c r="OE10" s="217">
        <v>0</v>
      </c>
      <c r="OF10" s="200">
        <v>0</v>
      </c>
      <c r="OG10" s="200">
        <v>0</v>
      </c>
      <c r="OH10" s="217">
        <v>0</v>
      </c>
      <c r="OI10" s="211">
        <v>236.47200999999998</v>
      </c>
      <c r="OJ10" s="200">
        <v>3473.8361100000006</v>
      </c>
      <c r="OK10" s="200">
        <v>44.150820000000003</v>
      </c>
      <c r="OL10" s="200">
        <v>15.572850000000001</v>
      </c>
      <c r="OM10" s="200">
        <v>14.934560000000001</v>
      </c>
      <c r="ON10" s="201">
        <v>868.91423999999995</v>
      </c>
      <c r="OO10" s="217">
        <v>4417.4085800000003</v>
      </c>
      <c r="OP10" s="217">
        <v>123.34728</v>
      </c>
      <c r="OQ10" s="200">
        <v>0.74850000000000005</v>
      </c>
      <c r="OR10" s="240">
        <v>0.75600000000000001</v>
      </c>
      <c r="OS10" s="202">
        <v>124.85178000000001</v>
      </c>
      <c r="OT10" s="217">
        <v>4542.2603600000002</v>
      </c>
      <c r="OU10" s="17">
        <f t="shared" si="15"/>
        <v>0</v>
      </c>
      <c r="OV10" s="114" t="s">
        <v>541</v>
      </c>
      <c r="OW10" s="201">
        <v>233.46379000000005</v>
      </c>
      <c r="OX10" s="200">
        <v>0</v>
      </c>
      <c r="OY10" s="204">
        <v>0</v>
      </c>
      <c r="OZ10" s="204">
        <v>0</v>
      </c>
      <c r="PA10" s="217">
        <v>116.11199999999999</v>
      </c>
      <c r="PB10" s="217">
        <v>349.57579000000004</v>
      </c>
      <c r="PC10" s="217">
        <v>0</v>
      </c>
      <c r="PD10" s="200">
        <v>0</v>
      </c>
      <c r="PE10" s="200">
        <v>0</v>
      </c>
      <c r="PF10" s="217">
        <v>0</v>
      </c>
      <c r="PG10" s="211">
        <v>349.57579000000004</v>
      </c>
      <c r="PH10" s="200">
        <v>3707.2999000000013</v>
      </c>
      <c r="PI10" s="200">
        <v>44.150820000000003</v>
      </c>
      <c r="PJ10" s="200">
        <v>15.572850000000001</v>
      </c>
      <c r="PK10" s="200">
        <v>14.934560000000001</v>
      </c>
      <c r="PL10" s="201">
        <v>985.02624000000003</v>
      </c>
      <c r="PM10" s="217">
        <v>4766.984370000001</v>
      </c>
      <c r="PN10" s="217">
        <v>123.34728</v>
      </c>
      <c r="PO10" s="200">
        <v>0.74850000000000005</v>
      </c>
      <c r="PP10" s="240">
        <v>0.75600000000000001</v>
      </c>
      <c r="PQ10" s="202">
        <v>124.85178000000001</v>
      </c>
      <c r="PR10" s="217">
        <v>4891.836150000001</v>
      </c>
      <c r="PS10" s="17">
        <f t="shared" si="16"/>
        <v>0</v>
      </c>
      <c r="PT10" s="114" t="s">
        <v>541</v>
      </c>
      <c r="PU10" s="201">
        <v>153.75066999999996</v>
      </c>
      <c r="PV10" s="200">
        <v>0</v>
      </c>
      <c r="PW10" s="204">
        <v>0</v>
      </c>
      <c r="PX10" s="204">
        <v>0</v>
      </c>
      <c r="PY10" s="217">
        <v>0</v>
      </c>
      <c r="PZ10" s="217">
        <v>153.75066999999996</v>
      </c>
      <c r="QA10" s="217">
        <v>16.463999999999999</v>
      </c>
      <c r="QB10" s="200">
        <v>0</v>
      </c>
      <c r="QC10" s="200">
        <v>0</v>
      </c>
      <c r="QD10" s="217">
        <v>16.463999999999999</v>
      </c>
      <c r="QE10" s="211">
        <v>170.21466999999996</v>
      </c>
      <c r="QF10" s="200">
        <v>3861.0505700000012</v>
      </c>
      <c r="QG10" s="200">
        <v>44.150820000000003</v>
      </c>
      <c r="QH10" s="200">
        <v>15.572850000000001</v>
      </c>
      <c r="QI10" s="200">
        <v>14.934560000000001</v>
      </c>
      <c r="QJ10" s="201">
        <v>985.02624000000003</v>
      </c>
      <c r="QK10" s="217">
        <v>4920.7350400000014</v>
      </c>
      <c r="QL10" s="217">
        <v>139.81128000000001</v>
      </c>
      <c r="QM10" s="200">
        <v>0.74850000000000005</v>
      </c>
      <c r="QN10" s="240">
        <v>0.75600000000000001</v>
      </c>
      <c r="QO10" s="202">
        <v>141.31578000000002</v>
      </c>
      <c r="QP10" s="217">
        <v>5062.0508200000013</v>
      </c>
      <c r="QQ10" s="17">
        <f t="shared" si="17"/>
        <v>0</v>
      </c>
      <c r="QR10" s="114" t="s">
        <v>541</v>
      </c>
      <c r="QS10" s="200">
        <v>4272.0753400000021</v>
      </c>
      <c r="QT10" s="200">
        <v>44.150820000000003</v>
      </c>
      <c r="QU10" s="200">
        <v>15.572850000000001</v>
      </c>
      <c r="QV10" s="200">
        <v>17.280639999999998</v>
      </c>
      <c r="QW10" s="201">
        <v>1098.3062399999999</v>
      </c>
      <c r="QX10" s="217">
        <v>5447.3858900000014</v>
      </c>
      <c r="QY10" s="217">
        <v>162.44928000000002</v>
      </c>
      <c r="QZ10" s="200">
        <v>0.74850000000000005</v>
      </c>
      <c r="RA10" s="240">
        <v>0.75600000000000001</v>
      </c>
      <c r="RB10" s="202">
        <v>163.95378000000002</v>
      </c>
      <c r="RC10" s="217">
        <v>5611.3396700000012</v>
      </c>
      <c r="RE10" s="114" t="s">
        <v>541</v>
      </c>
      <c r="RF10" s="200">
        <f t="shared" si="28"/>
        <v>4272075.3400000017</v>
      </c>
      <c r="RG10" s="200">
        <f t="shared" si="18"/>
        <v>44150.82</v>
      </c>
      <c r="RH10" s="200">
        <f t="shared" si="19"/>
        <v>15572.85</v>
      </c>
      <c r="RI10" s="200">
        <f t="shared" si="20"/>
        <v>17280.64</v>
      </c>
      <c r="RJ10" s="201">
        <f t="shared" si="21"/>
        <v>1098306.24</v>
      </c>
      <c r="RK10" s="217">
        <f t="shared" si="22"/>
        <v>5447385.8900000015</v>
      </c>
      <c r="RL10" s="217">
        <f t="shared" si="23"/>
        <v>162449.28000000003</v>
      </c>
      <c r="RM10" s="200">
        <f t="shared" si="24"/>
        <v>748.5</v>
      </c>
      <c r="RN10" s="240">
        <f t="shared" si="25"/>
        <v>756</v>
      </c>
      <c r="RO10" s="202">
        <f t="shared" si="26"/>
        <v>163953.78000000003</v>
      </c>
      <c r="RP10" s="217">
        <f t="shared" si="27"/>
        <v>5611339.6700000009</v>
      </c>
      <c r="RQ10" s="326"/>
      <c r="RR10" s="337" t="s">
        <v>1967</v>
      </c>
      <c r="RS10" s="331" t="e">
        <f>SUM(RS11:RS14)</f>
        <v>#REF!</v>
      </c>
      <c r="RT10" s="314" t="str">
        <f t="shared" si="5"/>
        <v>-</v>
      </c>
      <c r="RU10" s="55" t="e">
        <f>SUM(RU11:RU14)</f>
        <v>#REF!</v>
      </c>
      <c r="RV10" s="314" t="str">
        <f t="shared" si="5"/>
        <v>-</v>
      </c>
      <c r="RW10" s="55" t="e">
        <f>SUM(RW11:RW14)</f>
        <v>#REF!</v>
      </c>
      <c r="RX10" s="314" t="str">
        <f t="shared" si="5"/>
        <v>-</v>
      </c>
      <c r="RY10" s="55" t="e">
        <f>SUM(RY11:RY14)</f>
        <v>#REF!</v>
      </c>
      <c r="RZ10" s="314" t="str">
        <f t="shared" si="6"/>
        <v>-</v>
      </c>
      <c r="SA10" s="55" t="e">
        <f>SUM(SA11:SA14)</f>
        <v>#REF!</v>
      </c>
      <c r="SB10" s="314" t="str">
        <f t="shared" si="7"/>
        <v>-</v>
      </c>
      <c r="SC10" s="55" t="e">
        <f>SUM(SC11:SC14)</f>
        <v>#REF!</v>
      </c>
      <c r="SD10" s="315" t="str">
        <f t="shared" si="5"/>
        <v>-</v>
      </c>
      <c r="SE10" s="316" t="e">
        <f>SUM(SE11:SE14)</f>
        <v>#REF!</v>
      </c>
      <c r="SF10" s="314" t="str">
        <f t="shared" si="8"/>
        <v>-</v>
      </c>
      <c r="SG10" s="55" t="e">
        <f>SUM(SG11:SG14)</f>
        <v>#REF!</v>
      </c>
      <c r="SH10" s="314" t="str">
        <f t="shared" si="5"/>
        <v>-</v>
      </c>
      <c r="SI10" s="316" t="e">
        <f>SUM(SI11:SI14)</f>
        <v>#REF!</v>
      </c>
      <c r="SJ10" s="314" t="str">
        <f t="shared" si="5"/>
        <v>-</v>
      </c>
      <c r="SL10" s="17"/>
    </row>
    <row r="11" spans="2:506" ht="15" thickBot="1" x14ac:dyDescent="0.35">
      <c r="B11" s="116" t="s">
        <v>460</v>
      </c>
      <c r="C11" s="57">
        <v>0.29985894344087</v>
      </c>
      <c r="D11" s="58">
        <v>7.5633067441574983E-2</v>
      </c>
      <c r="E11" s="58" t="s">
        <v>478</v>
      </c>
      <c r="F11" s="58">
        <v>7.7403830193611092E-2</v>
      </c>
      <c r="G11" s="59">
        <v>0.12707550011798568</v>
      </c>
      <c r="H11" s="60">
        <v>0.29985894344087</v>
      </c>
      <c r="I11" s="58">
        <v>7.5633067441574983E-2</v>
      </c>
      <c r="J11" s="58" t="s">
        <v>478</v>
      </c>
      <c r="K11" s="61">
        <v>7.7403830193611092E-2</v>
      </c>
      <c r="L11" s="59">
        <v>0.12707550011798568</v>
      </c>
      <c r="N11" s="116" t="s">
        <v>460</v>
      </c>
      <c r="O11" s="57" t="s">
        <v>478</v>
      </c>
      <c r="P11" s="58">
        <v>8.1612983148505083E-2</v>
      </c>
      <c r="Q11" s="58" t="s">
        <v>478</v>
      </c>
      <c r="R11" s="58">
        <v>9.3715478090094492E-2</v>
      </c>
      <c r="S11" s="58" t="s">
        <v>478</v>
      </c>
      <c r="T11" s="58" t="s">
        <v>478</v>
      </c>
      <c r="U11" s="59">
        <v>8.2799372054431844E-2</v>
      </c>
      <c r="V11" s="60">
        <v>0.29985894344087</v>
      </c>
      <c r="W11" s="58">
        <v>7.8775783331807264E-2</v>
      </c>
      <c r="X11" s="58" t="s">
        <v>478</v>
      </c>
      <c r="Y11" s="61">
        <v>8.2641310159424261E-2</v>
      </c>
      <c r="Z11" s="61" t="s">
        <v>478</v>
      </c>
      <c r="AA11" s="61" t="s">
        <v>478</v>
      </c>
      <c r="AB11" s="59">
        <v>0.10802038077208569</v>
      </c>
      <c r="AD11" s="116" t="s">
        <v>460</v>
      </c>
      <c r="AE11" s="57" t="s">
        <v>478</v>
      </c>
      <c r="AF11" s="58">
        <v>7.5545849338041551E-2</v>
      </c>
      <c r="AG11" s="58">
        <v>8.649794194056791E-2</v>
      </c>
      <c r="AH11" s="59">
        <v>7.8253529769470462E-2</v>
      </c>
      <c r="AI11" s="60">
        <v>0.29985894344087</v>
      </c>
      <c r="AJ11" s="58">
        <v>7.790222971348236E-2</v>
      </c>
      <c r="AK11" s="61">
        <v>8.4208382294606032E-2</v>
      </c>
      <c r="AL11" s="59">
        <v>0.10008068940491727</v>
      </c>
      <c r="AN11" s="116" t="s">
        <v>460</v>
      </c>
      <c r="AO11" s="57" t="s">
        <v>478</v>
      </c>
      <c r="AP11" s="58">
        <v>9.1468280550103226E-2</v>
      </c>
      <c r="AQ11" s="58">
        <v>0.19131564297643386</v>
      </c>
      <c r="AR11" s="58">
        <v>-9.3291656648232704E-2</v>
      </c>
      <c r="AS11" s="58">
        <v>9.3715478090094714E-2</v>
      </c>
      <c r="AT11" s="59">
        <v>8.8999243792938845E-2</v>
      </c>
      <c r="AU11" s="60">
        <v>0.29985894344087</v>
      </c>
      <c r="AV11" s="58">
        <v>8.0115991179470741E-2</v>
      </c>
      <c r="AW11" s="58">
        <v>0.19131564297643386</v>
      </c>
      <c r="AX11" s="58">
        <v>-9.3291656648232704E-2</v>
      </c>
      <c r="AY11" s="61">
        <v>8.570770414617386E-2</v>
      </c>
      <c r="AZ11" s="59">
        <v>9.8409592950816013E-2</v>
      </c>
      <c r="BB11" s="116" t="s">
        <v>460</v>
      </c>
      <c r="BC11" s="57">
        <v>0.29985894344087</v>
      </c>
      <c r="BD11" s="58">
        <v>0.1258588600587888</v>
      </c>
      <c r="BE11" s="58" t="s">
        <v>478</v>
      </c>
      <c r="BF11" s="58" t="s">
        <v>478</v>
      </c>
      <c r="BG11" s="58">
        <v>9.0345107290360965E-2</v>
      </c>
      <c r="BH11" s="59">
        <v>0.22380909382410474</v>
      </c>
      <c r="BI11" s="60">
        <v>0.29985894344087</v>
      </c>
      <c r="BJ11" s="58">
        <v>8.2883610143292624E-2</v>
      </c>
      <c r="BK11" s="58">
        <v>0.19131564297643386</v>
      </c>
      <c r="BL11" s="58">
        <v>-9.3291656648232704E-2</v>
      </c>
      <c r="BM11" s="61">
        <v>8.6961835621846659E-2</v>
      </c>
      <c r="BN11" s="59">
        <v>0.12565301149721333</v>
      </c>
      <c r="BP11" s="114" t="s">
        <v>542</v>
      </c>
      <c r="BQ11" s="201">
        <v>46.477140000000006</v>
      </c>
      <c r="BR11" s="200">
        <v>0</v>
      </c>
      <c r="BS11" s="200">
        <v>5.6682499999999996</v>
      </c>
      <c r="BT11" s="204">
        <v>72.358000000000004</v>
      </c>
      <c r="BU11" s="217">
        <v>124.50339000000001</v>
      </c>
      <c r="BV11" s="203">
        <v>7.5035999999999996</v>
      </c>
      <c r="BW11" s="217">
        <v>7.5035999999999996</v>
      </c>
      <c r="BX11" s="211">
        <v>132.00699</v>
      </c>
      <c r="BY11" s="200">
        <v>1108.5540599999999</v>
      </c>
      <c r="BZ11" s="200">
        <v>-0.17623999999999998</v>
      </c>
      <c r="CA11" s="204">
        <v>9.0692000000000004</v>
      </c>
      <c r="CB11" s="201">
        <v>305.16199999999998</v>
      </c>
      <c r="CC11" s="217">
        <v>1422.6090199999999</v>
      </c>
      <c r="CD11" s="202">
        <v>57.224699999999984</v>
      </c>
      <c r="CE11" s="223">
        <v>57.224699999999984</v>
      </c>
      <c r="CF11" s="217">
        <v>1479.8337199999999</v>
      </c>
      <c r="CH11" s="114" t="s">
        <v>542</v>
      </c>
      <c r="CI11" s="201">
        <v>76.783280000000005</v>
      </c>
      <c r="CJ11" s="200">
        <v>0</v>
      </c>
      <c r="CK11" s="200">
        <v>0</v>
      </c>
      <c r="CL11" s="204">
        <v>0</v>
      </c>
      <c r="CM11" s="217">
        <v>76.783280000000005</v>
      </c>
      <c r="CN11" s="203">
        <v>6.24</v>
      </c>
      <c r="CO11" s="217">
        <v>6.24</v>
      </c>
      <c r="CP11" s="211">
        <v>83.02328</v>
      </c>
      <c r="CQ11" s="200">
        <v>1185.3373399999998</v>
      </c>
      <c r="CR11" s="200">
        <v>-0.17623999999999998</v>
      </c>
      <c r="CS11" s="204">
        <v>9.0692000000000004</v>
      </c>
      <c r="CT11" s="201">
        <v>305.16199999999998</v>
      </c>
      <c r="CU11" s="217">
        <v>1499.3922999999998</v>
      </c>
      <c r="CV11" s="202">
        <v>63.464699999999986</v>
      </c>
      <c r="CW11" s="223">
        <v>63.464699999999986</v>
      </c>
      <c r="CX11" s="217">
        <v>1562.8569999999997</v>
      </c>
      <c r="CZ11" s="114" t="s">
        <v>542</v>
      </c>
      <c r="DA11" s="201">
        <v>208.90910000000002</v>
      </c>
      <c r="DB11" s="200">
        <v>0</v>
      </c>
      <c r="DC11" s="200">
        <v>0</v>
      </c>
      <c r="DD11" s="204">
        <v>125.84</v>
      </c>
      <c r="DE11" s="217">
        <v>334.7491</v>
      </c>
      <c r="DF11" s="203">
        <v>7.1291999999999991</v>
      </c>
      <c r="DG11" s="217">
        <v>7.1291999999999991</v>
      </c>
      <c r="DH11" s="211">
        <v>341.87830000000002</v>
      </c>
      <c r="DI11" s="200">
        <v>1394.2464399999999</v>
      </c>
      <c r="DJ11" s="200">
        <v>-0.17623999999999998</v>
      </c>
      <c r="DK11" s="204">
        <v>9.0692000000000004</v>
      </c>
      <c r="DL11" s="201">
        <v>431.00200000000001</v>
      </c>
      <c r="DM11" s="217">
        <v>1834.1413999999997</v>
      </c>
      <c r="DN11" s="202">
        <v>70.593899999999991</v>
      </c>
      <c r="DO11" s="223">
        <v>70.593899999999991</v>
      </c>
      <c r="DP11" s="217">
        <v>1904.7352999999998</v>
      </c>
      <c r="DQ11" s="17"/>
      <c r="DR11" s="114" t="s">
        <v>542</v>
      </c>
      <c r="DS11" s="201">
        <v>121.70047</v>
      </c>
      <c r="DT11" s="200">
        <v>15.628499999999999</v>
      </c>
      <c r="DU11" s="204">
        <v>8.0003299999999982</v>
      </c>
      <c r="DV11" s="217">
        <v>0</v>
      </c>
      <c r="DW11" s="217">
        <v>145.32929999999999</v>
      </c>
      <c r="DX11" s="203">
        <v>11.497200000000001</v>
      </c>
      <c r="DY11" s="217">
        <v>11.497200000000001</v>
      </c>
      <c r="DZ11" s="211">
        <v>156.82649999999998</v>
      </c>
      <c r="EA11" s="200">
        <v>1515.9469099999999</v>
      </c>
      <c r="EB11" s="200">
        <v>15.452259999999999</v>
      </c>
      <c r="EC11" s="204">
        <v>17.06953</v>
      </c>
      <c r="ED11" s="201">
        <v>431.00200000000001</v>
      </c>
      <c r="EE11" s="217">
        <v>1979.4706999999999</v>
      </c>
      <c r="EF11" s="202">
        <v>82.091099999999997</v>
      </c>
      <c r="EG11" s="223">
        <v>82.091099999999997</v>
      </c>
      <c r="EH11" s="217">
        <v>2061.5617999999999</v>
      </c>
      <c r="EI11" s="17">
        <f t="shared" si="9"/>
        <v>0</v>
      </c>
      <c r="EJ11" s="114" t="s">
        <v>542</v>
      </c>
      <c r="EK11" s="201">
        <v>118.62620999999999</v>
      </c>
      <c r="EL11" s="200">
        <v>0</v>
      </c>
      <c r="EM11" s="204">
        <v>0</v>
      </c>
      <c r="EN11" s="217">
        <v>125.84</v>
      </c>
      <c r="EO11" s="217">
        <v>244.46620999999999</v>
      </c>
      <c r="EP11" s="203">
        <v>10.544320000000001</v>
      </c>
      <c r="EQ11" s="217">
        <v>10.544320000000001</v>
      </c>
      <c r="ER11" s="211">
        <v>255.01052999999999</v>
      </c>
      <c r="ES11" s="200">
        <v>1634.57312</v>
      </c>
      <c r="ET11" s="200">
        <v>15.452259999999999</v>
      </c>
      <c r="EU11" s="204">
        <v>17.06953</v>
      </c>
      <c r="EV11" s="201">
        <v>556.84199999999998</v>
      </c>
      <c r="EW11" s="217">
        <v>2223.9369099999999</v>
      </c>
      <c r="EX11" s="202">
        <v>92.635419999999982</v>
      </c>
      <c r="EY11" s="223">
        <v>92.635419999999982</v>
      </c>
      <c r="EZ11" s="217">
        <v>2316.57233</v>
      </c>
      <c r="FA11" s="17">
        <f t="shared" si="10"/>
        <v>0</v>
      </c>
      <c r="FB11" s="114" t="s">
        <v>542</v>
      </c>
      <c r="FC11" s="201">
        <v>155.24375000000001</v>
      </c>
      <c r="FD11" s="200">
        <v>0</v>
      </c>
      <c r="FE11" s="204">
        <v>0</v>
      </c>
      <c r="FF11" s="217">
        <v>0</v>
      </c>
      <c r="FG11" s="217">
        <v>155.24375000000001</v>
      </c>
      <c r="FH11" s="203">
        <v>0</v>
      </c>
      <c r="FI11" s="217">
        <v>0</v>
      </c>
      <c r="FJ11" s="211">
        <v>155.24375000000001</v>
      </c>
      <c r="FK11" s="200">
        <v>1789.8168700000001</v>
      </c>
      <c r="FL11" s="200">
        <v>15.452259999999999</v>
      </c>
      <c r="FM11" s="204">
        <v>17.06953</v>
      </c>
      <c r="FN11" s="201">
        <v>556.84199999999998</v>
      </c>
      <c r="FO11" s="217">
        <v>2379.18066</v>
      </c>
      <c r="FP11" s="202">
        <v>92.635419999999982</v>
      </c>
      <c r="FQ11" s="223">
        <v>92.635419999999982</v>
      </c>
      <c r="FR11" s="217">
        <v>2471.8160800000001</v>
      </c>
      <c r="FT11" s="114" t="s">
        <v>542</v>
      </c>
      <c r="FU11" s="201">
        <v>245.67193</v>
      </c>
      <c r="FV11" s="200">
        <v>0</v>
      </c>
      <c r="FW11" s="204">
        <v>0</v>
      </c>
      <c r="FX11" s="204">
        <v>6.1194900000000008</v>
      </c>
      <c r="FY11" s="217">
        <v>0</v>
      </c>
      <c r="FZ11" s="217">
        <v>251.79142000000002</v>
      </c>
      <c r="GA11" s="202">
        <v>4.1495999999999995</v>
      </c>
      <c r="GB11" s="217">
        <v>4.1495999999999995</v>
      </c>
      <c r="GC11" s="211">
        <v>255.94102000000001</v>
      </c>
      <c r="GD11" s="200">
        <v>2293.1398800000002</v>
      </c>
      <c r="GE11" s="200">
        <v>15.452259999999999</v>
      </c>
      <c r="GF11" s="200">
        <v>17.06953</v>
      </c>
      <c r="GG11" s="200">
        <v>6.1194899999999999</v>
      </c>
      <c r="GH11" s="201">
        <v>714.14200000000005</v>
      </c>
      <c r="GI11" s="217">
        <v>3045.9231600000003</v>
      </c>
      <c r="GJ11" s="217">
        <v>106.63177999999999</v>
      </c>
      <c r="GK11" s="202">
        <v>106.63177999999999</v>
      </c>
      <c r="GL11" s="217">
        <v>3152.5549400000004</v>
      </c>
      <c r="GN11" s="114" t="s">
        <v>542</v>
      </c>
      <c r="GO11" s="201">
        <v>257.65107999999998</v>
      </c>
      <c r="GP11" s="200">
        <v>0</v>
      </c>
      <c r="GQ11" s="204">
        <v>0</v>
      </c>
      <c r="GR11" s="204">
        <v>0</v>
      </c>
      <c r="GS11" s="217">
        <v>157.30000000000001</v>
      </c>
      <c r="GT11" s="217">
        <v>414.95107999999999</v>
      </c>
      <c r="GU11" s="202">
        <v>9.8467599999999997</v>
      </c>
      <c r="GV11" s="217">
        <v>9.8467599999999997</v>
      </c>
      <c r="GW11" s="217">
        <v>424.79784000000001</v>
      </c>
      <c r="GX11" s="203">
        <v>2293.1398800000002</v>
      </c>
      <c r="GY11" s="200">
        <v>15.452259999999999</v>
      </c>
      <c r="GZ11" s="200">
        <v>17.06953</v>
      </c>
      <c r="HA11" s="200">
        <v>6.1194899999999999</v>
      </c>
      <c r="HB11" s="201">
        <v>714.14200000000005</v>
      </c>
      <c r="HC11" s="217">
        <v>3045.9231600000003</v>
      </c>
      <c r="HD11" s="217">
        <v>106.63177999999999</v>
      </c>
      <c r="HE11" s="202">
        <v>106.63177999999999</v>
      </c>
      <c r="HF11" s="217">
        <v>3152.5549400000004</v>
      </c>
      <c r="HG11" s="17"/>
      <c r="HH11" s="114" t="s">
        <v>542</v>
      </c>
      <c r="HI11" s="201">
        <v>178.60666999999998</v>
      </c>
      <c r="HJ11" s="200">
        <v>0</v>
      </c>
      <c r="HK11" s="204">
        <v>0</v>
      </c>
      <c r="HL11" s="204">
        <v>0</v>
      </c>
      <c r="HM11" s="217">
        <v>0</v>
      </c>
      <c r="HN11" s="217">
        <v>178.60666999999998</v>
      </c>
      <c r="HO11" s="202">
        <v>6.2887999999999993</v>
      </c>
      <c r="HP11" s="200">
        <v>0.98280000000000001</v>
      </c>
      <c r="HQ11" s="200">
        <v>0.98280000000000001</v>
      </c>
      <c r="HR11" s="217">
        <v>8.2543999999999986</v>
      </c>
      <c r="HS11" s="217">
        <v>186.86106999999998</v>
      </c>
      <c r="HT11" s="203">
        <v>2471.7465500000008</v>
      </c>
      <c r="HU11" s="200">
        <v>15.452259999999999</v>
      </c>
      <c r="HV11" s="200">
        <v>17.06953</v>
      </c>
      <c r="HW11" s="200">
        <v>6.1194899999999999</v>
      </c>
      <c r="HX11" s="201">
        <v>714.14200000000005</v>
      </c>
      <c r="HY11" s="217">
        <v>3224.5298300000013</v>
      </c>
      <c r="HZ11" s="202">
        <v>112.92058000000002</v>
      </c>
      <c r="IA11" s="200">
        <v>0.97304999999999997</v>
      </c>
      <c r="IB11" s="240">
        <v>0.98280000000000001</v>
      </c>
      <c r="IC11" s="202">
        <v>114.87643000000001</v>
      </c>
      <c r="ID11" s="217">
        <v>3339.4062600000011</v>
      </c>
      <c r="IE11" s="17">
        <f t="shared" si="11"/>
        <v>0</v>
      </c>
      <c r="IF11" s="114" t="s">
        <v>542</v>
      </c>
      <c r="IG11" s="201">
        <v>194.56191999999999</v>
      </c>
      <c r="IH11" s="200">
        <v>41.107279999999996</v>
      </c>
      <c r="II11" s="204">
        <v>0</v>
      </c>
      <c r="IJ11" s="204">
        <v>2.4341199999999996</v>
      </c>
      <c r="IK11" s="217">
        <v>0</v>
      </c>
      <c r="IL11" s="217">
        <v>238.10332</v>
      </c>
      <c r="IM11" s="217">
        <v>7.9169999999999998</v>
      </c>
      <c r="IN11" s="203">
        <v>0</v>
      </c>
      <c r="IO11" s="200">
        <v>0</v>
      </c>
      <c r="IP11" s="217">
        <v>7.9169999999999998</v>
      </c>
      <c r="IQ11" s="211">
        <v>246.02032</v>
      </c>
      <c r="IR11" s="200">
        <v>2666.3084700000013</v>
      </c>
      <c r="IS11" s="200">
        <v>56.559539999999998</v>
      </c>
      <c r="IT11" s="200">
        <v>17.06953</v>
      </c>
      <c r="IU11" s="200">
        <v>8.5536100000000008</v>
      </c>
      <c r="IV11" s="201">
        <v>714.14200000000005</v>
      </c>
      <c r="IW11" s="217">
        <v>3462.6331500000015</v>
      </c>
      <c r="IX11" s="217">
        <v>120.83758000000002</v>
      </c>
      <c r="IY11" s="203">
        <v>0.97304999999999997</v>
      </c>
      <c r="IZ11" s="240">
        <v>0.98280000000000001</v>
      </c>
      <c r="JA11" s="202">
        <v>122.79343000000001</v>
      </c>
      <c r="JB11" s="217">
        <v>3585.4265800000016</v>
      </c>
      <c r="JD11" s="114" t="s">
        <v>542</v>
      </c>
      <c r="JE11" s="201">
        <v>197.34151</v>
      </c>
      <c r="JF11" s="200">
        <v>0</v>
      </c>
      <c r="JG11" s="204">
        <v>0</v>
      </c>
      <c r="JH11" s="204">
        <v>0</v>
      </c>
      <c r="JI11" s="217">
        <v>125.84</v>
      </c>
      <c r="JJ11" s="217">
        <v>323.18151</v>
      </c>
      <c r="JK11" s="202">
        <v>7.52895</v>
      </c>
      <c r="JL11" s="200">
        <v>0</v>
      </c>
      <c r="JM11" s="200">
        <v>0</v>
      </c>
      <c r="JN11" s="217">
        <v>7.52895</v>
      </c>
      <c r="JO11" s="211">
        <v>330.71046000000001</v>
      </c>
      <c r="JP11" s="200">
        <v>2863.6499800000006</v>
      </c>
      <c r="JQ11" s="200">
        <v>56.559539999999998</v>
      </c>
      <c r="JR11" s="200">
        <v>17.06953</v>
      </c>
      <c r="JS11" s="200">
        <v>8.5536100000000008</v>
      </c>
      <c r="JT11" s="201">
        <v>839.98199999999997</v>
      </c>
      <c r="JU11" s="217">
        <v>3785.8146600000009</v>
      </c>
      <c r="JV11" s="202">
        <v>128.36653000000001</v>
      </c>
      <c r="JW11" s="200">
        <v>0.97304999999999997</v>
      </c>
      <c r="JX11" s="240">
        <v>0.98280000000000001</v>
      </c>
      <c r="JY11" s="202">
        <v>130.32238000000001</v>
      </c>
      <c r="JZ11" s="217">
        <v>3916.137040000001</v>
      </c>
      <c r="KA11" s="17">
        <f t="shared" si="12"/>
        <v>0</v>
      </c>
      <c r="KB11" s="114" t="s">
        <v>542</v>
      </c>
      <c r="KC11" s="201">
        <v>169.39032</v>
      </c>
      <c r="KD11" s="200">
        <v>0</v>
      </c>
      <c r="KE11" s="204">
        <v>0</v>
      </c>
      <c r="KF11" s="204">
        <v>2.5276999999999998</v>
      </c>
      <c r="KG11" s="217">
        <v>0</v>
      </c>
      <c r="KH11" s="217">
        <v>171.91802000000001</v>
      </c>
      <c r="KI11" s="217">
        <v>29.321279999999994</v>
      </c>
      <c r="KJ11" s="203">
        <v>0</v>
      </c>
      <c r="KK11" s="200">
        <v>0</v>
      </c>
      <c r="KL11" s="217">
        <v>29.321279999999994</v>
      </c>
      <c r="KM11" s="211">
        <v>201.23930000000001</v>
      </c>
      <c r="KN11" s="200">
        <v>3033.0403000000001</v>
      </c>
      <c r="KO11" s="200">
        <v>56.559539999999998</v>
      </c>
      <c r="KP11" s="200">
        <v>17.06953</v>
      </c>
      <c r="KQ11" s="200">
        <v>11.08131</v>
      </c>
      <c r="KR11" s="201">
        <v>839.98199999999997</v>
      </c>
      <c r="KS11" s="217">
        <v>3957.7326800000005</v>
      </c>
      <c r="KT11" s="217">
        <v>157.68781000000007</v>
      </c>
      <c r="KU11" s="203">
        <v>0.97304999999999997</v>
      </c>
      <c r="KV11" s="240">
        <v>0.98280000000000001</v>
      </c>
      <c r="KW11" s="202">
        <v>159.64366000000007</v>
      </c>
      <c r="KX11" s="217">
        <v>4117.3763400000007</v>
      </c>
      <c r="KY11" s="17">
        <f t="shared" si="13"/>
        <v>0</v>
      </c>
      <c r="KZ11" s="114" t="s">
        <v>542</v>
      </c>
      <c r="LA11" s="201">
        <v>198.04768000000001</v>
      </c>
      <c r="LB11" s="200">
        <v>0</v>
      </c>
      <c r="LC11" s="204">
        <v>0</v>
      </c>
      <c r="LD11" s="204">
        <v>0</v>
      </c>
      <c r="LE11" s="217">
        <v>0</v>
      </c>
      <c r="LF11" s="217">
        <v>198.04768000000001</v>
      </c>
      <c r="LG11" s="202">
        <v>0</v>
      </c>
      <c r="LH11" s="201">
        <v>0</v>
      </c>
      <c r="LI11" s="200">
        <v>0</v>
      </c>
      <c r="LJ11" s="200">
        <v>0</v>
      </c>
      <c r="LK11" s="217">
        <v>0</v>
      </c>
      <c r="LL11" s="211">
        <v>198.04768000000001</v>
      </c>
      <c r="LM11" s="200">
        <v>3231.0879799999989</v>
      </c>
      <c r="LN11" s="200">
        <v>56.559539999999998</v>
      </c>
      <c r="LO11" s="200">
        <v>17.06953</v>
      </c>
      <c r="LP11" s="200">
        <v>11.08131</v>
      </c>
      <c r="LQ11" s="201">
        <v>839.98199999999997</v>
      </c>
      <c r="LR11" s="217">
        <v>4155.7803599999988</v>
      </c>
      <c r="LS11" s="202">
        <v>157.68781000000007</v>
      </c>
      <c r="LT11" s="223">
        <v>0</v>
      </c>
      <c r="LU11" s="200">
        <v>0.97304999999999997</v>
      </c>
      <c r="LV11" s="240">
        <v>0.98280000000000001</v>
      </c>
      <c r="LW11" s="202">
        <v>159.64366000000007</v>
      </c>
      <c r="LX11" s="217">
        <v>4315.4240199999986</v>
      </c>
      <c r="LY11" s="17"/>
      <c r="LZ11" s="114" t="s">
        <v>542</v>
      </c>
      <c r="MA11" s="201">
        <v>257.87324000000007</v>
      </c>
      <c r="MB11" s="200">
        <v>0</v>
      </c>
      <c r="MC11" s="204">
        <v>0</v>
      </c>
      <c r="MD11" s="204">
        <v>0</v>
      </c>
      <c r="ME11" s="217">
        <v>125.84</v>
      </c>
      <c r="MF11" s="217">
        <v>383.71324000000004</v>
      </c>
      <c r="MG11" s="202">
        <v>0</v>
      </c>
      <c r="MH11" s="201">
        <v>0</v>
      </c>
      <c r="MI11" s="200">
        <v>0</v>
      </c>
      <c r="MJ11" s="200">
        <v>0</v>
      </c>
      <c r="MK11" s="217">
        <v>0</v>
      </c>
      <c r="ML11" s="211">
        <v>383.71324000000004</v>
      </c>
      <c r="MM11" s="200">
        <v>3488.9612199999992</v>
      </c>
      <c r="MN11" s="200">
        <v>56.559539999999998</v>
      </c>
      <c r="MO11" s="200">
        <v>17.06953</v>
      </c>
      <c r="MP11" s="200">
        <v>11.08131</v>
      </c>
      <c r="MQ11" s="201">
        <v>965.822</v>
      </c>
      <c r="MR11" s="217">
        <v>4539.4935999999998</v>
      </c>
      <c r="MS11" s="202">
        <v>157.6878100000001</v>
      </c>
      <c r="MT11" s="223">
        <v>0</v>
      </c>
      <c r="MU11" s="200">
        <v>0.97304999999999997</v>
      </c>
      <c r="MV11" s="240">
        <v>0.98280000000000001</v>
      </c>
      <c r="MW11" s="202">
        <v>159.6436600000001</v>
      </c>
      <c r="MX11" s="217">
        <v>4699.1372599999995</v>
      </c>
      <c r="MY11" s="17">
        <f t="shared" si="14"/>
        <v>0</v>
      </c>
      <c r="MZ11" s="114" t="s">
        <v>542</v>
      </c>
      <c r="NA11" s="201">
        <v>349.55339000000009</v>
      </c>
      <c r="NB11" s="200">
        <v>-0.17977999999999997</v>
      </c>
      <c r="NC11" s="204">
        <v>0</v>
      </c>
      <c r="ND11" s="204">
        <v>0</v>
      </c>
      <c r="NE11" s="217">
        <v>0</v>
      </c>
      <c r="NF11" s="217">
        <v>349.3736100000001</v>
      </c>
      <c r="NG11" s="217">
        <v>1.9100000000000001</v>
      </c>
      <c r="NH11" s="200">
        <v>0</v>
      </c>
      <c r="NI11" s="200">
        <v>0</v>
      </c>
      <c r="NJ11" s="217">
        <v>1.9100000000000001</v>
      </c>
      <c r="NK11" s="211">
        <v>351.28361000000012</v>
      </c>
      <c r="NL11" s="200">
        <v>3838.5146099999993</v>
      </c>
      <c r="NM11" s="200">
        <v>56.379760000000005</v>
      </c>
      <c r="NN11" s="200">
        <v>17.06953</v>
      </c>
      <c r="NO11" s="200">
        <v>11.08131</v>
      </c>
      <c r="NP11" s="201">
        <v>965.822</v>
      </c>
      <c r="NQ11" s="217">
        <v>4888.8672099999994</v>
      </c>
      <c r="NR11" s="217">
        <v>159.59781000000009</v>
      </c>
      <c r="NS11" s="200">
        <v>0.97304999999999997</v>
      </c>
      <c r="NT11" s="240">
        <v>0.98280000000000001</v>
      </c>
      <c r="NU11" s="202">
        <v>161.55366000000009</v>
      </c>
      <c r="NV11" s="217">
        <v>5050.4208699999999</v>
      </c>
      <c r="NW11" s="17"/>
      <c r="NX11" s="114" t="s">
        <v>542</v>
      </c>
      <c r="NY11" s="201">
        <v>289.44195000000008</v>
      </c>
      <c r="NZ11" s="200">
        <v>0</v>
      </c>
      <c r="OA11" s="204">
        <v>0</v>
      </c>
      <c r="OB11" s="204">
        <v>3.2763199999999997</v>
      </c>
      <c r="OC11" s="217">
        <v>-0.56628000000000012</v>
      </c>
      <c r="OD11" s="217">
        <v>292.15199000000007</v>
      </c>
      <c r="OE11" s="217">
        <v>0</v>
      </c>
      <c r="OF11" s="200">
        <v>0</v>
      </c>
      <c r="OG11" s="200">
        <v>0</v>
      </c>
      <c r="OH11" s="217">
        <v>0</v>
      </c>
      <c r="OI11" s="211">
        <v>292.15199000000007</v>
      </c>
      <c r="OJ11" s="200">
        <v>4127.9565599999996</v>
      </c>
      <c r="OK11" s="200">
        <v>56.379760000000005</v>
      </c>
      <c r="OL11" s="200">
        <v>17.06953</v>
      </c>
      <c r="OM11" s="200">
        <v>14.357629999999997</v>
      </c>
      <c r="ON11" s="201">
        <v>965.25572</v>
      </c>
      <c r="OO11" s="217">
        <v>5181.0191999999997</v>
      </c>
      <c r="OP11" s="217">
        <v>159.59781000000009</v>
      </c>
      <c r="OQ11" s="200">
        <v>0.97304999999999997</v>
      </c>
      <c r="OR11" s="240">
        <v>0.98280000000000001</v>
      </c>
      <c r="OS11" s="202">
        <v>161.55366000000009</v>
      </c>
      <c r="OT11" s="217">
        <v>5342.5728600000002</v>
      </c>
      <c r="OU11" s="17">
        <f t="shared" si="15"/>
        <v>0</v>
      </c>
      <c r="OV11" s="114" t="s">
        <v>542</v>
      </c>
      <c r="OW11" s="201">
        <v>288.89723000000004</v>
      </c>
      <c r="OX11" s="200">
        <v>0</v>
      </c>
      <c r="OY11" s="204">
        <v>0</v>
      </c>
      <c r="OZ11" s="204">
        <v>0</v>
      </c>
      <c r="PA11" s="217">
        <v>128.98599999999999</v>
      </c>
      <c r="PB11" s="217">
        <v>417.88323000000003</v>
      </c>
      <c r="PC11" s="217">
        <v>0</v>
      </c>
      <c r="PD11" s="200">
        <v>0</v>
      </c>
      <c r="PE11" s="200">
        <v>0</v>
      </c>
      <c r="PF11" s="217">
        <v>0</v>
      </c>
      <c r="PG11" s="211">
        <v>417.88323000000003</v>
      </c>
      <c r="PH11" s="200">
        <v>4416.8537900000001</v>
      </c>
      <c r="PI11" s="200">
        <v>56.379760000000005</v>
      </c>
      <c r="PJ11" s="200">
        <v>17.06953</v>
      </c>
      <c r="PK11" s="200">
        <v>14.357629999999997</v>
      </c>
      <c r="PL11" s="201">
        <v>1094.24172</v>
      </c>
      <c r="PM11" s="217">
        <v>5598.9024300000001</v>
      </c>
      <c r="PN11" s="217">
        <v>159.59781000000009</v>
      </c>
      <c r="PO11" s="200">
        <v>0.97304999999999997</v>
      </c>
      <c r="PP11" s="240">
        <v>0.98280000000000001</v>
      </c>
      <c r="PQ11" s="202">
        <v>161.55366000000009</v>
      </c>
      <c r="PR11" s="217">
        <v>5760.4560900000006</v>
      </c>
      <c r="PS11" s="17">
        <f t="shared" si="16"/>
        <v>0</v>
      </c>
      <c r="PT11" s="114" t="s">
        <v>542</v>
      </c>
      <c r="PU11" s="201">
        <v>146.59557000000004</v>
      </c>
      <c r="PV11" s="200">
        <v>0</v>
      </c>
      <c r="PW11" s="204">
        <v>0</v>
      </c>
      <c r="PX11" s="204">
        <v>0</v>
      </c>
      <c r="PY11" s="217">
        <v>0</v>
      </c>
      <c r="PZ11" s="217">
        <v>146.59557000000004</v>
      </c>
      <c r="QA11" s="217">
        <v>21.403199999999998</v>
      </c>
      <c r="QB11" s="200">
        <v>0</v>
      </c>
      <c r="QC11" s="200">
        <v>0</v>
      </c>
      <c r="QD11" s="217">
        <v>21.403199999999998</v>
      </c>
      <c r="QE11" s="211">
        <v>167.99877000000004</v>
      </c>
      <c r="QF11" s="200">
        <v>4563.4493600000005</v>
      </c>
      <c r="QG11" s="200">
        <v>56.379760000000005</v>
      </c>
      <c r="QH11" s="200">
        <v>17.06953</v>
      </c>
      <c r="QI11" s="200">
        <v>14.357629999999997</v>
      </c>
      <c r="QJ11" s="201">
        <v>1094.24172</v>
      </c>
      <c r="QK11" s="217">
        <v>5745.4980000000005</v>
      </c>
      <c r="QL11" s="217">
        <v>181.00101000000009</v>
      </c>
      <c r="QM11" s="200">
        <v>0.97304999999999997</v>
      </c>
      <c r="QN11" s="240">
        <v>0.98280000000000001</v>
      </c>
      <c r="QO11" s="202">
        <v>182.95686000000009</v>
      </c>
      <c r="QP11" s="217">
        <v>5928.4548600000007</v>
      </c>
      <c r="QQ11" s="17">
        <f t="shared" si="17"/>
        <v>0</v>
      </c>
      <c r="QR11" s="114" t="s">
        <v>542</v>
      </c>
      <c r="QS11" s="200">
        <v>5061.6798299999991</v>
      </c>
      <c r="QT11" s="200">
        <v>56.379760000000005</v>
      </c>
      <c r="QU11" s="200">
        <v>17.06953</v>
      </c>
      <c r="QV11" s="200">
        <v>18.475150000000003</v>
      </c>
      <c r="QW11" s="201">
        <v>1220.0817199999999</v>
      </c>
      <c r="QX11" s="217">
        <v>6373.685989999999</v>
      </c>
      <c r="QY11" s="217">
        <v>210.43041000000008</v>
      </c>
      <c r="QZ11" s="200">
        <v>0.97304999999999997</v>
      </c>
      <c r="RA11" s="240">
        <v>0.98280000000000001</v>
      </c>
      <c r="RB11" s="202">
        <v>212.38626000000008</v>
      </c>
      <c r="RC11" s="217">
        <v>6586.0722499999993</v>
      </c>
      <c r="RE11" s="114" t="s">
        <v>542</v>
      </c>
      <c r="RF11" s="200">
        <f t="shared" si="28"/>
        <v>5061679.8299999991</v>
      </c>
      <c r="RG11" s="200">
        <f t="shared" si="18"/>
        <v>56379.76</v>
      </c>
      <c r="RH11" s="200">
        <f t="shared" si="19"/>
        <v>17069.53</v>
      </c>
      <c r="RI11" s="200">
        <f t="shared" si="20"/>
        <v>18475.150000000001</v>
      </c>
      <c r="RJ11" s="201">
        <f t="shared" si="21"/>
        <v>1220081.72</v>
      </c>
      <c r="RK11" s="217">
        <f t="shared" si="22"/>
        <v>6373685.9899999993</v>
      </c>
      <c r="RL11" s="217">
        <f t="shared" si="23"/>
        <v>210430.41000000009</v>
      </c>
      <c r="RM11" s="200">
        <f t="shared" si="24"/>
        <v>973.05</v>
      </c>
      <c r="RN11" s="240">
        <f t="shared" si="25"/>
        <v>982.8</v>
      </c>
      <c r="RO11" s="202">
        <f t="shared" si="26"/>
        <v>212386.26000000007</v>
      </c>
      <c r="RP11" s="217">
        <f t="shared" si="27"/>
        <v>6586072.2499999991</v>
      </c>
      <c r="RQ11" s="326"/>
      <c r="RR11" s="339" t="s">
        <v>1968</v>
      </c>
      <c r="RS11" s="318">
        <f>SUMIF('MIS Working 1'!$T:$T,'Shared DB - Nov 25'!RS$1,'MIS Working 1'!$AI:$AI)</f>
        <v>352256.44000000006</v>
      </c>
      <c r="RT11" s="314">
        <f t="shared" si="5"/>
        <v>4.9383658155821427E-3</v>
      </c>
      <c r="RU11" s="318">
        <f>SUMIF('MIS Working 1'!$T:$T,'Shared DB - Nov 25'!RU$1,'MIS Working 1'!$AI:$AI)</f>
        <v>89974.24</v>
      </c>
      <c r="RV11" s="314">
        <f t="shared" si="5"/>
        <v>3.5204032924189932E-3</v>
      </c>
      <c r="RW11" s="318">
        <f>SUMIF('MIS Working 1'!$T:$T,'Shared DB - Nov 25'!RW$1,'MIS Working 1'!$AI:$AI)</f>
        <v>3649.1600000000003</v>
      </c>
      <c r="RX11" s="314">
        <f t="shared" si="5"/>
        <v>1.0482726035036914E-2</v>
      </c>
      <c r="RY11" s="318">
        <f>SUMIF('MIS Working 1'!$T:$T,'Shared DB - Nov 25'!RY$1,'MIS Working 1'!$AI:$AI)</f>
        <v>1275.3399999999999</v>
      </c>
      <c r="RZ11" s="314">
        <f t="shared" si="6"/>
        <v>5.8187064198124546E-3</v>
      </c>
      <c r="SA11" s="318">
        <f>SUMIF('MIS Working 1'!$T:$T,'Shared DB - Nov 25'!SA$1,'MIS Working 1'!$AI:$AI)</f>
        <v>1442.1</v>
      </c>
      <c r="SB11" s="314">
        <f t="shared" si="7"/>
        <v>4.2081278584542312E-3</v>
      </c>
      <c r="SC11" s="318">
        <f>SUMIF('MIS Working 1'!$T:$T,'Shared DB - Nov 25'!SC$1,'MIS Working 1'!$AI:$AI)</f>
        <v>5363.2900000000009</v>
      </c>
      <c r="SD11" s="315">
        <f t="shared" si="5"/>
        <v>3.0671385510987984E-4</v>
      </c>
      <c r="SE11" s="318">
        <f>SUMIF('MIS Working 1'!$T:$T,'Shared DB - Nov 25'!SE$1,'MIS Working 1'!$AI:$AI)</f>
        <v>24.950000000000003</v>
      </c>
      <c r="SF11" s="314">
        <f t="shared" si="8"/>
        <v>8.0445049743736589E-5</v>
      </c>
      <c r="SG11" s="318">
        <f>SUMIF('MIS Working 1'!$T:$T,'Shared DB - Nov 25'!SG$1,'MIS Working 1'!$AI:$AI)</f>
        <v>25.200000000000003</v>
      </c>
      <c r="SH11" s="314">
        <f t="shared" si="5"/>
        <v>3.0599755201958387E-4</v>
      </c>
      <c r="SI11" s="318">
        <f>RS11+RU11+RW11+SC11+SG11+SE11+RY11+SA11</f>
        <v>454010.72000000003</v>
      </c>
      <c r="SJ11" s="314">
        <f t="shared" si="5"/>
        <v>3.9248042441525268E-3</v>
      </c>
      <c r="SL11" s="17"/>
    </row>
    <row r="12" spans="2:506" ht="15" thickBot="1" x14ac:dyDescent="0.35">
      <c r="B12" s="377" t="s">
        <v>482</v>
      </c>
      <c r="C12" s="369"/>
      <c r="D12" s="369"/>
      <c r="E12" s="369"/>
      <c r="F12" s="369"/>
      <c r="G12" s="369"/>
      <c r="H12" s="369"/>
      <c r="I12" s="369"/>
      <c r="J12" s="369"/>
      <c r="K12" s="369"/>
      <c r="L12" s="370"/>
      <c r="N12" s="377" t="s">
        <v>482</v>
      </c>
      <c r="O12" s="369"/>
      <c r="P12" s="369"/>
      <c r="Q12" s="369"/>
      <c r="R12" s="369"/>
      <c r="S12" s="369"/>
      <c r="T12" s="369"/>
      <c r="U12" s="369"/>
      <c r="V12" s="369"/>
      <c r="W12" s="369"/>
      <c r="X12" s="369"/>
      <c r="Y12" s="369"/>
      <c r="Z12" s="369"/>
      <c r="AA12" s="369"/>
      <c r="AB12" s="370"/>
      <c r="AD12" s="377" t="s">
        <v>482</v>
      </c>
      <c r="AE12" s="369"/>
      <c r="AF12" s="369"/>
      <c r="AG12" s="369"/>
      <c r="AH12" s="369"/>
      <c r="AI12" s="369"/>
      <c r="AJ12" s="369"/>
      <c r="AK12" s="369"/>
      <c r="AL12" s="370"/>
      <c r="AN12" s="377" t="s">
        <v>482</v>
      </c>
      <c r="AO12" s="369"/>
      <c r="AP12" s="369"/>
      <c r="AQ12" s="369"/>
      <c r="AR12" s="369"/>
      <c r="AS12" s="369"/>
      <c r="AT12" s="369"/>
      <c r="AU12" s="369"/>
      <c r="AV12" s="369"/>
      <c r="AW12" s="369"/>
      <c r="AX12" s="369"/>
      <c r="AY12" s="369"/>
      <c r="AZ12" s="370"/>
      <c r="BB12" s="377" t="s">
        <v>482</v>
      </c>
      <c r="BC12" s="369"/>
      <c r="BD12" s="369"/>
      <c r="BE12" s="369"/>
      <c r="BF12" s="369"/>
      <c r="BG12" s="369"/>
      <c r="BH12" s="369"/>
      <c r="BI12" s="369"/>
      <c r="BJ12" s="369"/>
      <c r="BK12" s="369"/>
      <c r="BL12" s="369"/>
      <c r="BM12" s="369"/>
      <c r="BN12" s="370"/>
      <c r="BP12" s="118" t="s">
        <v>543</v>
      </c>
      <c r="BQ12" s="201">
        <v>111.32220000000029</v>
      </c>
      <c r="BR12" s="200">
        <v>0</v>
      </c>
      <c r="BS12" s="200">
        <v>-6.7900000000000063</v>
      </c>
      <c r="BT12" s="204">
        <v>447.80999999999995</v>
      </c>
      <c r="BU12" s="217">
        <v>552.34220000000005</v>
      </c>
      <c r="BV12" s="203">
        <v>58.758960000000116</v>
      </c>
      <c r="BW12" s="217">
        <v>58.758960000000116</v>
      </c>
      <c r="BX12" s="211">
        <v>611.10116000000016</v>
      </c>
      <c r="BY12" s="203">
        <v>1410.7029100000018</v>
      </c>
      <c r="BZ12" s="203">
        <v>-0.65984000000000131</v>
      </c>
      <c r="CA12" s="202">
        <v>-10.864000000000004</v>
      </c>
      <c r="CB12" s="201">
        <v>1910.79</v>
      </c>
      <c r="CC12" s="217">
        <v>3309.9690699999992</v>
      </c>
      <c r="CD12" s="221">
        <v>440.04275000000143</v>
      </c>
      <c r="CE12" s="223">
        <v>440.04275000000143</v>
      </c>
      <c r="CF12" s="217">
        <v>3750.0118199999997</v>
      </c>
      <c r="CH12" s="118" t="s">
        <v>543</v>
      </c>
      <c r="CI12" s="201">
        <v>102.83400000000029</v>
      </c>
      <c r="CJ12" s="200">
        <v>0</v>
      </c>
      <c r="CK12" s="200">
        <v>0</v>
      </c>
      <c r="CL12" s="204">
        <v>0</v>
      </c>
      <c r="CM12" s="217">
        <v>102.83400000000029</v>
      </c>
      <c r="CN12" s="203">
        <v>48.864000000000146</v>
      </c>
      <c r="CO12" s="217">
        <v>48.864000000000146</v>
      </c>
      <c r="CP12" s="211">
        <v>151.69800000000032</v>
      </c>
      <c r="CQ12" s="203">
        <v>1513.5369099999934</v>
      </c>
      <c r="CR12" s="203">
        <v>-0.65984000000000131</v>
      </c>
      <c r="CS12" s="202">
        <v>-10.864000000000004</v>
      </c>
      <c r="CT12" s="201">
        <v>1910.79</v>
      </c>
      <c r="CU12" s="217">
        <v>3412.8030699999908</v>
      </c>
      <c r="CV12" s="221">
        <v>488.90675000000192</v>
      </c>
      <c r="CW12" s="223">
        <v>488.90675000000192</v>
      </c>
      <c r="CX12" s="217">
        <v>3901.7098199999928</v>
      </c>
      <c r="CZ12" s="118" t="s">
        <v>543</v>
      </c>
      <c r="DA12" s="201">
        <v>245.85917000000018</v>
      </c>
      <c r="DB12" s="200">
        <v>0</v>
      </c>
      <c r="DC12" s="200">
        <v>0</v>
      </c>
      <c r="DD12" s="204">
        <v>790.7999999999995</v>
      </c>
      <c r="DE12" s="217">
        <v>1036.6591699999999</v>
      </c>
      <c r="DF12" s="203">
        <v>51.661920000000123</v>
      </c>
      <c r="DG12" s="217">
        <v>51.661920000000123</v>
      </c>
      <c r="DH12" s="211">
        <v>1088.3210900000004</v>
      </c>
      <c r="DI12" s="203">
        <v>1759.3960799999913</v>
      </c>
      <c r="DJ12" s="203">
        <v>-0.65984000000000131</v>
      </c>
      <c r="DK12" s="202">
        <v>-10.864000000000004</v>
      </c>
      <c r="DL12" s="201">
        <v>2701.5900000000011</v>
      </c>
      <c r="DM12" s="217">
        <v>4449.4622399999935</v>
      </c>
      <c r="DN12" s="221">
        <v>540.56867000000057</v>
      </c>
      <c r="DO12" s="223">
        <v>540.56867000000057</v>
      </c>
      <c r="DP12" s="217">
        <v>4990.030909999994</v>
      </c>
      <c r="DQ12" s="17"/>
      <c r="DR12" s="118" t="s">
        <v>543</v>
      </c>
      <c r="DS12" s="201">
        <v>168.79054000000042</v>
      </c>
      <c r="DT12" s="200">
        <v>29.27209999999998</v>
      </c>
      <c r="DU12" s="204">
        <v>-9.5835999999999899</v>
      </c>
      <c r="DV12" s="217">
        <v>0</v>
      </c>
      <c r="DW12" s="217">
        <v>188.4790400000004</v>
      </c>
      <c r="DX12" s="203">
        <v>77.792640000000233</v>
      </c>
      <c r="DY12" s="217">
        <v>77.792640000000233</v>
      </c>
      <c r="DZ12" s="211">
        <v>266.27168000000074</v>
      </c>
      <c r="EA12" s="203">
        <v>1928.1866200000004</v>
      </c>
      <c r="EB12" s="203">
        <v>28.612259999999964</v>
      </c>
      <c r="EC12" s="202">
        <v>-20.447600000000023</v>
      </c>
      <c r="ED12" s="201">
        <v>2701.5900000000011</v>
      </c>
      <c r="EE12" s="217">
        <v>4637.9412800000027</v>
      </c>
      <c r="EF12" s="221">
        <v>618.36131000000114</v>
      </c>
      <c r="EG12" s="223">
        <v>618.36131000000114</v>
      </c>
      <c r="EH12" s="217">
        <v>5256.3025900000066</v>
      </c>
      <c r="EI12" s="17">
        <f t="shared" si="9"/>
        <v>8.6401996668428183E-12</v>
      </c>
      <c r="EJ12" s="118" t="s">
        <v>543</v>
      </c>
      <c r="EK12" s="201">
        <v>195.75249000000008</v>
      </c>
      <c r="EL12" s="200">
        <v>0</v>
      </c>
      <c r="EM12" s="204">
        <v>0</v>
      </c>
      <c r="EN12" s="217">
        <v>790.7999999999995</v>
      </c>
      <c r="EO12" s="217">
        <v>986.55248999999912</v>
      </c>
      <c r="EP12" s="203">
        <v>74.988320000000158</v>
      </c>
      <c r="EQ12" s="217">
        <v>74.988320000000158</v>
      </c>
      <c r="ER12" s="211">
        <v>1061.5408099999986</v>
      </c>
      <c r="ES12" s="203">
        <v>2123.9391099999921</v>
      </c>
      <c r="ET12" s="203">
        <v>28.612259999999964</v>
      </c>
      <c r="EU12" s="202">
        <v>-20.447600000000023</v>
      </c>
      <c r="EV12" s="201">
        <v>3492.3900000000003</v>
      </c>
      <c r="EW12" s="217">
        <v>5624.4937699999937</v>
      </c>
      <c r="EX12" s="221">
        <v>693.34963000000062</v>
      </c>
      <c r="EY12" s="223">
        <v>693.34963000000062</v>
      </c>
      <c r="EZ12" s="217">
        <v>6317.8433999999907</v>
      </c>
      <c r="FA12" s="17">
        <f t="shared" si="10"/>
        <v>-8.4128259913995862E-12</v>
      </c>
      <c r="FB12" s="118" t="s">
        <v>543</v>
      </c>
      <c r="FC12" s="201">
        <v>288.22383000000127</v>
      </c>
      <c r="FD12" s="200">
        <v>0</v>
      </c>
      <c r="FE12" s="204">
        <v>0</v>
      </c>
      <c r="FF12" s="217">
        <v>0</v>
      </c>
      <c r="FG12" s="217">
        <v>288.22383000000127</v>
      </c>
      <c r="FH12" s="203">
        <v>0</v>
      </c>
      <c r="FI12" s="217">
        <v>0</v>
      </c>
      <c r="FJ12" s="211">
        <v>288.22383000000127</v>
      </c>
      <c r="FK12" s="203">
        <v>2412.1629399999947</v>
      </c>
      <c r="FL12" s="203">
        <v>28.612259999999964</v>
      </c>
      <c r="FM12" s="202">
        <v>-20.447600000000023</v>
      </c>
      <c r="FN12" s="201">
        <v>3492.3900000000003</v>
      </c>
      <c r="FO12" s="217">
        <v>5912.7175999999963</v>
      </c>
      <c r="FP12" s="221">
        <v>693.34962999999971</v>
      </c>
      <c r="FQ12" s="223">
        <v>693.34962999999971</v>
      </c>
      <c r="FR12" s="217">
        <v>6606.0672299999933</v>
      </c>
      <c r="FT12" s="118" t="s">
        <v>543</v>
      </c>
      <c r="FU12" s="201">
        <v>302.22660000000042</v>
      </c>
      <c r="FV12" s="200">
        <v>0</v>
      </c>
      <c r="FW12" s="204">
        <v>0</v>
      </c>
      <c r="FX12" s="204">
        <v>21.890219999999992</v>
      </c>
      <c r="FY12" s="217">
        <v>0</v>
      </c>
      <c r="FZ12" s="217">
        <v>324.11682000000064</v>
      </c>
      <c r="GA12" s="202">
        <v>32.494560000000149</v>
      </c>
      <c r="GB12" s="217">
        <v>32.494560000000149</v>
      </c>
      <c r="GC12" s="211">
        <v>356.61138000000074</v>
      </c>
      <c r="GD12" s="203">
        <v>3005.3960000000043</v>
      </c>
      <c r="GE12" s="203">
        <v>28.612259999999964</v>
      </c>
      <c r="GF12" s="203">
        <v>-20.447600000000023</v>
      </c>
      <c r="GG12" s="203">
        <v>21.890219999999992</v>
      </c>
      <c r="GH12" s="201">
        <v>4480.8899999999994</v>
      </c>
      <c r="GI12" s="217">
        <v>7516.3408800000034</v>
      </c>
      <c r="GJ12" s="248">
        <v>809.33403000000271</v>
      </c>
      <c r="GK12" s="202">
        <v>809.33403000000271</v>
      </c>
      <c r="GL12" s="217">
        <v>8325.6749100000088</v>
      </c>
      <c r="GN12" s="118" t="s">
        <v>543</v>
      </c>
      <c r="GO12" s="201">
        <v>291.00646000000006</v>
      </c>
      <c r="GP12" s="200">
        <v>0</v>
      </c>
      <c r="GQ12" s="204">
        <v>0</v>
      </c>
      <c r="GR12" s="204">
        <v>0</v>
      </c>
      <c r="GS12" s="217">
        <v>988.5</v>
      </c>
      <c r="GT12" s="217">
        <v>1279.5064600000005</v>
      </c>
      <c r="GU12" s="202">
        <v>83.489840000000186</v>
      </c>
      <c r="GV12" s="217">
        <v>83.489840000000186</v>
      </c>
      <c r="GW12" s="217">
        <v>1362.9963000000007</v>
      </c>
      <c r="GX12" s="203">
        <v>3005.3960000000043</v>
      </c>
      <c r="GY12" s="203">
        <v>28.612259999999964</v>
      </c>
      <c r="GZ12" s="203">
        <v>-20.447600000000023</v>
      </c>
      <c r="HA12" s="203">
        <v>21.890219999999992</v>
      </c>
      <c r="HB12" s="201">
        <v>4480.8899999999994</v>
      </c>
      <c r="HC12" s="217">
        <v>7516.3408800000034</v>
      </c>
      <c r="HD12" s="248">
        <v>809.33403000000271</v>
      </c>
      <c r="HE12" s="202">
        <v>809.33403000000271</v>
      </c>
      <c r="HF12" s="217">
        <v>8325.6749100000088</v>
      </c>
      <c r="HG12" s="17"/>
      <c r="HH12" s="118" t="s">
        <v>543</v>
      </c>
      <c r="HI12" s="201">
        <v>295.08302000000049</v>
      </c>
      <c r="HJ12" s="200">
        <v>0</v>
      </c>
      <c r="HK12" s="204">
        <v>0</v>
      </c>
      <c r="HL12" s="204">
        <v>0</v>
      </c>
      <c r="HM12" s="217">
        <v>0</v>
      </c>
      <c r="HN12" s="217">
        <v>295.08302000000049</v>
      </c>
      <c r="HO12" s="202">
        <v>66.47536000000008</v>
      </c>
      <c r="HP12" s="200">
        <v>44.901359999999954</v>
      </c>
      <c r="HQ12" s="200">
        <v>36.902879999999989</v>
      </c>
      <c r="HR12" s="217">
        <v>148.27960000000007</v>
      </c>
      <c r="HS12" s="217">
        <v>443.36262000000079</v>
      </c>
      <c r="HT12" s="203">
        <v>3300.4790200000061</v>
      </c>
      <c r="HU12" s="203">
        <v>28.612259999999964</v>
      </c>
      <c r="HV12" s="203">
        <v>-20.447600000000023</v>
      </c>
      <c r="HW12" s="203">
        <v>21.890219999999992</v>
      </c>
      <c r="HX12" s="201">
        <v>4480.8899999999994</v>
      </c>
      <c r="HY12" s="217">
        <v>7811.4239000000089</v>
      </c>
      <c r="HZ12" s="245">
        <v>875.80939000000217</v>
      </c>
      <c r="IA12" s="200">
        <v>44.726509999999962</v>
      </c>
      <c r="IB12" s="240">
        <v>36.902879999999989</v>
      </c>
      <c r="IC12" s="202">
        <v>957.43878000000223</v>
      </c>
      <c r="ID12" s="217">
        <v>8768.8626800000129</v>
      </c>
      <c r="IE12" s="17">
        <f t="shared" si="11"/>
        <v>0</v>
      </c>
      <c r="IF12" s="118" t="s">
        <v>543</v>
      </c>
      <c r="IG12" s="201">
        <v>602.95847000000049</v>
      </c>
      <c r="IH12" s="200">
        <v>-12.762270000000029</v>
      </c>
      <c r="II12" s="204">
        <v>0</v>
      </c>
      <c r="IJ12" s="204">
        <v>26.489320000000003</v>
      </c>
      <c r="IK12" s="217">
        <v>0</v>
      </c>
      <c r="IL12" s="217">
        <v>616.68552000000091</v>
      </c>
      <c r="IM12" s="217">
        <v>46.520880000000147</v>
      </c>
      <c r="IN12" s="203">
        <v>0</v>
      </c>
      <c r="IO12" s="200">
        <v>0</v>
      </c>
      <c r="IP12" s="217">
        <v>46.520880000000147</v>
      </c>
      <c r="IQ12" s="211">
        <v>663.20640000000094</v>
      </c>
      <c r="IR12" s="203">
        <v>3903.4374900000112</v>
      </c>
      <c r="IS12" s="203">
        <v>15.849989999999934</v>
      </c>
      <c r="IT12" s="203">
        <v>-20.447600000000023</v>
      </c>
      <c r="IU12" s="203">
        <v>48.379539999999992</v>
      </c>
      <c r="IV12" s="201">
        <v>4480.8899999999994</v>
      </c>
      <c r="IW12" s="217">
        <v>8428.1094200000007</v>
      </c>
      <c r="IX12" s="248">
        <v>922.3302700000022</v>
      </c>
      <c r="IY12" s="203">
        <v>44.726509999999962</v>
      </c>
      <c r="IZ12" s="240">
        <v>36.902879999999989</v>
      </c>
      <c r="JA12" s="202">
        <v>1003.9596600000023</v>
      </c>
      <c r="JB12" s="217">
        <v>9432.0690800000011</v>
      </c>
      <c r="JD12" s="118" t="s">
        <v>543</v>
      </c>
      <c r="JE12" s="201">
        <v>254.44313000000147</v>
      </c>
      <c r="JF12" s="200">
        <v>0</v>
      </c>
      <c r="JG12" s="204">
        <v>0</v>
      </c>
      <c r="JH12" s="204">
        <v>0</v>
      </c>
      <c r="JI12" s="217">
        <v>790.7999999999995</v>
      </c>
      <c r="JJ12" s="217">
        <v>1045.2431300000007</v>
      </c>
      <c r="JK12" s="202">
        <v>45.973260000000096</v>
      </c>
      <c r="JL12" s="200">
        <v>0</v>
      </c>
      <c r="JM12" s="200">
        <v>0</v>
      </c>
      <c r="JN12" s="217">
        <v>45.973260000000096</v>
      </c>
      <c r="JO12" s="211">
        <v>1091.2163900000005</v>
      </c>
      <c r="JP12" s="203">
        <v>4157.8806200000254</v>
      </c>
      <c r="JQ12" s="203">
        <v>15.849989999999934</v>
      </c>
      <c r="JR12" s="203">
        <v>-20.447600000000023</v>
      </c>
      <c r="JS12" s="203">
        <v>48.379539999999992</v>
      </c>
      <c r="JT12" s="201">
        <v>5271.6900000000005</v>
      </c>
      <c r="JU12" s="217">
        <v>9473.3525500000178</v>
      </c>
      <c r="JV12" s="245">
        <v>968.30353000000105</v>
      </c>
      <c r="JW12" s="200">
        <v>44.726509999999962</v>
      </c>
      <c r="JX12" s="240">
        <v>36.902879999999989</v>
      </c>
      <c r="JY12" s="202">
        <v>1049.9329200000011</v>
      </c>
      <c r="JZ12" s="217">
        <v>10523.285470000017</v>
      </c>
      <c r="KA12" s="17">
        <f t="shared" si="12"/>
        <v>1.2732925824820995E-11</v>
      </c>
      <c r="KB12" s="118" t="s">
        <v>543</v>
      </c>
      <c r="KC12" s="201">
        <v>142.43175999999949</v>
      </c>
      <c r="KD12" s="200">
        <v>0</v>
      </c>
      <c r="KE12" s="204">
        <v>0</v>
      </c>
      <c r="KF12" s="204">
        <v>27.388159999999999</v>
      </c>
      <c r="KG12" s="217">
        <v>0</v>
      </c>
      <c r="KH12" s="217">
        <v>169.81991999999946</v>
      </c>
      <c r="KI12" s="217">
        <v>238.19202000000041</v>
      </c>
      <c r="KJ12" s="203">
        <v>0</v>
      </c>
      <c r="KK12" s="200">
        <v>0</v>
      </c>
      <c r="KL12" s="217">
        <v>238.19202000000041</v>
      </c>
      <c r="KM12" s="211">
        <v>408.01193999999941</v>
      </c>
      <c r="KN12" s="203">
        <v>4300.3123800000249</v>
      </c>
      <c r="KO12" s="203">
        <v>15.849989999999934</v>
      </c>
      <c r="KP12" s="203">
        <v>-20.447600000000023</v>
      </c>
      <c r="KQ12" s="203">
        <v>75.767699999999991</v>
      </c>
      <c r="KR12" s="201">
        <v>5271.6900000000005</v>
      </c>
      <c r="KS12" s="217">
        <v>9643.1724700000123</v>
      </c>
      <c r="KT12" s="248">
        <v>1206.4955500000015</v>
      </c>
      <c r="KU12" s="203">
        <v>44.726509999999962</v>
      </c>
      <c r="KV12" s="240">
        <v>36.902879999999989</v>
      </c>
      <c r="KW12" s="202">
        <v>1288.1249400000015</v>
      </c>
      <c r="KX12" s="217">
        <v>10931.297410000014</v>
      </c>
      <c r="KY12" s="17">
        <f t="shared" si="13"/>
        <v>0</v>
      </c>
      <c r="KZ12" s="118" t="s">
        <v>543</v>
      </c>
      <c r="LA12" s="201">
        <v>217.3057900000008</v>
      </c>
      <c r="LB12" s="200">
        <v>0</v>
      </c>
      <c r="LC12" s="204">
        <v>0</v>
      </c>
      <c r="LD12" s="204">
        <v>0</v>
      </c>
      <c r="LE12" s="217">
        <v>0</v>
      </c>
      <c r="LF12" s="217">
        <v>217.3057900000008</v>
      </c>
      <c r="LG12" s="202">
        <v>0</v>
      </c>
      <c r="LH12" s="201">
        <v>0</v>
      </c>
      <c r="LI12" s="200">
        <v>0</v>
      </c>
      <c r="LJ12" s="200">
        <v>0</v>
      </c>
      <c r="LK12" s="217">
        <v>0</v>
      </c>
      <c r="LL12" s="211">
        <v>217.3057900000008</v>
      </c>
      <c r="LM12" s="203">
        <v>4517.6181700000161</v>
      </c>
      <c r="LN12" s="203">
        <v>15.849989999999934</v>
      </c>
      <c r="LO12" s="203">
        <v>-20.447600000000023</v>
      </c>
      <c r="LP12" s="203">
        <v>75.767699999999991</v>
      </c>
      <c r="LQ12" s="201">
        <v>5271.6900000000005</v>
      </c>
      <c r="LR12" s="217">
        <v>9860.4782600000035</v>
      </c>
      <c r="LS12" s="245">
        <v>1206.4955500000051</v>
      </c>
      <c r="LT12" s="247">
        <v>0</v>
      </c>
      <c r="LU12" s="200">
        <v>44.726509999999962</v>
      </c>
      <c r="LV12" s="240">
        <v>36.902879999999989</v>
      </c>
      <c r="LW12" s="202">
        <v>1288.1249400000052</v>
      </c>
      <c r="LX12" s="217">
        <v>11148.603200000012</v>
      </c>
      <c r="LY12" s="17"/>
      <c r="LZ12" s="118" t="s">
        <v>543</v>
      </c>
      <c r="MA12" s="201">
        <v>220.40751000000091</v>
      </c>
      <c r="MB12" s="200">
        <v>0</v>
      </c>
      <c r="MC12" s="204">
        <v>0</v>
      </c>
      <c r="MD12" s="204">
        <v>0</v>
      </c>
      <c r="ME12" s="217">
        <v>790.7999999999995</v>
      </c>
      <c r="MF12" s="217">
        <v>1011.2075100000011</v>
      </c>
      <c r="MG12" s="202">
        <v>0</v>
      </c>
      <c r="MH12" s="201">
        <v>0</v>
      </c>
      <c r="MI12" s="200">
        <v>0</v>
      </c>
      <c r="MJ12" s="200">
        <v>0</v>
      </c>
      <c r="MK12" s="217">
        <v>0</v>
      </c>
      <c r="ML12" s="211">
        <v>1011.2075100000011</v>
      </c>
      <c r="MM12" s="203">
        <v>4738.0256800000425</v>
      </c>
      <c r="MN12" s="203">
        <v>15.849989999999934</v>
      </c>
      <c r="MO12" s="203">
        <v>-20.447600000000023</v>
      </c>
      <c r="MP12" s="203">
        <v>75.767699999999991</v>
      </c>
      <c r="MQ12" s="201">
        <v>6062.4900000000016</v>
      </c>
      <c r="MR12" s="217">
        <v>10871.68577000004</v>
      </c>
      <c r="MS12" s="245">
        <v>1206.4955500000015</v>
      </c>
      <c r="MT12" s="247">
        <v>0</v>
      </c>
      <c r="MU12" s="200">
        <v>44.726509999999962</v>
      </c>
      <c r="MV12" s="240">
        <v>36.902879999999989</v>
      </c>
      <c r="MW12" s="202">
        <v>1288.1249400000015</v>
      </c>
      <c r="MX12" s="217">
        <v>12159.810710000034</v>
      </c>
      <c r="MY12" s="17">
        <f t="shared" si="14"/>
        <v>2.5465851649641991E-11</v>
      </c>
      <c r="MZ12" s="118" t="s">
        <v>543</v>
      </c>
      <c r="NA12" s="201">
        <v>348.42460000000119</v>
      </c>
      <c r="NB12" s="200">
        <v>-0.42450999999999794</v>
      </c>
      <c r="NC12" s="204">
        <v>0</v>
      </c>
      <c r="ND12" s="204">
        <v>0</v>
      </c>
      <c r="NE12" s="217">
        <v>0</v>
      </c>
      <c r="NF12" s="217">
        <v>348.00009000000136</v>
      </c>
      <c r="NG12" s="217">
        <v>5.6000000000000227</v>
      </c>
      <c r="NH12" s="200">
        <v>0</v>
      </c>
      <c r="NI12" s="200">
        <v>0</v>
      </c>
      <c r="NJ12" s="217">
        <v>5.6000000000000227</v>
      </c>
      <c r="NK12" s="211">
        <v>353.60009000000173</v>
      </c>
      <c r="NL12" s="203">
        <v>5086.4502800000264</v>
      </c>
      <c r="NM12" s="203">
        <v>15.425479999999936</v>
      </c>
      <c r="NN12" s="203">
        <v>-20.447600000000023</v>
      </c>
      <c r="NO12" s="203">
        <v>75.767699999999991</v>
      </c>
      <c r="NP12" s="201">
        <v>6062.4900000000016</v>
      </c>
      <c r="NQ12" s="217">
        <v>11219.685860000012</v>
      </c>
      <c r="NR12" s="217">
        <v>1212.0955500000018</v>
      </c>
      <c r="NS12" s="200">
        <v>44.726509999999962</v>
      </c>
      <c r="NT12" s="240">
        <v>36.902879999999989</v>
      </c>
      <c r="NU12" s="202">
        <v>1293.7249400000019</v>
      </c>
      <c r="NV12" s="217">
        <v>12513.410800000012</v>
      </c>
      <c r="NW12" s="17"/>
      <c r="NX12" s="118" t="s">
        <v>543</v>
      </c>
      <c r="NY12" s="201">
        <v>252.45800000000054</v>
      </c>
      <c r="NZ12" s="200">
        <v>0</v>
      </c>
      <c r="OA12" s="204">
        <v>0</v>
      </c>
      <c r="OB12" s="204">
        <v>34.518889999999992</v>
      </c>
      <c r="OC12" s="217">
        <v>-3.5585999999999984</v>
      </c>
      <c r="OD12" s="217">
        <v>283.41829000000007</v>
      </c>
      <c r="OE12" s="217">
        <v>0</v>
      </c>
      <c r="OF12" s="200">
        <v>0</v>
      </c>
      <c r="OG12" s="200">
        <v>0</v>
      </c>
      <c r="OH12" s="217">
        <v>0</v>
      </c>
      <c r="OI12" s="211">
        <v>283.41829000000007</v>
      </c>
      <c r="OJ12" s="203">
        <v>5338.9082800000397</v>
      </c>
      <c r="OK12" s="203">
        <v>15.425479999999936</v>
      </c>
      <c r="OL12" s="203">
        <v>-20.447600000000023</v>
      </c>
      <c r="OM12" s="203">
        <v>110.28658999999996</v>
      </c>
      <c r="ON12" s="201">
        <v>6058.9314000000013</v>
      </c>
      <c r="OO12" s="217">
        <v>11503.104150000028</v>
      </c>
      <c r="OP12" s="217">
        <v>1212.0955500000036</v>
      </c>
      <c r="OQ12" s="200">
        <v>44.726509999999962</v>
      </c>
      <c r="OR12" s="240">
        <v>36.902879999999989</v>
      </c>
      <c r="OS12" s="202">
        <v>1293.7249400000037</v>
      </c>
      <c r="OT12" s="217">
        <v>12796.829090000028</v>
      </c>
      <c r="OU12" s="17">
        <f t="shared" si="15"/>
        <v>1.2732925824820995E-11</v>
      </c>
      <c r="OV12" s="118" t="s">
        <v>543</v>
      </c>
      <c r="OW12" s="201">
        <v>228.85959000000003</v>
      </c>
      <c r="OX12" s="200">
        <v>0</v>
      </c>
      <c r="OY12" s="204">
        <v>0</v>
      </c>
      <c r="OZ12" s="204">
        <v>0</v>
      </c>
      <c r="PA12" s="217">
        <v>810.56999999999948</v>
      </c>
      <c r="PB12" s="217">
        <v>1039.4295899999988</v>
      </c>
      <c r="PC12" s="217">
        <v>0</v>
      </c>
      <c r="PD12" s="200">
        <v>0</v>
      </c>
      <c r="PE12" s="200">
        <v>0</v>
      </c>
      <c r="PF12" s="217">
        <v>0</v>
      </c>
      <c r="PG12" s="211">
        <v>1039.4295899999988</v>
      </c>
      <c r="PH12" s="203">
        <v>5567.767870000047</v>
      </c>
      <c r="PI12" s="203">
        <v>15.425479999999936</v>
      </c>
      <c r="PJ12" s="203">
        <v>-20.447600000000023</v>
      </c>
      <c r="PK12" s="203">
        <v>110.28658999999996</v>
      </c>
      <c r="PL12" s="201">
        <v>6869.5013999999992</v>
      </c>
      <c r="PM12" s="217">
        <v>12542.533740000043</v>
      </c>
      <c r="PN12" s="217">
        <v>1212.0955500000036</v>
      </c>
      <c r="PO12" s="200">
        <v>44.726509999999962</v>
      </c>
      <c r="PP12" s="240">
        <v>36.902879999999989</v>
      </c>
      <c r="PQ12" s="202">
        <v>1293.7249400000037</v>
      </c>
      <c r="PR12" s="217">
        <v>13836.258680000043</v>
      </c>
      <c r="PS12" s="17">
        <f t="shared" si="16"/>
        <v>7.2759576141834259E-12</v>
      </c>
      <c r="PT12" s="118" t="s">
        <v>543</v>
      </c>
      <c r="PU12" s="201">
        <v>-28.894840000000613</v>
      </c>
      <c r="PV12" s="200">
        <v>0</v>
      </c>
      <c r="PW12" s="204">
        <v>0</v>
      </c>
      <c r="PX12" s="204">
        <v>0</v>
      </c>
      <c r="PY12" s="217">
        <v>0</v>
      </c>
      <c r="PZ12" s="217">
        <v>-28.894840000000613</v>
      </c>
      <c r="QA12" s="217">
        <v>167.48800000000051</v>
      </c>
      <c r="QB12" s="200">
        <v>0</v>
      </c>
      <c r="QC12" s="200">
        <v>0</v>
      </c>
      <c r="QD12" s="217">
        <v>167.48800000000051</v>
      </c>
      <c r="QE12" s="211">
        <v>138.5931599999999</v>
      </c>
      <c r="QF12" s="203">
        <v>5538.8730300000461</v>
      </c>
      <c r="QG12" s="203">
        <v>15.425479999999936</v>
      </c>
      <c r="QH12" s="203">
        <v>-20.447600000000023</v>
      </c>
      <c r="QI12" s="203">
        <v>110.28658999999996</v>
      </c>
      <c r="QJ12" s="201">
        <v>6869.5013999999992</v>
      </c>
      <c r="QK12" s="217">
        <v>12513.638900000049</v>
      </c>
      <c r="QL12" s="217">
        <v>1379.5835500000085</v>
      </c>
      <c r="QM12" s="200">
        <v>44.726509999999962</v>
      </c>
      <c r="QN12" s="240">
        <v>36.902879999999989</v>
      </c>
      <c r="QO12" s="202">
        <v>1461.2129400000085</v>
      </c>
      <c r="QP12" s="217">
        <v>13974.851840000061</v>
      </c>
      <c r="QQ12" s="17">
        <f t="shared" si="17"/>
        <v>0</v>
      </c>
      <c r="QR12" s="118" t="s">
        <v>543</v>
      </c>
      <c r="QS12" s="203">
        <v>5933.5414000000528</v>
      </c>
      <c r="QT12" s="203">
        <v>15.425479999999936</v>
      </c>
      <c r="QU12" s="203">
        <v>-20.447600000000023</v>
      </c>
      <c r="QV12" s="203">
        <v>149.83554999999993</v>
      </c>
      <c r="QW12" s="201">
        <v>7646.9764000000032</v>
      </c>
      <c r="QX12" s="217">
        <v>13725.331230000069</v>
      </c>
      <c r="QY12" s="217">
        <v>1610.0383900000052</v>
      </c>
      <c r="QZ12" s="200">
        <v>44.726509999999962</v>
      </c>
      <c r="RA12" s="240">
        <v>36.902879999999989</v>
      </c>
      <c r="RB12" s="202">
        <v>1691.6677800000034</v>
      </c>
      <c r="RC12" s="217">
        <v>15416.999010000072</v>
      </c>
      <c r="RE12" s="118" t="s">
        <v>543</v>
      </c>
      <c r="RF12" s="203">
        <f t="shared" si="28"/>
        <v>5933541.4000000525</v>
      </c>
      <c r="RG12" s="203">
        <f t="shared" si="18"/>
        <v>15425.479999999936</v>
      </c>
      <c r="RH12" s="203">
        <f t="shared" si="19"/>
        <v>-20447.600000000024</v>
      </c>
      <c r="RI12" s="203">
        <f t="shared" si="20"/>
        <v>149835.54999999993</v>
      </c>
      <c r="RJ12" s="201">
        <f t="shared" si="21"/>
        <v>7646976.4000000032</v>
      </c>
      <c r="RK12" s="217">
        <f t="shared" si="22"/>
        <v>13725331.230000069</v>
      </c>
      <c r="RL12" s="217">
        <f t="shared" si="23"/>
        <v>1610038.3900000053</v>
      </c>
      <c r="RM12" s="200">
        <f t="shared" si="24"/>
        <v>44726.509999999966</v>
      </c>
      <c r="RN12" s="240">
        <f t="shared" si="25"/>
        <v>36902.87999999999</v>
      </c>
      <c r="RO12" s="202">
        <f t="shared" si="26"/>
        <v>1691667.7800000035</v>
      </c>
      <c r="RP12" s="217">
        <f t="shared" si="27"/>
        <v>15416999.010000072</v>
      </c>
      <c r="RQ12" s="326"/>
      <c r="RR12" s="339" t="s">
        <v>1969</v>
      </c>
      <c r="RS12" s="318">
        <f>SUMIF('MIS Working 1'!$T:$T,'Shared DB - Nov 25'!RS$1,'MIS Working 1'!$AJ:$AJ)</f>
        <v>3029022.629999998</v>
      </c>
      <c r="RT12" s="314">
        <f t="shared" si="5"/>
        <v>4.2464580095729988E-2</v>
      </c>
      <c r="RU12" s="318">
        <f>SUMIF('MIS Working 1'!$T:$T,'Shared DB - Nov 25'!RU$1,'MIS Working 1'!$AJ:$AJ)</f>
        <v>798521.38</v>
      </c>
      <c r="RV12" s="314">
        <f t="shared" si="5"/>
        <v>3.1243579220218563E-2</v>
      </c>
      <c r="RW12" s="318">
        <f>SUMIF('MIS Working 1'!$T:$T,'Shared DB - Nov 25'!RW$1,'MIS Working 1'!$AJ:$AJ)</f>
        <v>32414.479999999992</v>
      </c>
      <c r="RX12" s="314">
        <f t="shared" si="5"/>
        <v>9.3115158942930223E-2</v>
      </c>
      <c r="RY12" s="318">
        <f>SUMIF('MIS Working 1'!$T:$T,'Shared DB - Nov 25'!RY$1,'MIS Working 1'!$AJ:$AJ)</f>
        <v>11325.23</v>
      </c>
      <c r="RZ12" s="314">
        <f t="shared" si="6"/>
        <v>5.1671074777590767E-2</v>
      </c>
      <c r="SA12" s="318">
        <f>SUMIF('MIS Working 1'!$T:$T,'Shared DB - Nov 25'!SA$1,'MIS Working 1'!$AJ:$AJ)</f>
        <v>9401.58</v>
      </c>
      <c r="SB12" s="314">
        <f t="shared" si="7"/>
        <v>2.7434332370491737E-2</v>
      </c>
      <c r="SC12" s="318">
        <f>SUMIF('MIS Working 1'!$T:$T,'Shared DB - Nov 25'!SC$1,'MIS Working 1'!$AJ:$AJ)</f>
        <v>43086.62</v>
      </c>
      <c r="SD12" s="315">
        <f t="shared" si="5"/>
        <v>2.4640217709380715E-3</v>
      </c>
      <c r="SE12" s="318">
        <f>SUMIF('MIS Working 1'!$T:$T,'Shared DB - Nov 25'!SE$1,'MIS Working 1'!$AJ:$AJ)</f>
        <v>199.60000000000002</v>
      </c>
      <c r="SF12" s="314">
        <f t="shared" si="8"/>
        <v>6.4356039794989271E-4</v>
      </c>
      <c r="SG12" s="318">
        <f>SUMIF('MIS Working 1'!$T:$T,'Shared DB - Nov 25'!SG$1,'MIS Working 1'!$AJ:$AJ)</f>
        <v>201.60000000000002</v>
      </c>
      <c r="SH12" s="314">
        <f t="shared" si="5"/>
        <v>2.447980416156671E-3</v>
      </c>
      <c r="SI12" s="318">
        <f>RS12+RU12+RW12+SC12+SG12+SE12+RY12+SA12</f>
        <v>3924173.1199999982</v>
      </c>
      <c r="SJ12" s="314">
        <f t="shared" si="5"/>
        <v>3.3923452988434404E-2</v>
      </c>
      <c r="SL12" s="17"/>
    </row>
    <row r="13" spans="2:506" ht="15" thickBot="1" x14ac:dyDescent="0.35">
      <c r="BP13" s="116" t="s">
        <v>460</v>
      </c>
      <c r="BQ13" s="176">
        <v>0.1112897712735489</v>
      </c>
      <c r="BR13" s="177" t="s">
        <v>478</v>
      </c>
      <c r="BS13" s="177">
        <v>-9.3291656648232829E-2</v>
      </c>
      <c r="BT13" s="178">
        <v>0.29665859121451749</v>
      </c>
      <c r="BU13" s="219">
        <v>0.21387168119636824</v>
      </c>
      <c r="BV13" s="140">
        <v>9.37154780900947E-2</v>
      </c>
      <c r="BW13" s="219">
        <v>9.37154780900947E-2</v>
      </c>
      <c r="BX13" s="178">
        <v>0.19039910458564957</v>
      </c>
      <c r="BY13" s="177">
        <v>8.4587372623631474E-2</v>
      </c>
      <c r="BZ13" s="177">
        <v>0.19131564297643386</v>
      </c>
      <c r="CA13" s="178">
        <v>-9.3291656648232787E-2</v>
      </c>
      <c r="CB13" s="176">
        <v>0.29910273406187177</v>
      </c>
      <c r="CC13" s="219">
        <v>0.14280111203379944</v>
      </c>
      <c r="CD13" s="184">
        <v>8.7806791593389416E-2</v>
      </c>
      <c r="CE13" s="178">
        <v>8.7806791593389416E-2</v>
      </c>
      <c r="CF13" s="219">
        <v>0.13302460026678803</v>
      </c>
      <c r="CH13" s="116" t="s">
        <v>460</v>
      </c>
      <c r="CI13" s="176">
        <v>9.5537978580852584E-2</v>
      </c>
      <c r="CJ13" s="177" t="s">
        <v>478</v>
      </c>
      <c r="CK13" s="177" t="s">
        <v>478</v>
      </c>
      <c r="CL13" s="178" t="s">
        <v>478</v>
      </c>
      <c r="CM13" s="219">
        <v>9.5537978580852584E-2</v>
      </c>
      <c r="CN13" s="140">
        <v>9.3715478090094798E-2</v>
      </c>
      <c r="CO13" s="219">
        <v>9.3715478090094798E-2</v>
      </c>
      <c r="CP13" s="178">
        <v>9.4943235338606158E-2</v>
      </c>
      <c r="CQ13" s="177">
        <v>8.5251278815022688E-2</v>
      </c>
      <c r="CR13" s="177">
        <v>0.19131564297643386</v>
      </c>
      <c r="CS13" s="178">
        <v>-9.3291656648232787E-2</v>
      </c>
      <c r="CT13" s="176">
        <v>0.29910273406187177</v>
      </c>
      <c r="CU13" s="219">
        <v>0.14070372985516336</v>
      </c>
      <c r="CV13" s="184">
        <v>8.8363613189190574E-2</v>
      </c>
      <c r="CW13" s="178">
        <v>8.8363613189190574E-2</v>
      </c>
      <c r="CX13" s="219">
        <v>0.13098199258646251</v>
      </c>
      <c r="CZ13" s="116" t="s">
        <v>460</v>
      </c>
      <c r="DA13" s="176">
        <v>8.1530075104056965E-2</v>
      </c>
      <c r="DB13" s="177" t="s">
        <v>478</v>
      </c>
      <c r="DC13" s="177" t="s">
        <v>478</v>
      </c>
      <c r="DD13" s="178">
        <v>0.29985894344086983</v>
      </c>
      <c r="DE13" s="219">
        <v>0.1833884822752562</v>
      </c>
      <c r="DF13" s="140">
        <v>8.9099521881381052E-2</v>
      </c>
      <c r="DG13" s="219">
        <v>8.9099521881381052E-2</v>
      </c>
      <c r="DH13" s="178">
        <v>0.17461675954005512</v>
      </c>
      <c r="DI13" s="177">
        <v>8.471098731195352E-2</v>
      </c>
      <c r="DJ13" s="177">
        <v>0.19131564297643386</v>
      </c>
      <c r="DK13" s="178">
        <v>-9.3291656648232787E-2</v>
      </c>
      <c r="DL13" s="176">
        <v>0.29932369391357772</v>
      </c>
      <c r="DM13" s="219">
        <v>0.14877140972747901</v>
      </c>
      <c r="DN13" s="184">
        <v>8.843341788528139E-2</v>
      </c>
      <c r="DO13" s="178">
        <v>8.843341788528139E-2</v>
      </c>
      <c r="DP13" s="219">
        <v>0.13853206015851749</v>
      </c>
      <c r="DR13" s="116" t="s">
        <v>460</v>
      </c>
      <c r="DS13" s="176">
        <v>9.489383629315648E-2</v>
      </c>
      <c r="DT13" s="177">
        <v>0.25526495246500042</v>
      </c>
      <c r="DU13" s="178">
        <v>-9.3291656648232649E-2</v>
      </c>
      <c r="DV13" s="219" t="s">
        <v>478</v>
      </c>
      <c r="DW13" s="219">
        <v>9.4422180652694629E-2</v>
      </c>
      <c r="DX13" s="140">
        <v>8.5111008822361181E-2</v>
      </c>
      <c r="DY13" s="219">
        <v>8.5111008822361181E-2</v>
      </c>
      <c r="DZ13" s="178">
        <v>9.1497742026460632E-2</v>
      </c>
      <c r="EA13" s="177">
        <v>8.5514270973979858E-2</v>
      </c>
      <c r="EB13" s="177">
        <v>0.25724795737339712</v>
      </c>
      <c r="EC13" s="178">
        <v>-9.3291656648232857E-2</v>
      </c>
      <c r="ED13" s="176">
        <v>0.29932369391357772</v>
      </c>
      <c r="EE13" s="219">
        <v>0.14537097165120219</v>
      </c>
      <c r="EF13" s="184">
        <v>8.8001250083031279E-2</v>
      </c>
      <c r="EG13" s="178">
        <v>8.8001250083031279E-2</v>
      </c>
      <c r="EH13" s="219">
        <v>0.13501617330389146</v>
      </c>
      <c r="EJ13" s="116" t="s">
        <v>460</v>
      </c>
      <c r="EK13" s="176">
        <v>0.10722376163580753</v>
      </c>
      <c r="EL13" s="177" t="s">
        <v>478</v>
      </c>
      <c r="EM13" s="178" t="s">
        <v>478</v>
      </c>
      <c r="EN13" s="219">
        <v>0.29985894344086983</v>
      </c>
      <c r="EO13" s="219">
        <v>0.22105713249126557</v>
      </c>
      <c r="EP13" s="140">
        <v>8.8299788631546292E-2</v>
      </c>
      <c r="EQ13" s="219">
        <v>8.8299788631546292E-2</v>
      </c>
      <c r="ER13" s="178">
        <v>0.19983330570977026</v>
      </c>
      <c r="ES13" s="177">
        <v>8.7140355647102943E-2</v>
      </c>
      <c r="ET13" s="177">
        <v>0.25724795737339712</v>
      </c>
      <c r="EU13" s="178">
        <v>-9.3291656648232857E-2</v>
      </c>
      <c r="EV13" s="176">
        <v>0.29944472582131682</v>
      </c>
      <c r="EW13" s="219">
        <v>0.15465900834261934</v>
      </c>
      <c r="EX13" s="184">
        <v>8.8033440734442372E-2</v>
      </c>
      <c r="EY13" s="178">
        <v>8.8033440734442372E-2</v>
      </c>
      <c r="EZ13" s="219">
        <v>0.14279857516552336</v>
      </c>
      <c r="FB13" s="116" t="s">
        <v>460</v>
      </c>
      <c r="FC13" s="176">
        <v>0.11638465809573867</v>
      </c>
      <c r="FD13" s="177" t="s">
        <v>478</v>
      </c>
      <c r="FE13" s="178" t="s">
        <v>478</v>
      </c>
      <c r="FF13" s="219" t="s">
        <v>478</v>
      </c>
      <c r="FG13" s="219">
        <v>0.11638465809573867</v>
      </c>
      <c r="FH13" s="140" t="s">
        <v>478</v>
      </c>
      <c r="FI13" s="219" t="s">
        <v>478</v>
      </c>
      <c r="FJ13" s="178">
        <v>0.11638465809573867</v>
      </c>
      <c r="FK13" s="177">
        <v>8.983764241694088E-2</v>
      </c>
      <c r="FL13" s="177">
        <v>0.25724795737339712</v>
      </c>
      <c r="FM13" s="178">
        <v>-9.3291656648232857E-2</v>
      </c>
      <c r="FN13" s="176">
        <v>0.29944472582131682</v>
      </c>
      <c r="FO13" s="219">
        <v>0.15221882087085278</v>
      </c>
      <c r="FP13" s="184">
        <v>8.8033440734442261E-2</v>
      </c>
      <c r="FQ13" s="178">
        <v>8.8033440734442261E-2</v>
      </c>
      <c r="FR13" s="219">
        <v>0.14139844438858895</v>
      </c>
      <c r="FT13" s="116" t="s">
        <v>460</v>
      </c>
      <c r="FU13" s="176">
        <v>8.2944078447412209E-2</v>
      </c>
      <c r="FV13" s="177" t="s">
        <v>478</v>
      </c>
      <c r="FW13" s="178" t="s">
        <v>478</v>
      </c>
      <c r="FX13" s="178">
        <v>0.32865237366003053</v>
      </c>
      <c r="FY13" s="219" t="s">
        <v>478</v>
      </c>
      <c r="FZ13" s="219">
        <v>8.7354893425391628E-2</v>
      </c>
      <c r="GA13" s="184">
        <v>9.3715478090094936E-2</v>
      </c>
      <c r="GB13" s="219">
        <v>9.3715478090094936E-2</v>
      </c>
      <c r="GC13" s="178">
        <v>8.7898497403665926E-2</v>
      </c>
      <c r="GD13" s="177">
        <v>8.7911297655229093E-2</v>
      </c>
      <c r="GE13" s="177">
        <v>0.25724795737339712</v>
      </c>
      <c r="GF13" s="177">
        <v>-9.3291656648232857E-2</v>
      </c>
      <c r="GG13" s="177">
        <v>0.32865237366003053</v>
      </c>
      <c r="GH13" s="176">
        <v>0.29953600526543878</v>
      </c>
      <c r="GI13" s="219">
        <v>0.15171306983266106</v>
      </c>
      <c r="GJ13" s="219">
        <v>9.0042083085678709E-2</v>
      </c>
      <c r="GK13" s="184">
        <v>9.0042083085678709E-2</v>
      </c>
      <c r="GL13" s="219">
        <v>0.14224256170575836</v>
      </c>
      <c r="GN13" s="116" t="s">
        <v>460</v>
      </c>
      <c r="GO13" s="176">
        <v>7.8805878166238894E-2</v>
      </c>
      <c r="GP13" s="177" t="s">
        <v>478</v>
      </c>
      <c r="GQ13" s="178" t="s">
        <v>478</v>
      </c>
      <c r="GR13" s="178" t="s">
        <v>478</v>
      </c>
      <c r="GS13" s="219">
        <v>0.29985894344087</v>
      </c>
      <c r="GT13" s="219">
        <v>0.18306777903858393</v>
      </c>
      <c r="GU13" s="184">
        <v>0.10903997879012302</v>
      </c>
      <c r="GV13" s="219">
        <v>0.10903997879012302</v>
      </c>
      <c r="GW13" s="219">
        <v>0.17575866426931377</v>
      </c>
      <c r="GX13" s="140">
        <v>8.7911297655229093E-2</v>
      </c>
      <c r="GY13" s="177">
        <v>0.25724795737339712</v>
      </c>
      <c r="GZ13" s="177">
        <v>-9.3291656648232857E-2</v>
      </c>
      <c r="HA13" s="177">
        <v>0.32865237366003053</v>
      </c>
      <c r="HB13" s="176">
        <v>0.29953600526543878</v>
      </c>
      <c r="HC13" s="219">
        <v>0.15171306983266106</v>
      </c>
      <c r="HD13" s="219">
        <v>9.0042083085678709E-2</v>
      </c>
      <c r="HE13" s="184">
        <v>9.0042083085678709E-2</v>
      </c>
      <c r="HF13" s="219">
        <v>0.14224256170575836</v>
      </c>
      <c r="HH13" s="116" t="s">
        <v>460</v>
      </c>
      <c r="HI13" s="176">
        <v>0.10780259865682673</v>
      </c>
      <c r="HJ13" s="177" t="s">
        <v>478</v>
      </c>
      <c r="HK13" s="178" t="s">
        <v>478</v>
      </c>
      <c r="HL13" s="178" t="s">
        <v>478</v>
      </c>
      <c r="HM13" s="219" t="s">
        <v>478</v>
      </c>
      <c r="HN13" s="219">
        <v>0.10780259865682673</v>
      </c>
      <c r="HO13" s="184">
        <v>0.13583289850694366</v>
      </c>
      <c r="HP13" s="177">
        <v>0.14346215780998375</v>
      </c>
      <c r="HQ13" s="177">
        <v>0.44810281517747846</v>
      </c>
      <c r="HR13" s="219">
        <v>0.16759902068015645</v>
      </c>
      <c r="HS13" s="219">
        <v>0.12240885385164166</v>
      </c>
      <c r="HT13" s="140">
        <v>8.9385883772796187E-2</v>
      </c>
      <c r="HU13" s="177">
        <v>0.25724795737339712</v>
      </c>
      <c r="HV13" s="177">
        <v>-9.3291656648232857E-2</v>
      </c>
      <c r="HW13" s="177">
        <v>0.32865237366003053</v>
      </c>
      <c r="HX13" s="176">
        <v>0.29953600526543878</v>
      </c>
      <c r="HY13" s="219">
        <v>0.14941404165424357</v>
      </c>
      <c r="HZ13" s="184">
        <v>9.2406516614519582E-2</v>
      </c>
      <c r="IA13" s="177">
        <v>0.14420947181618152</v>
      </c>
      <c r="IB13" s="243">
        <v>0.44810281517747846</v>
      </c>
      <c r="IC13" s="184">
        <v>9.7002078673185319E-2</v>
      </c>
      <c r="ID13" s="219">
        <v>0.14109037792876897</v>
      </c>
      <c r="IF13" s="116" t="s">
        <v>460</v>
      </c>
      <c r="IG13" s="176">
        <v>0.2263257685059501</v>
      </c>
      <c r="IH13" s="177">
        <v>-5.289790625795697E-2</v>
      </c>
      <c r="II13" s="178" t="s">
        <v>478</v>
      </c>
      <c r="IJ13" s="178">
        <v>0.46492589077102808</v>
      </c>
      <c r="IK13" s="219" t="s">
        <v>478</v>
      </c>
      <c r="IL13" s="219">
        <v>0.20817405804208633</v>
      </c>
      <c r="IM13" s="219">
        <v>7.72113103467508E-2</v>
      </c>
      <c r="IN13" s="140" t="s">
        <v>478</v>
      </c>
      <c r="IO13" s="177" t="s">
        <v>478</v>
      </c>
      <c r="IP13" s="219">
        <v>7.72113103467508E-2</v>
      </c>
      <c r="IQ13" s="178">
        <v>0.1860394828300401</v>
      </c>
      <c r="IR13" s="177">
        <v>9.8601389203035891E-2</v>
      </c>
      <c r="IS13" s="177">
        <v>4.4966203408565011E-2</v>
      </c>
      <c r="IT13" s="177">
        <v>-9.3291656648232857E-2</v>
      </c>
      <c r="IU13" s="177">
        <v>0.39147926515778747</v>
      </c>
      <c r="IV13" s="176">
        <v>0.29953600526543878</v>
      </c>
      <c r="IW13" s="219">
        <v>0.15256500842483345</v>
      </c>
      <c r="IX13" s="219">
        <v>9.149827780407277E-2</v>
      </c>
      <c r="IY13" s="140">
        <v>0.14420947181618152</v>
      </c>
      <c r="IZ13" s="243">
        <v>0.44810281517747846</v>
      </c>
      <c r="JA13" s="184">
        <v>9.5863490602871776E-2</v>
      </c>
      <c r="JB13" s="219">
        <v>0.14352873050735004</v>
      </c>
      <c r="JD13" s="116" t="s">
        <v>460</v>
      </c>
      <c r="JE13" s="176">
        <v>8.5088568053763525E-2</v>
      </c>
      <c r="JF13" s="177" t="s">
        <v>478</v>
      </c>
      <c r="JG13" s="178" t="s">
        <v>478</v>
      </c>
      <c r="JH13" s="178" t="s">
        <v>478</v>
      </c>
      <c r="JI13" s="219">
        <v>0.29985894344086983</v>
      </c>
      <c r="JJ13" s="219">
        <v>0.18573605000747823</v>
      </c>
      <c r="JK13" s="184">
        <v>7.9320341374543704E-2</v>
      </c>
      <c r="JL13" s="177" t="s">
        <v>478</v>
      </c>
      <c r="JM13" s="177" t="s">
        <v>478</v>
      </c>
      <c r="JN13" s="219">
        <v>7.9320341374543704E-2</v>
      </c>
      <c r="JO13" s="178">
        <v>0.17579955196662073</v>
      </c>
      <c r="JP13" s="177">
        <v>9.7652367154485817E-2</v>
      </c>
      <c r="JQ13" s="177">
        <v>4.4966203408565011E-2</v>
      </c>
      <c r="JR13" s="177">
        <v>-9.3291656648232857E-2</v>
      </c>
      <c r="JS13" s="177">
        <v>0.39147926515778747</v>
      </c>
      <c r="JT13" s="176">
        <v>0.29958440448727908</v>
      </c>
      <c r="JU13" s="219">
        <v>0.15563173231865385</v>
      </c>
      <c r="JV13" s="184">
        <v>9.0836150291267195E-2</v>
      </c>
      <c r="JW13" s="177">
        <v>0.14420947181618152</v>
      </c>
      <c r="JX13" s="243">
        <v>0.44810281517747846</v>
      </c>
      <c r="JY13" s="184">
        <v>9.4995964566941316E-2</v>
      </c>
      <c r="JZ13" s="219">
        <v>0.14631380679167069</v>
      </c>
      <c r="KB13" s="116" t="s">
        <v>460</v>
      </c>
      <c r="KC13" s="176">
        <v>6.2213339191031954E-2</v>
      </c>
      <c r="KD13" s="177" t="s">
        <v>478</v>
      </c>
      <c r="KE13" s="178" t="s">
        <v>478</v>
      </c>
      <c r="KF13" s="178">
        <v>0.46479662975196956</v>
      </c>
      <c r="KG13" s="219" t="s">
        <v>478</v>
      </c>
      <c r="KH13" s="219">
        <v>7.2315070514636259E-2</v>
      </c>
      <c r="KI13" s="219">
        <v>9.7937855534652563E-2</v>
      </c>
      <c r="KJ13" s="140" t="s">
        <v>478</v>
      </c>
      <c r="KK13" s="177" t="s">
        <v>478</v>
      </c>
      <c r="KL13" s="219">
        <v>9.7937855534652563E-2</v>
      </c>
      <c r="KM13" s="178">
        <v>8.535088269056923E-2</v>
      </c>
      <c r="KN13" s="177">
        <v>9.5844067651905326E-2</v>
      </c>
      <c r="KO13" s="177">
        <v>4.4966203408565011E-2</v>
      </c>
      <c r="KP13" s="177">
        <v>-9.3291656648232857E-2</v>
      </c>
      <c r="KQ13" s="177">
        <v>0.41515092073483451</v>
      </c>
      <c r="KR13" s="176">
        <v>0.29958440448727908</v>
      </c>
      <c r="KS13" s="219">
        <v>0.15253683338739768</v>
      </c>
      <c r="KT13" s="219">
        <v>9.2155422550241881E-2</v>
      </c>
      <c r="KU13" s="140">
        <v>0.14420947181618152</v>
      </c>
      <c r="KV13" s="243">
        <v>0.44810281517747846</v>
      </c>
      <c r="KW13" s="184">
        <v>9.5526567165235582E-2</v>
      </c>
      <c r="KX13" s="219">
        <v>0.14251438390346421</v>
      </c>
      <c r="KZ13" s="116" t="s">
        <v>460</v>
      </c>
      <c r="LA13" s="176">
        <v>8.534952264985414E-2</v>
      </c>
      <c r="LB13" s="177" t="s">
        <v>478</v>
      </c>
      <c r="LC13" s="178" t="s">
        <v>478</v>
      </c>
      <c r="LD13" s="178" t="s">
        <v>478</v>
      </c>
      <c r="LE13" s="219" t="s">
        <v>478</v>
      </c>
      <c r="LF13" s="219">
        <v>8.534952264985414E-2</v>
      </c>
      <c r="LG13" s="184" t="s">
        <v>478</v>
      </c>
      <c r="LH13" s="242" t="s">
        <v>478</v>
      </c>
      <c r="LI13" s="177" t="s">
        <v>478</v>
      </c>
      <c r="LJ13" s="177" t="s">
        <v>478</v>
      </c>
      <c r="LK13" s="219" t="s">
        <v>478</v>
      </c>
      <c r="LL13" s="178">
        <v>8.534952264985414E-2</v>
      </c>
      <c r="LM13" s="177">
        <v>9.5280522878796153E-2</v>
      </c>
      <c r="LN13" s="177">
        <v>4.4966203408565011E-2</v>
      </c>
      <c r="LO13" s="177">
        <v>-9.3291656648232857E-2</v>
      </c>
      <c r="LP13" s="177">
        <v>0.41515092073483451</v>
      </c>
      <c r="LQ13" s="176">
        <v>0.29958440448727908</v>
      </c>
      <c r="LR13" s="219">
        <v>0.14993568876836269</v>
      </c>
      <c r="LS13" s="184">
        <v>9.2155422550242144E-2</v>
      </c>
      <c r="LT13" s="242" t="s">
        <v>478</v>
      </c>
      <c r="LU13" s="177">
        <v>0.14420947181618152</v>
      </c>
      <c r="LV13" s="243">
        <v>0.44810281517747846</v>
      </c>
      <c r="LW13" s="184">
        <v>9.5526567165235846E-2</v>
      </c>
      <c r="LX13" s="219">
        <v>0.14067782633530165</v>
      </c>
      <c r="LZ13" s="116" t="s">
        <v>460</v>
      </c>
      <c r="MA13" s="176">
        <v>6.3753849821058639E-2</v>
      </c>
      <c r="MB13" s="177" t="s">
        <v>478</v>
      </c>
      <c r="MC13" s="178" t="s">
        <v>478</v>
      </c>
      <c r="MD13" s="178" t="s">
        <v>478</v>
      </c>
      <c r="ME13" s="219">
        <v>0.29985894344086983</v>
      </c>
      <c r="MF13" s="219">
        <v>0.16592393966902699</v>
      </c>
      <c r="MG13" s="184" t="s">
        <v>478</v>
      </c>
      <c r="MH13" s="242" t="s">
        <v>478</v>
      </c>
      <c r="MI13" s="177" t="s">
        <v>478</v>
      </c>
      <c r="MJ13" s="177" t="s">
        <v>478</v>
      </c>
      <c r="MK13" s="219" t="s">
        <v>478</v>
      </c>
      <c r="ML13" s="178">
        <v>0.16592393966902699</v>
      </c>
      <c r="MM13" s="177">
        <v>9.3137989653102424E-2</v>
      </c>
      <c r="MN13" s="177">
        <v>4.4966203408565011E-2</v>
      </c>
      <c r="MO13" s="177">
        <v>-9.3291656648232857E-2</v>
      </c>
      <c r="MP13" s="177">
        <v>0.41515092073483451</v>
      </c>
      <c r="MQ13" s="176">
        <v>0.29962018723314926</v>
      </c>
      <c r="MR13" s="219">
        <v>0.15129165940614722</v>
      </c>
      <c r="MS13" s="184">
        <v>9.2155422550241881E-2</v>
      </c>
      <c r="MT13" s="242" t="s">
        <v>478</v>
      </c>
      <c r="MU13" s="177">
        <v>0.14420947181618152</v>
      </c>
      <c r="MV13" s="243">
        <v>0.44810281517747846</v>
      </c>
      <c r="MW13" s="184">
        <v>9.5526567165235582E-2</v>
      </c>
      <c r="MX13" s="219">
        <v>0.14248065666818319</v>
      </c>
      <c r="MZ13" s="116" t="s">
        <v>460</v>
      </c>
      <c r="NA13" s="176">
        <v>7.2399252540053832E-2</v>
      </c>
      <c r="NB13" s="177">
        <v>9.7031078928179942E-2</v>
      </c>
      <c r="NC13" s="178" t="s">
        <v>478</v>
      </c>
      <c r="ND13" s="178" t="s">
        <v>478</v>
      </c>
      <c r="NE13" s="219" t="s">
        <v>478</v>
      </c>
      <c r="NF13" s="219">
        <v>7.2376839852330205E-2</v>
      </c>
      <c r="NG13" s="219">
        <v>3.727865796831329E-2</v>
      </c>
      <c r="NH13" s="177" t="s">
        <v>478</v>
      </c>
      <c r="NI13" s="177" t="s">
        <v>478</v>
      </c>
      <c r="NJ13" s="219">
        <v>3.727865796831329E-2</v>
      </c>
      <c r="NK13" s="178">
        <v>7.1313500791629431E-2</v>
      </c>
      <c r="NL13" s="177">
        <v>9.1345610382153677E-2</v>
      </c>
      <c r="NM13" s="177">
        <v>4.4311863771098151E-2</v>
      </c>
      <c r="NN13" s="177">
        <v>-9.3291656648232857E-2</v>
      </c>
      <c r="NO13" s="177">
        <v>0.41515092073483451</v>
      </c>
      <c r="NP13" s="176">
        <v>0.29962018723314926</v>
      </c>
      <c r="NQ13" s="219">
        <v>0.14634253706230813</v>
      </c>
      <c r="NR13" s="219">
        <v>9.1532897816781991E-2</v>
      </c>
      <c r="NS13" s="177">
        <v>0.14420947181618152</v>
      </c>
      <c r="NT13" s="243">
        <v>0.44810281517747846</v>
      </c>
      <c r="NU13" s="184">
        <v>9.4884821574377443E-2</v>
      </c>
      <c r="NV13" s="219">
        <v>0.13857294103250875</v>
      </c>
      <c r="NX13" s="116" t="s">
        <v>460</v>
      </c>
      <c r="NY13" s="176">
        <v>6.614613530492279E-2</v>
      </c>
      <c r="NZ13" s="177" t="s">
        <v>478</v>
      </c>
      <c r="OA13" s="178" t="s">
        <v>478</v>
      </c>
      <c r="OB13" s="178">
        <v>0.46395334834017088</v>
      </c>
      <c r="OC13" s="219">
        <v>0.29985894344086989</v>
      </c>
      <c r="OD13" s="219">
        <v>7.3060930216334502E-2</v>
      </c>
      <c r="OE13" s="219" t="s">
        <v>478</v>
      </c>
      <c r="OF13" s="177" t="s">
        <v>478</v>
      </c>
      <c r="OG13" s="177" t="s">
        <v>478</v>
      </c>
      <c r="OH13" s="219" t="s">
        <v>478</v>
      </c>
      <c r="OI13" s="178">
        <v>7.3060930216334502E-2</v>
      </c>
      <c r="OJ13" s="177">
        <v>8.9729178570900098E-2</v>
      </c>
      <c r="OK13" s="177">
        <v>4.4311863771098151E-2</v>
      </c>
      <c r="OL13" s="177">
        <v>-9.3291656648232857E-2</v>
      </c>
      <c r="OM13" s="177">
        <v>0.42928430733425071</v>
      </c>
      <c r="ON13" s="176">
        <v>0.29962004711587736</v>
      </c>
      <c r="OO13" s="219">
        <v>0.14281321727837573</v>
      </c>
      <c r="OP13" s="219">
        <v>9.153289781678213E-2</v>
      </c>
      <c r="OQ13" s="177">
        <v>0.14420947181618152</v>
      </c>
      <c r="OR13" s="243">
        <v>0.44810281517747846</v>
      </c>
      <c r="OS13" s="184">
        <v>9.4884821574377567E-2</v>
      </c>
      <c r="OT13" s="219">
        <v>0.13587458369018313</v>
      </c>
      <c r="OV13" s="116" t="s">
        <v>460</v>
      </c>
      <c r="OW13" s="176">
        <v>6.11476534707589E-2</v>
      </c>
      <c r="OX13" s="177" t="s">
        <v>478</v>
      </c>
      <c r="OY13" s="178" t="s">
        <v>478</v>
      </c>
      <c r="OZ13" s="178" t="s">
        <v>478</v>
      </c>
      <c r="PA13" s="219">
        <v>0.29985894344086983</v>
      </c>
      <c r="PB13" s="219">
        <v>0.16125417506729306</v>
      </c>
      <c r="PC13" s="219" t="s">
        <v>478</v>
      </c>
      <c r="PD13" s="177" t="s">
        <v>478</v>
      </c>
      <c r="PE13" s="177" t="s">
        <v>478</v>
      </c>
      <c r="PF13" s="219" t="s">
        <v>478</v>
      </c>
      <c r="PG13" s="178">
        <v>0.16125417506729306</v>
      </c>
      <c r="PH13" s="177">
        <v>8.8037716102713007E-2</v>
      </c>
      <c r="PI13" s="177">
        <v>4.4311863771098151E-2</v>
      </c>
      <c r="PJ13" s="177">
        <v>-9.3291656648232857E-2</v>
      </c>
      <c r="PK13" s="177">
        <v>0.42928430733425071</v>
      </c>
      <c r="PL13" s="176">
        <v>0.2996482159886687</v>
      </c>
      <c r="PM13" s="219">
        <v>0.14417964370235883</v>
      </c>
      <c r="PN13" s="219">
        <v>9.153289781678213E-2</v>
      </c>
      <c r="PO13" s="177">
        <v>0.14420947181618152</v>
      </c>
      <c r="PP13" s="243">
        <v>0.44810281517747846</v>
      </c>
      <c r="PQ13" s="184">
        <v>9.4884821574377567E-2</v>
      </c>
      <c r="PR13" s="219">
        <v>0.13750033388001712</v>
      </c>
      <c r="PT13" s="116" t="s">
        <v>460</v>
      </c>
      <c r="PU13" s="176">
        <v>-1.9099942783803767E-2</v>
      </c>
      <c r="PV13" s="177" t="s">
        <v>478</v>
      </c>
      <c r="PW13" s="178" t="s">
        <v>478</v>
      </c>
      <c r="PX13" s="178" t="s">
        <v>478</v>
      </c>
      <c r="PY13" s="219" t="s">
        <v>478</v>
      </c>
      <c r="PZ13" s="219">
        <v>-1.9099942783803767E-2</v>
      </c>
      <c r="QA13" s="219">
        <v>9.3829597008245211E-2</v>
      </c>
      <c r="QB13" s="177" t="s">
        <v>478</v>
      </c>
      <c r="QC13" s="177" t="s">
        <v>478</v>
      </c>
      <c r="QD13" s="219">
        <v>9.3829597008245211E-2</v>
      </c>
      <c r="QE13" s="178">
        <v>4.2025351998645155E-2</v>
      </c>
      <c r="QF13" s="177">
        <v>8.5534769080280001E-2</v>
      </c>
      <c r="QG13" s="177">
        <v>4.4311863771098151E-2</v>
      </c>
      <c r="QH13" s="177">
        <v>-9.3291656648232857E-2</v>
      </c>
      <c r="QI13" s="177">
        <v>0.42928430733425071</v>
      </c>
      <c r="QJ13" s="176">
        <v>0.2996482159886687</v>
      </c>
      <c r="QK13" s="219">
        <v>0.14138869920508285</v>
      </c>
      <c r="QL13" s="219">
        <v>9.1805713709981959E-2</v>
      </c>
      <c r="QM13" s="177">
        <v>0.14420947181618152</v>
      </c>
      <c r="QN13" s="243">
        <v>0.44810281517747846</v>
      </c>
      <c r="QO13" s="184">
        <v>9.4762666222034539E-2</v>
      </c>
      <c r="QP13" s="219">
        <v>0.13447062954856273</v>
      </c>
      <c r="QR13" s="116" t="s">
        <v>460</v>
      </c>
      <c r="QS13" s="177">
        <v>8.3183711318667905E-2</v>
      </c>
      <c r="QT13" s="177">
        <v>4.4311863771098151E-2</v>
      </c>
      <c r="QU13" s="177">
        <v>-9.3291656648232857E-2</v>
      </c>
      <c r="QV13" s="177">
        <v>0.43722845304889513</v>
      </c>
      <c r="QW13" s="176">
        <v>0.29920164811184119</v>
      </c>
      <c r="QX13" s="219">
        <v>0.140342978837873</v>
      </c>
      <c r="QY13" s="219">
        <v>9.2074283037427707E-2</v>
      </c>
      <c r="QZ13" s="177">
        <v>0.14420947181618152</v>
      </c>
      <c r="RA13" s="243">
        <v>0.44810281517747846</v>
      </c>
      <c r="RB13" s="184">
        <v>9.4618633617346626E-2</v>
      </c>
      <c r="RC13" s="219">
        <v>0.1332759348645855</v>
      </c>
      <c r="RE13" s="116" t="s">
        <v>460</v>
      </c>
      <c r="RF13" s="177">
        <v>8.3183711318667905E-2</v>
      </c>
      <c r="RG13" s="177">
        <v>4.4311863771098151E-2</v>
      </c>
      <c r="RH13" s="177">
        <v>-9.3291656648232857E-2</v>
      </c>
      <c r="RI13" s="177">
        <v>0.43722845304889513</v>
      </c>
      <c r="RJ13" s="176">
        <v>0.29920164811184119</v>
      </c>
      <c r="RK13" s="219">
        <v>0.140342978837873</v>
      </c>
      <c r="RL13" s="219">
        <v>9.2074283037427707E-2</v>
      </c>
      <c r="RM13" s="177">
        <v>0.14420947181618152</v>
      </c>
      <c r="RN13" s="243">
        <v>0.44810281517747846</v>
      </c>
      <c r="RO13" s="184">
        <v>9.4618633617346626E-2</v>
      </c>
      <c r="RP13" s="219">
        <v>0.1332759348645855</v>
      </c>
      <c r="RQ13" s="327"/>
      <c r="RR13" s="339" t="s">
        <v>1970</v>
      </c>
      <c r="RS13" s="318">
        <f>SUMIF('MIS Working 1'!$T:$T,'Shared DB - Nov 25'!RS$1,'MIS Working 1'!$AK:$AK)</f>
        <v>1642771.9500000002</v>
      </c>
      <c r="RT13" s="314">
        <f t="shared" si="5"/>
        <v>2.3030406032256548E-2</v>
      </c>
      <c r="RU13" s="318">
        <f>SUMIF('MIS Working 1'!$T:$T,'Shared DB - Nov 25'!RU$1,'MIS Working 1'!$AK:$AK)</f>
        <v>322278.42</v>
      </c>
      <c r="RV13" s="314">
        <f t="shared" si="5"/>
        <v>1.2609720413793891E-2</v>
      </c>
      <c r="RW13" s="318">
        <f>SUMIF('MIS Working 1'!$T:$T,'Shared DB - Nov 25'!RW$1,'MIS Working 1'!$AK:$AK)</f>
        <v>20188.919999999995</v>
      </c>
      <c r="RX13" s="314">
        <f t="shared" si="5"/>
        <v>5.7995516037465437E-2</v>
      </c>
      <c r="RY13" s="318">
        <f>SUMIF('MIS Working 1'!$T:$T,'Shared DB - Nov 25'!RY$1,'MIS Working 1'!$AK:$AK)</f>
        <v>4379.37</v>
      </c>
      <c r="RZ13" s="314">
        <f t="shared" si="6"/>
        <v>1.9980764606876655E-2</v>
      </c>
      <c r="SA13" s="318">
        <f>SUMIF('MIS Working 1'!$T:$T,'Shared DB - Nov 25'!SA$1,'MIS Working 1'!$AK:$AK)</f>
        <v>7527.0599999999995</v>
      </c>
      <c r="SB13" s="314">
        <f t="shared" si="7"/>
        <v>2.1964378946159425E-2</v>
      </c>
      <c r="SC13" s="318">
        <f>SUMIF('MIS Working 1'!$T:$T,'Shared DB - Nov 25'!SC$1,'MIS Working 1'!$AK:$AK)</f>
        <v>161980.5</v>
      </c>
      <c r="SD13" s="315">
        <f t="shared" si="5"/>
        <v>9.2632812336505919E-3</v>
      </c>
      <c r="SE13" s="318">
        <f>SUMIF('MIS Working 1'!$T:$T,'Shared DB - Nov 25'!SE$1,'MIS Working 1'!$AK:$AK)</f>
        <v>748.5</v>
      </c>
      <c r="SF13" s="314">
        <f t="shared" si="8"/>
        <v>2.4133514923120971E-3</v>
      </c>
      <c r="SG13" s="318">
        <f>SUMIF('MIS Working 1'!$T:$T,'Shared DB - Nov 25'!SG$1,'MIS Working 1'!$AK:$AK)</f>
        <v>756</v>
      </c>
      <c r="SH13" s="314">
        <f t="shared" si="5"/>
        <v>9.1799265605875154E-3</v>
      </c>
      <c r="SI13" s="318">
        <f>RS13+RU13+RW13+SC13+SG13+SE13+RY13+SA13</f>
        <v>2160630.7200000002</v>
      </c>
      <c r="SJ13" s="314">
        <f t="shared" si="5"/>
        <v>1.8678088966494734E-2</v>
      </c>
      <c r="SL13" s="17"/>
    </row>
    <row r="14" spans="2:506" ht="15" thickBot="1" x14ac:dyDescent="0.35">
      <c r="BP14" s="179" t="s">
        <v>517</v>
      </c>
      <c r="BQ14" s="180">
        <v>699.99397480755772</v>
      </c>
      <c r="BR14" s="181" t="s">
        <v>1657</v>
      </c>
      <c r="BS14" s="181">
        <v>415.9</v>
      </c>
      <c r="BT14" s="183">
        <v>656.31</v>
      </c>
      <c r="BU14" s="220"/>
      <c r="BV14" s="182">
        <v>162.94</v>
      </c>
      <c r="BW14" s="220">
        <v>162.94</v>
      </c>
      <c r="BX14" s="213"/>
      <c r="BY14" s="181">
        <v>416.23941323283503</v>
      </c>
      <c r="BZ14" s="181">
        <v>862.24</v>
      </c>
      <c r="CA14" s="183">
        <v>415.9</v>
      </c>
      <c r="CB14" s="180">
        <v>658.59865979381448</v>
      </c>
      <c r="CC14" s="220">
        <v>463.17915812401333</v>
      </c>
      <c r="CD14" s="185">
        <v>170.77246541266271</v>
      </c>
      <c r="CE14" s="225">
        <v>170.77246541266271</v>
      </c>
      <c r="CF14" s="220"/>
      <c r="CH14" s="179" t="s">
        <v>517</v>
      </c>
      <c r="CI14" s="180">
        <v>390.55433962264152</v>
      </c>
      <c r="CJ14" s="181" t="s">
        <v>1657</v>
      </c>
      <c r="CK14" s="181" t="s">
        <v>1657</v>
      </c>
      <c r="CL14" s="183" t="s">
        <v>1657</v>
      </c>
      <c r="CM14" s="220"/>
      <c r="CN14" s="182">
        <v>162.94</v>
      </c>
      <c r="CO14" s="220">
        <v>162.94</v>
      </c>
      <c r="CP14" s="213"/>
      <c r="CQ14" s="181">
        <v>414.58637484529328</v>
      </c>
      <c r="CR14" s="181">
        <v>862.24</v>
      </c>
      <c r="CS14" s="183">
        <v>415.9</v>
      </c>
      <c r="CT14" s="180">
        <v>658.59865979381448</v>
      </c>
      <c r="CU14" s="220">
        <v>459.38829087672104</v>
      </c>
      <c r="CV14" s="185">
        <v>170.00235881521542</v>
      </c>
      <c r="CW14" s="225">
        <v>170.00235881521542</v>
      </c>
      <c r="CX14" s="220"/>
      <c r="CZ14" s="179" t="s">
        <v>517</v>
      </c>
      <c r="DA14" s="180">
        <v>387.95370256014405</v>
      </c>
      <c r="DB14" s="181" t="s">
        <v>1657</v>
      </c>
      <c r="DC14" s="181" t="s">
        <v>1657</v>
      </c>
      <c r="DD14" s="183">
        <v>659.31</v>
      </c>
      <c r="DE14" s="220"/>
      <c r="DF14" s="182">
        <v>158.59481400437636</v>
      </c>
      <c r="DG14" s="220">
        <v>158.59481400437636</v>
      </c>
      <c r="DH14" s="213"/>
      <c r="DI14" s="181">
        <v>410.49483081666517</v>
      </c>
      <c r="DJ14" s="181">
        <v>862.24</v>
      </c>
      <c r="DK14" s="183">
        <v>415.9</v>
      </c>
      <c r="DL14" s="180">
        <v>658.80635036496346</v>
      </c>
      <c r="DM14" s="220">
        <v>463.17361240165997</v>
      </c>
      <c r="DN14" s="185">
        <v>168.85032346279209</v>
      </c>
      <c r="DO14" s="225">
        <v>168.85032346279209</v>
      </c>
      <c r="DP14" s="220"/>
      <c r="DR14" s="179" t="s">
        <v>517</v>
      </c>
      <c r="DS14" s="180">
        <v>400.52471965773481</v>
      </c>
      <c r="DT14" s="181">
        <v>498.58</v>
      </c>
      <c r="DU14" s="183">
        <v>415.90000000000003</v>
      </c>
      <c r="DV14" s="220" t="s">
        <v>1657</v>
      </c>
      <c r="DW14" s="220"/>
      <c r="DX14" s="182">
        <v>155.02270013568523</v>
      </c>
      <c r="DY14" s="220">
        <v>155.02270013568523</v>
      </c>
      <c r="DZ14" s="213"/>
      <c r="EA14" s="181">
        <v>409.69033086832479</v>
      </c>
      <c r="EB14" s="181">
        <v>492.14353982300878</v>
      </c>
      <c r="EC14" s="183">
        <v>415.9</v>
      </c>
      <c r="ED14" s="180">
        <v>658.80635036496346</v>
      </c>
      <c r="EE14" s="220">
        <v>459.11897366527546</v>
      </c>
      <c r="EF14" s="185">
        <v>166.91370730200958</v>
      </c>
      <c r="EG14" s="225">
        <v>166.91370730200958</v>
      </c>
      <c r="EH14" s="220"/>
      <c r="EJ14" s="179" t="s">
        <v>517</v>
      </c>
      <c r="EK14" s="180">
        <v>416.62361478776808</v>
      </c>
      <c r="EL14" s="181" t="s">
        <v>1657</v>
      </c>
      <c r="EM14" s="183" t="s">
        <v>1657</v>
      </c>
      <c r="EN14" s="220">
        <v>659.31</v>
      </c>
      <c r="EO14" s="220"/>
      <c r="EP14" s="182">
        <v>157.03529585798816</v>
      </c>
      <c r="EQ14" s="220">
        <v>157.03529585798816</v>
      </c>
      <c r="ER14" s="213"/>
      <c r="ES14" s="181">
        <v>410.20164290883366</v>
      </c>
      <c r="ET14" s="181">
        <v>492.14353982300878</v>
      </c>
      <c r="EU14" s="183">
        <v>415.9</v>
      </c>
      <c r="EV14" s="180">
        <v>658.92016949152537</v>
      </c>
      <c r="EW14" s="220">
        <v>467.01076330388315</v>
      </c>
      <c r="EX14" s="185">
        <v>165.78916621058391</v>
      </c>
      <c r="EY14" s="225">
        <v>165.78916621058391</v>
      </c>
      <c r="EZ14" s="220"/>
      <c r="FB14" s="179" t="s">
        <v>517</v>
      </c>
      <c r="FC14" s="180">
        <v>430.2425555941627</v>
      </c>
      <c r="FD14" s="181" t="s">
        <v>1657</v>
      </c>
      <c r="FE14" s="183" t="s">
        <v>1657</v>
      </c>
      <c r="FF14" s="220" t="s">
        <v>1657</v>
      </c>
      <c r="FG14" s="220"/>
      <c r="FH14" s="182" t="s">
        <v>1657</v>
      </c>
      <c r="FI14" s="220" t="s">
        <v>1657</v>
      </c>
      <c r="FJ14" s="213"/>
      <c r="FK14" s="181">
        <v>411.97157759877234</v>
      </c>
      <c r="FL14" s="181">
        <v>492.14353982300878</v>
      </c>
      <c r="FM14" s="183">
        <v>415.9</v>
      </c>
      <c r="FN14" s="180">
        <v>658.92016949152537</v>
      </c>
      <c r="FO14" s="220">
        <v>464.48005823408414</v>
      </c>
      <c r="FP14" s="185">
        <v>165.78916621058389</v>
      </c>
      <c r="FQ14" s="225">
        <v>165.78916621058389</v>
      </c>
      <c r="FR14" s="220"/>
      <c r="FT14" s="179" t="s">
        <v>517</v>
      </c>
      <c r="FU14" s="180">
        <v>402.04560520798856</v>
      </c>
      <c r="FV14" s="181" t="s">
        <v>1657</v>
      </c>
      <c r="FW14" s="183" t="s">
        <v>1657</v>
      </c>
      <c r="FX14" s="183">
        <v>326.5</v>
      </c>
      <c r="FY14" s="220" t="s">
        <v>1657</v>
      </c>
      <c r="FZ14" s="220"/>
      <c r="GA14" s="185">
        <v>162.94</v>
      </c>
      <c r="GB14" s="220">
        <v>162.94</v>
      </c>
      <c r="GC14" s="213"/>
      <c r="GD14" s="181">
        <v>407.85348313668413</v>
      </c>
      <c r="GE14" s="181">
        <v>492.14353982300878</v>
      </c>
      <c r="GF14" s="181">
        <v>415.9</v>
      </c>
      <c r="GG14" s="181">
        <v>326.5</v>
      </c>
      <c r="GH14" s="180">
        <v>659.00603524229075</v>
      </c>
      <c r="GI14" s="220">
        <v>460.9606947468319</v>
      </c>
      <c r="GJ14" s="220">
        <v>164.31570052283283</v>
      </c>
      <c r="GK14" s="185">
        <v>164.31570052283283</v>
      </c>
      <c r="GL14" s="220"/>
      <c r="GN14" s="179" t="s">
        <v>517</v>
      </c>
      <c r="GO14" s="180">
        <v>385.33861212563909</v>
      </c>
      <c r="GP14" s="181" t="s">
        <v>1657</v>
      </c>
      <c r="GQ14" s="183" t="s">
        <v>1657</v>
      </c>
      <c r="GR14" s="183" t="s">
        <v>1657</v>
      </c>
      <c r="GS14" s="220">
        <v>659.31</v>
      </c>
      <c r="GT14" s="220"/>
      <c r="GU14" s="185">
        <v>151.08149171270719</v>
      </c>
      <c r="GV14" s="220">
        <v>151.08149171270719</v>
      </c>
      <c r="GW14" s="213"/>
      <c r="GX14" s="181">
        <v>407.85348313668413</v>
      </c>
      <c r="GY14" s="181">
        <v>492.14353982300878</v>
      </c>
      <c r="GZ14" s="181">
        <v>415.9</v>
      </c>
      <c r="HA14" s="181">
        <v>326.5</v>
      </c>
      <c r="HB14" s="180">
        <v>659.00603524229075</v>
      </c>
      <c r="HC14" s="220">
        <v>460.9606947468319</v>
      </c>
      <c r="HD14" s="220">
        <v>164.31570052283283</v>
      </c>
      <c r="HE14" s="185">
        <v>164.31570052283283</v>
      </c>
      <c r="HF14" s="220"/>
      <c r="HH14" s="179" t="s">
        <v>517</v>
      </c>
      <c r="HI14" s="180">
        <v>417.45513344517303</v>
      </c>
      <c r="HJ14" s="181" t="s">
        <v>1657</v>
      </c>
      <c r="HK14" s="183" t="s">
        <v>1657</v>
      </c>
      <c r="HL14" s="183" t="s">
        <v>1657</v>
      </c>
      <c r="HM14" s="220" t="s">
        <v>1657</v>
      </c>
      <c r="HN14" s="220"/>
      <c r="HO14" s="185">
        <v>150.67448275862068</v>
      </c>
      <c r="HP14" s="181">
        <v>621</v>
      </c>
      <c r="HQ14" s="181">
        <v>163.4</v>
      </c>
      <c r="HR14" s="220">
        <v>207.87789473684211</v>
      </c>
      <c r="HS14" s="213"/>
      <c r="HT14" s="181">
        <v>408.55009095133767</v>
      </c>
      <c r="HU14" s="181">
        <v>492.14353982300878</v>
      </c>
      <c r="HV14" s="181">
        <v>415.9</v>
      </c>
      <c r="HW14" s="181">
        <v>326.5</v>
      </c>
      <c r="HX14" s="180">
        <v>659.00603524229075</v>
      </c>
      <c r="HY14" s="220">
        <v>458.459129740869</v>
      </c>
      <c r="HZ14" s="185">
        <v>163.55113321829162</v>
      </c>
      <c r="IA14" s="181">
        <v>621.54228456913825</v>
      </c>
      <c r="IB14" s="244">
        <v>163.4</v>
      </c>
      <c r="IC14" s="185">
        <v>167.42644767865929</v>
      </c>
      <c r="ID14" s="220"/>
      <c r="IF14" s="179" t="s">
        <v>517</v>
      </c>
      <c r="IG14" s="180">
        <v>393.80896230598677</v>
      </c>
      <c r="IH14" s="181">
        <v>312.11163001293664</v>
      </c>
      <c r="II14" s="183" t="s">
        <v>1657</v>
      </c>
      <c r="IJ14" s="183">
        <v>1095.68</v>
      </c>
      <c r="IK14" s="220" t="s">
        <v>1657</v>
      </c>
      <c r="IL14" s="220"/>
      <c r="IM14" s="220">
        <v>148.40241379310345</v>
      </c>
      <c r="IN14" s="182" t="s">
        <v>1657</v>
      </c>
      <c r="IO14" s="181" t="s">
        <v>1657</v>
      </c>
      <c r="IP14" s="220">
        <v>148.40241379310345</v>
      </c>
      <c r="IQ14" s="213"/>
      <c r="IR14" s="181">
        <v>407.52352459775796</v>
      </c>
      <c r="IS14" s="181">
        <v>352.83956956956956</v>
      </c>
      <c r="IT14" s="181">
        <v>415.9</v>
      </c>
      <c r="IU14" s="181">
        <v>482.7396875</v>
      </c>
      <c r="IV14" s="180">
        <v>659.00603524229075</v>
      </c>
      <c r="IW14" s="220">
        <v>454.20548522096601</v>
      </c>
      <c r="IX14" s="220">
        <v>162.55929640380589</v>
      </c>
      <c r="IY14" s="182">
        <v>621.54228456913825</v>
      </c>
      <c r="IZ14" s="244">
        <v>163.4</v>
      </c>
      <c r="JA14" s="185">
        <v>166.20070731436377</v>
      </c>
      <c r="JB14" s="220"/>
      <c r="JD14" s="179" t="s">
        <v>517</v>
      </c>
      <c r="JE14" s="180">
        <v>406.62669703562688</v>
      </c>
      <c r="JF14" s="181" t="s">
        <v>1657</v>
      </c>
      <c r="JG14" s="183" t="s">
        <v>1657</v>
      </c>
      <c r="JH14" s="183" t="s">
        <v>1657</v>
      </c>
      <c r="JI14" s="220">
        <v>659.31</v>
      </c>
      <c r="JJ14" s="220"/>
      <c r="JK14" s="185">
        <v>150.11390572390573</v>
      </c>
      <c r="JL14" s="181" t="s">
        <v>1657</v>
      </c>
      <c r="JM14" s="181" t="s">
        <v>1657</v>
      </c>
      <c r="JN14" s="220">
        <v>150.11390572390573</v>
      </c>
      <c r="JO14" s="213"/>
      <c r="JP14" s="181">
        <v>407.46041015531563</v>
      </c>
      <c r="JQ14" s="181">
        <v>352.83956956956956</v>
      </c>
      <c r="JR14" s="181">
        <v>415.9</v>
      </c>
      <c r="JS14" s="181">
        <v>482.7396875</v>
      </c>
      <c r="JT14" s="180">
        <v>659.05157303370788</v>
      </c>
      <c r="JU14" s="220">
        <v>457.74381571526345</v>
      </c>
      <c r="JV14" s="185">
        <v>161.82981524494849</v>
      </c>
      <c r="JW14" s="181">
        <v>621.54228456913825</v>
      </c>
      <c r="JX14" s="244">
        <v>163.4</v>
      </c>
      <c r="JY14" s="185">
        <v>165.27192870173764</v>
      </c>
      <c r="JZ14" s="220"/>
      <c r="KB14" s="179" t="s">
        <v>517</v>
      </c>
      <c r="KC14" s="180">
        <v>361.33344381313128</v>
      </c>
      <c r="KD14" s="181" t="s">
        <v>1657</v>
      </c>
      <c r="KE14" s="183" t="s">
        <v>1657</v>
      </c>
      <c r="KF14" s="183">
        <v>555.89660377358496</v>
      </c>
      <c r="KG14" s="220" t="s">
        <v>1657</v>
      </c>
      <c r="KH14" s="220"/>
      <c r="KI14" s="220">
        <v>161.6210167464115</v>
      </c>
      <c r="KJ14" s="182" t="s">
        <v>1657</v>
      </c>
      <c r="KK14" s="181" t="s">
        <v>1657</v>
      </c>
      <c r="KL14" s="220">
        <v>161.6210167464115</v>
      </c>
      <c r="KM14" s="213"/>
      <c r="KN14" s="181">
        <v>404.82346575478442</v>
      </c>
      <c r="KO14" s="181">
        <v>352.83956956956956</v>
      </c>
      <c r="KP14" s="181">
        <v>415.9</v>
      </c>
      <c r="KQ14" s="181">
        <v>440.83671497584538</v>
      </c>
      <c r="KR14" s="180">
        <v>659.05157303370788</v>
      </c>
      <c r="KS14" s="220">
        <v>453.26800606569032</v>
      </c>
      <c r="KT14" s="220">
        <v>161.79098629493691</v>
      </c>
      <c r="KU14" s="182">
        <v>621.54228456913825</v>
      </c>
      <c r="KV14" s="244">
        <v>163.4</v>
      </c>
      <c r="KW14" s="185">
        <v>164.60130392324407</v>
      </c>
      <c r="KX14" s="220"/>
      <c r="KZ14" s="179" t="s">
        <v>517</v>
      </c>
      <c r="LA14" s="180">
        <v>372.83192121833355</v>
      </c>
      <c r="LB14" s="181" t="s">
        <v>1657</v>
      </c>
      <c r="LC14" s="183" t="s">
        <v>1657</v>
      </c>
      <c r="LD14" s="183" t="s">
        <v>1657</v>
      </c>
      <c r="LE14" s="220" t="s">
        <v>1657</v>
      </c>
      <c r="LF14" s="220"/>
      <c r="LG14" s="185" t="s">
        <v>1657</v>
      </c>
      <c r="LH14" s="180" t="s">
        <v>1657</v>
      </c>
      <c r="LI14" s="181" t="s">
        <v>1657</v>
      </c>
      <c r="LJ14" s="181" t="s">
        <v>1657</v>
      </c>
      <c r="LK14" s="220" t="s">
        <v>1657</v>
      </c>
      <c r="LL14" s="213"/>
      <c r="LM14" s="181">
        <v>402.9667043735447</v>
      </c>
      <c r="LN14" s="181">
        <v>352.83956956956956</v>
      </c>
      <c r="LO14" s="181">
        <v>415.9</v>
      </c>
      <c r="LP14" s="181">
        <v>440.83671497584538</v>
      </c>
      <c r="LQ14" s="180">
        <v>659.05157303370788</v>
      </c>
      <c r="LR14" s="220">
        <v>449.51345709559683</v>
      </c>
      <c r="LS14" s="185">
        <v>161.79098629493694</v>
      </c>
      <c r="LT14" s="225" t="s">
        <v>1657</v>
      </c>
      <c r="LU14" s="181">
        <v>621.54228456913825</v>
      </c>
      <c r="LV14" s="244">
        <v>163.4</v>
      </c>
      <c r="LW14" s="185">
        <v>164.6013039232441</v>
      </c>
      <c r="LX14" s="220"/>
      <c r="LZ14" s="179" t="s">
        <v>517</v>
      </c>
      <c r="MA14" s="180">
        <v>279.63794629135327</v>
      </c>
      <c r="MB14" s="181" t="s">
        <v>1657</v>
      </c>
      <c r="MC14" s="183" t="s">
        <v>1657</v>
      </c>
      <c r="MD14" s="183" t="s">
        <v>1657</v>
      </c>
      <c r="ME14" s="220">
        <v>659.31</v>
      </c>
      <c r="MF14" s="220"/>
      <c r="MG14" s="185" t="s">
        <v>1657</v>
      </c>
      <c r="MH14" s="180" t="s">
        <v>1657</v>
      </c>
      <c r="MI14" s="181" t="s">
        <v>1657</v>
      </c>
      <c r="MJ14" s="181" t="s">
        <v>1657</v>
      </c>
      <c r="MK14" s="220" t="s">
        <v>1657</v>
      </c>
      <c r="ML14" s="213"/>
      <c r="MM14" s="181">
        <v>391.2403945395119</v>
      </c>
      <c r="MN14" s="181">
        <v>352.83956956956956</v>
      </c>
      <c r="MO14" s="181">
        <v>415.9</v>
      </c>
      <c r="MP14" s="181">
        <v>440.83671497584538</v>
      </c>
      <c r="MQ14" s="180">
        <v>659.08524429967429</v>
      </c>
      <c r="MR14" s="220">
        <v>441.761422125227</v>
      </c>
      <c r="MS14" s="185">
        <v>161.79098629493691</v>
      </c>
      <c r="MT14" s="225" t="s">
        <v>1657</v>
      </c>
      <c r="MU14" s="181">
        <v>621.54228456913825</v>
      </c>
      <c r="MV14" s="244">
        <v>163.4</v>
      </c>
      <c r="MW14" s="185">
        <v>164.60130392324407</v>
      </c>
      <c r="MX14" s="220"/>
      <c r="MZ14" s="179" t="s">
        <v>517</v>
      </c>
      <c r="NA14" s="180">
        <v>274.07848738538638</v>
      </c>
      <c r="NB14" s="181">
        <v>1458.33</v>
      </c>
      <c r="NC14" s="183" t="s">
        <v>1657</v>
      </c>
      <c r="ND14" s="183" t="s">
        <v>1657</v>
      </c>
      <c r="NE14" s="220" t="s">
        <v>1657</v>
      </c>
      <c r="NF14" s="220"/>
      <c r="NG14" s="220">
        <v>150.22</v>
      </c>
      <c r="NH14" s="181" t="s">
        <v>1657</v>
      </c>
      <c r="NI14" s="181" t="s">
        <v>1657</v>
      </c>
      <c r="NJ14" s="220">
        <v>150.22</v>
      </c>
      <c r="NK14" s="213"/>
      <c r="NL14" s="181">
        <v>377.30090294340863</v>
      </c>
      <c r="NM14" s="181">
        <v>349.50977911646578</v>
      </c>
      <c r="NN14" s="181">
        <v>415.9</v>
      </c>
      <c r="NO14" s="181">
        <v>440.83671497584538</v>
      </c>
      <c r="NP14" s="180">
        <v>659.08524429967429</v>
      </c>
      <c r="NQ14" s="220">
        <v>425.40708851909613</v>
      </c>
      <c r="NR14" s="220">
        <v>161.64973717940896</v>
      </c>
      <c r="NS14" s="181">
        <v>621.54228456913825</v>
      </c>
      <c r="NT14" s="244">
        <v>163.4</v>
      </c>
      <c r="NU14" s="185">
        <v>164.42787221726445</v>
      </c>
      <c r="NV14" s="220"/>
      <c r="NX14" s="179" t="s">
        <v>517</v>
      </c>
      <c r="NY14" s="180">
        <v>358.20464101360864</v>
      </c>
      <c r="NZ14" s="181" t="s">
        <v>1657</v>
      </c>
      <c r="OA14" s="183" t="s">
        <v>1657</v>
      </c>
      <c r="OB14" s="183">
        <v>614.88958677685946</v>
      </c>
      <c r="OC14" s="220">
        <v>659.31</v>
      </c>
      <c r="OD14" s="220"/>
      <c r="OE14" s="220" t="s">
        <v>1657</v>
      </c>
      <c r="OF14" s="181" t="s">
        <v>1657</v>
      </c>
      <c r="OG14" s="181" t="s">
        <v>1657</v>
      </c>
      <c r="OH14" s="220" t="s">
        <v>1657</v>
      </c>
      <c r="OI14" s="213"/>
      <c r="OJ14" s="181">
        <v>376.01505892984682</v>
      </c>
      <c r="OK14" s="181">
        <v>349.50977911646578</v>
      </c>
      <c r="OL14" s="181">
        <v>415.9</v>
      </c>
      <c r="OM14" s="181">
        <v>480.20194392523359</v>
      </c>
      <c r="ON14" s="180">
        <v>659.08511244377814</v>
      </c>
      <c r="OO14" s="220">
        <v>421.7557711057238</v>
      </c>
      <c r="OP14" s="220">
        <v>161.64973717940896</v>
      </c>
      <c r="OQ14" s="181">
        <v>621.54228456913825</v>
      </c>
      <c r="OR14" s="244">
        <v>163.4</v>
      </c>
      <c r="OS14" s="185">
        <v>164.42787221726445</v>
      </c>
      <c r="OT14" s="220"/>
      <c r="OV14" s="179" t="s">
        <v>517</v>
      </c>
      <c r="OW14" s="180">
        <v>354.76180853080569</v>
      </c>
      <c r="OX14" s="181" t="s">
        <v>1657</v>
      </c>
      <c r="OY14" s="183" t="s">
        <v>1657</v>
      </c>
      <c r="OZ14" s="183" t="s">
        <v>1657</v>
      </c>
      <c r="PA14" s="220">
        <v>659.31</v>
      </c>
      <c r="PB14" s="220"/>
      <c r="PC14" s="220" t="s">
        <v>1657</v>
      </c>
      <c r="PD14" s="181" t="s">
        <v>1657</v>
      </c>
      <c r="PE14" s="181" t="s">
        <v>1657</v>
      </c>
      <c r="PF14" s="220" t="s">
        <v>1657</v>
      </c>
      <c r="PG14" s="213"/>
      <c r="PH14" s="181">
        <v>374.686644212597</v>
      </c>
      <c r="PI14" s="181">
        <v>349.50977911646578</v>
      </c>
      <c r="PJ14" s="181">
        <v>415.9</v>
      </c>
      <c r="PK14" s="181">
        <v>480.20194392523359</v>
      </c>
      <c r="PL14" s="180">
        <v>659.11162152837676</v>
      </c>
      <c r="PM14" s="220">
        <v>423.05513079380847</v>
      </c>
      <c r="PN14" s="220">
        <v>161.64973717940896</v>
      </c>
      <c r="PO14" s="181">
        <v>621.54228456913825</v>
      </c>
      <c r="PP14" s="244">
        <v>163.4</v>
      </c>
      <c r="PQ14" s="185">
        <v>164.42787221726445</v>
      </c>
      <c r="PR14" s="220"/>
      <c r="PT14" s="179" t="s">
        <v>517</v>
      </c>
      <c r="PU14" s="180">
        <v>181.1547575140701</v>
      </c>
      <c r="PV14" s="181" t="s">
        <v>1657</v>
      </c>
      <c r="PW14" s="183" t="s">
        <v>1657</v>
      </c>
      <c r="PX14" s="183" t="s">
        <v>1657</v>
      </c>
      <c r="PY14" s="220" t="s">
        <v>1657</v>
      </c>
      <c r="PZ14" s="220"/>
      <c r="QA14" s="220">
        <v>162.62965743440233</v>
      </c>
      <c r="QB14" s="181" t="s">
        <v>1657</v>
      </c>
      <c r="QC14" s="181" t="s">
        <v>1657</v>
      </c>
      <c r="QD14" s="220">
        <v>162.62965743440233</v>
      </c>
      <c r="QE14" s="213"/>
      <c r="QF14" s="181">
        <v>365.56287326408506</v>
      </c>
      <c r="QG14" s="181">
        <v>349.50977911646578</v>
      </c>
      <c r="QH14" s="181">
        <v>415.9</v>
      </c>
      <c r="QI14" s="181">
        <v>480.20194392523359</v>
      </c>
      <c r="QJ14" s="180">
        <v>659.11162152837676</v>
      </c>
      <c r="QK14" s="220">
        <v>413.6144820543978</v>
      </c>
      <c r="QL14" s="220">
        <v>161.76551956510045</v>
      </c>
      <c r="QM14" s="181">
        <v>621.54228456913825</v>
      </c>
      <c r="QN14" s="244">
        <v>163.4</v>
      </c>
      <c r="QO14" s="185">
        <v>164.21767385886821</v>
      </c>
      <c r="QP14" s="220"/>
      <c r="QR14" s="179" t="s">
        <v>517</v>
      </c>
      <c r="QS14" s="181">
        <v>364.53220501131983</v>
      </c>
      <c r="QT14" s="181">
        <v>349.50977911646578</v>
      </c>
      <c r="QU14" s="181">
        <v>415.9</v>
      </c>
      <c r="QV14" s="181">
        <v>550.0705617977527</v>
      </c>
      <c r="QW14" s="180">
        <v>659.01540456913006</v>
      </c>
      <c r="QX14" s="220">
        <v>413.34075230870036</v>
      </c>
      <c r="QY14" s="220">
        <v>161.92966208895515</v>
      </c>
      <c r="QZ14" s="181">
        <v>621.54228456913825</v>
      </c>
      <c r="RA14" s="244">
        <v>163.4</v>
      </c>
      <c r="RB14" s="185">
        <v>164.04075254610515</v>
      </c>
      <c r="RC14" s="220"/>
      <c r="RE14" s="179" t="s">
        <v>517</v>
      </c>
      <c r="RF14" s="181">
        <v>364.53220501131983</v>
      </c>
      <c r="RG14" s="181">
        <v>349.50977911646578</v>
      </c>
      <c r="RH14" s="181">
        <v>415.9</v>
      </c>
      <c r="RI14" s="181">
        <v>550.0705617977527</v>
      </c>
      <c r="RJ14" s="180">
        <v>659.01540456913006</v>
      </c>
      <c r="RK14" s="220">
        <v>413.34075230870036</v>
      </c>
      <c r="RL14" s="220">
        <v>161.92966208895515</v>
      </c>
      <c r="RM14" s="181">
        <v>621.54228456913825</v>
      </c>
      <c r="RN14" s="244">
        <v>163.4</v>
      </c>
      <c r="RO14" s="185">
        <v>164.04075254610515</v>
      </c>
      <c r="RP14" s="220"/>
      <c r="RQ14" s="328"/>
      <c r="RR14" s="339" t="s">
        <v>1971</v>
      </c>
      <c r="RS14" s="319" t="e">
        <f>SUMIF('MIS Working 1'!$T:$T,'Shared DB - Nov 25'!RS$1,'MIS Working 1'!#REF!)</f>
        <v>#REF!</v>
      </c>
      <c r="RT14" s="320"/>
      <c r="RU14" s="319" t="e">
        <f>SUMIF('MIS Working 1'!$T:$T,'Shared DB - Nov 25'!RU$1,'MIS Working 1'!#REF!)</f>
        <v>#REF!</v>
      </c>
      <c r="RV14" s="320"/>
      <c r="RW14" s="319" t="e">
        <f>SUMIF('MIS Working 1'!$T:$T,'Shared DB - Nov 25'!RW$1,'MIS Working 1'!#REF!)</f>
        <v>#REF!</v>
      </c>
      <c r="RX14" s="320"/>
      <c r="RY14" s="319" t="e">
        <f>SUMIF('MIS Working 1'!$T:$T,'Shared DB - Nov 25'!RY$1,'MIS Working 1'!#REF!)</f>
        <v>#REF!</v>
      </c>
      <c r="RZ14" s="320"/>
      <c r="SA14" s="319" t="e">
        <f>SUMIF('MIS Working 1'!$T:$T,'Shared DB - Nov 25'!SA$1,'MIS Working 1'!#REF!)</f>
        <v>#REF!</v>
      </c>
      <c r="SB14" s="320"/>
      <c r="SC14" s="319" t="e">
        <f>SUMIF('MIS Working 1'!$T:$T,'Shared DB - Nov 25'!SC$1,'MIS Working 1'!#REF!)</f>
        <v>#REF!</v>
      </c>
      <c r="SD14" s="321"/>
      <c r="SE14" s="319" t="e">
        <f>SUMIF('MIS Working 1'!$T:$T,'Shared DB - Nov 25'!SE$1,'MIS Working 1'!#REF!)</f>
        <v>#REF!</v>
      </c>
      <c r="SF14" s="320"/>
      <c r="SG14" s="319" t="e">
        <f>SUMIF('MIS Working 1'!$T:$T,'Shared DB - Nov 25'!SG$1,'MIS Working 1'!#REF!)</f>
        <v>#REF!</v>
      </c>
      <c r="SH14" s="320"/>
      <c r="SI14" s="319" t="e">
        <f>RS14+RU14+RW14+SC14+SG14+SE14+RY14+SA14</f>
        <v>#REF!</v>
      </c>
      <c r="SJ14" s="320"/>
      <c r="SL14" s="17"/>
    </row>
    <row r="15" spans="2:506" ht="15" thickBot="1" x14ac:dyDescent="0.35">
      <c r="BP15" s="377" t="s">
        <v>482</v>
      </c>
      <c r="BQ15" s="369"/>
      <c r="BR15" s="369"/>
      <c r="BS15" s="369"/>
      <c r="BT15" s="369"/>
      <c r="BU15" s="369"/>
      <c r="BV15" s="369"/>
      <c r="BW15" s="369"/>
      <c r="BX15" s="369"/>
      <c r="BY15" s="369"/>
      <c r="BZ15" s="369"/>
      <c r="CA15" s="369"/>
      <c r="CB15" s="369"/>
      <c r="CC15" s="369"/>
      <c r="CD15" s="369"/>
      <c r="CE15" s="369"/>
      <c r="CF15" s="370"/>
      <c r="CH15" s="377" t="s">
        <v>482</v>
      </c>
      <c r="CI15" s="369"/>
      <c r="CJ15" s="369"/>
      <c r="CK15" s="369"/>
      <c r="CL15" s="369"/>
      <c r="CM15" s="369"/>
      <c r="CN15" s="369"/>
      <c r="CO15" s="369"/>
      <c r="CP15" s="369"/>
      <c r="CQ15" s="369"/>
      <c r="CR15" s="369"/>
      <c r="CS15" s="369"/>
      <c r="CT15" s="369"/>
      <c r="CU15" s="369"/>
      <c r="CV15" s="369"/>
      <c r="CW15" s="369"/>
      <c r="CX15" s="370"/>
      <c r="CZ15" s="377" t="s">
        <v>482</v>
      </c>
      <c r="DA15" s="369"/>
      <c r="DB15" s="369"/>
      <c r="DC15" s="369"/>
      <c r="DD15" s="369"/>
      <c r="DE15" s="369"/>
      <c r="DF15" s="369"/>
      <c r="DG15" s="369"/>
      <c r="DH15" s="369"/>
      <c r="DI15" s="369"/>
      <c r="DJ15" s="369"/>
      <c r="DK15" s="369"/>
      <c r="DL15" s="369"/>
      <c r="DM15" s="369"/>
      <c r="DN15" s="369"/>
      <c r="DO15" s="369"/>
      <c r="DP15" s="370"/>
      <c r="DR15" s="377" t="s">
        <v>482</v>
      </c>
      <c r="DS15" s="369"/>
      <c r="DT15" s="369"/>
      <c r="DU15" s="369"/>
      <c r="DV15" s="369"/>
      <c r="DW15" s="369"/>
      <c r="DX15" s="369"/>
      <c r="DY15" s="369"/>
      <c r="DZ15" s="369"/>
      <c r="EA15" s="369"/>
      <c r="EB15" s="369"/>
      <c r="EC15" s="369"/>
      <c r="ED15" s="369"/>
      <c r="EE15" s="369"/>
      <c r="EF15" s="369"/>
      <c r="EG15" s="369"/>
      <c r="EH15" s="370"/>
      <c r="EJ15" s="377" t="s">
        <v>482</v>
      </c>
      <c r="EK15" s="369"/>
      <c r="EL15" s="369"/>
      <c r="EM15" s="369"/>
      <c r="EN15" s="369"/>
      <c r="EO15" s="369"/>
      <c r="EP15" s="369"/>
      <c r="EQ15" s="369"/>
      <c r="ER15" s="369"/>
      <c r="ES15" s="369"/>
      <c r="ET15" s="369"/>
      <c r="EU15" s="369"/>
      <c r="EV15" s="369"/>
      <c r="EW15" s="369"/>
      <c r="EX15" s="369"/>
      <c r="EY15" s="369"/>
      <c r="EZ15" s="370"/>
      <c r="FB15" s="377" t="s">
        <v>482</v>
      </c>
      <c r="FC15" s="369"/>
      <c r="FD15" s="369"/>
      <c r="FE15" s="369"/>
      <c r="FF15" s="369"/>
      <c r="FG15" s="369"/>
      <c r="FH15" s="369"/>
      <c r="FI15" s="369"/>
      <c r="FJ15" s="369"/>
      <c r="FK15" s="369"/>
      <c r="FL15" s="369"/>
      <c r="FM15" s="369"/>
      <c r="FN15" s="369"/>
      <c r="FO15" s="369"/>
      <c r="FP15" s="369"/>
      <c r="FQ15" s="369"/>
      <c r="FR15" s="370"/>
      <c r="FT15" s="377" t="s">
        <v>482</v>
      </c>
      <c r="FU15" s="369"/>
      <c r="FV15" s="369"/>
      <c r="FW15" s="369"/>
      <c r="FX15" s="369"/>
      <c r="FY15" s="369"/>
      <c r="FZ15" s="369"/>
      <c r="GA15" s="369"/>
      <c r="GB15" s="369"/>
      <c r="GC15" s="369"/>
      <c r="GD15" s="369"/>
      <c r="GE15" s="369"/>
      <c r="GF15" s="369"/>
      <c r="GG15" s="369"/>
      <c r="GH15" s="369"/>
      <c r="GI15" s="369"/>
      <c r="GJ15" s="369"/>
      <c r="GK15" s="369"/>
      <c r="GL15" s="370"/>
      <c r="GN15" s="377" t="s">
        <v>482</v>
      </c>
      <c r="GO15" s="369"/>
      <c r="GP15" s="369"/>
      <c r="GQ15" s="369"/>
      <c r="GR15" s="369"/>
      <c r="GS15" s="369"/>
      <c r="GT15" s="369"/>
      <c r="GU15" s="369"/>
      <c r="GV15" s="369"/>
      <c r="GW15" s="369"/>
      <c r="GX15" s="369"/>
      <c r="GY15" s="369"/>
      <c r="GZ15" s="369"/>
      <c r="HA15" s="369"/>
      <c r="HB15" s="369"/>
      <c r="HC15" s="369"/>
      <c r="HD15" s="369"/>
      <c r="HE15" s="369"/>
      <c r="HF15" s="370"/>
      <c r="HH15" s="377" t="s">
        <v>482</v>
      </c>
      <c r="HI15" s="369"/>
      <c r="HJ15" s="369"/>
      <c r="HK15" s="369"/>
      <c r="HL15" s="369"/>
      <c r="HM15" s="369"/>
      <c r="HN15" s="369"/>
      <c r="HO15" s="369"/>
      <c r="HP15" s="369"/>
      <c r="HQ15" s="369"/>
      <c r="HR15" s="369"/>
      <c r="HS15" s="369"/>
      <c r="HT15" s="369"/>
      <c r="HU15" s="369"/>
      <c r="HV15" s="369"/>
      <c r="HW15" s="369"/>
      <c r="HX15" s="369"/>
      <c r="HY15" s="369"/>
      <c r="HZ15" s="369"/>
      <c r="IA15" s="369"/>
      <c r="IB15" s="369"/>
      <c r="IC15" s="369"/>
      <c r="ID15" s="370"/>
      <c r="IF15" s="377" t="s">
        <v>482</v>
      </c>
      <c r="IG15" s="369"/>
      <c r="IH15" s="369"/>
      <c r="II15" s="369"/>
      <c r="IJ15" s="369"/>
      <c r="IK15" s="369"/>
      <c r="IL15" s="369"/>
      <c r="IM15" s="369"/>
      <c r="IN15" s="369"/>
      <c r="IO15" s="369"/>
      <c r="IP15" s="369"/>
      <c r="IQ15" s="369"/>
      <c r="IR15" s="369"/>
      <c r="IS15" s="369"/>
      <c r="IT15" s="369"/>
      <c r="IU15" s="369"/>
      <c r="IV15" s="369"/>
      <c r="IW15" s="369"/>
      <c r="IX15" s="369"/>
      <c r="IY15" s="369"/>
      <c r="IZ15" s="369"/>
      <c r="JA15" s="369"/>
      <c r="JB15" s="370"/>
      <c r="JD15" s="377" t="s">
        <v>482</v>
      </c>
      <c r="JE15" s="369"/>
      <c r="JF15" s="369"/>
      <c r="JG15" s="369"/>
      <c r="JH15" s="369"/>
      <c r="JI15" s="369"/>
      <c r="JJ15" s="369"/>
      <c r="JK15" s="369"/>
      <c r="JL15" s="369"/>
      <c r="JM15" s="369"/>
      <c r="JN15" s="369"/>
      <c r="JO15" s="369"/>
      <c r="JP15" s="369"/>
      <c r="JQ15" s="369"/>
      <c r="JR15" s="369"/>
      <c r="JS15" s="369"/>
      <c r="JT15" s="369"/>
      <c r="JU15" s="369"/>
      <c r="JV15" s="369"/>
      <c r="JW15" s="369"/>
      <c r="JX15" s="369"/>
      <c r="JY15" s="369"/>
      <c r="JZ15" s="370"/>
      <c r="KB15" s="377" t="s">
        <v>482</v>
      </c>
      <c r="KC15" s="369"/>
      <c r="KD15" s="369"/>
      <c r="KE15" s="369"/>
      <c r="KF15" s="369"/>
      <c r="KG15" s="369"/>
      <c r="KH15" s="369"/>
      <c r="KI15" s="369"/>
      <c r="KJ15" s="369"/>
      <c r="KK15" s="369"/>
      <c r="KL15" s="369"/>
      <c r="KM15" s="369"/>
      <c r="KN15" s="369"/>
      <c r="KO15" s="369"/>
      <c r="KP15" s="369"/>
      <c r="KQ15" s="369"/>
      <c r="KR15" s="369"/>
      <c r="KS15" s="369"/>
      <c r="KT15" s="369"/>
      <c r="KU15" s="369"/>
      <c r="KV15" s="369"/>
      <c r="KW15" s="369"/>
      <c r="KX15" s="370"/>
      <c r="KZ15" s="377" t="s">
        <v>482</v>
      </c>
      <c r="LA15" s="369"/>
      <c r="LB15" s="369"/>
      <c r="LC15" s="369"/>
      <c r="LD15" s="369"/>
      <c r="LE15" s="369"/>
      <c r="LF15" s="369"/>
      <c r="LG15" s="369"/>
      <c r="LH15" s="369"/>
      <c r="LI15" s="369"/>
      <c r="LJ15" s="369"/>
      <c r="LK15" s="369"/>
      <c r="LL15" s="369"/>
      <c r="LM15" s="369"/>
      <c r="LN15" s="369"/>
      <c r="LO15" s="369"/>
      <c r="LP15" s="369"/>
      <c r="LQ15" s="369"/>
      <c r="LR15" s="369"/>
      <c r="LS15" s="369"/>
      <c r="LT15" s="369"/>
      <c r="LU15" s="369"/>
      <c r="LV15" s="369"/>
      <c r="LW15" s="369"/>
      <c r="LX15" s="370"/>
      <c r="LZ15" s="377" t="s">
        <v>482</v>
      </c>
      <c r="MA15" s="369"/>
      <c r="MB15" s="369"/>
      <c r="MC15" s="369"/>
      <c r="MD15" s="369"/>
      <c r="ME15" s="369"/>
      <c r="MF15" s="369"/>
      <c r="MG15" s="369"/>
      <c r="MH15" s="369"/>
      <c r="MI15" s="369"/>
      <c r="MJ15" s="369"/>
      <c r="MK15" s="369"/>
      <c r="ML15" s="369"/>
      <c r="MM15" s="369"/>
      <c r="MN15" s="369"/>
      <c r="MO15" s="369"/>
      <c r="MP15" s="369"/>
      <c r="MQ15" s="369"/>
      <c r="MR15" s="369"/>
      <c r="MS15" s="369"/>
      <c r="MT15" s="369"/>
      <c r="MU15" s="369"/>
      <c r="MV15" s="369"/>
      <c r="MW15" s="369"/>
      <c r="MX15" s="370"/>
      <c r="MZ15" s="377" t="s">
        <v>482</v>
      </c>
      <c r="NA15" s="369"/>
      <c r="NB15" s="369"/>
      <c r="NC15" s="369"/>
      <c r="ND15" s="369"/>
      <c r="NE15" s="369"/>
      <c r="NF15" s="369"/>
      <c r="NG15" s="369"/>
      <c r="NH15" s="369"/>
      <c r="NI15" s="369"/>
      <c r="NJ15" s="369"/>
      <c r="NK15" s="369"/>
      <c r="NL15" s="369"/>
      <c r="NM15" s="369"/>
      <c r="NN15" s="369"/>
      <c r="NO15" s="369"/>
      <c r="NP15" s="369"/>
      <c r="NQ15" s="369"/>
      <c r="NR15" s="369"/>
      <c r="NS15" s="369"/>
      <c r="NT15" s="369"/>
      <c r="NU15" s="369"/>
      <c r="NV15" s="370"/>
      <c r="NX15" s="377" t="s">
        <v>482</v>
      </c>
      <c r="NY15" s="369"/>
      <c r="NZ15" s="369"/>
      <c r="OA15" s="369"/>
      <c r="OB15" s="369"/>
      <c r="OC15" s="369"/>
      <c r="OD15" s="369"/>
      <c r="OE15" s="369"/>
      <c r="OF15" s="369"/>
      <c r="OG15" s="369"/>
      <c r="OH15" s="369"/>
      <c r="OI15" s="369"/>
      <c r="OJ15" s="369"/>
      <c r="OK15" s="369"/>
      <c r="OL15" s="369"/>
      <c r="OM15" s="369"/>
      <c r="ON15" s="369"/>
      <c r="OO15" s="369"/>
      <c r="OP15" s="369"/>
      <c r="OQ15" s="369"/>
      <c r="OR15" s="369"/>
      <c r="OS15" s="369"/>
      <c r="OT15" s="370"/>
      <c r="OV15" s="377" t="s">
        <v>482</v>
      </c>
      <c r="OW15" s="369"/>
      <c r="OX15" s="369"/>
      <c r="OY15" s="369"/>
      <c r="OZ15" s="369"/>
      <c r="PA15" s="369"/>
      <c r="PB15" s="369"/>
      <c r="PC15" s="369"/>
      <c r="PD15" s="369"/>
      <c r="PE15" s="369"/>
      <c r="PF15" s="369"/>
      <c r="PG15" s="369"/>
      <c r="PH15" s="369"/>
      <c r="PI15" s="369"/>
      <c r="PJ15" s="369"/>
      <c r="PK15" s="369"/>
      <c r="PL15" s="369"/>
      <c r="PM15" s="369"/>
      <c r="PN15" s="369"/>
      <c r="PO15" s="369"/>
      <c r="PP15" s="369"/>
      <c r="PQ15" s="369"/>
      <c r="PR15" s="370"/>
      <c r="PT15" s="377" t="s">
        <v>482</v>
      </c>
      <c r="PU15" s="369"/>
      <c r="PV15" s="369"/>
      <c r="PW15" s="369"/>
      <c r="PX15" s="369"/>
      <c r="PY15" s="369"/>
      <c r="PZ15" s="369"/>
      <c r="QA15" s="369"/>
      <c r="QB15" s="369"/>
      <c r="QC15" s="369"/>
      <c r="QD15" s="369"/>
      <c r="QE15" s="369"/>
      <c r="QF15" s="369"/>
      <c r="QG15" s="369"/>
      <c r="QH15" s="369"/>
      <c r="QI15" s="369"/>
      <c r="QJ15" s="369"/>
      <c r="QK15" s="369"/>
      <c r="QL15" s="369"/>
      <c r="QM15" s="369"/>
      <c r="QN15" s="369"/>
      <c r="QO15" s="369"/>
      <c r="QP15" s="370"/>
      <c r="QR15" s="377" t="s">
        <v>482</v>
      </c>
      <c r="QS15" s="369"/>
      <c r="QT15" s="369"/>
      <c r="QU15" s="369"/>
      <c r="QV15" s="369"/>
      <c r="QW15" s="369"/>
      <c r="QX15" s="369"/>
      <c r="QY15" s="369"/>
      <c r="QZ15" s="369"/>
      <c r="RA15" s="369"/>
      <c r="RB15" s="369"/>
      <c r="RC15" s="370"/>
      <c r="RE15" s="377" t="s">
        <v>482</v>
      </c>
      <c r="RF15" s="369"/>
      <c r="RG15" s="369"/>
      <c r="RH15" s="369"/>
      <c r="RI15" s="369"/>
      <c r="RJ15" s="369"/>
      <c r="RK15" s="369"/>
      <c r="RL15" s="369"/>
      <c r="RM15" s="369"/>
      <c r="RN15" s="369"/>
      <c r="RO15" s="369"/>
      <c r="RP15" s="370"/>
      <c r="RQ15" s="329"/>
      <c r="RR15" s="340" t="s">
        <v>343</v>
      </c>
      <c r="RS15" s="322" t="e">
        <f>RS5-RS6</f>
        <v>#REF!</v>
      </c>
      <c r="RT15" s="323" t="str">
        <f t="shared" ref="RT15:SJ15" si="29">IFERROR(RS15/RS$5,"-")</f>
        <v>-</v>
      </c>
      <c r="RU15" s="322" t="e">
        <f>RU5-RU6</f>
        <v>#REF!</v>
      </c>
      <c r="RV15" s="323" t="str">
        <f t="shared" si="29"/>
        <v>-</v>
      </c>
      <c r="RW15" s="322" t="e">
        <f>RW5-RW6</f>
        <v>#REF!</v>
      </c>
      <c r="RX15" s="323" t="str">
        <f t="shared" si="29"/>
        <v>-</v>
      </c>
      <c r="RY15" s="322" t="e">
        <f>RY5-RY6</f>
        <v>#REF!</v>
      </c>
      <c r="RZ15" s="323" t="str">
        <f t="shared" ref="RZ15" si="30">IFERROR(RY15/RY$5,"-")</f>
        <v>-</v>
      </c>
      <c r="SA15" s="322" t="e">
        <f>SA5-SA6</f>
        <v>#REF!</v>
      </c>
      <c r="SB15" s="323" t="str">
        <f t="shared" ref="SB15" si="31">IFERROR(SA15/SA$5,"-")</f>
        <v>-</v>
      </c>
      <c r="SC15" s="322" t="e">
        <f>SC5-SC6</f>
        <v>#REF!</v>
      </c>
      <c r="SD15" s="323" t="str">
        <f t="shared" si="29"/>
        <v>-</v>
      </c>
      <c r="SE15" s="322" t="e">
        <f>SE5-SE6</f>
        <v>#REF!</v>
      </c>
      <c r="SF15" s="323" t="str">
        <f>IFERROR(SE15/SE$5,"-")</f>
        <v>-</v>
      </c>
      <c r="SG15" s="322" t="e">
        <f>SG5-SG6</f>
        <v>#REF!</v>
      </c>
      <c r="SH15" s="323" t="str">
        <f t="shared" si="29"/>
        <v>-</v>
      </c>
      <c r="SI15" s="322" t="e">
        <f>SI5-SI6</f>
        <v>#REF!</v>
      </c>
      <c r="SJ15" s="323" t="str">
        <f t="shared" si="29"/>
        <v>-</v>
      </c>
    </row>
    <row r="17" spans="310:467" x14ac:dyDescent="0.3">
      <c r="QS17" s="16">
        <f t="shared" ref="QS17:QX17" si="32">1-QS9/QS7</f>
        <v>0.21456334568823721</v>
      </c>
      <c r="QT17" s="16">
        <f t="shared" si="32"/>
        <v>0.33346551311369144</v>
      </c>
      <c r="QU17" s="16">
        <f t="shared" si="32"/>
        <v>5.6047126713152151E-2</v>
      </c>
      <c r="QV17" s="16">
        <f t="shared" si="32"/>
        <v>0.54187050743468013</v>
      </c>
      <c r="QW17" s="16">
        <f t="shared" si="32"/>
        <v>0.39027690915106006</v>
      </c>
      <c r="QX17" s="16">
        <f t="shared" si="32"/>
        <v>0.26169791721945135</v>
      </c>
    </row>
    <row r="18" spans="310:467" x14ac:dyDescent="0.3">
      <c r="QS18" s="16">
        <f>QS7/$QX$7</f>
        <v>0.72936268472214139</v>
      </c>
      <c r="QT18" s="16">
        <f>QT7/$QX$7</f>
        <v>3.5594797488930907E-3</v>
      </c>
      <c r="QU18" s="16">
        <f>QU7/$QX$7</f>
        <v>2.2411317691456299E-3</v>
      </c>
      <c r="QV18" s="16">
        <f>QV7/$QX$7</f>
        <v>3.504082369321928E-3</v>
      </c>
      <c r="QW18" s="16">
        <f>QW7/$QX$7</f>
        <v>0.2613326213904979</v>
      </c>
    </row>
    <row r="20" spans="310:467" x14ac:dyDescent="0.3">
      <c r="QR20" t="s">
        <v>1945</v>
      </c>
    </row>
    <row r="21" spans="310:467" x14ac:dyDescent="0.3">
      <c r="QR21" t="s">
        <v>1954</v>
      </c>
      <c r="QX21" s="72">
        <f>QY7/10^4</f>
        <v>1.7486298420000004</v>
      </c>
    </row>
    <row r="22" spans="310:467" x14ac:dyDescent="0.3">
      <c r="QR22" t="s">
        <v>1946</v>
      </c>
      <c r="QX22" s="17">
        <f>(SUM(QS7:QV7)/10^4)</f>
        <v>7.2240553280000039</v>
      </c>
    </row>
    <row r="23" spans="310:467" x14ac:dyDescent="0.3">
      <c r="QR23" t="s">
        <v>1947</v>
      </c>
      <c r="QX23" s="17">
        <f>(QZ7+RA7)/10^4</f>
        <v>3.9250319999999998E-2</v>
      </c>
    </row>
    <row r="24" spans="310:467" x14ac:dyDescent="0.3">
      <c r="QR24" t="s">
        <v>1948</v>
      </c>
      <c r="QX24" s="17">
        <f>QW7/10^4</f>
        <v>2.555793542</v>
      </c>
    </row>
    <row r="25" spans="310:467" x14ac:dyDescent="0.3">
      <c r="QR25" t="s">
        <v>1956</v>
      </c>
      <c r="QX25" s="72">
        <v>0</v>
      </c>
      <c r="QY25" s="8"/>
    </row>
    <row r="26" spans="310:467" x14ac:dyDescent="0.3">
      <c r="KX26">
        <v>76703.116630000019</v>
      </c>
      <c r="QR26" t="s">
        <v>1949</v>
      </c>
    </row>
    <row r="27" spans="310:467" x14ac:dyDescent="0.3">
      <c r="QR27" t="s">
        <v>1955</v>
      </c>
      <c r="QX27" s="72">
        <f>QY9/10^4</f>
        <v>1.5503380339999997</v>
      </c>
    </row>
    <row r="28" spans="310:467" x14ac:dyDescent="0.3">
      <c r="QR28" t="s">
        <v>1950</v>
      </c>
      <c r="QX28" s="15">
        <f>(SUM(QS9:QV9)/10^4)</f>
        <v>5.6621564519999987</v>
      </c>
    </row>
    <row r="29" spans="310:467" x14ac:dyDescent="0.3">
      <c r="KX29">
        <v>85343.589750000043</v>
      </c>
      <c r="QR29" t="s">
        <v>1951</v>
      </c>
      <c r="QX29" s="15">
        <f>(QZ9+RA9)/10^4</f>
        <v>3.0741346000000003E-2</v>
      </c>
    </row>
    <row r="30" spans="310:467" x14ac:dyDescent="0.3">
      <c r="KX30">
        <f>KX29-KX26</f>
        <v>8640.4731200000242</v>
      </c>
      <c r="QR30" t="s">
        <v>1952</v>
      </c>
      <c r="QX30" s="15">
        <f>QW9/10^4</f>
        <v>1.5583263380000001</v>
      </c>
    </row>
    <row r="31" spans="310:467" x14ac:dyDescent="0.3">
      <c r="QQ31" t="s">
        <v>1953</v>
      </c>
      <c r="QR31" t="s">
        <v>1957</v>
      </c>
      <c r="QX31" s="15">
        <v>0</v>
      </c>
      <c r="QY31" s="72"/>
    </row>
  </sheetData>
  <mergeCells count="340">
    <mergeCell ref="PT15:QP15"/>
    <mergeCell ref="PU2:QE2"/>
    <mergeCell ref="QF2:QP2"/>
    <mergeCell ref="PU3:PZ3"/>
    <mergeCell ref="QA3:QD3"/>
    <mergeCell ref="QE3:QE5"/>
    <mergeCell ref="QF3:QK3"/>
    <mergeCell ref="QL3:QO3"/>
    <mergeCell ref="QP3:QP5"/>
    <mergeCell ref="PT4:PT5"/>
    <mergeCell ref="PU4:PX4"/>
    <mergeCell ref="PZ4:PZ5"/>
    <mergeCell ref="QB4:QC4"/>
    <mergeCell ref="QD4:QD5"/>
    <mergeCell ref="QF4:QI4"/>
    <mergeCell ref="QK4:QK5"/>
    <mergeCell ref="QM4:QN4"/>
    <mergeCell ref="QO4:QO5"/>
    <mergeCell ref="NX15:OT15"/>
    <mergeCell ref="NY2:OI2"/>
    <mergeCell ref="OJ2:OT2"/>
    <mergeCell ref="NY3:OD3"/>
    <mergeCell ref="OE3:OH3"/>
    <mergeCell ref="OI3:OI5"/>
    <mergeCell ref="OJ3:OO3"/>
    <mergeCell ref="OP3:OS3"/>
    <mergeCell ref="OT3:OT5"/>
    <mergeCell ref="NX4:NX5"/>
    <mergeCell ref="NY4:OB4"/>
    <mergeCell ref="OD4:OD5"/>
    <mergeCell ref="OF4:OG4"/>
    <mergeCell ref="OH4:OH5"/>
    <mergeCell ref="OJ4:OM4"/>
    <mergeCell ref="OO4:OO5"/>
    <mergeCell ref="OQ4:OR4"/>
    <mergeCell ref="OS4:OS5"/>
    <mergeCell ref="KB15:KX15"/>
    <mergeCell ref="KC2:KM2"/>
    <mergeCell ref="KN2:KX2"/>
    <mergeCell ref="KC3:KH3"/>
    <mergeCell ref="KI3:KL3"/>
    <mergeCell ref="KM3:KM5"/>
    <mergeCell ref="KN3:KS3"/>
    <mergeCell ref="KT3:KW3"/>
    <mergeCell ref="KX3:KX5"/>
    <mergeCell ref="KB4:KB5"/>
    <mergeCell ref="KC4:KF4"/>
    <mergeCell ref="KH4:KH5"/>
    <mergeCell ref="KJ4:KK4"/>
    <mergeCell ref="KL4:KL5"/>
    <mergeCell ref="KN4:KQ4"/>
    <mergeCell ref="KS4:KS5"/>
    <mergeCell ref="KU4:KV4"/>
    <mergeCell ref="KW4:KW5"/>
    <mergeCell ref="HH15:ID15"/>
    <mergeCell ref="HI2:HS2"/>
    <mergeCell ref="HT2:ID2"/>
    <mergeCell ref="HI3:HN3"/>
    <mergeCell ref="HO3:HR3"/>
    <mergeCell ref="HS3:HS5"/>
    <mergeCell ref="HT3:HY3"/>
    <mergeCell ref="HZ3:IC3"/>
    <mergeCell ref="ID3:ID5"/>
    <mergeCell ref="HH4:HH5"/>
    <mergeCell ref="HI4:HL4"/>
    <mergeCell ref="HN4:HN5"/>
    <mergeCell ref="HP4:HQ4"/>
    <mergeCell ref="HR4:HR5"/>
    <mergeCell ref="HT4:HW4"/>
    <mergeCell ref="HY4:HY5"/>
    <mergeCell ref="IA4:IB4"/>
    <mergeCell ref="IC4:IC5"/>
    <mergeCell ref="FB15:FR15"/>
    <mergeCell ref="FB4:FB5"/>
    <mergeCell ref="FC4:FE4"/>
    <mergeCell ref="FG4:FG5"/>
    <mergeCell ref="FI4:FI5"/>
    <mergeCell ref="FC2:FJ2"/>
    <mergeCell ref="FK2:FR2"/>
    <mergeCell ref="FC3:FG3"/>
    <mergeCell ref="FH3:FI3"/>
    <mergeCell ref="FJ3:FJ5"/>
    <mergeCell ref="FK3:FO3"/>
    <mergeCell ref="FP3:FQ3"/>
    <mergeCell ref="FR3:FR5"/>
    <mergeCell ref="FK4:FM4"/>
    <mergeCell ref="FO4:FO5"/>
    <mergeCell ref="FQ4:FQ5"/>
    <mergeCell ref="CH15:CX15"/>
    <mergeCell ref="CH4:CH5"/>
    <mergeCell ref="CM4:CM5"/>
    <mergeCell ref="CU4:CU5"/>
    <mergeCell ref="CW4:CW5"/>
    <mergeCell ref="CI2:CP2"/>
    <mergeCell ref="CQ2:CX2"/>
    <mergeCell ref="CI3:CM3"/>
    <mergeCell ref="CN3:CO3"/>
    <mergeCell ref="CP3:CP5"/>
    <mergeCell ref="CQ3:CU3"/>
    <mergeCell ref="CV3:CW3"/>
    <mergeCell ref="CX3:CX5"/>
    <mergeCell ref="CO4:CO5"/>
    <mergeCell ref="BP15:CF15"/>
    <mergeCell ref="AE2:AH2"/>
    <mergeCell ref="AI2:AL2"/>
    <mergeCell ref="AD12:AL12"/>
    <mergeCell ref="C2:G2"/>
    <mergeCell ref="H2:L2"/>
    <mergeCell ref="B12:L12"/>
    <mergeCell ref="O2:U2"/>
    <mergeCell ref="V2:AB2"/>
    <mergeCell ref="N12:AB12"/>
    <mergeCell ref="BC2:BH2"/>
    <mergeCell ref="BI2:BN2"/>
    <mergeCell ref="BB12:BN12"/>
    <mergeCell ref="AO2:AT2"/>
    <mergeCell ref="AU2:AZ2"/>
    <mergeCell ref="AN12:AZ12"/>
    <mergeCell ref="BP4:BP5"/>
    <mergeCell ref="BU4:BU5"/>
    <mergeCell ref="BW4:BW5"/>
    <mergeCell ref="CC4:CC5"/>
    <mergeCell ref="CE4:CE5"/>
    <mergeCell ref="BQ2:BX2"/>
    <mergeCell ref="BY2:CF2"/>
    <mergeCell ref="BQ3:BU3"/>
    <mergeCell ref="BV3:BW3"/>
    <mergeCell ref="BX3:BX5"/>
    <mergeCell ref="BY3:CC3"/>
    <mergeCell ref="CD3:CE3"/>
    <mergeCell ref="CF3:CF5"/>
    <mergeCell ref="DA2:DH2"/>
    <mergeCell ref="DI2:DP2"/>
    <mergeCell ref="DA3:DE3"/>
    <mergeCell ref="DF3:DG3"/>
    <mergeCell ref="DH3:DH5"/>
    <mergeCell ref="DI3:DM3"/>
    <mergeCell ref="DN3:DO3"/>
    <mergeCell ref="DP3:DP5"/>
    <mergeCell ref="DA4:DC4"/>
    <mergeCell ref="DI4:DK4"/>
    <mergeCell ref="DS2:DZ2"/>
    <mergeCell ref="EA2:EH2"/>
    <mergeCell ref="DS3:DW3"/>
    <mergeCell ref="DX3:DY3"/>
    <mergeCell ref="DZ3:DZ5"/>
    <mergeCell ref="EA3:EE3"/>
    <mergeCell ref="EF3:EG3"/>
    <mergeCell ref="EH3:EH5"/>
    <mergeCell ref="EA4:EC4"/>
    <mergeCell ref="EE4:EE5"/>
    <mergeCell ref="EG4:EG5"/>
    <mergeCell ref="DS4:DU4"/>
    <mergeCell ref="DW4:DW5"/>
    <mergeCell ref="DY4:DY5"/>
    <mergeCell ref="CZ15:DP15"/>
    <mergeCell ref="CZ4:CZ5"/>
    <mergeCell ref="DE4:DE5"/>
    <mergeCell ref="DG4:DG5"/>
    <mergeCell ref="DM4:DM5"/>
    <mergeCell ref="DO4:DO5"/>
    <mergeCell ref="DR15:EH15"/>
    <mergeCell ref="DR4:DR5"/>
    <mergeCell ref="EJ15:EZ15"/>
    <mergeCell ref="EJ4:EJ5"/>
    <mergeCell ref="EK4:EM4"/>
    <mergeCell ref="EO4:EO5"/>
    <mergeCell ref="EQ4:EQ5"/>
    <mergeCell ref="FT4:FT5"/>
    <mergeCell ref="FU4:FX4"/>
    <mergeCell ref="FZ4:FZ5"/>
    <mergeCell ref="GB4:GB5"/>
    <mergeCell ref="GD4:GG4"/>
    <mergeCell ref="GI4:GI5"/>
    <mergeCell ref="GK4:GK5"/>
    <mergeCell ref="EP3:EQ3"/>
    <mergeCell ref="ER3:ER5"/>
    <mergeCell ref="ES3:EW3"/>
    <mergeCell ref="EX3:EY3"/>
    <mergeCell ref="EZ3:EZ5"/>
    <mergeCell ref="ES4:EU4"/>
    <mergeCell ref="EW4:EW5"/>
    <mergeCell ref="EY4:EY5"/>
    <mergeCell ref="HE4:HE5"/>
    <mergeCell ref="FU2:GC2"/>
    <mergeCell ref="GD2:GL2"/>
    <mergeCell ref="FU3:FZ3"/>
    <mergeCell ref="GA3:GB3"/>
    <mergeCell ref="GC3:GC5"/>
    <mergeCell ref="GD3:GI3"/>
    <mergeCell ref="GJ3:GK3"/>
    <mergeCell ref="GL3:GL5"/>
    <mergeCell ref="IF15:JB15"/>
    <mergeCell ref="IG3:IL3"/>
    <mergeCell ref="IF4:IF5"/>
    <mergeCell ref="IG4:IJ4"/>
    <mergeCell ref="IL4:IL5"/>
    <mergeCell ref="FT15:GL15"/>
    <mergeCell ref="EK2:ER2"/>
    <mergeCell ref="ES2:EZ2"/>
    <mergeCell ref="EK3:EO3"/>
    <mergeCell ref="GN15:HF15"/>
    <mergeCell ref="GO2:GW2"/>
    <mergeCell ref="GX2:HF2"/>
    <mergeCell ref="GO3:GT3"/>
    <mergeCell ref="GU3:GV3"/>
    <mergeCell ref="GW3:GW5"/>
    <mergeCell ref="GX3:HC3"/>
    <mergeCell ref="HD3:HE3"/>
    <mergeCell ref="HF3:HF5"/>
    <mergeCell ref="GN4:GN5"/>
    <mergeCell ref="GO4:GR4"/>
    <mergeCell ref="GT4:GT5"/>
    <mergeCell ref="GV4:GV5"/>
    <mergeCell ref="GX4:HA4"/>
    <mergeCell ref="HC4:HC5"/>
    <mergeCell ref="IG2:IQ2"/>
    <mergeCell ref="IR2:JB2"/>
    <mergeCell ref="IM3:IP3"/>
    <mergeCell ref="IQ3:IQ5"/>
    <mergeCell ref="IR3:IW3"/>
    <mergeCell ref="IX3:JA3"/>
    <mergeCell ref="JB3:JB5"/>
    <mergeCell ref="IN4:IO4"/>
    <mergeCell ref="IP4:IP5"/>
    <mergeCell ref="IR4:IU4"/>
    <mergeCell ref="IW4:IW5"/>
    <mergeCell ref="IY4:IZ4"/>
    <mergeCell ref="JA4:JA5"/>
    <mergeCell ref="JD15:JZ15"/>
    <mergeCell ref="JL4:JM4"/>
    <mergeCell ref="JE2:JO2"/>
    <mergeCell ref="JP2:JZ2"/>
    <mergeCell ref="JE3:JJ3"/>
    <mergeCell ref="JK3:JN3"/>
    <mergeCell ref="JO3:JO5"/>
    <mergeCell ref="JP3:JU3"/>
    <mergeCell ref="JV3:JY3"/>
    <mergeCell ref="JZ3:JZ5"/>
    <mergeCell ref="JD4:JD5"/>
    <mergeCell ref="JE4:JH4"/>
    <mergeCell ref="JJ4:JJ5"/>
    <mergeCell ref="JN4:JN5"/>
    <mergeCell ref="JP4:JS4"/>
    <mergeCell ref="JU4:JU5"/>
    <mergeCell ref="JW4:JX4"/>
    <mergeCell ref="JY4:JY5"/>
    <mergeCell ref="KZ15:LX15"/>
    <mergeCell ref="LA2:LL2"/>
    <mergeCell ref="LM2:LX2"/>
    <mergeCell ref="LA3:LF3"/>
    <mergeCell ref="LG3:LK3"/>
    <mergeCell ref="LL3:LL5"/>
    <mergeCell ref="LM3:LR3"/>
    <mergeCell ref="LS3:LW3"/>
    <mergeCell ref="LX3:LX5"/>
    <mergeCell ref="KZ4:KZ5"/>
    <mergeCell ref="LA4:LD4"/>
    <mergeCell ref="LF4:LF5"/>
    <mergeCell ref="LH4:LJ4"/>
    <mergeCell ref="LK4:LK5"/>
    <mergeCell ref="LM4:LP4"/>
    <mergeCell ref="LR4:LR5"/>
    <mergeCell ref="LT4:LV4"/>
    <mergeCell ref="LW4:LW5"/>
    <mergeCell ref="LZ15:MX15"/>
    <mergeCell ref="MA2:ML2"/>
    <mergeCell ref="MM2:MX2"/>
    <mergeCell ref="MA3:MF3"/>
    <mergeCell ref="MG3:MK3"/>
    <mergeCell ref="ML3:ML5"/>
    <mergeCell ref="MM3:MR3"/>
    <mergeCell ref="MS3:MW3"/>
    <mergeCell ref="MX3:MX5"/>
    <mergeCell ref="LZ4:LZ5"/>
    <mergeCell ref="MA4:MD4"/>
    <mergeCell ref="MF4:MF5"/>
    <mergeCell ref="MH4:MJ4"/>
    <mergeCell ref="MK4:MK5"/>
    <mergeCell ref="MM4:MP4"/>
    <mergeCell ref="MR4:MR5"/>
    <mergeCell ref="MT4:MV4"/>
    <mergeCell ref="MW4:MW5"/>
    <mergeCell ref="MZ15:NV15"/>
    <mergeCell ref="NA2:NK2"/>
    <mergeCell ref="NL2:NV2"/>
    <mergeCell ref="NA3:NF3"/>
    <mergeCell ref="NG3:NJ3"/>
    <mergeCell ref="NK3:NK5"/>
    <mergeCell ref="NL3:NQ3"/>
    <mergeCell ref="NR3:NU3"/>
    <mergeCell ref="NV3:NV5"/>
    <mergeCell ref="MZ4:MZ5"/>
    <mergeCell ref="NA4:ND4"/>
    <mergeCell ref="NF4:NF5"/>
    <mergeCell ref="NH4:NI4"/>
    <mergeCell ref="NJ4:NJ5"/>
    <mergeCell ref="NL4:NO4"/>
    <mergeCell ref="NQ4:NQ5"/>
    <mergeCell ref="NS4:NT4"/>
    <mergeCell ref="NU4:NU5"/>
    <mergeCell ref="OV15:PR15"/>
    <mergeCell ref="OW2:PG2"/>
    <mergeCell ref="PH2:PR2"/>
    <mergeCell ref="OW3:PB3"/>
    <mergeCell ref="PC3:PF3"/>
    <mergeCell ref="PG3:PG5"/>
    <mergeCell ref="PH3:PM3"/>
    <mergeCell ref="PN3:PQ3"/>
    <mergeCell ref="PR3:PR5"/>
    <mergeCell ref="OV4:OV5"/>
    <mergeCell ref="OW4:OZ4"/>
    <mergeCell ref="PB4:PB5"/>
    <mergeCell ref="PD4:PE4"/>
    <mergeCell ref="PF4:PF5"/>
    <mergeCell ref="PH4:PK4"/>
    <mergeCell ref="PM4:PM5"/>
    <mergeCell ref="PO4:PP4"/>
    <mergeCell ref="PQ4:PQ5"/>
    <mergeCell ref="QR15:RC15"/>
    <mergeCell ref="QS2:RC2"/>
    <mergeCell ref="QS3:QX3"/>
    <mergeCell ref="QY3:RB3"/>
    <mergeCell ref="RC3:RC5"/>
    <mergeCell ref="QR4:QR5"/>
    <mergeCell ref="QS4:QV4"/>
    <mergeCell ref="QX4:QX5"/>
    <mergeCell ref="QZ4:RA4"/>
    <mergeCell ref="RB4:RB5"/>
    <mergeCell ref="RE15:RP15"/>
    <mergeCell ref="RS2:SJ2"/>
    <mergeCell ref="RF2:RP2"/>
    <mergeCell ref="RF3:RK3"/>
    <mergeCell ref="RL3:RO3"/>
    <mergeCell ref="RP3:RP5"/>
    <mergeCell ref="RE4:RE5"/>
    <mergeCell ref="RF4:RI4"/>
    <mergeCell ref="RK4:RK5"/>
    <mergeCell ref="RM4:RN4"/>
    <mergeCell ref="RO4:RO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33AA-70F1-46D2-90EF-8C3349E9C919}">
  <dimension ref="A2:L121"/>
  <sheetViews>
    <sheetView topLeftCell="A2" workbookViewId="0">
      <selection activeCell="C2" sqref="C2"/>
    </sheetView>
  </sheetViews>
  <sheetFormatPr defaultRowHeight="14.4" x14ac:dyDescent="0.3"/>
  <cols>
    <col min="1" max="1" width="9.77734375" bestFit="1" customWidth="1"/>
    <col min="2" max="2" width="43.77734375" bestFit="1" customWidth="1"/>
    <col min="3" max="5" width="13.77734375" style="72" bestFit="1" customWidth="1"/>
    <col min="6" max="6" width="12.33203125" style="72" bestFit="1" customWidth="1"/>
    <col min="7" max="7" width="15.88671875" style="72" bestFit="1" customWidth="1"/>
    <col min="8" max="8" width="19.5546875" style="72" bestFit="1" customWidth="1"/>
    <col min="9" max="9" width="23.77734375" style="72" bestFit="1" customWidth="1"/>
    <col min="10" max="10" width="14.77734375" style="72" bestFit="1" customWidth="1"/>
    <col min="11" max="11" width="14.33203125" bestFit="1" customWidth="1"/>
    <col min="12" max="12" width="14.88671875" bestFit="1" customWidth="1"/>
  </cols>
  <sheetData>
    <row r="2" spans="1:12" s="124" customFormat="1" x14ac:dyDescent="0.3">
      <c r="A2" s="346" t="s">
        <v>2</v>
      </c>
      <c r="B2" s="346" t="s">
        <v>3</v>
      </c>
      <c r="C2" s="347" t="s">
        <v>1978</v>
      </c>
      <c r="D2" s="347" t="s">
        <v>1979</v>
      </c>
      <c r="E2" s="347" t="s">
        <v>1980</v>
      </c>
      <c r="F2" s="347" t="s">
        <v>1981</v>
      </c>
      <c r="G2" s="347" t="s">
        <v>1982</v>
      </c>
      <c r="H2" s="347" t="s">
        <v>1983</v>
      </c>
      <c r="I2" s="347" t="s">
        <v>1984</v>
      </c>
      <c r="J2" s="347" t="s">
        <v>1985</v>
      </c>
      <c r="K2" s="347" t="s">
        <v>1520</v>
      </c>
      <c r="L2" s="347" t="s">
        <v>561</v>
      </c>
    </row>
    <row r="3" spans="1:12" x14ac:dyDescent="0.3">
      <c r="A3" s="341" t="s">
        <v>595</v>
      </c>
      <c r="B3" s="342" t="s">
        <v>596</v>
      </c>
      <c r="C3" s="343">
        <v>9808</v>
      </c>
      <c r="D3" s="343">
        <v>1298481.1200000001</v>
      </c>
      <c r="E3" s="343">
        <v>1227479.79</v>
      </c>
      <c r="F3" s="343">
        <v>14712</v>
      </c>
      <c r="G3" s="343">
        <v>490.4</v>
      </c>
      <c r="H3" s="343">
        <v>3923.2</v>
      </c>
      <c r="I3" s="343">
        <v>14712</v>
      </c>
      <c r="J3" s="343">
        <v>0</v>
      </c>
      <c r="K3" s="343">
        <v>132.38999999999999</v>
      </c>
      <c r="L3" s="343">
        <v>1227275.04</v>
      </c>
    </row>
    <row r="4" spans="1:12" x14ac:dyDescent="0.3">
      <c r="A4" s="341" t="s">
        <v>1701</v>
      </c>
      <c r="B4" s="342" t="s">
        <v>1702</v>
      </c>
      <c r="C4" s="343">
        <v>306000</v>
      </c>
      <c r="D4" s="343">
        <v>1603440</v>
      </c>
      <c r="E4" s="343">
        <v>1607929.29</v>
      </c>
      <c r="F4" s="343">
        <v>0</v>
      </c>
      <c r="G4" s="343">
        <v>0</v>
      </c>
      <c r="H4" s="343">
        <v>0</v>
      </c>
      <c r="I4" s="343">
        <v>0</v>
      </c>
      <c r="J4" s="343">
        <v>0</v>
      </c>
      <c r="K4" s="343">
        <v>5.24</v>
      </c>
      <c r="L4" s="343">
        <v>0</v>
      </c>
    </row>
    <row r="5" spans="1:12" x14ac:dyDescent="0.3">
      <c r="A5" s="341" t="s">
        <v>1659</v>
      </c>
      <c r="B5" s="342" t="s">
        <v>1660</v>
      </c>
      <c r="C5" s="343">
        <v>7266</v>
      </c>
      <c r="D5" s="343">
        <v>991155.06</v>
      </c>
      <c r="E5" s="343">
        <v>984826.16999999993</v>
      </c>
      <c r="F5" s="343">
        <v>0</v>
      </c>
      <c r="G5" s="343">
        <v>0</v>
      </c>
      <c r="H5" s="343">
        <v>0</v>
      </c>
      <c r="I5" s="343">
        <v>0</v>
      </c>
      <c r="J5" s="343">
        <v>0</v>
      </c>
      <c r="K5" s="343">
        <v>136.41</v>
      </c>
      <c r="L5" s="343">
        <v>0</v>
      </c>
    </row>
    <row r="6" spans="1:12" x14ac:dyDescent="0.3">
      <c r="A6" s="341" t="s">
        <v>1661</v>
      </c>
      <c r="B6" s="342" t="s">
        <v>1662</v>
      </c>
      <c r="C6" s="343">
        <v>3766</v>
      </c>
      <c r="D6" s="343">
        <v>159075.84</v>
      </c>
      <c r="E6" s="343">
        <v>157671.01</v>
      </c>
      <c r="F6" s="343">
        <v>0</v>
      </c>
      <c r="G6" s="343">
        <v>0</v>
      </c>
      <c r="H6" s="343">
        <v>0</v>
      </c>
      <c r="I6" s="343">
        <v>0</v>
      </c>
      <c r="J6" s="343">
        <v>0</v>
      </c>
      <c r="K6" s="343">
        <v>42.24</v>
      </c>
      <c r="L6" s="343">
        <v>0</v>
      </c>
    </row>
    <row r="7" spans="1:12" x14ac:dyDescent="0.3">
      <c r="A7" s="341" t="s">
        <v>40</v>
      </c>
      <c r="B7" s="342" t="s">
        <v>41</v>
      </c>
      <c r="C7" s="343">
        <v>87970</v>
      </c>
      <c r="D7" s="343">
        <v>14333831.800000003</v>
      </c>
      <c r="E7" s="343">
        <v>12938638.899999999</v>
      </c>
      <c r="F7" s="343">
        <v>131955</v>
      </c>
      <c r="G7" s="343">
        <v>4398.5000000000018</v>
      </c>
      <c r="H7" s="343">
        <v>35188.000000000015</v>
      </c>
      <c r="I7" s="343">
        <v>131955</v>
      </c>
      <c r="J7" s="343">
        <v>0</v>
      </c>
      <c r="K7" s="343">
        <v>162.93999999999994</v>
      </c>
      <c r="L7" s="343">
        <v>12990529.899999999</v>
      </c>
    </row>
    <row r="8" spans="1:12" x14ac:dyDescent="0.3">
      <c r="A8" s="341" t="s">
        <v>1530</v>
      </c>
      <c r="B8" s="342" t="s">
        <v>1531</v>
      </c>
      <c r="C8" s="343">
        <v>2606</v>
      </c>
      <c r="D8" s="343">
        <v>331926.22000000003</v>
      </c>
      <c r="E8" s="343">
        <v>252860.18</v>
      </c>
      <c r="F8" s="343">
        <v>4247.78</v>
      </c>
      <c r="G8" s="343">
        <v>104.24000000000001</v>
      </c>
      <c r="H8" s="343">
        <v>964.22</v>
      </c>
      <c r="I8" s="343">
        <v>3909</v>
      </c>
      <c r="J8" s="343">
        <v>0</v>
      </c>
      <c r="K8" s="343">
        <v>127.37</v>
      </c>
      <c r="L8" s="343">
        <v>252860.18000000002</v>
      </c>
    </row>
    <row r="9" spans="1:12" x14ac:dyDescent="0.3">
      <c r="A9" s="341" t="s">
        <v>535</v>
      </c>
      <c r="B9" s="342" t="s">
        <v>536</v>
      </c>
      <c r="C9" s="343">
        <v>504</v>
      </c>
      <c r="D9" s="343">
        <v>82353.600000000006</v>
      </c>
      <c r="E9" s="343">
        <v>45450.720000000001</v>
      </c>
      <c r="F9" s="343">
        <v>756</v>
      </c>
      <c r="G9" s="343">
        <v>25.200000000000003</v>
      </c>
      <c r="H9" s="343">
        <v>201.60000000000002</v>
      </c>
      <c r="I9" s="343">
        <v>756</v>
      </c>
      <c r="J9" s="343">
        <v>0</v>
      </c>
      <c r="K9" s="343">
        <v>163.4</v>
      </c>
      <c r="L9" s="343">
        <v>45450.720000000008</v>
      </c>
    </row>
    <row r="10" spans="1:12" x14ac:dyDescent="0.3">
      <c r="A10" s="341" t="s">
        <v>533</v>
      </c>
      <c r="B10" s="342" t="s">
        <v>534</v>
      </c>
      <c r="C10" s="343">
        <v>499</v>
      </c>
      <c r="D10" s="343">
        <v>310149.59999999998</v>
      </c>
      <c r="E10" s="343">
        <v>265423.09000000003</v>
      </c>
      <c r="F10" s="343">
        <v>748.5</v>
      </c>
      <c r="G10" s="343">
        <v>24.950000000000003</v>
      </c>
      <c r="H10" s="343">
        <v>199.60000000000002</v>
      </c>
      <c r="I10" s="343">
        <v>748.5</v>
      </c>
      <c r="J10" s="343">
        <v>0</v>
      </c>
      <c r="K10" s="343">
        <v>593.94000000000005</v>
      </c>
      <c r="L10" s="343">
        <v>265423.09000000003</v>
      </c>
    </row>
    <row r="11" spans="1:12" x14ac:dyDescent="0.3">
      <c r="A11" s="341" t="s">
        <v>32</v>
      </c>
      <c r="B11" s="342" t="s">
        <v>33</v>
      </c>
      <c r="C11" s="343">
        <v>6603</v>
      </c>
      <c r="D11" s="343">
        <v>1371839.28</v>
      </c>
      <c r="E11" s="343">
        <v>1261176.5100000002</v>
      </c>
      <c r="F11" s="343">
        <v>9904.5</v>
      </c>
      <c r="G11" s="343">
        <v>330.15</v>
      </c>
      <c r="H11" s="343">
        <v>2641.2</v>
      </c>
      <c r="I11" s="343">
        <v>9904.5</v>
      </c>
      <c r="J11" s="343">
        <v>0</v>
      </c>
      <c r="K11" s="343">
        <v>207.76</v>
      </c>
      <c r="L11" s="343">
        <v>1260974.9099999997</v>
      </c>
    </row>
    <row r="12" spans="1:12" x14ac:dyDescent="0.3">
      <c r="A12" s="341" t="s">
        <v>1459</v>
      </c>
      <c r="B12" s="342" t="s">
        <v>1460</v>
      </c>
      <c r="C12" s="343">
        <v>1000</v>
      </c>
      <c r="D12" s="343">
        <v>150220</v>
      </c>
      <c r="E12" s="343">
        <v>144620</v>
      </c>
      <c r="F12" s="343">
        <v>1630</v>
      </c>
      <c r="G12" s="343">
        <v>40</v>
      </c>
      <c r="H12" s="343">
        <v>370</v>
      </c>
      <c r="I12" s="343">
        <v>1500</v>
      </c>
      <c r="J12" s="343">
        <v>0</v>
      </c>
      <c r="K12" s="343">
        <v>150.22</v>
      </c>
      <c r="L12" s="343">
        <v>144619.99999999997</v>
      </c>
    </row>
    <row r="13" spans="1:12" x14ac:dyDescent="0.3">
      <c r="A13" s="341" t="s">
        <v>1697</v>
      </c>
      <c r="B13" s="342" t="s">
        <v>1698</v>
      </c>
      <c r="C13" s="343">
        <v>22200</v>
      </c>
      <c r="D13" s="343">
        <v>134754</v>
      </c>
      <c r="E13" s="343">
        <v>193719.74</v>
      </c>
      <c r="F13" s="343">
        <v>0</v>
      </c>
      <c r="G13" s="343">
        <v>0</v>
      </c>
      <c r="H13" s="343">
        <v>0</v>
      </c>
      <c r="I13" s="343">
        <v>0</v>
      </c>
      <c r="J13" s="343">
        <v>0</v>
      </c>
      <c r="K13" s="343">
        <v>6.07</v>
      </c>
      <c r="L13" s="343">
        <v>0</v>
      </c>
    </row>
    <row r="14" spans="1:12" x14ac:dyDescent="0.3">
      <c r="A14" s="341" t="s">
        <v>1699</v>
      </c>
      <c r="B14" s="342" t="s">
        <v>1700</v>
      </c>
      <c r="C14" s="343">
        <v>11390</v>
      </c>
      <c r="D14" s="343">
        <v>69137.3</v>
      </c>
      <c r="E14" s="343">
        <v>114412.75</v>
      </c>
      <c r="F14" s="343">
        <v>0</v>
      </c>
      <c r="G14" s="343">
        <v>0</v>
      </c>
      <c r="H14" s="343">
        <v>0</v>
      </c>
      <c r="I14" s="343">
        <v>0</v>
      </c>
      <c r="J14" s="343">
        <v>0</v>
      </c>
      <c r="K14" s="343">
        <v>6.07</v>
      </c>
      <c r="L14" s="343">
        <v>0</v>
      </c>
    </row>
    <row r="15" spans="1:12" x14ac:dyDescent="0.3">
      <c r="A15" s="341" t="s">
        <v>1693</v>
      </c>
      <c r="B15" s="342" t="s">
        <v>1694</v>
      </c>
      <c r="C15" s="343">
        <v>17.8</v>
      </c>
      <c r="D15" s="343">
        <v>8455</v>
      </c>
      <c r="E15" s="343">
        <v>8057.72</v>
      </c>
      <c r="F15" s="343">
        <v>0</v>
      </c>
      <c r="G15" s="343">
        <v>0</v>
      </c>
      <c r="H15" s="343">
        <v>0</v>
      </c>
      <c r="I15" s="343">
        <v>0</v>
      </c>
      <c r="J15" s="343">
        <v>0</v>
      </c>
      <c r="K15" s="343">
        <v>475</v>
      </c>
      <c r="L15" s="343">
        <v>0</v>
      </c>
    </row>
    <row r="16" spans="1:12" x14ac:dyDescent="0.3">
      <c r="A16" s="341" t="s">
        <v>1431</v>
      </c>
      <c r="B16" s="342" t="s">
        <v>1432</v>
      </c>
      <c r="C16" s="343">
        <v>19500</v>
      </c>
      <c r="D16" s="343">
        <v>205725</v>
      </c>
      <c r="E16" s="343">
        <v>205725</v>
      </c>
      <c r="F16" s="343">
        <v>0</v>
      </c>
      <c r="G16" s="343">
        <v>0</v>
      </c>
      <c r="H16" s="343">
        <v>0</v>
      </c>
      <c r="I16" s="343">
        <v>0</v>
      </c>
      <c r="J16" s="343">
        <v>0</v>
      </c>
      <c r="K16" s="343">
        <v>10.55</v>
      </c>
      <c r="L16" s="343">
        <v>0</v>
      </c>
    </row>
    <row r="17" spans="1:12" x14ac:dyDescent="0.3">
      <c r="A17" s="341" t="s">
        <v>1429</v>
      </c>
      <c r="B17" s="342" t="s">
        <v>1430</v>
      </c>
      <c r="C17" s="343">
        <v>130000</v>
      </c>
      <c r="D17" s="343">
        <v>118300</v>
      </c>
      <c r="E17" s="343">
        <v>117506.88999999998</v>
      </c>
      <c r="F17" s="343">
        <v>0</v>
      </c>
      <c r="G17" s="343">
        <v>0</v>
      </c>
      <c r="H17" s="343">
        <v>0</v>
      </c>
      <c r="I17" s="343">
        <v>0</v>
      </c>
      <c r="J17" s="343">
        <v>0</v>
      </c>
      <c r="K17" s="343">
        <v>0.91</v>
      </c>
      <c r="L17" s="343">
        <v>0</v>
      </c>
    </row>
    <row r="18" spans="1:12" x14ac:dyDescent="0.3">
      <c r="A18" s="341" t="s">
        <v>1588</v>
      </c>
      <c r="B18" s="342" t="s">
        <v>1589</v>
      </c>
      <c r="C18" s="343">
        <v>70000</v>
      </c>
      <c r="D18" s="343">
        <v>25900</v>
      </c>
      <c r="E18" s="343">
        <v>25900</v>
      </c>
      <c r="F18" s="343">
        <v>0</v>
      </c>
      <c r="G18" s="343">
        <v>0</v>
      </c>
      <c r="H18" s="343">
        <v>0</v>
      </c>
      <c r="I18" s="343">
        <v>0</v>
      </c>
      <c r="J18" s="343">
        <v>0</v>
      </c>
      <c r="K18" s="343">
        <v>0.37</v>
      </c>
      <c r="L18" s="343">
        <v>0</v>
      </c>
    </row>
    <row r="19" spans="1:12" x14ac:dyDescent="0.3">
      <c r="A19" s="341" t="s">
        <v>1439</v>
      </c>
      <c r="B19" s="342" t="s">
        <v>1440</v>
      </c>
      <c r="C19" s="343">
        <v>150000</v>
      </c>
      <c r="D19" s="343">
        <v>94500</v>
      </c>
      <c r="E19" s="343">
        <v>94573.41</v>
      </c>
      <c r="F19" s="343">
        <v>0</v>
      </c>
      <c r="G19" s="343">
        <v>0</v>
      </c>
      <c r="H19" s="343">
        <v>0</v>
      </c>
      <c r="I19" s="343">
        <v>0</v>
      </c>
      <c r="J19" s="343">
        <v>0</v>
      </c>
      <c r="K19" s="343">
        <v>0.63</v>
      </c>
      <c r="L19" s="343">
        <v>0</v>
      </c>
    </row>
    <row r="20" spans="1:12" x14ac:dyDescent="0.3">
      <c r="A20" s="341" t="s">
        <v>1608</v>
      </c>
      <c r="B20" s="342" t="s">
        <v>448</v>
      </c>
      <c r="C20" s="343">
        <v>130000</v>
      </c>
      <c r="D20" s="343">
        <v>215800</v>
      </c>
      <c r="E20" s="343">
        <v>215800</v>
      </c>
      <c r="F20" s="343">
        <v>0</v>
      </c>
      <c r="G20" s="343">
        <v>0</v>
      </c>
      <c r="H20" s="343">
        <v>0</v>
      </c>
      <c r="I20" s="343">
        <v>0</v>
      </c>
      <c r="J20" s="343">
        <v>0</v>
      </c>
      <c r="K20" s="343">
        <v>1.66</v>
      </c>
      <c r="L20" s="343">
        <v>0</v>
      </c>
    </row>
    <row r="21" spans="1:12" x14ac:dyDescent="0.3">
      <c r="A21" s="341" t="s">
        <v>1609</v>
      </c>
      <c r="B21" s="342" t="s">
        <v>1610</v>
      </c>
      <c r="C21" s="343">
        <v>152000</v>
      </c>
      <c r="D21" s="343">
        <v>76000</v>
      </c>
      <c r="E21" s="343">
        <v>76007.680000000008</v>
      </c>
      <c r="F21" s="343">
        <v>0</v>
      </c>
      <c r="G21" s="343">
        <v>0</v>
      </c>
      <c r="H21" s="343">
        <v>0</v>
      </c>
      <c r="I21" s="343">
        <v>0</v>
      </c>
      <c r="J21" s="343">
        <v>0</v>
      </c>
      <c r="K21" s="343">
        <v>0.5</v>
      </c>
      <c r="L21" s="343">
        <v>0</v>
      </c>
    </row>
    <row r="22" spans="1:12" x14ac:dyDescent="0.3">
      <c r="A22" s="341" t="s">
        <v>1664</v>
      </c>
      <c r="B22" s="342" t="s">
        <v>1665</v>
      </c>
      <c r="C22" s="343">
        <v>75000</v>
      </c>
      <c r="D22" s="343">
        <v>49800</v>
      </c>
      <c r="E22" s="343">
        <v>49443.14</v>
      </c>
      <c r="F22" s="343">
        <v>0</v>
      </c>
      <c r="G22" s="343">
        <v>0</v>
      </c>
      <c r="H22" s="343">
        <v>0</v>
      </c>
      <c r="I22" s="343">
        <v>0</v>
      </c>
      <c r="J22" s="343">
        <v>0</v>
      </c>
      <c r="K22" s="343">
        <v>0.66500000000000004</v>
      </c>
      <c r="L22" s="343">
        <v>0</v>
      </c>
    </row>
    <row r="23" spans="1:12" x14ac:dyDescent="0.3">
      <c r="A23" s="341" t="s">
        <v>1681</v>
      </c>
      <c r="B23" s="342" t="s">
        <v>1682</v>
      </c>
      <c r="C23" s="343">
        <v>30000</v>
      </c>
      <c r="D23" s="343">
        <v>19800</v>
      </c>
      <c r="E23" s="343">
        <v>19566.150000000001</v>
      </c>
      <c r="F23" s="343">
        <v>0</v>
      </c>
      <c r="G23" s="343">
        <v>0</v>
      </c>
      <c r="H23" s="343">
        <v>0</v>
      </c>
      <c r="I23" s="343">
        <v>0</v>
      </c>
      <c r="J23" s="343">
        <v>0</v>
      </c>
      <c r="K23" s="343">
        <v>0.66</v>
      </c>
      <c r="L23" s="343">
        <v>0</v>
      </c>
    </row>
    <row r="24" spans="1:12" x14ac:dyDescent="0.3">
      <c r="A24" s="341" t="s">
        <v>1645</v>
      </c>
      <c r="B24" s="342" t="s">
        <v>1646</v>
      </c>
      <c r="C24" s="343">
        <v>30000</v>
      </c>
      <c r="D24" s="343">
        <v>78000</v>
      </c>
      <c r="E24" s="343">
        <v>78000</v>
      </c>
      <c r="F24" s="343">
        <v>0</v>
      </c>
      <c r="G24" s="343">
        <v>0</v>
      </c>
      <c r="H24" s="343">
        <v>0</v>
      </c>
      <c r="I24" s="343">
        <v>0</v>
      </c>
      <c r="J24" s="343">
        <v>0</v>
      </c>
      <c r="K24" s="343">
        <v>2.6</v>
      </c>
      <c r="L24" s="343">
        <v>0</v>
      </c>
    </row>
    <row r="25" spans="1:12" x14ac:dyDescent="0.3">
      <c r="A25" s="341" t="s">
        <v>1279</v>
      </c>
      <c r="B25" s="342" t="s">
        <v>1280</v>
      </c>
      <c r="C25" s="343">
        <v>9000</v>
      </c>
      <c r="D25" s="343">
        <v>4680</v>
      </c>
      <c r="E25" s="343">
        <v>4511.12</v>
      </c>
      <c r="F25" s="343">
        <v>0</v>
      </c>
      <c r="G25" s="343">
        <v>0</v>
      </c>
      <c r="H25" s="343">
        <v>0</v>
      </c>
      <c r="I25" s="343">
        <v>0</v>
      </c>
      <c r="J25" s="343">
        <v>0</v>
      </c>
      <c r="K25" s="343">
        <v>0.53</v>
      </c>
      <c r="L25" s="343">
        <v>0</v>
      </c>
    </row>
    <row r="26" spans="1:12" x14ac:dyDescent="0.3">
      <c r="A26" s="341" t="s">
        <v>1423</v>
      </c>
      <c r="B26" s="342" t="s">
        <v>1424</v>
      </c>
      <c r="C26" s="343">
        <v>7500</v>
      </c>
      <c r="D26" s="343">
        <v>4050</v>
      </c>
      <c r="E26" s="343">
        <v>3732.29</v>
      </c>
      <c r="F26" s="343">
        <v>0</v>
      </c>
      <c r="G26" s="343">
        <v>0</v>
      </c>
      <c r="H26" s="343">
        <v>0</v>
      </c>
      <c r="I26" s="343">
        <v>0</v>
      </c>
      <c r="J26" s="343">
        <v>0</v>
      </c>
      <c r="K26" s="343">
        <v>0.54</v>
      </c>
      <c r="L26" s="343">
        <v>0</v>
      </c>
    </row>
    <row r="27" spans="1:12" x14ac:dyDescent="0.3">
      <c r="A27" s="341" t="s">
        <v>1943</v>
      </c>
      <c r="B27" s="342" t="s">
        <v>1944</v>
      </c>
      <c r="C27" s="343">
        <v>4000</v>
      </c>
      <c r="D27" s="343">
        <v>260880</v>
      </c>
      <c r="E27" s="343">
        <v>254844.77</v>
      </c>
      <c r="F27" s="343">
        <v>0</v>
      </c>
      <c r="G27" s="343">
        <v>0</v>
      </c>
      <c r="H27" s="343">
        <v>0</v>
      </c>
      <c r="I27" s="343">
        <v>0</v>
      </c>
      <c r="J27" s="343">
        <v>0</v>
      </c>
      <c r="K27" s="343">
        <v>65.22</v>
      </c>
      <c r="L27" s="343">
        <v>0</v>
      </c>
    </row>
    <row r="28" spans="1:12" x14ac:dyDescent="0.3">
      <c r="A28" s="341" t="s">
        <v>1453</v>
      </c>
      <c r="B28" s="342" t="s">
        <v>1454</v>
      </c>
      <c r="C28" s="343">
        <v>40000</v>
      </c>
      <c r="D28" s="343">
        <v>367200</v>
      </c>
      <c r="E28" s="343">
        <v>366440.12</v>
      </c>
      <c r="F28" s="343">
        <v>0</v>
      </c>
      <c r="G28" s="343">
        <v>0</v>
      </c>
      <c r="H28" s="343">
        <v>0</v>
      </c>
      <c r="I28" s="343">
        <v>0</v>
      </c>
      <c r="J28" s="343">
        <v>0</v>
      </c>
      <c r="K28" s="343">
        <v>9.18</v>
      </c>
      <c r="L28" s="343">
        <v>0</v>
      </c>
    </row>
    <row r="29" spans="1:12" x14ac:dyDescent="0.3">
      <c r="A29" s="341" t="s">
        <v>1649</v>
      </c>
      <c r="B29" s="342" t="s">
        <v>1650</v>
      </c>
      <c r="C29" s="343">
        <v>5000</v>
      </c>
      <c r="D29" s="343">
        <v>18750</v>
      </c>
      <c r="E29" s="343">
        <v>18750</v>
      </c>
      <c r="F29" s="343">
        <v>0</v>
      </c>
      <c r="G29" s="343">
        <v>0</v>
      </c>
      <c r="H29" s="343">
        <v>0</v>
      </c>
      <c r="I29" s="343">
        <v>0</v>
      </c>
      <c r="J29" s="343">
        <v>0</v>
      </c>
      <c r="K29" s="343">
        <v>3.75</v>
      </c>
      <c r="L29" s="343">
        <v>0</v>
      </c>
    </row>
    <row r="30" spans="1:12" x14ac:dyDescent="0.3">
      <c r="A30" s="341" t="s">
        <v>1663</v>
      </c>
      <c r="B30" s="342" t="s">
        <v>1618</v>
      </c>
      <c r="C30" s="343">
        <v>200000</v>
      </c>
      <c r="D30" s="343">
        <v>4000</v>
      </c>
      <c r="E30" s="343">
        <v>4000</v>
      </c>
      <c r="F30" s="343">
        <v>0</v>
      </c>
      <c r="G30" s="343">
        <v>0</v>
      </c>
      <c r="H30" s="343">
        <v>0</v>
      </c>
      <c r="I30" s="343">
        <v>0</v>
      </c>
      <c r="J30" s="343">
        <v>0</v>
      </c>
      <c r="K30" s="343">
        <v>0.02</v>
      </c>
      <c r="L30" s="343">
        <v>0</v>
      </c>
    </row>
    <row r="31" spans="1:12" x14ac:dyDescent="0.3">
      <c r="A31" s="341" t="s">
        <v>1666</v>
      </c>
      <c r="B31" s="342" t="s">
        <v>1667</v>
      </c>
      <c r="C31" s="343">
        <v>219000</v>
      </c>
      <c r="D31" s="343">
        <v>109500</v>
      </c>
      <c r="E31" s="343">
        <v>113932.94</v>
      </c>
      <c r="F31" s="343">
        <v>0</v>
      </c>
      <c r="G31" s="343">
        <v>0</v>
      </c>
      <c r="H31" s="343">
        <v>0</v>
      </c>
      <c r="I31" s="343">
        <v>0</v>
      </c>
      <c r="J31" s="343">
        <v>0</v>
      </c>
      <c r="K31" s="343">
        <v>0.5</v>
      </c>
      <c r="L31" s="343">
        <v>0</v>
      </c>
    </row>
    <row r="32" spans="1:12" x14ac:dyDescent="0.3">
      <c r="A32" s="341" t="s">
        <v>1668</v>
      </c>
      <c r="B32" s="342" t="s">
        <v>1669</v>
      </c>
      <c r="C32" s="343">
        <v>57000</v>
      </c>
      <c r="D32" s="343">
        <v>26220</v>
      </c>
      <c r="E32" s="343">
        <v>26308.14</v>
      </c>
      <c r="F32" s="343">
        <v>0</v>
      </c>
      <c r="G32" s="343">
        <v>0</v>
      </c>
      <c r="H32" s="343">
        <v>0</v>
      </c>
      <c r="I32" s="343">
        <v>0</v>
      </c>
      <c r="J32" s="343">
        <v>0</v>
      </c>
      <c r="K32" s="343">
        <v>0.46</v>
      </c>
      <c r="L32" s="343">
        <v>0</v>
      </c>
    </row>
    <row r="33" spans="1:12" x14ac:dyDescent="0.3">
      <c r="A33" s="341" t="s">
        <v>1590</v>
      </c>
      <c r="B33" s="342" t="s">
        <v>1591</v>
      </c>
      <c r="C33" s="343">
        <v>75000</v>
      </c>
      <c r="D33" s="343">
        <v>4500</v>
      </c>
      <c r="E33" s="343">
        <v>4199.9799999999996</v>
      </c>
      <c r="F33" s="343">
        <v>0</v>
      </c>
      <c r="G33" s="343">
        <v>0</v>
      </c>
      <c r="H33" s="343">
        <v>0</v>
      </c>
      <c r="I33" s="343">
        <v>0</v>
      </c>
      <c r="J33" s="343">
        <v>0</v>
      </c>
      <c r="K33" s="343">
        <v>0.06</v>
      </c>
      <c r="L33" s="343">
        <v>0</v>
      </c>
    </row>
    <row r="34" spans="1:12" x14ac:dyDescent="0.3">
      <c r="A34" s="341" t="s">
        <v>1528</v>
      </c>
      <c r="B34" s="342" t="s">
        <v>1529</v>
      </c>
      <c r="C34" s="343">
        <v>30000</v>
      </c>
      <c r="D34" s="343">
        <v>1960500</v>
      </c>
      <c r="E34" s="343">
        <v>1919351.16</v>
      </c>
      <c r="F34" s="343">
        <v>0</v>
      </c>
      <c r="G34" s="343">
        <v>0</v>
      </c>
      <c r="H34" s="343">
        <v>0</v>
      </c>
      <c r="I34" s="343">
        <v>0</v>
      </c>
      <c r="J34" s="343">
        <v>0</v>
      </c>
      <c r="K34" s="343">
        <v>65.349999999999994</v>
      </c>
      <c r="L34" s="343">
        <v>0</v>
      </c>
    </row>
    <row r="35" spans="1:12" x14ac:dyDescent="0.3">
      <c r="A35" s="341" t="s">
        <v>1586</v>
      </c>
      <c r="B35" s="342" t="s">
        <v>1587</v>
      </c>
      <c r="C35" s="343">
        <v>20150</v>
      </c>
      <c r="D35" s="343">
        <v>1973088</v>
      </c>
      <c r="E35" s="343">
        <v>1951791.26</v>
      </c>
      <c r="F35" s="343">
        <v>0</v>
      </c>
      <c r="G35" s="343">
        <v>0</v>
      </c>
      <c r="H35" s="343">
        <v>0</v>
      </c>
      <c r="I35" s="343">
        <v>0</v>
      </c>
      <c r="J35" s="343">
        <v>0</v>
      </c>
      <c r="K35" s="343">
        <v>97.92</v>
      </c>
      <c r="L35" s="343">
        <v>0</v>
      </c>
    </row>
    <row r="36" spans="1:12" x14ac:dyDescent="0.3">
      <c r="A36" s="341" t="s">
        <v>1594</v>
      </c>
      <c r="B36" s="342" t="s">
        <v>1595</v>
      </c>
      <c r="C36" s="343">
        <v>160000</v>
      </c>
      <c r="D36" s="343">
        <v>76800</v>
      </c>
      <c r="E36" s="343">
        <v>88345.33</v>
      </c>
      <c r="F36" s="343">
        <v>0</v>
      </c>
      <c r="G36" s="343">
        <v>0</v>
      </c>
      <c r="H36" s="343">
        <v>0</v>
      </c>
      <c r="I36" s="343">
        <v>0</v>
      </c>
      <c r="J36" s="343">
        <v>0</v>
      </c>
      <c r="K36" s="343">
        <v>0.48</v>
      </c>
      <c r="L36" s="343">
        <v>0</v>
      </c>
    </row>
    <row r="37" spans="1:12" x14ac:dyDescent="0.3">
      <c r="A37" s="341" t="s">
        <v>1457</v>
      </c>
      <c r="B37" s="342" t="s">
        <v>1458</v>
      </c>
      <c r="C37" s="343">
        <v>40000</v>
      </c>
      <c r="D37" s="343">
        <v>110000</v>
      </c>
      <c r="E37" s="343">
        <v>110000</v>
      </c>
      <c r="F37" s="343">
        <v>0</v>
      </c>
      <c r="G37" s="343">
        <v>0</v>
      </c>
      <c r="H37" s="343">
        <v>0</v>
      </c>
      <c r="I37" s="343">
        <v>0</v>
      </c>
      <c r="J37" s="343">
        <v>0</v>
      </c>
      <c r="K37" s="343">
        <v>2.75</v>
      </c>
      <c r="L37" s="343">
        <v>0</v>
      </c>
    </row>
    <row r="38" spans="1:12" x14ac:dyDescent="0.3">
      <c r="A38" s="341" t="s">
        <v>1584</v>
      </c>
      <c r="B38" s="342" t="s">
        <v>1585</v>
      </c>
      <c r="C38" s="343">
        <v>49800</v>
      </c>
      <c r="D38" s="343">
        <v>283362</v>
      </c>
      <c r="E38" s="343">
        <v>283362</v>
      </c>
      <c r="F38" s="343">
        <v>0</v>
      </c>
      <c r="G38" s="343">
        <v>0</v>
      </c>
      <c r="H38" s="343">
        <v>0</v>
      </c>
      <c r="I38" s="343">
        <v>0</v>
      </c>
      <c r="J38" s="343">
        <v>0</v>
      </c>
      <c r="K38" s="343">
        <v>5.69</v>
      </c>
      <c r="L38" s="343">
        <v>0</v>
      </c>
    </row>
    <row r="39" spans="1:12" x14ac:dyDescent="0.3">
      <c r="A39" s="341" t="s">
        <v>1350</v>
      </c>
      <c r="B39" s="342" t="s">
        <v>1351</v>
      </c>
      <c r="C39" s="343">
        <v>450000</v>
      </c>
      <c r="D39" s="343">
        <v>27000</v>
      </c>
      <c r="E39" s="343">
        <v>27000</v>
      </c>
      <c r="F39" s="343">
        <v>0</v>
      </c>
      <c r="G39" s="343">
        <v>0</v>
      </c>
      <c r="H39" s="343">
        <v>0</v>
      </c>
      <c r="I39" s="343">
        <v>0</v>
      </c>
      <c r="J39" s="343">
        <v>0</v>
      </c>
      <c r="K39" s="343">
        <v>0.06</v>
      </c>
      <c r="L39" s="343">
        <v>0</v>
      </c>
    </row>
    <row r="40" spans="1:12" x14ac:dyDescent="0.3">
      <c r="A40" s="341" t="s">
        <v>1606</v>
      </c>
      <c r="B40" s="342" t="s">
        <v>1607</v>
      </c>
      <c r="C40" s="343">
        <v>140000</v>
      </c>
      <c r="D40" s="343">
        <v>8400</v>
      </c>
      <c r="E40" s="343">
        <v>7839.9699999999993</v>
      </c>
      <c r="F40" s="343">
        <v>0</v>
      </c>
      <c r="G40" s="343">
        <v>0</v>
      </c>
      <c r="H40" s="343">
        <v>0</v>
      </c>
      <c r="I40" s="343">
        <v>0</v>
      </c>
      <c r="J40" s="343">
        <v>0</v>
      </c>
      <c r="K40" s="343">
        <v>0.06</v>
      </c>
      <c r="L40" s="343">
        <v>0</v>
      </c>
    </row>
    <row r="41" spans="1:12" x14ac:dyDescent="0.3">
      <c r="A41" s="341" t="s">
        <v>1598</v>
      </c>
      <c r="B41" s="342" t="s">
        <v>1599</v>
      </c>
      <c r="C41" s="343">
        <v>50000</v>
      </c>
      <c r="D41" s="343">
        <v>3000</v>
      </c>
      <c r="E41" s="343">
        <v>2799.99</v>
      </c>
      <c r="F41" s="343">
        <v>0</v>
      </c>
      <c r="G41" s="343">
        <v>0</v>
      </c>
      <c r="H41" s="343">
        <v>0</v>
      </c>
      <c r="I41" s="343">
        <v>0</v>
      </c>
      <c r="J41" s="343">
        <v>0</v>
      </c>
      <c r="K41" s="343">
        <v>0.06</v>
      </c>
      <c r="L41" s="343">
        <v>0</v>
      </c>
    </row>
    <row r="42" spans="1:12" x14ac:dyDescent="0.3">
      <c r="A42" s="341" t="s">
        <v>1600</v>
      </c>
      <c r="B42" s="342" t="s">
        <v>1601</v>
      </c>
      <c r="C42" s="343">
        <v>60000</v>
      </c>
      <c r="D42" s="343">
        <v>3600</v>
      </c>
      <c r="E42" s="343">
        <v>3360</v>
      </c>
      <c r="F42" s="343">
        <v>0</v>
      </c>
      <c r="G42" s="343">
        <v>0</v>
      </c>
      <c r="H42" s="343">
        <v>0</v>
      </c>
      <c r="I42" s="343">
        <v>0</v>
      </c>
      <c r="J42" s="343">
        <v>0</v>
      </c>
      <c r="K42" s="343">
        <v>0.06</v>
      </c>
      <c r="L42" s="343">
        <v>0</v>
      </c>
    </row>
    <row r="43" spans="1:12" x14ac:dyDescent="0.3">
      <c r="A43" s="341" t="s">
        <v>1352</v>
      </c>
      <c r="B43" s="342" t="s">
        <v>1353</v>
      </c>
      <c r="C43" s="343">
        <v>40000</v>
      </c>
      <c r="D43" s="343">
        <v>2400</v>
      </c>
      <c r="E43" s="343">
        <v>2240.0100000000002</v>
      </c>
      <c r="F43" s="343">
        <v>0</v>
      </c>
      <c r="G43" s="343">
        <v>0</v>
      </c>
      <c r="H43" s="343">
        <v>0</v>
      </c>
      <c r="I43" s="343">
        <v>0</v>
      </c>
      <c r="J43" s="343">
        <v>0</v>
      </c>
      <c r="K43" s="343">
        <v>0.06</v>
      </c>
      <c r="L43" s="343">
        <v>0</v>
      </c>
    </row>
    <row r="44" spans="1:12" x14ac:dyDescent="0.3">
      <c r="A44" s="341" t="s">
        <v>1596</v>
      </c>
      <c r="B44" s="342" t="s">
        <v>1597</v>
      </c>
      <c r="C44" s="343">
        <v>55000</v>
      </c>
      <c r="D44" s="343">
        <v>385000</v>
      </c>
      <c r="E44" s="343">
        <v>385000</v>
      </c>
      <c r="F44" s="343">
        <v>0</v>
      </c>
      <c r="G44" s="343">
        <v>0</v>
      </c>
      <c r="H44" s="343">
        <v>0</v>
      </c>
      <c r="I44" s="343">
        <v>0</v>
      </c>
      <c r="J44" s="343">
        <v>0</v>
      </c>
      <c r="K44" s="343">
        <v>7</v>
      </c>
      <c r="L44" s="343">
        <v>0</v>
      </c>
    </row>
    <row r="45" spans="1:12" x14ac:dyDescent="0.3">
      <c r="A45" s="341" t="s">
        <v>1647</v>
      </c>
      <c r="B45" s="342" t="s">
        <v>1648</v>
      </c>
      <c r="C45" s="343">
        <v>39600</v>
      </c>
      <c r="D45" s="343">
        <v>1184832</v>
      </c>
      <c r="E45" s="343">
        <v>1268216.29</v>
      </c>
      <c r="F45" s="343">
        <v>0</v>
      </c>
      <c r="G45" s="343">
        <v>0</v>
      </c>
      <c r="H45" s="343">
        <v>0</v>
      </c>
      <c r="I45" s="343">
        <v>0</v>
      </c>
      <c r="J45" s="343">
        <v>0</v>
      </c>
      <c r="K45" s="343">
        <v>29.92</v>
      </c>
      <c r="L45" s="343">
        <v>0</v>
      </c>
    </row>
    <row r="46" spans="1:12" x14ac:dyDescent="0.3">
      <c r="A46" s="341" t="s">
        <v>1592</v>
      </c>
      <c r="B46" s="342" t="s">
        <v>1593</v>
      </c>
      <c r="C46" s="343">
        <v>40000</v>
      </c>
      <c r="D46" s="343">
        <v>2400</v>
      </c>
      <c r="E46" s="343">
        <v>2241.41</v>
      </c>
      <c r="F46" s="343">
        <v>0</v>
      </c>
      <c r="G46" s="343">
        <v>0</v>
      </c>
      <c r="H46" s="343">
        <v>0</v>
      </c>
      <c r="I46" s="343">
        <v>0</v>
      </c>
      <c r="J46" s="343">
        <v>0</v>
      </c>
      <c r="K46" s="343">
        <v>0.06</v>
      </c>
      <c r="L46" s="343">
        <v>0</v>
      </c>
    </row>
    <row r="47" spans="1:12" x14ac:dyDescent="0.3">
      <c r="A47" s="341" t="s">
        <v>1338</v>
      </c>
      <c r="B47" s="342" t="s">
        <v>1339</v>
      </c>
      <c r="C47" s="343">
        <v>4000</v>
      </c>
      <c r="D47" s="343">
        <v>3680</v>
      </c>
      <c r="E47" s="343">
        <v>3200</v>
      </c>
      <c r="F47" s="343">
        <v>0</v>
      </c>
      <c r="G47" s="343">
        <v>0</v>
      </c>
      <c r="H47" s="343">
        <v>0</v>
      </c>
      <c r="I47" s="343">
        <v>0</v>
      </c>
      <c r="J47" s="343">
        <v>0</v>
      </c>
      <c r="K47" s="343">
        <v>0.92</v>
      </c>
      <c r="L47" s="343">
        <v>0</v>
      </c>
    </row>
    <row r="48" spans="1:12" x14ac:dyDescent="0.3">
      <c r="A48" s="341" t="s">
        <v>1578</v>
      </c>
      <c r="B48" s="342" t="s">
        <v>1579</v>
      </c>
      <c r="C48" s="343">
        <v>48000</v>
      </c>
      <c r="D48" s="343">
        <v>93600</v>
      </c>
      <c r="E48" s="343">
        <v>93600</v>
      </c>
      <c r="F48" s="343">
        <v>0</v>
      </c>
      <c r="G48" s="343">
        <v>0</v>
      </c>
      <c r="H48" s="343">
        <v>0</v>
      </c>
      <c r="I48" s="343">
        <v>0</v>
      </c>
      <c r="J48" s="343">
        <v>0</v>
      </c>
      <c r="K48" s="343">
        <v>1.95</v>
      </c>
      <c r="L48" s="343">
        <v>0</v>
      </c>
    </row>
    <row r="49" spans="1:12" x14ac:dyDescent="0.3">
      <c r="A49" s="341" t="s">
        <v>1361</v>
      </c>
      <c r="B49" s="342" t="s">
        <v>1362</v>
      </c>
      <c r="C49" s="343">
        <v>50000</v>
      </c>
      <c r="D49" s="343">
        <v>3000</v>
      </c>
      <c r="E49" s="343">
        <v>2800</v>
      </c>
      <c r="F49" s="343">
        <v>0</v>
      </c>
      <c r="G49" s="343">
        <v>0</v>
      </c>
      <c r="H49" s="343">
        <v>0</v>
      </c>
      <c r="I49" s="343">
        <v>0</v>
      </c>
      <c r="J49" s="343">
        <v>0</v>
      </c>
      <c r="K49" s="343">
        <v>0.06</v>
      </c>
      <c r="L49" s="343">
        <v>0</v>
      </c>
    </row>
    <row r="50" spans="1:12" x14ac:dyDescent="0.3">
      <c r="A50" s="341" t="s">
        <v>1611</v>
      </c>
      <c r="B50" s="342" t="s">
        <v>1612</v>
      </c>
      <c r="C50" s="343">
        <v>55000</v>
      </c>
      <c r="D50" s="343">
        <v>3300</v>
      </c>
      <c r="E50" s="343">
        <v>3080</v>
      </c>
      <c r="F50" s="343">
        <v>0</v>
      </c>
      <c r="G50" s="343">
        <v>0</v>
      </c>
      <c r="H50" s="343">
        <v>0</v>
      </c>
      <c r="I50" s="343">
        <v>0</v>
      </c>
      <c r="J50" s="343">
        <v>0</v>
      </c>
      <c r="K50" s="343">
        <v>0.06</v>
      </c>
      <c r="L50" s="343">
        <v>0</v>
      </c>
    </row>
    <row r="51" spans="1:12" x14ac:dyDescent="0.3">
      <c r="A51" s="341" t="s">
        <v>1604</v>
      </c>
      <c r="B51" s="342" t="s">
        <v>1605</v>
      </c>
      <c r="C51" s="343">
        <v>50000</v>
      </c>
      <c r="D51" s="343">
        <v>3500</v>
      </c>
      <c r="E51" s="343">
        <v>3600</v>
      </c>
      <c r="F51" s="343">
        <v>0</v>
      </c>
      <c r="G51" s="343">
        <v>0</v>
      </c>
      <c r="H51" s="343">
        <v>0</v>
      </c>
      <c r="I51" s="343">
        <v>0</v>
      </c>
      <c r="J51" s="343">
        <v>0</v>
      </c>
      <c r="K51" s="343">
        <v>7.0000000000000007E-2</v>
      </c>
      <c r="L51" s="343">
        <v>0</v>
      </c>
    </row>
    <row r="52" spans="1:12" x14ac:dyDescent="0.3">
      <c r="A52" s="341" t="s">
        <v>1602</v>
      </c>
      <c r="B52" s="342" t="s">
        <v>1603</v>
      </c>
      <c r="C52" s="343">
        <v>60000</v>
      </c>
      <c r="D52" s="343">
        <v>5400</v>
      </c>
      <c r="E52" s="343">
        <v>5340</v>
      </c>
      <c r="F52" s="343">
        <v>0</v>
      </c>
      <c r="G52" s="343">
        <v>0</v>
      </c>
      <c r="H52" s="343">
        <v>0</v>
      </c>
      <c r="I52" s="343">
        <v>0</v>
      </c>
      <c r="J52" s="343">
        <v>0</v>
      </c>
      <c r="K52" s="343">
        <v>0.09</v>
      </c>
      <c r="L52" s="343">
        <v>0</v>
      </c>
    </row>
    <row r="53" spans="1:12" x14ac:dyDescent="0.3">
      <c r="A53" s="341" t="s">
        <v>1580</v>
      </c>
      <c r="B53" s="342" t="s">
        <v>1581</v>
      </c>
      <c r="C53" s="343">
        <v>48000</v>
      </c>
      <c r="D53" s="343">
        <v>502080</v>
      </c>
      <c r="E53" s="343">
        <v>499199.62</v>
      </c>
      <c r="F53" s="343">
        <v>0</v>
      </c>
      <c r="G53" s="343">
        <v>0</v>
      </c>
      <c r="H53" s="343">
        <v>0</v>
      </c>
      <c r="I53" s="343">
        <v>0</v>
      </c>
      <c r="J53" s="343">
        <v>0</v>
      </c>
      <c r="K53" s="343">
        <v>10.46</v>
      </c>
      <c r="L53" s="343">
        <v>0</v>
      </c>
    </row>
    <row r="54" spans="1:12" x14ac:dyDescent="0.3">
      <c r="A54" s="341" t="s">
        <v>1695</v>
      </c>
      <c r="B54" s="342" t="s">
        <v>1696</v>
      </c>
      <c r="C54" s="343">
        <v>19413</v>
      </c>
      <c r="D54" s="343">
        <v>148509.45000000001</v>
      </c>
      <c r="E54" s="343">
        <v>148502.39000000001</v>
      </c>
      <c r="F54" s="343">
        <v>0</v>
      </c>
      <c r="G54" s="343">
        <v>0</v>
      </c>
      <c r="H54" s="343">
        <v>0</v>
      </c>
      <c r="I54" s="343">
        <v>0</v>
      </c>
      <c r="J54" s="343">
        <v>0</v>
      </c>
      <c r="K54" s="343">
        <v>7.65</v>
      </c>
      <c r="L54" s="343">
        <v>0</v>
      </c>
    </row>
    <row r="55" spans="1:12" x14ac:dyDescent="0.3">
      <c r="A55" s="341" t="s">
        <v>1310</v>
      </c>
      <c r="B55" s="342" t="s">
        <v>1311</v>
      </c>
      <c r="C55" s="343">
        <v>20000</v>
      </c>
      <c r="D55" s="343">
        <v>145600</v>
      </c>
      <c r="E55" s="343">
        <v>144473.04999999999</v>
      </c>
      <c r="F55" s="343">
        <v>0</v>
      </c>
      <c r="G55" s="343">
        <v>0</v>
      </c>
      <c r="H55" s="343">
        <v>0</v>
      </c>
      <c r="I55" s="343">
        <v>0</v>
      </c>
      <c r="J55" s="343">
        <v>0</v>
      </c>
      <c r="K55" s="343">
        <v>7.28</v>
      </c>
      <c r="L55" s="343">
        <v>0</v>
      </c>
    </row>
    <row r="56" spans="1:12" x14ac:dyDescent="0.3">
      <c r="A56" s="341" t="s">
        <v>1521</v>
      </c>
      <c r="B56" s="342" t="s">
        <v>1522</v>
      </c>
      <c r="C56" s="343">
        <v>27900</v>
      </c>
      <c r="D56" s="343">
        <v>290160</v>
      </c>
      <c r="E56" s="343">
        <v>281845.96999999997</v>
      </c>
      <c r="F56" s="343">
        <v>0</v>
      </c>
      <c r="G56" s="343">
        <v>0</v>
      </c>
      <c r="H56" s="343">
        <v>0</v>
      </c>
      <c r="I56" s="343">
        <v>0</v>
      </c>
      <c r="J56" s="343">
        <v>0</v>
      </c>
      <c r="K56" s="343">
        <v>10.4</v>
      </c>
      <c r="L56" s="343">
        <v>0</v>
      </c>
    </row>
    <row r="57" spans="1:12" x14ac:dyDescent="0.3">
      <c r="A57" s="341" t="s">
        <v>1582</v>
      </c>
      <c r="B57" s="342" t="s">
        <v>1583</v>
      </c>
      <c r="C57" s="343">
        <v>39000</v>
      </c>
      <c r="D57" s="343">
        <v>477360</v>
      </c>
      <c r="E57" s="343">
        <v>478092.29</v>
      </c>
      <c r="F57" s="343">
        <v>0</v>
      </c>
      <c r="G57" s="343">
        <v>0</v>
      </c>
      <c r="H57" s="343">
        <v>0</v>
      </c>
      <c r="I57" s="343">
        <v>0</v>
      </c>
      <c r="J57" s="343">
        <v>0</v>
      </c>
      <c r="K57" s="343">
        <v>12.24</v>
      </c>
      <c r="L57" s="343">
        <v>0</v>
      </c>
    </row>
    <row r="58" spans="1:12" x14ac:dyDescent="0.3">
      <c r="A58" s="341" t="s">
        <v>1523</v>
      </c>
      <c r="B58" s="342" t="s">
        <v>1524</v>
      </c>
      <c r="C58" s="343">
        <v>40000</v>
      </c>
      <c r="D58" s="343">
        <v>800</v>
      </c>
      <c r="E58" s="343">
        <v>800</v>
      </c>
      <c r="F58" s="343">
        <v>0</v>
      </c>
      <c r="G58" s="343">
        <v>0</v>
      </c>
      <c r="H58" s="343">
        <v>0</v>
      </c>
      <c r="I58" s="343">
        <v>0</v>
      </c>
      <c r="J58" s="343">
        <v>0</v>
      </c>
      <c r="K58" s="343">
        <v>0.02</v>
      </c>
      <c r="L58" s="343">
        <v>0</v>
      </c>
    </row>
    <row r="59" spans="1:12" x14ac:dyDescent="0.3">
      <c r="A59" s="341" t="s">
        <v>1525</v>
      </c>
      <c r="B59" s="342" t="s">
        <v>1526</v>
      </c>
      <c r="C59" s="343">
        <v>30000</v>
      </c>
      <c r="D59" s="343">
        <v>600</v>
      </c>
      <c r="E59" s="343">
        <v>600</v>
      </c>
      <c r="F59" s="343">
        <v>0</v>
      </c>
      <c r="G59" s="343">
        <v>0</v>
      </c>
      <c r="H59" s="343">
        <v>0</v>
      </c>
      <c r="I59" s="343">
        <v>0</v>
      </c>
      <c r="J59" s="343">
        <v>0</v>
      </c>
      <c r="K59" s="343">
        <v>0.02</v>
      </c>
      <c r="L59" s="343">
        <v>0</v>
      </c>
    </row>
    <row r="60" spans="1:12" x14ac:dyDescent="0.3">
      <c r="A60" s="341" t="s">
        <v>1894</v>
      </c>
      <c r="B60" s="342" t="s">
        <v>1895</v>
      </c>
      <c r="C60" s="343">
        <v>5000</v>
      </c>
      <c r="D60" s="343">
        <v>29500</v>
      </c>
      <c r="E60" s="343">
        <v>29500</v>
      </c>
      <c r="F60" s="343">
        <v>0</v>
      </c>
      <c r="G60" s="343">
        <v>0</v>
      </c>
      <c r="H60" s="343">
        <v>0</v>
      </c>
      <c r="I60" s="343">
        <v>0</v>
      </c>
      <c r="J60" s="343">
        <v>0</v>
      </c>
      <c r="K60" s="343">
        <v>5.9</v>
      </c>
      <c r="L60" s="343">
        <v>0</v>
      </c>
    </row>
    <row r="61" spans="1:12" x14ac:dyDescent="0.3">
      <c r="A61" s="341" t="s">
        <v>1375</v>
      </c>
      <c r="B61" s="342" t="s">
        <v>1376</v>
      </c>
      <c r="C61" s="343">
        <v>37455</v>
      </c>
      <c r="D61" s="343">
        <v>151318.20000000001</v>
      </c>
      <c r="E61" s="343">
        <v>136588.82999999999</v>
      </c>
      <c r="F61" s="343">
        <v>0</v>
      </c>
      <c r="G61" s="343">
        <v>0</v>
      </c>
      <c r="H61" s="343">
        <v>0</v>
      </c>
      <c r="I61" s="343">
        <v>0</v>
      </c>
      <c r="J61" s="343">
        <v>0</v>
      </c>
      <c r="K61" s="343">
        <v>4.04</v>
      </c>
      <c r="L61" s="343">
        <v>0</v>
      </c>
    </row>
    <row r="62" spans="1:12" x14ac:dyDescent="0.3">
      <c r="A62" s="341" t="s">
        <v>1672</v>
      </c>
      <c r="B62" s="342" t="s">
        <v>1673</v>
      </c>
      <c r="C62" s="343">
        <v>21000</v>
      </c>
      <c r="D62" s="343">
        <v>13860</v>
      </c>
      <c r="E62" s="343">
        <v>14046.36</v>
      </c>
      <c r="F62" s="343">
        <v>0</v>
      </c>
      <c r="G62" s="343">
        <v>0</v>
      </c>
      <c r="H62" s="343">
        <v>0</v>
      </c>
      <c r="I62" s="343">
        <v>0</v>
      </c>
      <c r="J62" s="343">
        <v>0</v>
      </c>
      <c r="K62" s="343">
        <v>0.66</v>
      </c>
      <c r="L62" s="343">
        <v>0</v>
      </c>
    </row>
    <row r="63" spans="1:12" x14ac:dyDescent="0.3">
      <c r="A63" s="341" t="s">
        <v>1651</v>
      </c>
      <c r="B63" s="342" t="s">
        <v>1589</v>
      </c>
      <c r="C63" s="343">
        <v>20000</v>
      </c>
      <c r="D63" s="343">
        <v>7400</v>
      </c>
      <c r="E63" s="343">
        <v>7400</v>
      </c>
      <c r="F63" s="343">
        <v>0</v>
      </c>
      <c r="G63" s="343">
        <v>0</v>
      </c>
      <c r="H63" s="343">
        <v>0</v>
      </c>
      <c r="I63" s="343">
        <v>0</v>
      </c>
      <c r="J63" s="343">
        <v>0</v>
      </c>
      <c r="K63" s="343">
        <v>0.37</v>
      </c>
      <c r="L63" s="343">
        <v>0</v>
      </c>
    </row>
    <row r="64" spans="1:12" x14ac:dyDescent="0.3">
      <c r="A64" s="341" t="s">
        <v>1652</v>
      </c>
      <c r="B64" s="342" t="s">
        <v>1653</v>
      </c>
      <c r="C64" s="343">
        <v>3000</v>
      </c>
      <c r="D64" s="343">
        <v>8370</v>
      </c>
      <c r="E64" s="343">
        <v>8153.23</v>
      </c>
      <c r="F64" s="343">
        <v>0</v>
      </c>
      <c r="G64" s="343">
        <v>0</v>
      </c>
      <c r="H64" s="343">
        <v>0</v>
      </c>
      <c r="I64" s="343">
        <v>0</v>
      </c>
      <c r="J64" s="343">
        <v>0</v>
      </c>
      <c r="K64" s="343">
        <v>2.79</v>
      </c>
      <c r="L64" s="343">
        <v>0</v>
      </c>
    </row>
    <row r="65" spans="1:12" x14ac:dyDescent="0.3">
      <c r="A65" s="341" t="s">
        <v>437</v>
      </c>
      <c r="B65" s="342" t="s">
        <v>438</v>
      </c>
      <c r="C65" s="343">
        <v>39150</v>
      </c>
      <c r="D65" s="343">
        <v>1350675</v>
      </c>
      <c r="E65" s="343">
        <v>1302346.57</v>
      </c>
      <c r="F65" s="343">
        <v>0</v>
      </c>
      <c r="G65" s="343">
        <v>0</v>
      </c>
      <c r="H65" s="343">
        <v>0</v>
      </c>
      <c r="I65" s="343">
        <v>0</v>
      </c>
      <c r="J65" s="343">
        <v>0</v>
      </c>
      <c r="K65" s="343">
        <v>34.5</v>
      </c>
      <c r="L65" s="343">
        <v>965047.5</v>
      </c>
    </row>
    <row r="66" spans="1:12" x14ac:dyDescent="0.3">
      <c r="A66" s="341" t="s">
        <v>1312</v>
      </c>
      <c r="B66" s="342" t="s">
        <v>1313</v>
      </c>
      <c r="C66" s="343">
        <v>4000</v>
      </c>
      <c r="D66" s="343">
        <v>440</v>
      </c>
      <c r="E66" s="343">
        <v>313.95999999999998</v>
      </c>
      <c r="F66" s="343">
        <v>0</v>
      </c>
      <c r="G66" s="343">
        <v>0</v>
      </c>
      <c r="H66" s="343">
        <v>0</v>
      </c>
      <c r="I66" s="343">
        <v>0</v>
      </c>
      <c r="J66" s="343">
        <v>0</v>
      </c>
      <c r="K66" s="343">
        <v>0.11</v>
      </c>
      <c r="L66" s="343">
        <v>0</v>
      </c>
    </row>
    <row r="67" spans="1:12" x14ac:dyDescent="0.3">
      <c r="A67" s="341" t="s">
        <v>1267</v>
      </c>
      <c r="B67" s="342" t="s">
        <v>1268</v>
      </c>
      <c r="C67" s="343">
        <v>4000</v>
      </c>
      <c r="D67" s="343">
        <v>520</v>
      </c>
      <c r="E67" s="343">
        <v>519.48</v>
      </c>
      <c r="F67" s="343">
        <v>0</v>
      </c>
      <c r="G67" s="343">
        <v>0</v>
      </c>
      <c r="H67" s="343">
        <v>0</v>
      </c>
      <c r="I67" s="343">
        <v>0</v>
      </c>
      <c r="J67" s="343">
        <v>0</v>
      </c>
      <c r="K67" s="343">
        <v>0.13</v>
      </c>
      <c r="L67" s="343">
        <v>0</v>
      </c>
    </row>
    <row r="68" spans="1:12" x14ac:dyDescent="0.3">
      <c r="A68" s="341" t="s">
        <v>1377</v>
      </c>
      <c r="B68" s="342" t="s">
        <v>1378</v>
      </c>
      <c r="C68" s="343">
        <v>40500</v>
      </c>
      <c r="D68" s="343">
        <v>1138860</v>
      </c>
      <c r="E68" s="343">
        <v>1026910.49</v>
      </c>
      <c r="F68" s="343">
        <v>0</v>
      </c>
      <c r="G68" s="343">
        <v>0</v>
      </c>
      <c r="H68" s="343">
        <v>0</v>
      </c>
      <c r="I68" s="343">
        <v>0</v>
      </c>
      <c r="J68" s="343">
        <v>0</v>
      </c>
      <c r="K68" s="343">
        <v>28.12</v>
      </c>
      <c r="L68" s="343">
        <v>0</v>
      </c>
    </row>
    <row r="69" spans="1:12" x14ac:dyDescent="0.3">
      <c r="A69" s="341" t="s">
        <v>1621</v>
      </c>
      <c r="B69" s="342" t="s">
        <v>1622</v>
      </c>
      <c r="C69" s="343">
        <v>70000</v>
      </c>
      <c r="D69" s="343">
        <v>350000</v>
      </c>
      <c r="E69" s="343">
        <v>350000</v>
      </c>
      <c r="F69" s="343">
        <v>0</v>
      </c>
      <c r="G69" s="343">
        <v>0</v>
      </c>
      <c r="H69" s="343">
        <v>0</v>
      </c>
      <c r="I69" s="343">
        <v>0</v>
      </c>
      <c r="J69" s="343">
        <v>0</v>
      </c>
      <c r="K69" s="343">
        <v>5</v>
      </c>
      <c r="L69" s="343">
        <v>0</v>
      </c>
    </row>
    <row r="70" spans="1:12" x14ac:dyDescent="0.3">
      <c r="A70" s="341" t="s">
        <v>1619</v>
      </c>
      <c r="B70" s="342" t="s">
        <v>1620</v>
      </c>
      <c r="C70" s="343">
        <v>40000</v>
      </c>
      <c r="D70" s="343">
        <v>4000</v>
      </c>
      <c r="E70" s="343">
        <v>3802.71</v>
      </c>
      <c r="F70" s="343">
        <v>0</v>
      </c>
      <c r="G70" s="343">
        <v>0</v>
      </c>
      <c r="H70" s="343">
        <v>0</v>
      </c>
      <c r="I70" s="343">
        <v>0</v>
      </c>
      <c r="J70" s="343">
        <v>0</v>
      </c>
      <c r="K70" s="343">
        <v>0.1</v>
      </c>
      <c r="L70" s="343">
        <v>0</v>
      </c>
    </row>
    <row r="71" spans="1:12" x14ac:dyDescent="0.3">
      <c r="A71" s="341" t="s">
        <v>1670</v>
      </c>
      <c r="B71" s="342" t="s">
        <v>1671</v>
      </c>
      <c r="C71" s="343">
        <v>18000</v>
      </c>
      <c r="D71" s="343">
        <v>54720</v>
      </c>
      <c r="E71" s="343">
        <v>53926.16</v>
      </c>
      <c r="F71" s="343">
        <v>0</v>
      </c>
      <c r="G71" s="343">
        <v>0</v>
      </c>
      <c r="H71" s="343">
        <v>0</v>
      </c>
      <c r="I71" s="343">
        <v>0</v>
      </c>
      <c r="J71" s="343">
        <v>0</v>
      </c>
      <c r="K71" s="343">
        <v>3.04</v>
      </c>
      <c r="L71" s="343">
        <v>0</v>
      </c>
    </row>
    <row r="72" spans="1:12" x14ac:dyDescent="0.3">
      <c r="A72" s="341" t="s">
        <v>1213</v>
      </c>
      <c r="B72" s="342" t="s">
        <v>1214</v>
      </c>
      <c r="C72" s="343">
        <v>95000</v>
      </c>
      <c r="D72" s="343">
        <v>40850</v>
      </c>
      <c r="E72" s="343">
        <v>46015.630000000005</v>
      </c>
      <c r="F72" s="343">
        <v>0</v>
      </c>
      <c r="G72" s="343">
        <v>0</v>
      </c>
      <c r="H72" s="343">
        <v>0</v>
      </c>
      <c r="I72" s="343">
        <v>0</v>
      </c>
      <c r="J72" s="343">
        <v>0</v>
      </c>
      <c r="K72" s="343">
        <v>0.43</v>
      </c>
      <c r="L72" s="343">
        <v>0</v>
      </c>
    </row>
    <row r="73" spans="1:12" x14ac:dyDescent="0.3">
      <c r="A73" s="341" t="s">
        <v>1615</v>
      </c>
      <c r="B73" s="342" t="s">
        <v>1616</v>
      </c>
      <c r="C73" s="343">
        <v>70000</v>
      </c>
      <c r="D73" s="343">
        <v>548800</v>
      </c>
      <c r="E73" s="343">
        <v>539756.49</v>
      </c>
      <c r="F73" s="343">
        <v>0</v>
      </c>
      <c r="G73" s="343">
        <v>0</v>
      </c>
      <c r="H73" s="343">
        <v>0</v>
      </c>
      <c r="I73" s="343">
        <v>0</v>
      </c>
      <c r="J73" s="343">
        <v>0</v>
      </c>
      <c r="K73" s="343">
        <v>7.84</v>
      </c>
      <c r="L73" s="343">
        <v>0</v>
      </c>
    </row>
    <row r="74" spans="1:12" x14ac:dyDescent="0.3">
      <c r="A74" s="341" t="s">
        <v>1314</v>
      </c>
      <c r="B74" s="342" t="s">
        <v>1315</v>
      </c>
      <c r="C74" s="343">
        <v>7500</v>
      </c>
      <c r="D74" s="343">
        <v>14550</v>
      </c>
      <c r="E74" s="343">
        <v>6800.95</v>
      </c>
      <c r="F74" s="343">
        <v>0</v>
      </c>
      <c r="G74" s="343">
        <v>0</v>
      </c>
      <c r="H74" s="343">
        <v>0</v>
      </c>
      <c r="I74" s="343">
        <v>0</v>
      </c>
      <c r="J74" s="343">
        <v>0</v>
      </c>
      <c r="K74" s="343">
        <v>1.94</v>
      </c>
      <c r="L74" s="343">
        <v>0</v>
      </c>
    </row>
    <row r="75" spans="1:12" x14ac:dyDescent="0.3">
      <c r="A75" s="341" t="s">
        <v>1387</v>
      </c>
      <c r="B75" s="342" t="s">
        <v>1388</v>
      </c>
      <c r="C75" s="343">
        <v>4000</v>
      </c>
      <c r="D75" s="343">
        <v>56560</v>
      </c>
      <c r="E75" s="343">
        <v>55440</v>
      </c>
      <c r="F75" s="343">
        <v>0</v>
      </c>
      <c r="G75" s="343">
        <v>0</v>
      </c>
      <c r="H75" s="343">
        <v>0</v>
      </c>
      <c r="I75" s="343">
        <v>0</v>
      </c>
      <c r="J75" s="343">
        <v>0</v>
      </c>
      <c r="K75" s="343">
        <v>14.14</v>
      </c>
      <c r="L75" s="343">
        <v>0</v>
      </c>
    </row>
    <row r="76" spans="1:12" x14ac:dyDescent="0.3">
      <c r="A76" s="341" t="s">
        <v>1385</v>
      </c>
      <c r="B76" s="342" t="s">
        <v>1386</v>
      </c>
      <c r="C76" s="343">
        <v>4000</v>
      </c>
      <c r="D76" s="343">
        <v>50280</v>
      </c>
      <c r="E76" s="343">
        <v>49280</v>
      </c>
      <c r="F76" s="343">
        <v>0</v>
      </c>
      <c r="G76" s="343">
        <v>0</v>
      </c>
      <c r="H76" s="343">
        <v>0</v>
      </c>
      <c r="I76" s="343">
        <v>0</v>
      </c>
      <c r="J76" s="343">
        <v>0</v>
      </c>
      <c r="K76" s="343">
        <v>12.57</v>
      </c>
      <c r="L76" s="343">
        <v>0</v>
      </c>
    </row>
    <row r="77" spans="1:12" x14ac:dyDescent="0.3">
      <c r="A77" s="341" t="s">
        <v>1320</v>
      </c>
      <c r="B77" s="342" t="s">
        <v>1321</v>
      </c>
      <c r="C77" s="343">
        <v>15000</v>
      </c>
      <c r="D77" s="343">
        <v>6450</v>
      </c>
      <c r="E77" s="343">
        <v>23062.47</v>
      </c>
      <c r="F77" s="343">
        <v>0</v>
      </c>
      <c r="G77" s="343">
        <v>0</v>
      </c>
      <c r="H77" s="343">
        <v>0</v>
      </c>
      <c r="I77" s="343">
        <v>0</v>
      </c>
      <c r="J77" s="343">
        <v>0</v>
      </c>
      <c r="K77" s="343">
        <v>0.43</v>
      </c>
      <c r="L77" s="343">
        <v>0</v>
      </c>
    </row>
    <row r="78" spans="1:12" x14ac:dyDescent="0.3">
      <c r="A78" s="341" t="s">
        <v>1281</v>
      </c>
      <c r="B78" s="342" t="s">
        <v>1282</v>
      </c>
      <c r="C78" s="343">
        <v>2500</v>
      </c>
      <c r="D78" s="343">
        <v>25175</v>
      </c>
      <c r="E78" s="343">
        <v>24038.55</v>
      </c>
      <c r="F78" s="343">
        <v>0</v>
      </c>
      <c r="G78" s="343">
        <v>0</v>
      </c>
      <c r="H78" s="343">
        <v>0</v>
      </c>
      <c r="I78" s="343">
        <v>0</v>
      </c>
      <c r="J78" s="343">
        <v>0</v>
      </c>
      <c r="K78" s="343">
        <v>10.07</v>
      </c>
      <c r="L78" s="343">
        <v>0</v>
      </c>
    </row>
    <row r="79" spans="1:12" x14ac:dyDescent="0.3">
      <c r="A79" s="341" t="s">
        <v>1328</v>
      </c>
      <c r="B79" s="342" t="s">
        <v>1329</v>
      </c>
      <c r="C79" s="343">
        <v>4000</v>
      </c>
      <c r="D79" s="343">
        <v>16480</v>
      </c>
      <c r="E79" s="343">
        <v>16565.82</v>
      </c>
      <c r="F79" s="343">
        <v>0</v>
      </c>
      <c r="G79" s="343">
        <v>0</v>
      </c>
      <c r="H79" s="343">
        <v>0</v>
      </c>
      <c r="I79" s="343">
        <v>0</v>
      </c>
      <c r="J79" s="343">
        <v>0</v>
      </c>
      <c r="K79" s="343">
        <v>4.12</v>
      </c>
      <c r="L79" s="343">
        <v>0</v>
      </c>
    </row>
    <row r="80" spans="1:12" x14ac:dyDescent="0.3">
      <c r="A80" s="341" t="s">
        <v>1613</v>
      </c>
      <c r="B80" s="342" t="s">
        <v>1614</v>
      </c>
      <c r="C80" s="343">
        <v>20000</v>
      </c>
      <c r="D80" s="343">
        <v>89600</v>
      </c>
      <c r="E80" s="343">
        <v>89600</v>
      </c>
      <c r="F80" s="343">
        <v>0</v>
      </c>
      <c r="G80" s="343">
        <v>0</v>
      </c>
      <c r="H80" s="343">
        <v>0</v>
      </c>
      <c r="I80" s="343">
        <v>0</v>
      </c>
      <c r="J80" s="343">
        <v>0</v>
      </c>
      <c r="K80" s="343">
        <v>4.4800000000000004</v>
      </c>
      <c r="L80" s="343">
        <v>0</v>
      </c>
    </row>
    <row r="81" spans="1:12" x14ac:dyDescent="0.3">
      <c r="A81" s="341" t="s">
        <v>1617</v>
      </c>
      <c r="B81" s="342" t="s">
        <v>1618</v>
      </c>
      <c r="C81" s="343">
        <v>30000</v>
      </c>
      <c r="D81" s="343">
        <v>600</v>
      </c>
      <c r="E81" s="343">
        <v>600</v>
      </c>
      <c r="F81" s="343">
        <v>0</v>
      </c>
      <c r="G81" s="343">
        <v>0</v>
      </c>
      <c r="H81" s="343">
        <v>0</v>
      </c>
      <c r="I81" s="343">
        <v>0</v>
      </c>
      <c r="J81" s="343">
        <v>0</v>
      </c>
      <c r="K81" s="343">
        <v>0.02</v>
      </c>
      <c r="L81" s="343">
        <v>0</v>
      </c>
    </row>
    <row r="82" spans="1:12" x14ac:dyDescent="0.3">
      <c r="A82" s="341" t="s">
        <v>1683</v>
      </c>
      <c r="B82" s="342" t="s">
        <v>1684</v>
      </c>
      <c r="C82" s="343">
        <v>1200</v>
      </c>
      <c r="D82" s="343">
        <v>7224</v>
      </c>
      <c r="E82" s="343">
        <v>7097.29</v>
      </c>
      <c r="F82" s="343">
        <v>0</v>
      </c>
      <c r="G82" s="343">
        <v>0</v>
      </c>
      <c r="H82" s="343">
        <v>0</v>
      </c>
      <c r="I82" s="343">
        <v>0</v>
      </c>
      <c r="J82" s="343">
        <v>0</v>
      </c>
      <c r="K82" s="343">
        <v>6.02</v>
      </c>
      <c r="L82" s="343">
        <v>0</v>
      </c>
    </row>
    <row r="83" spans="1:12" x14ac:dyDescent="0.3">
      <c r="A83" s="341" t="s">
        <v>1654</v>
      </c>
      <c r="B83" s="342" t="s">
        <v>1655</v>
      </c>
      <c r="C83" s="343">
        <v>3000</v>
      </c>
      <c r="D83" s="343">
        <v>159210</v>
      </c>
      <c r="E83" s="343">
        <v>147650.39000000001</v>
      </c>
      <c r="F83" s="343">
        <v>0</v>
      </c>
      <c r="G83" s="343">
        <v>0</v>
      </c>
      <c r="H83" s="343">
        <v>0</v>
      </c>
      <c r="I83" s="343">
        <v>0</v>
      </c>
      <c r="J83" s="343">
        <v>0</v>
      </c>
      <c r="K83" s="343">
        <v>53.07</v>
      </c>
      <c r="L83" s="343">
        <v>0</v>
      </c>
    </row>
    <row r="84" spans="1:12" x14ac:dyDescent="0.3">
      <c r="A84" s="341" t="s">
        <v>1251</v>
      </c>
      <c r="B84" s="342" t="s">
        <v>1252</v>
      </c>
      <c r="C84" s="343">
        <v>7243</v>
      </c>
      <c r="D84" s="343">
        <v>96042.18</v>
      </c>
      <c r="E84" s="343">
        <v>94159</v>
      </c>
      <c r="F84" s="343">
        <v>0</v>
      </c>
      <c r="G84" s="343">
        <v>0</v>
      </c>
      <c r="H84" s="343">
        <v>0</v>
      </c>
      <c r="I84" s="343">
        <v>0</v>
      </c>
      <c r="J84" s="343">
        <v>0</v>
      </c>
      <c r="K84" s="343">
        <v>13.26</v>
      </c>
      <c r="L84" s="343">
        <v>0</v>
      </c>
    </row>
    <row r="85" spans="1:12" x14ac:dyDescent="0.3">
      <c r="A85" s="341" t="s">
        <v>1227</v>
      </c>
      <c r="B85" s="342" t="s">
        <v>1228</v>
      </c>
      <c r="C85" s="343">
        <v>10407</v>
      </c>
      <c r="D85" s="343">
        <v>68998.41</v>
      </c>
      <c r="E85" s="343">
        <v>79528.72</v>
      </c>
      <c r="F85" s="343">
        <v>0</v>
      </c>
      <c r="G85" s="343">
        <v>0</v>
      </c>
      <c r="H85" s="343">
        <v>0</v>
      </c>
      <c r="I85" s="343">
        <v>0</v>
      </c>
      <c r="J85" s="343">
        <v>0</v>
      </c>
      <c r="K85" s="343">
        <v>6.63</v>
      </c>
      <c r="L85" s="343">
        <v>0</v>
      </c>
    </row>
    <row r="86" spans="1:12" x14ac:dyDescent="0.3">
      <c r="A86" s="341" t="s">
        <v>1298</v>
      </c>
      <c r="B86" s="342" t="s">
        <v>1299</v>
      </c>
      <c r="C86" s="343">
        <v>7079</v>
      </c>
      <c r="D86" s="343">
        <v>43677.43</v>
      </c>
      <c r="E86" s="343">
        <v>42607.7</v>
      </c>
      <c r="F86" s="343">
        <v>0</v>
      </c>
      <c r="G86" s="343">
        <v>0</v>
      </c>
      <c r="H86" s="343">
        <v>0</v>
      </c>
      <c r="I86" s="343">
        <v>0</v>
      </c>
      <c r="J86" s="343">
        <v>0</v>
      </c>
      <c r="K86" s="343">
        <v>6.17</v>
      </c>
      <c r="L86" s="343">
        <v>0</v>
      </c>
    </row>
    <row r="87" spans="1:12" x14ac:dyDescent="0.3">
      <c r="A87" s="341" t="s">
        <v>36</v>
      </c>
      <c r="B87" s="342" t="s">
        <v>37</v>
      </c>
      <c r="C87" s="343">
        <v>36282</v>
      </c>
      <c r="D87" s="343">
        <v>23909685.420000002</v>
      </c>
      <c r="E87" s="343">
        <v>16649756.34</v>
      </c>
      <c r="F87" s="343">
        <v>1027506.24</v>
      </c>
      <c r="G87" s="343">
        <v>84174.239999999991</v>
      </c>
      <c r="H87" s="343">
        <v>747046.38</v>
      </c>
      <c r="I87" s="343">
        <v>301503.42</v>
      </c>
      <c r="J87" s="343">
        <v>8707.68</v>
      </c>
      <c r="K87" s="343">
        <v>658.76454545454533</v>
      </c>
      <c r="L87" s="343">
        <v>16748134.02</v>
      </c>
    </row>
    <row r="88" spans="1:12" x14ac:dyDescent="0.3">
      <c r="A88" s="341" t="s">
        <v>694</v>
      </c>
      <c r="B88" s="342" t="s">
        <v>695</v>
      </c>
      <c r="C88" s="343">
        <v>2500</v>
      </c>
      <c r="D88" s="343">
        <v>1648250</v>
      </c>
      <c r="E88" s="343">
        <v>1012775.0000000002</v>
      </c>
      <c r="F88" s="343">
        <v>70800</v>
      </c>
      <c r="G88" s="343">
        <v>5800</v>
      </c>
      <c r="H88" s="343">
        <v>51475</v>
      </c>
      <c r="I88" s="343">
        <v>20775</v>
      </c>
      <c r="J88" s="343">
        <v>600</v>
      </c>
      <c r="K88" s="343">
        <v>659.3</v>
      </c>
      <c r="L88" s="343">
        <v>1162825.0000000002</v>
      </c>
    </row>
    <row r="89" spans="1:12" x14ac:dyDescent="0.3">
      <c r="A89" s="341" t="s">
        <v>1674</v>
      </c>
      <c r="B89" s="342" t="s">
        <v>1675</v>
      </c>
      <c r="C89" s="343">
        <v>1</v>
      </c>
      <c r="D89" s="343">
        <v>5000000</v>
      </c>
      <c r="E89" s="343">
        <v>1</v>
      </c>
      <c r="F89" s="343">
        <v>0</v>
      </c>
      <c r="G89" s="343">
        <v>0</v>
      </c>
      <c r="H89" s="343">
        <v>0</v>
      </c>
      <c r="I89" s="343">
        <v>0</v>
      </c>
      <c r="J89" s="343">
        <v>0</v>
      </c>
      <c r="K89" s="343">
        <v>5000000</v>
      </c>
      <c r="L89" s="343">
        <v>0</v>
      </c>
    </row>
    <row r="90" spans="1:12" x14ac:dyDescent="0.3">
      <c r="A90" s="341" t="s">
        <v>38</v>
      </c>
      <c r="B90" s="342" t="s">
        <v>39</v>
      </c>
      <c r="C90" s="343">
        <v>56595</v>
      </c>
      <c r="D90" s="343">
        <v>19302615.569999997</v>
      </c>
      <c r="E90" s="343">
        <v>18110734.650000002</v>
      </c>
      <c r="F90" s="343">
        <v>1267728.0000000002</v>
      </c>
      <c r="G90" s="343">
        <v>103568.85000000002</v>
      </c>
      <c r="H90" s="343">
        <v>921366.6</v>
      </c>
      <c r="I90" s="343">
        <v>470304.44999999995</v>
      </c>
      <c r="J90" s="343">
        <v>9621.1499999999978</v>
      </c>
      <c r="K90" s="343">
        <v>341.56199999999984</v>
      </c>
      <c r="L90" s="343">
        <v>18523543.499999996</v>
      </c>
    </row>
    <row r="91" spans="1:12" x14ac:dyDescent="0.3">
      <c r="A91" s="341" t="s">
        <v>362</v>
      </c>
      <c r="B91" s="342" t="s">
        <v>363</v>
      </c>
      <c r="C91" s="343">
        <v>-4</v>
      </c>
      <c r="D91" s="343">
        <v>-3448.96</v>
      </c>
      <c r="E91" s="343">
        <v>-2787.6</v>
      </c>
      <c r="F91" s="343">
        <v>-115.88</v>
      </c>
      <c r="G91" s="343">
        <v>-9.48</v>
      </c>
      <c r="H91" s="343">
        <v>-84.24</v>
      </c>
      <c r="I91" s="343">
        <v>-81.08</v>
      </c>
      <c r="J91" s="343">
        <v>-1.44</v>
      </c>
      <c r="K91" s="343">
        <v>862.24</v>
      </c>
      <c r="L91" s="343">
        <v>-2789.1199999999985</v>
      </c>
    </row>
    <row r="92" spans="1:12" x14ac:dyDescent="0.3">
      <c r="A92" s="341" t="s">
        <v>364</v>
      </c>
      <c r="B92" s="342" t="s">
        <v>365</v>
      </c>
      <c r="C92" s="343">
        <v>-34</v>
      </c>
      <c r="D92" s="343">
        <v>-3442.16</v>
      </c>
      <c r="E92" s="343">
        <v>-2923.32</v>
      </c>
      <c r="F92" s="343">
        <v>-443.70000000000005</v>
      </c>
      <c r="G92" s="343">
        <v>0</v>
      </c>
      <c r="H92" s="343">
        <v>0</v>
      </c>
      <c r="I92" s="343">
        <v>0</v>
      </c>
      <c r="J92" s="343">
        <v>-1.36</v>
      </c>
      <c r="K92" s="343">
        <v>101.24</v>
      </c>
      <c r="L92" s="343">
        <v>-2924.6800000000012</v>
      </c>
    </row>
    <row r="93" spans="1:12" x14ac:dyDescent="0.3">
      <c r="A93" s="341" t="s">
        <v>366</v>
      </c>
      <c r="B93" s="342" t="s">
        <v>367</v>
      </c>
      <c r="C93" s="343">
        <v>448</v>
      </c>
      <c r="D93" s="343">
        <v>140712.32000000001</v>
      </c>
      <c r="E93" s="343">
        <v>137061.12</v>
      </c>
      <c r="F93" s="343">
        <v>12252.800000000001</v>
      </c>
      <c r="G93" s="343">
        <v>1003.5200000000001</v>
      </c>
      <c r="H93" s="343">
        <v>8906.24</v>
      </c>
      <c r="I93" s="343">
        <v>9080.9599999999991</v>
      </c>
      <c r="J93" s="343">
        <v>58.24</v>
      </c>
      <c r="K93" s="343">
        <v>314.09000000000003</v>
      </c>
      <c r="L93" s="343">
        <v>137123.84000000003</v>
      </c>
    </row>
    <row r="94" spans="1:12" x14ac:dyDescent="0.3">
      <c r="A94" s="341" t="s">
        <v>368</v>
      </c>
      <c r="B94" s="342" t="s">
        <v>369</v>
      </c>
      <c r="C94" s="343">
        <v>322</v>
      </c>
      <c r="D94" s="343">
        <v>99617.14</v>
      </c>
      <c r="E94" s="343">
        <v>115829.84</v>
      </c>
      <c r="F94" s="343">
        <v>18933.600000000002</v>
      </c>
      <c r="G94" s="343">
        <v>1548.82</v>
      </c>
      <c r="H94" s="343">
        <v>13762.279999999999</v>
      </c>
      <c r="I94" s="343">
        <v>6526.94</v>
      </c>
      <c r="J94" s="343">
        <v>41.860000000000007</v>
      </c>
      <c r="K94" s="343">
        <v>309.37</v>
      </c>
      <c r="L94" s="343">
        <v>115874.92000000001</v>
      </c>
    </row>
    <row r="95" spans="1:12" x14ac:dyDescent="0.3">
      <c r="A95" s="341" t="s">
        <v>44</v>
      </c>
      <c r="B95" s="342" t="s">
        <v>45</v>
      </c>
      <c r="C95" s="343">
        <v>835</v>
      </c>
      <c r="D95" s="343">
        <v>283724.65000000002</v>
      </c>
      <c r="E95" s="343">
        <v>273228.7</v>
      </c>
      <c r="F95" s="343">
        <v>19806.199999999997</v>
      </c>
      <c r="G95" s="343">
        <v>1619.8999999999999</v>
      </c>
      <c r="H95" s="343">
        <v>14395.399999999998</v>
      </c>
      <c r="I95" s="343">
        <v>6938.85</v>
      </c>
      <c r="J95" s="343">
        <v>141.95000000000002</v>
      </c>
      <c r="K95" s="343">
        <v>339.79</v>
      </c>
      <c r="L95" s="343">
        <v>273379.00000000006</v>
      </c>
    </row>
    <row r="96" spans="1:12" x14ac:dyDescent="0.3">
      <c r="A96" s="341" t="s">
        <v>633</v>
      </c>
      <c r="B96" s="342" t="s">
        <v>634</v>
      </c>
      <c r="C96" s="343">
        <v>490</v>
      </c>
      <c r="D96" s="343">
        <v>167124.29999999999</v>
      </c>
      <c r="E96" s="343">
        <v>160279</v>
      </c>
      <c r="F96" s="343">
        <v>10976.000000000002</v>
      </c>
      <c r="G96" s="343">
        <v>896.69999999999993</v>
      </c>
      <c r="H96" s="343">
        <v>7977.2000000000007</v>
      </c>
      <c r="I96" s="343">
        <v>4071.9</v>
      </c>
      <c r="J96" s="343">
        <v>83.300000000000011</v>
      </c>
      <c r="K96" s="343">
        <v>341.07</v>
      </c>
      <c r="L96" s="343">
        <v>160362.29999999996</v>
      </c>
    </row>
    <row r="97" spans="1:12" x14ac:dyDescent="0.3">
      <c r="A97" s="341" t="s">
        <v>46</v>
      </c>
      <c r="B97" s="342" t="s">
        <v>47</v>
      </c>
      <c r="C97" s="343">
        <v>3939</v>
      </c>
      <c r="D97" s="343">
        <v>1343423.0699999998</v>
      </c>
      <c r="E97" s="343">
        <v>1228679.0999999999</v>
      </c>
      <c r="F97" s="343">
        <v>88233.600000000006</v>
      </c>
      <c r="G97" s="343">
        <v>7208.3700000000008</v>
      </c>
      <c r="H97" s="343">
        <v>64126.920000000006</v>
      </c>
      <c r="I97" s="343">
        <v>32733.09</v>
      </c>
      <c r="J97" s="343">
        <v>669.63</v>
      </c>
      <c r="K97" s="343">
        <v>343.94</v>
      </c>
      <c r="L97" s="343">
        <v>1289116.5299999998</v>
      </c>
    </row>
    <row r="98" spans="1:12" x14ac:dyDescent="0.3">
      <c r="A98" s="341" t="s">
        <v>30</v>
      </c>
      <c r="B98" s="342" t="s">
        <v>31</v>
      </c>
      <c r="C98" s="343">
        <v>1917</v>
      </c>
      <c r="D98" s="343">
        <v>653831.18999999994</v>
      </c>
      <c r="E98" s="343">
        <v>583596.57000000007</v>
      </c>
      <c r="F98" s="343">
        <v>42940.800000000003</v>
      </c>
      <c r="G98" s="343">
        <v>3508.1099999999997</v>
      </c>
      <c r="H98" s="343">
        <v>31208.760000000002</v>
      </c>
      <c r="I98" s="343">
        <v>15930.27</v>
      </c>
      <c r="J98" s="343">
        <v>325.89000000000004</v>
      </c>
      <c r="K98" s="343">
        <v>341.07000000000005</v>
      </c>
      <c r="L98" s="343">
        <v>627376.59000000008</v>
      </c>
    </row>
    <row r="99" spans="1:12" x14ac:dyDescent="0.3">
      <c r="A99" s="341" t="s">
        <v>23</v>
      </c>
      <c r="B99" s="342" t="s">
        <v>24</v>
      </c>
      <c r="C99" s="343">
        <v>28089</v>
      </c>
      <c r="D99" s="343">
        <v>13571481.239999998</v>
      </c>
      <c r="E99" s="343">
        <v>11734704.089999998</v>
      </c>
      <c r="F99" s="343">
        <v>617958</v>
      </c>
      <c r="G99" s="343">
        <v>50560.200000000004</v>
      </c>
      <c r="H99" s="343">
        <v>449143.11</v>
      </c>
      <c r="I99" s="343">
        <v>233419.59000000003</v>
      </c>
      <c r="J99" s="343">
        <v>7303.14</v>
      </c>
      <c r="K99" s="343">
        <v>483.15999999999991</v>
      </c>
      <c r="L99" s="343">
        <v>11844288.629999997</v>
      </c>
    </row>
    <row r="100" spans="1:12" x14ac:dyDescent="0.3">
      <c r="A100" s="341" t="s">
        <v>42</v>
      </c>
      <c r="B100" s="342" t="s">
        <v>43</v>
      </c>
      <c r="C100" s="343">
        <v>22226</v>
      </c>
      <c r="D100" s="343">
        <v>7580570.1600000011</v>
      </c>
      <c r="E100" s="343">
        <v>7224985.7299999995</v>
      </c>
      <c r="F100" s="343">
        <v>497862.40000000002</v>
      </c>
      <c r="G100" s="343">
        <v>40673.579999999994</v>
      </c>
      <c r="H100" s="343">
        <v>361839.28</v>
      </c>
      <c r="I100" s="343">
        <v>184698.06000000003</v>
      </c>
      <c r="J100" s="343">
        <v>3778.4200000000005</v>
      </c>
      <c r="K100" s="343">
        <v>342.02666666666664</v>
      </c>
      <c r="L100" s="343">
        <v>7274569.8000000007</v>
      </c>
    </row>
    <row r="101" spans="1:12" x14ac:dyDescent="0.3">
      <c r="A101" s="341" t="s">
        <v>376</v>
      </c>
      <c r="B101" s="342" t="s">
        <v>377</v>
      </c>
      <c r="C101" s="343">
        <v>230</v>
      </c>
      <c r="D101" s="343">
        <v>114673.4</v>
      </c>
      <c r="E101" s="343">
        <v>85369.1</v>
      </c>
      <c r="F101" s="343">
        <v>13524</v>
      </c>
      <c r="G101" s="343">
        <v>1106.3</v>
      </c>
      <c r="H101" s="343">
        <v>9830.1999999999989</v>
      </c>
      <c r="I101" s="343">
        <v>4662.0999999999995</v>
      </c>
      <c r="J101" s="343">
        <v>29.900000000000002</v>
      </c>
      <c r="K101" s="343">
        <v>498.58</v>
      </c>
      <c r="L101" s="343">
        <v>85401.300000000017</v>
      </c>
    </row>
    <row r="102" spans="1:12" x14ac:dyDescent="0.3">
      <c r="A102" s="341" t="s">
        <v>637</v>
      </c>
      <c r="B102" s="342" t="s">
        <v>638</v>
      </c>
      <c r="C102" s="343">
        <v>8645</v>
      </c>
      <c r="D102" s="343">
        <v>3142920.5199999996</v>
      </c>
      <c r="E102" s="343">
        <v>2820604.1500000004</v>
      </c>
      <c r="F102" s="343">
        <v>181026.30000000005</v>
      </c>
      <c r="G102" s="343">
        <v>14782.95</v>
      </c>
      <c r="H102" s="343">
        <v>131576.90000000002</v>
      </c>
      <c r="I102" s="343">
        <v>143679.9</v>
      </c>
      <c r="J102" s="343">
        <v>2161.25</v>
      </c>
      <c r="K102" s="343">
        <v>364.024</v>
      </c>
      <c r="L102" s="343">
        <v>2822765.4000000004</v>
      </c>
    </row>
    <row r="103" spans="1:12" x14ac:dyDescent="0.3">
      <c r="A103" s="341" t="s">
        <v>378</v>
      </c>
      <c r="B103" s="342" t="s">
        <v>379</v>
      </c>
      <c r="C103" s="343">
        <v>17601</v>
      </c>
      <c r="D103" s="343">
        <v>6299554.1800000006</v>
      </c>
      <c r="E103" s="343">
        <v>5612104.2600000016</v>
      </c>
      <c r="F103" s="343">
        <v>419607.84</v>
      </c>
      <c r="G103" s="343">
        <v>34321.950000000004</v>
      </c>
      <c r="H103" s="343">
        <v>305025.32999999996</v>
      </c>
      <c r="I103" s="343">
        <v>181114.28999999995</v>
      </c>
      <c r="J103" s="343">
        <v>4576.2600000000011</v>
      </c>
      <c r="K103" s="343">
        <v>358.12545454545455</v>
      </c>
      <c r="L103" s="343">
        <v>5728421.46</v>
      </c>
    </row>
    <row r="104" spans="1:12" x14ac:dyDescent="0.3">
      <c r="A104" s="341" t="s">
        <v>568</v>
      </c>
      <c r="B104" s="342" t="s">
        <v>594</v>
      </c>
      <c r="C104" s="343">
        <v>11000</v>
      </c>
      <c r="D104" s="343">
        <v>157740</v>
      </c>
      <c r="E104" s="343">
        <v>228910</v>
      </c>
      <c r="F104" s="343">
        <v>126390</v>
      </c>
      <c r="G104" s="343">
        <v>10340</v>
      </c>
      <c r="H104" s="343">
        <v>0</v>
      </c>
      <c r="I104" s="343">
        <v>0</v>
      </c>
      <c r="J104" s="343">
        <v>0</v>
      </c>
      <c r="K104" s="343">
        <v>14.339999999999998</v>
      </c>
      <c r="L104" s="343">
        <v>228910</v>
      </c>
    </row>
    <row r="105" spans="1:12" x14ac:dyDescent="0.3">
      <c r="A105" s="341" t="s">
        <v>380</v>
      </c>
      <c r="B105" s="342" t="s">
        <v>381</v>
      </c>
      <c r="C105" s="343">
        <v>14172</v>
      </c>
      <c r="D105" s="343">
        <v>3148731.6</v>
      </c>
      <c r="E105" s="343">
        <v>3005783.85</v>
      </c>
      <c r="F105" s="343">
        <v>260623.07999999993</v>
      </c>
      <c r="G105" s="343">
        <v>21258</v>
      </c>
      <c r="H105" s="343">
        <v>189479.63999999996</v>
      </c>
      <c r="I105" s="343">
        <v>117769.31999999999</v>
      </c>
      <c r="J105" s="343">
        <v>566.88</v>
      </c>
      <c r="K105" s="343">
        <v>222.33823529411774</v>
      </c>
      <c r="L105" s="343">
        <v>3070222.0799999991</v>
      </c>
    </row>
    <row r="106" spans="1:12" x14ac:dyDescent="0.3">
      <c r="A106" s="341" t="s">
        <v>493</v>
      </c>
      <c r="B106" s="342" t="s">
        <v>494</v>
      </c>
      <c r="C106" s="343">
        <v>1075</v>
      </c>
      <c r="D106" s="343">
        <v>366140.15</v>
      </c>
      <c r="E106" s="343">
        <v>351804.5</v>
      </c>
      <c r="F106" s="343">
        <v>25499.000000000007</v>
      </c>
      <c r="G106" s="343">
        <v>2085.5</v>
      </c>
      <c r="H106" s="343">
        <v>18532.999999999996</v>
      </c>
      <c r="I106" s="343">
        <v>8933.25</v>
      </c>
      <c r="J106" s="343">
        <v>182.75</v>
      </c>
      <c r="K106" s="343">
        <v>343.91333333333336</v>
      </c>
      <c r="L106" s="343">
        <v>351987.24999999988</v>
      </c>
    </row>
    <row r="107" spans="1:12" x14ac:dyDescent="0.3">
      <c r="A107" s="341" t="s">
        <v>639</v>
      </c>
      <c r="B107" s="342" t="s">
        <v>640</v>
      </c>
      <c r="C107" s="343">
        <v>8014</v>
      </c>
      <c r="D107" s="343">
        <v>5838679.8400000008</v>
      </c>
      <c r="E107" s="343">
        <v>5152128.75</v>
      </c>
      <c r="F107" s="343">
        <v>239458.32000000007</v>
      </c>
      <c r="G107" s="343">
        <v>19634.300000000003</v>
      </c>
      <c r="H107" s="343">
        <v>174064.08000000002</v>
      </c>
      <c r="I107" s="343">
        <v>66596.34</v>
      </c>
      <c r="J107" s="343">
        <v>3446.02</v>
      </c>
      <c r="K107" s="343">
        <v>728.56000000000051</v>
      </c>
      <c r="L107" s="343">
        <v>5172716.4399999967</v>
      </c>
    </row>
    <row r="108" spans="1:12" x14ac:dyDescent="0.3">
      <c r="A108" s="341" t="s">
        <v>641</v>
      </c>
      <c r="B108" s="342" t="s">
        <v>642</v>
      </c>
      <c r="C108" s="343">
        <v>-2</v>
      </c>
      <c r="D108" s="343">
        <v>-990</v>
      </c>
      <c r="E108" s="343">
        <v>-931.8</v>
      </c>
      <c r="F108" s="343">
        <v>-71.100000000000009</v>
      </c>
      <c r="G108" s="343">
        <v>-5.82</v>
      </c>
      <c r="H108" s="343">
        <v>-51.680000000000007</v>
      </c>
      <c r="I108" s="343">
        <v>-16.62</v>
      </c>
      <c r="J108" s="343">
        <v>-0.54</v>
      </c>
      <c r="K108" s="343">
        <v>495</v>
      </c>
      <c r="L108" s="343">
        <v>-932.33999999999958</v>
      </c>
    </row>
    <row r="109" spans="1:12" x14ac:dyDescent="0.3">
      <c r="A109" s="341" t="s">
        <v>698</v>
      </c>
      <c r="B109" s="342" t="s">
        <v>699</v>
      </c>
      <c r="C109" s="343">
        <v>527</v>
      </c>
      <c r="D109" s="343">
        <v>219179.3</v>
      </c>
      <c r="E109" s="343">
        <v>239537.31</v>
      </c>
      <c r="F109" s="343">
        <v>15572.85</v>
      </c>
      <c r="G109" s="343">
        <v>1275.3399999999999</v>
      </c>
      <c r="H109" s="343">
        <v>11325.23</v>
      </c>
      <c r="I109" s="343">
        <v>4379.37</v>
      </c>
      <c r="J109" s="343">
        <v>89.59</v>
      </c>
      <c r="K109" s="343">
        <v>415.9</v>
      </c>
      <c r="L109" s="343">
        <v>239626.9</v>
      </c>
    </row>
    <row r="110" spans="1:12" x14ac:dyDescent="0.3">
      <c r="A110" s="341" t="s">
        <v>1184</v>
      </c>
      <c r="B110" s="342" t="s">
        <v>1185</v>
      </c>
      <c r="C110" s="343">
        <v>4912</v>
      </c>
      <c r="D110" s="343">
        <v>2373281.9200000004</v>
      </c>
      <c r="E110" s="343">
        <v>2069818.56</v>
      </c>
      <c r="F110" s="343">
        <v>108064</v>
      </c>
      <c r="G110" s="343">
        <v>8841.6</v>
      </c>
      <c r="H110" s="343">
        <v>78542.880000000005</v>
      </c>
      <c r="I110" s="343">
        <v>40818.719999999994</v>
      </c>
      <c r="J110" s="343">
        <v>1277.1199999999999</v>
      </c>
      <c r="K110" s="343">
        <v>483.15999999999991</v>
      </c>
      <c r="L110" s="343">
        <v>2071095.6799999992</v>
      </c>
    </row>
    <row r="111" spans="1:12" x14ac:dyDescent="0.3">
      <c r="A111" s="341" t="s">
        <v>1182</v>
      </c>
      <c r="B111" s="342" t="s">
        <v>1183</v>
      </c>
      <c r="C111" s="343">
        <v>5719</v>
      </c>
      <c r="D111" s="343">
        <v>2763192.04</v>
      </c>
      <c r="E111" s="343">
        <v>2409872.2200000002</v>
      </c>
      <c r="F111" s="343">
        <v>125818</v>
      </c>
      <c r="G111" s="343">
        <v>10294.199999999999</v>
      </c>
      <c r="H111" s="343">
        <v>91446.81</v>
      </c>
      <c r="I111" s="343">
        <v>47524.89</v>
      </c>
      <c r="J111" s="343">
        <v>1486.9399999999998</v>
      </c>
      <c r="K111" s="343">
        <v>483.15999999999997</v>
      </c>
      <c r="L111" s="343">
        <v>2411359.1599999992</v>
      </c>
    </row>
    <row r="112" spans="1:12" x14ac:dyDescent="0.3">
      <c r="A112" s="341" t="s">
        <v>1179</v>
      </c>
      <c r="B112" s="342" t="s">
        <v>1180</v>
      </c>
      <c r="C112" s="343">
        <v>3450</v>
      </c>
      <c r="D112" s="343">
        <v>1666901.9999999998</v>
      </c>
      <c r="E112" s="343">
        <v>1453761.0000000002</v>
      </c>
      <c r="F112" s="343">
        <v>75900</v>
      </c>
      <c r="G112" s="343">
        <v>6210</v>
      </c>
      <c r="H112" s="343">
        <v>55165.5</v>
      </c>
      <c r="I112" s="343">
        <v>28669.500000000004</v>
      </c>
      <c r="J112" s="343">
        <v>897</v>
      </c>
      <c r="K112" s="343">
        <v>483.15999999999997</v>
      </c>
      <c r="L112" s="343">
        <v>1454657.9999999995</v>
      </c>
    </row>
    <row r="113" spans="1:12" x14ac:dyDescent="0.3">
      <c r="A113" s="341" t="s">
        <v>1196</v>
      </c>
      <c r="B113" s="342" t="s">
        <v>1197</v>
      </c>
      <c r="C113" s="343">
        <v>1905</v>
      </c>
      <c r="D113" s="343">
        <v>676313.1</v>
      </c>
      <c r="E113" s="343">
        <v>619506</v>
      </c>
      <c r="F113" s="343">
        <v>45415.199999999997</v>
      </c>
      <c r="G113" s="343">
        <v>3714.7500000000005</v>
      </c>
      <c r="H113" s="343">
        <v>33013.649999999994</v>
      </c>
      <c r="I113" s="343">
        <v>19602.45</v>
      </c>
      <c r="J113" s="343">
        <v>495.3</v>
      </c>
      <c r="K113" s="343">
        <v>355.02</v>
      </c>
      <c r="L113" s="343">
        <v>620001.29999999993</v>
      </c>
    </row>
    <row r="114" spans="1:12" x14ac:dyDescent="0.3">
      <c r="A114" s="341" t="s">
        <v>1549</v>
      </c>
      <c r="B114" s="342" t="s">
        <v>1550</v>
      </c>
      <c r="C114" s="343">
        <v>51</v>
      </c>
      <c r="D114" s="343">
        <v>5100</v>
      </c>
      <c r="E114" s="343">
        <v>4470.1499999999996</v>
      </c>
      <c r="F114" s="343">
        <v>1884.96</v>
      </c>
      <c r="G114" s="343">
        <v>154.02000000000001</v>
      </c>
      <c r="H114" s="343">
        <v>0</v>
      </c>
      <c r="I114" s="343">
        <v>0</v>
      </c>
      <c r="J114" s="343">
        <v>1.53</v>
      </c>
      <c r="K114" s="343">
        <v>100</v>
      </c>
      <c r="L114" s="343">
        <v>4472.1900000000005</v>
      </c>
    </row>
    <row r="115" spans="1:12" x14ac:dyDescent="0.3">
      <c r="A115" s="341" t="s">
        <v>1551</v>
      </c>
      <c r="B115" s="342" t="s">
        <v>1552</v>
      </c>
      <c r="C115" s="343">
        <v>51</v>
      </c>
      <c r="D115" s="343">
        <v>6426</v>
      </c>
      <c r="E115" s="343">
        <v>5244.84</v>
      </c>
      <c r="F115" s="343">
        <v>1884.96</v>
      </c>
      <c r="G115" s="343">
        <v>154.02000000000001</v>
      </c>
      <c r="H115" s="343">
        <v>0</v>
      </c>
      <c r="I115" s="343">
        <v>0</v>
      </c>
      <c r="J115" s="343">
        <v>2.04</v>
      </c>
      <c r="K115" s="343">
        <v>126</v>
      </c>
      <c r="L115" s="343">
        <v>5247.39</v>
      </c>
    </row>
    <row r="116" spans="1:12" x14ac:dyDescent="0.3">
      <c r="A116" s="341" t="s">
        <v>1553</v>
      </c>
      <c r="B116" s="342" t="s">
        <v>1554</v>
      </c>
      <c r="C116" s="343">
        <v>102</v>
      </c>
      <c r="D116" s="343">
        <v>55080</v>
      </c>
      <c r="E116" s="343">
        <v>34981.919999999998</v>
      </c>
      <c r="F116" s="343">
        <v>4609.38</v>
      </c>
      <c r="G116" s="343">
        <v>376.38</v>
      </c>
      <c r="H116" s="343">
        <v>3350.7000000000003</v>
      </c>
      <c r="I116" s="343">
        <v>2067.54</v>
      </c>
      <c r="J116" s="343">
        <v>13.26</v>
      </c>
      <c r="K116" s="343">
        <v>540</v>
      </c>
      <c r="L116" s="343">
        <v>34996.199999999997</v>
      </c>
    </row>
    <row r="117" spans="1:12" x14ac:dyDescent="0.3">
      <c r="A117" s="341" t="s">
        <v>1687</v>
      </c>
      <c r="B117" s="342" t="s">
        <v>1688</v>
      </c>
      <c r="C117" s="343">
        <v>2135</v>
      </c>
      <c r="D117" s="343">
        <v>740247.2</v>
      </c>
      <c r="E117" s="343">
        <v>719601.75</v>
      </c>
      <c r="F117" s="343">
        <v>44023.700000000004</v>
      </c>
      <c r="G117" s="343">
        <v>4718.3500000000004</v>
      </c>
      <c r="H117" s="343">
        <v>37853.550000000003</v>
      </c>
      <c r="I117" s="343">
        <v>18104.800000000003</v>
      </c>
      <c r="J117" s="343">
        <v>384.29999999999995</v>
      </c>
      <c r="K117" s="343">
        <v>346.71999999999997</v>
      </c>
      <c r="L117" s="343">
        <v>719986.04999999993</v>
      </c>
    </row>
    <row r="118" spans="1:12" x14ac:dyDescent="0.3">
      <c r="A118" s="341" t="s">
        <v>1689</v>
      </c>
      <c r="B118" s="342" t="s">
        <v>1690</v>
      </c>
      <c r="C118" s="343">
        <v>264</v>
      </c>
      <c r="D118" s="343">
        <v>257357.76</v>
      </c>
      <c r="E118" s="343">
        <v>132162.80000000002</v>
      </c>
      <c r="F118" s="343">
        <v>7038.24</v>
      </c>
      <c r="G118" s="343">
        <v>757.68000000000006</v>
      </c>
      <c r="H118" s="343">
        <v>6050.8799999999992</v>
      </c>
      <c r="I118" s="343">
        <v>5459.5199999999995</v>
      </c>
      <c r="J118" s="343">
        <v>84.48</v>
      </c>
      <c r="K118" s="343">
        <v>974.84</v>
      </c>
      <c r="L118" s="343">
        <v>138710.88000000003</v>
      </c>
    </row>
    <row r="119" spans="1:12" x14ac:dyDescent="0.3">
      <c r="A119" s="341" t="s">
        <v>1691</v>
      </c>
      <c r="B119" s="342" t="s">
        <v>1692</v>
      </c>
      <c r="C119" s="343">
        <v>155</v>
      </c>
      <c r="D119" s="343">
        <v>18730.2</v>
      </c>
      <c r="E119" s="343">
        <v>9428.65</v>
      </c>
      <c r="F119" s="343">
        <v>1863.1</v>
      </c>
      <c r="G119" s="343">
        <v>0</v>
      </c>
      <c r="H119" s="343">
        <v>0</v>
      </c>
      <c r="I119" s="343">
        <v>0</v>
      </c>
      <c r="J119" s="343">
        <v>3.1</v>
      </c>
      <c r="K119" s="343">
        <v>120.83999999999999</v>
      </c>
      <c r="L119" s="343">
        <v>9431.75</v>
      </c>
    </row>
    <row r="120" spans="1:12" x14ac:dyDescent="0.3">
      <c r="A120" s="341" t="s">
        <v>1679</v>
      </c>
      <c r="B120" s="342" t="s">
        <v>1680</v>
      </c>
      <c r="C120" s="343">
        <v>1595</v>
      </c>
      <c r="D120" s="343">
        <v>789525</v>
      </c>
      <c r="E120" s="343">
        <v>306176.2</v>
      </c>
      <c r="F120" s="343">
        <v>46669.7</v>
      </c>
      <c r="G120" s="343">
        <v>5008.3</v>
      </c>
      <c r="H120" s="343">
        <v>40114.25</v>
      </c>
      <c r="I120" s="343">
        <v>10303.700000000001</v>
      </c>
      <c r="J120" s="343">
        <v>0</v>
      </c>
      <c r="K120" s="343">
        <v>495</v>
      </c>
      <c r="L120" s="343">
        <v>306176.2</v>
      </c>
    </row>
    <row r="121" spans="1:12" x14ac:dyDescent="0.3">
      <c r="A121" s="344" t="s">
        <v>1903</v>
      </c>
      <c r="B121" s="344" t="s">
        <v>1904</v>
      </c>
      <c r="C121" s="345">
        <v>1365</v>
      </c>
      <c r="D121" s="345">
        <v>465560.55</v>
      </c>
      <c r="E121" s="345">
        <v>384788.25000000006</v>
      </c>
      <c r="F121" s="345">
        <v>28146.3</v>
      </c>
      <c r="G121" s="345">
        <v>3016.65</v>
      </c>
      <c r="H121" s="345">
        <v>24201.45</v>
      </c>
      <c r="I121" s="345">
        <v>11575.2</v>
      </c>
      <c r="J121" s="345">
        <v>232.05</v>
      </c>
      <c r="K121" s="345">
        <v>341.07</v>
      </c>
      <c r="L121" s="345">
        <v>447023.85000000009</v>
      </c>
    </row>
  </sheetData>
  <autoFilter ref="A2:L121" xr:uid="{525833AA-70F1-46D2-90EF-8C3349E9C91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BD12-A6C0-48BF-B41A-621928BCC934}">
  <sheetPr>
    <tabColor theme="5" tint="0.39997558519241921"/>
  </sheetPr>
  <dimension ref="A1:AI41"/>
  <sheetViews>
    <sheetView topLeftCell="Q1" zoomScale="80" zoomScaleNormal="80" workbookViewId="0">
      <selection activeCell="AL2" sqref="AL2"/>
    </sheetView>
  </sheetViews>
  <sheetFormatPr defaultRowHeight="14.4" x14ac:dyDescent="0.3"/>
  <cols>
    <col min="1" max="1" width="16.44140625" bestFit="1" customWidth="1"/>
    <col min="2" max="2" width="10.33203125" bestFit="1" customWidth="1"/>
    <col min="4" max="4" width="15.5546875" bestFit="1" customWidth="1"/>
    <col min="5" max="5" width="7.21875" style="17" bestFit="1" customWidth="1"/>
    <col min="6" max="7" width="5.33203125" style="17" bestFit="1" customWidth="1"/>
    <col min="8" max="8" width="5.44140625" style="17" bestFit="1" customWidth="1"/>
    <col min="9" max="9" width="8.77734375" style="17" bestFit="1" customWidth="1"/>
    <col min="10" max="10" width="8.21875" style="17" bestFit="1" customWidth="1"/>
    <col min="11" max="11" width="8.6640625" style="17" bestFit="1" customWidth="1"/>
    <col min="12" max="12" width="7.44140625" style="17" bestFit="1" customWidth="1"/>
    <col min="13" max="15" width="7.21875" style="17" bestFit="1" customWidth="1"/>
    <col min="16" max="16" width="8.21875" style="17" bestFit="1" customWidth="1"/>
    <col min="17" max="17" width="9.6640625" style="17" bestFit="1" customWidth="1"/>
    <col min="18" max="20" width="5.6640625" style="17" bestFit="1" customWidth="1"/>
    <col min="21" max="21" width="8.77734375" style="17" bestFit="1" customWidth="1"/>
    <col min="22" max="23" width="9.6640625" style="17" bestFit="1" customWidth="1"/>
    <col min="24" max="24" width="7.44140625" style="17" bestFit="1" customWidth="1"/>
    <col min="25" max="26" width="7.21875" style="17" bestFit="1" customWidth="1"/>
    <col min="27" max="28" width="9.6640625" style="17" bestFit="1" customWidth="1"/>
    <col min="29" max="29" width="12.77734375" bestFit="1" customWidth="1"/>
    <col min="30" max="30" width="15.88671875" bestFit="1" customWidth="1"/>
    <col min="31" max="31" width="15.5546875" bestFit="1" customWidth="1"/>
    <col min="32" max="32" width="16.44140625" bestFit="1" customWidth="1"/>
  </cols>
  <sheetData>
    <row r="1" spans="1:35" x14ac:dyDescent="0.3">
      <c r="E1" s="64" t="s">
        <v>1114</v>
      </c>
      <c r="F1" s="64" t="s">
        <v>1109</v>
      </c>
      <c r="G1" s="64" t="s">
        <v>692</v>
      </c>
      <c r="H1" s="64" t="s">
        <v>1106</v>
      </c>
      <c r="I1" s="64" t="s">
        <v>1104</v>
      </c>
      <c r="J1" s="64"/>
      <c r="K1" s="64" t="s">
        <v>299</v>
      </c>
      <c r="L1" s="64" t="s">
        <v>1124</v>
      </c>
      <c r="M1" s="64" t="s">
        <v>831</v>
      </c>
      <c r="N1" s="64" t="s">
        <v>833</v>
      </c>
      <c r="O1" s="64" t="s">
        <v>791</v>
      </c>
      <c r="P1" s="64"/>
      <c r="Q1" s="64" t="s">
        <v>1114</v>
      </c>
      <c r="R1" s="64" t="s">
        <v>1109</v>
      </c>
      <c r="S1" s="64" t="s">
        <v>692</v>
      </c>
      <c r="T1" s="64" t="s">
        <v>1106</v>
      </c>
      <c r="U1" s="64" t="s">
        <v>1104</v>
      </c>
      <c r="V1" s="64"/>
      <c r="W1" s="64" t="s">
        <v>299</v>
      </c>
      <c r="X1" s="64" t="s">
        <v>1124</v>
      </c>
      <c r="Y1" s="64" t="s">
        <v>831</v>
      </c>
      <c r="Z1" s="64" t="s">
        <v>833</v>
      </c>
      <c r="AA1" s="64"/>
      <c r="AB1" s="64" t="s">
        <v>462</v>
      </c>
    </row>
    <row r="2" spans="1:35" x14ac:dyDescent="0.3">
      <c r="A2" t="s">
        <v>454</v>
      </c>
      <c r="B2" s="13">
        <f ca="1">TODAY()-1</f>
        <v>46097</v>
      </c>
      <c r="I2" s="17" t="s">
        <v>472</v>
      </c>
      <c r="U2" s="17" t="s">
        <v>473</v>
      </c>
    </row>
    <row r="3" spans="1:35" ht="15" thickBot="1" x14ac:dyDescent="0.35">
      <c r="AE3" s="17"/>
      <c r="AF3" s="17"/>
    </row>
    <row r="4" spans="1:35" ht="15" thickBot="1" x14ac:dyDescent="0.35">
      <c r="D4" s="14" t="s">
        <v>481</v>
      </c>
      <c r="E4" s="357">
        <f ca="1">B2</f>
        <v>46097</v>
      </c>
      <c r="F4" s="358"/>
      <c r="G4" s="358"/>
      <c r="H4" s="358"/>
      <c r="I4" s="358"/>
      <c r="J4" s="358"/>
      <c r="K4" s="358"/>
      <c r="L4" s="358"/>
      <c r="M4" s="358"/>
      <c r="N4" s="358"/>
      <c r="O4" s="358"/>
      <c r="P4" s="359"/>
      <c r="Q4" s="371" t="s">
        <v>1624</v>
      </c>
      <c r="R4" s="372"/>
      <c r="S4" s="372"/>
      <c r="T4" s="372"/>
      <c r="U4" s="372"/>
      <c r="V4" s="372"/>
      <c r="W4" s="372"/>
      <c r="X4" s="372"/>
      <c r="Y4" s="372"/>
      <c r="Z4" s="372"/>
      <c r="AA4" s="372"/>
      <c r="AB4" s="373"/>
      <c r="AF4" s="17"/>
      <c r="AG4" s="17"/>
      <c r="AH4" s="17"/>
      <c r="AI4" s="17"/>
    </row>
    <row r="5" spans="1:35" ht="15" thickBot="1" x14ac:dyDescent="0.35">
      <c r="D5" s="112" t="s">
        <v>455</v>
      </c>
      <c r="E5" s="402" t="s">
        <v>1627</v>
      </c>
      <c r="F5" s="402"/>
      <c r="G5" s="402"/>
      <c r="H5" s="402"/>
      <c r="I5" s="402"/>
      <c r="J5" s="402"/>
      <c r="K5" s="402" t="s">
        <v>1628</v>
      </c>
      <c r="L5" s="402"/>
      <c r="M5" s="402"/>
      <c r="N5" s="402"/>
      <c r="O5" s="402"/>
      <c r="P5" s="403" t="s">
        <v>462</v>
      </c>
      <c r="Q5" s="387" t="s">
        <v>1627</v>
      </c>
      <c r="R5" s="388"/>
      <c r="S5" s="388"/>
      <c r="T5" s="388"/>
      <c r="U5" s="388"/>
      <c r="V5" s="389"/>
      <c r="W5" s="387" t="s">
        <v>1628</v>
      </c>
      <c r="X5" s="388"/>
      <c r="Y5" s="388"/>
      <c r="Z5" s="388"/>
      <c r="AA5" s="389"/>
      <c r="AB5" s="390" t="s">
        <v>462</v>
      </c>
    </row>
    <row r="6" spans="1:35" ht="15" customHeight="1" thickBot="1" x14ac:dyDescent="0.35">
      <c r="D6" s="393" t="s">
        <v>1631</v>
      </c>
      <c r="E6" s="395" t="s">
        <v>1630</v>
      </c>
      <c r="F6" s="396"/>
      <c r="G6" s="396"/>
      <c r="H6" s="397"/>
      <c r="I6" s="214" t="s">
        <v>1686</v>
      </c>
      <c r="J6" s="404" t="s">
        <v>1637</v>
      </c>
      <c r="K6" s="229" t="s">
        <v>1630</v>
      </c>
      <c r="L6" s="395" t="s">
        <v>1686</v>
      </c>
      <c r="M6" s="396"/>
      <c r="N6" s="397"/>
      <c r="O6" s="404" t="s">
        <v>1636</v>
      </c>
      <c r="P6" s="403"/>
      <c r="Q6" s="395" t="s">
        <v>1630</v>
      </c>
      <c r="R6" s="396"/>
      <c r="S6" s="396"/>
      <c r="T6" s="397"/>
      <c r="U6" s="214" t="s">
        <v>1686</v>
      </c>
      <c r="V6" s="398" t="s">
        <v>1637</v>
      </c>
      <c r="W6" s="214" t="s">
        <v>1630</v>
      </c>
      <c r="X6" s="395" t="s">
        <v>1686</v>
      </c>
      <c r="Y6" s="396"/>
      <c r="Z6" s="397"/>
      <c r="AA6" s="400" t="s">
        <v>1636</v>
      </c>
      <c r="AB6" s="391"/>
    </row>
    <row r="7" spans="1:35" ht="15" thickBot="1" x14ac:dyDescent="0.35">
      <c r="D7" s="394"/>
      <c r="E7" s="215" t="s">
        <v>1641</v>
      </c>
      <c r="F7" s="215" t="s">
        <v>1642</v>
      </c>
      <c r="G7" s="228" t="s">
        <v>1643</v>
      </c>
      <c r="H7" s="215" t="s">
        <v>786</v>
      </c>
      <c r="I7" s="215" t="s">
        <v>966</v>
      </c>
      <c r="J7" s="405"/>
      <c r="K7" s="230" t="s">
        <v>1638</v>
      </c>
      <c r="L7" s="215" t="s">
        <v>1639</v>
      </c>
      <c r="M7" s="228" t="s">
        <v>1640</v>
      </c>
      <c r="N7" s="228" t="s">
        <v>1685</v>
      </c>
      <c r="O7" s="405"/>
      <c r="P7" s="403"/>
      <c r="Q7" s="215" t="s">
        <v>1641</v>
      </c>
      <c r="R7" s="215" t="s">
        <v>1644</v>
      </c>
      <c r="S7" s="215" t="s">
        <v>1643</v>
      </c>
      <c r="T7" s="215" t="s">
        <v>786</v>
      </c>
      <c r="U7" s="215" t="s">
        <v>966</v>
      </c>
      <c r="V7" s="399"/>
      <c r="W7" s="215" t="s">
        <v>1638</v>
      </c>
      <c r="X7" s="215" t="s">
        <v>1639</v>
      </c>
      <c r="Y7" s="215" t="s">
        <v>1640</v>
      </c>
      <c r="Z7" s="215" t="s">
        <v>1685</v>
      </c>
      <c r="AA7" s="401"/>
      <c r="AB7" s="392"/>
    </row>
    <row r="8" spans="1:35" x14ac:dyDescent="0.3">
      <c r="B8">
        <v>1000</v>
      </c>
      <c r="D8" s="113" t="s">
        <v>550</v>
      </c>
      <c r="E8" s="196">
        <f>IFERROR(VLOOKUP(E$1,'Daily Pivot'!$A:$G,2,0),0)</f>
        <v>9253</v>
      </c>
      <c r="F8" s="195">
        <f>IFERROR(VLOOKUP(F$1,'Daily Pivot'!$A:$G,2,0),0)</f>
        <v>0</v>
      </c>
      <c r="G8" s="199">
        <f>IFERROR(VLOOKUP(G$1,'Daily Pivot'!$A:$G,2,0),0)</f>
        <v>0</v>
      </c>
      <c r="H8" s="199">
        <f>IFERROR(VLOOKUP(H$1,'Daily Pivot'!$A:$G,2,0),0)</f>
        <v>88</v>
      </c>
      <c r="I8" s="226">
        <f>IFERROR(VLOOKUP($I$1,'Daily Pivot'!$A:$G,2,0),0)</f>
        <v>2500</v>
      </c>
      <c r="J8" s="216">
        <f>SUM(E8:I8)</f>
        <v>11841</v>
      </c>
      <c r="K8" s="216">
        <f>IFERROR(VLOOKUP(K$1,'Daily Pivot'!$A:$G,2,0),0)</f>
        <v>2872</v>
      </c>
      <c r="L8" s="239">
        <f>IFERROR(VLOOKUP(L$1,'Daily Pivot'!$A:$G,2,0),0)</f>
        <v>0</v>
      </c>
      <c r="M8" s="249">
        <f>IFERROR(VLOOKUP(M$1,'Daily Pivot'!$A:$G,2,0),0)</f>
        <v>0</v>
      </c>
      <c r="N8" s="249">
        <f>IFERROR(VLOOKUP(N$1,'Daily Pivot'!$A:$G,2,0),0)</f>
        <v>0</v>
      </c>
      <c r="O8" s="226">
        <f>SUM(K8:N8)</f>
        <v>2872</v>
      </c>
      <c r="P8" s="210">
        <f>J8+O8</f>
        <v>14713</v>
      </c>
      <c r="Q8" s="198">
        <f>IFERROR(VLOOKUP(Q$1,'YTM Pivot'!$A:$G,2,0),0)</f>
        <v>195677</v>
      </c>
      <c r="R8" s="198">
        <f>IFERROR(VLOOKUP(R$1,'YTM Pivot'!$A:$G,2,0),0)</f>
        <v>996</v>
      </c>
      <c r="S8" s="198">
        <f>IFERROR(VLOOKUP(S$1,'YTM Pivot'!$A:$G,2,0),0)</f>
        <v>527</v>
      </c>
      <c r="T8" s="198">
        <f>IFERROR(VLOOKUP(T$1,'YTM Pivot'!$A:$G,2,0),0)</f>
        <v>623</v>
      </c>
      <c r="U8" s="196">
        <f>IFERROR(VLOOKUP(U$1,'YTM Pivot'!$A:$G,2,0),0)</f>
        <v>38782</v>
      </c>
      <c r="V8" s="216">
        <f>SUM(Q8:U8)</f>
        <v>236605</v>
      </c>
      <c r="W8" s="226">
        <f>IFERROR(VLOOKUP(W$1,'YTM Pivot'!$A:$G,2,0),0)</f>
        <v>107987</v>
      </c>
      <c r="X8" s="239">
        <f>IFERROR(VLOOKUP(X$1,'YTM Pivot'!$A:$G,2,0),0)</f>
        <v>0</v>
      </c>
      <c r="Y8" s="195">
        <f>IFERROR(VLOOKUP(Y$1,'YTM Pivot'!$A:$G,2,0),0)</f>
        <v>499</v>
      </c>
      <c r="Z8" s="250">
        <f>IFERROR(VLOOKUP(Z$1,'YTM Pivot'!$A:$G,2,0),0)</f>
        <v>504</v>
      </c>
      <c r="AA8" s="246">
        <f>SUM(W8:Z8)</f>
        <v>108990</v>
      </c>
      <c r="AB8" s="226">
        <f>V8+AA8</f>
        <v>345595</v>
      </c>
      <c r="AC8" s="7"/>
      <c r="AD8" s="17"/>
      <c r="AF8" s="17"/>
      <c r="AG8" s="17"/>
    </row>
    <row r="9" spans="1:35" x14ac:dyDescent="0.3">
      <c r="D9" s="114" t="s">
        <v>499</v>
      </c>
      <c r="E9" s="201">
        <f>(IFERROR(VLOOKUP(E$1,'Daily Pivot'!$A:$G,3,0),0))/1000</f>
        <v>3280.9877099999999</v>
      </c>
      <c r="F9" s="200">
        <f>(IFERROR(VLOOKUP(F$1,'Daily Pivot'!$A:$G,3,0),0))/1000</f>
        <v>0</v>
      </c>
      <c r="G9" s="204">
        <f>(IFERROR(VLOOKUP(G$1,'Daily Pivot'!$A:$G,3,0),0))/1000</f>
        <v>0</v>
      </c>
      <c r="H9" s="204">
        <f>(IFERROR(VLOOKUP(H$1,'Daily Pivot'!$A:$G,3,0),0))/1000</f>
        <v>85.785920000000004</v>
      </c>
      <c r="I9" s="217">
        <f>(IFERROR(VLOOKUP($I$1,'Daily Pivot'!$A:$G,3,0),0))/1000</f>
        <v>1643.7650000000001</v>
      </c>
      <c r="J9" s="217">
        <f t="shared" ref="J9:J13" si="0">SUM(E9:I9)</f>
        <v>5010.53863</v>
      </c>
      <c r="K9" s="217">
        <f>(IFERROR(VLOOKUP(K$1,'Daily Pivot'!$A:$G,3,0),0))/1000</f>
        <v>467.96368000000001</v>
      </c>
      <c r="L9" s="201">
        <f>(IFERROR(VLOOKUP(L$1,'Daily Pivot'!$A:$G,3,0),0))/1000</f>
        <v>0</v>
      </c>
      <c r="M9" s="200">
        <f>(IFERROR(VLOOKUP(M$1,'Daily Pivot'!$A:$G,3,0),0))/1000</f>
        <v>0</v>
      </c>
      <c r="N9" s="200">
        <f>(IFERROR(VLOOKUP(N$1,'Daily Pivot'!$A:$G,3,0),0))/1000</f>
        <v>0</v>
      </c>
      <c r="O9" s="217">
        <f t="shared" ref="O9:O13" si="1">SUM(K9:N9)</f>
        <v>467.96368000000001</v>
      </c>
      <c r="P9" s="211">
        <f t="shared" ref="P9:P13" si="2">J9+O9</f>
        <v>5478.5023099999999</v>
      </c>
      <c r="Q9" s="200">
        <f>(IFERROR(VLOOKUP(Q$1,'YTM Pivot'!$A:$G,3,0),0))/1000</f>
        <v>71330.568280000036</v>
      </c>
      <c r="R9" s="200">
        <f>(IFERROR(VLOOKUP(R$1,'YTM Pivot'!$A:$G,3,0),0))/1000</f>
        <v>348.11173999999994</v>
      </c>
      <c r="S9" s="200">
        <f>(IFERROR(VLOOKUP(S$1,'YTM Pivot'!$A:$G,3,0),0))/1000</f>
        <v>219.17929999999998</v>
      </c>
      <c r="T9" s="200">
        <f>(IFERROR(VLOOKUP(T$1,'YTM Pivot'!$A:$G,3,0),0))/1000</f>
        <v>342.69395999999995</v>
      </c>
      <c r="U9" s="201">
        <f>(IFERROR(VLOOKUP(U$1,'YTM Pivot'!$A:$G,3,0),0))/1000</f>
        <v>25557.935420000002</v>
      </c>
      <c r="V9" s="217">
        <f t="shared" ref="V9:V13" si="3">SUM(Q9:U9)</f>
        <v>97798.488700000045</v>
      </c>
      <c r="W9" s="217">
        <f>(IFERROR(VLOOKUP(W$1,'YTM Pivot'!$A:$G,3,0),0))/1000</f>
        <v>17486.298420000003</v>
      </c>
      <c r="X9" s="223">
        <f>(IFERROR(VLOOKUP(X$1,'YTM Pivot'!$A:$G,3,0),0))/1000</f>
        <v>0</v>
      </c>
      <c r="Y9" s="200">
        <f>(IFERROR(VLOOKUP(Y$1,'YTM Pivot'!$A:$G,3,0),0))/1000</f>
        <v>310.14959999999996</v>
      </c>
      <c r="Z9" s="240">
        <f>(IFERROR(VLOOKUP(Z$1,'YTM Pivot'!$A:$G,3,0),0))/1000</f>
        <v>82.3536</v>
      </c>
      <c r="AA9" s="202">
        <f t="shared" ref="AA9:AA13" si="4">SUM(W9:Z9)</f>
        <v>17878.801620000002</v>
      </c>
      <c r="AB9" s="217">
        <f t="shared" ref="AB9:AB13" si="5">V9+AA9</f>
        <v>115677.29032000004</v>
      </c>
      <c r="AC9" s="8"/>
      <c r="AD9" s="17"/>
      <c r="AF9" s="17"/>
    </row>
    <row r="10" spans="1:35" x14ac:dyDescent="0.3">
      <c r="D10" s="115" t="s">
        <v>539</v>
      </c>
      <c r="E10" s="206">
        <f>(IFERROR(VLOOKUP(E$1,'Daily Pivot'!$A:$G,4,0),0))/1000</f>
        <v>3068.4271799999992</v>
      </c>
      <c r="F10" s="205">
        <f>(IFERROR(VLOOKUP(F$1,'Daily Pivot'!$A:$G,4,0),0))/1000</f>
        <v>0</v>
      </c>
      <c r="G10" s="209">
        <f>(IFERROR(VLOOKUP(G$1,'Daily Pivot'!$A:$G,4,0),0))/1000</f>
        <v>0</v>
      </c>
      <c r="H10" s="209">
        <f>(IFERROR(VLOOKUP(H$1,'Daily Pivot'!$A:$G,4,0),0))/1000</f>
        <v>46.23696000000001</v>
      </c>
      <c r="I10" s="218">
        <f>(IFERROR(VLOOKUP($I$1,'Daily Pivot'!$A:$G,4,0),0))/1000</f>
        <v>1157.5450000000001</v>
      </c>
      <c r="J10" s="218">
        <f t="shared" si="0"/>
        <v>4272.209139999999</v>
      </c>
      <c r="K10" s="218">
        <f>(IFERROR(VLOOKUP(K$1,'Daily Pivot'!$A:$G,4,0),0))/1000</f>
        <v>424.10823999999991</v>
      </c>
      <c r="L10" s="206">
        <f>(IFERROR(VLOOKUP(L$1,'Daily Pivot'!$A:$G,4,0),0))/1000</f>
        <v>0</v>
      </c>
      <c r="M10" s="205">
        <f>(IFERROR(VLOOKUP(M$1,'Daily Pivot'!$A:$G,4,0),0))/1000</f>
        <v>0</v>
      </c>
      <c r="N10" s="205">
        <f>(IFERROR(VLOOKUP(N$1,'Daily Pivot'!$A:$G,4,0),0))/1000</f>
        <v>0</v>
      </c>
      <c r="O10" s="218">
        <f t="shared" si="1"/>
        <v>424.10823999999991</v>
      </c>
      <c r="P10" s="212">
        <f t="shared" si="2"/>
        <v>4696.3173799999986</v>
      </c>
      <c r="Q10" s="205">
        <f>(IFERROR(VLOOKUP(Q$1,'YTM Pivot'!$A:$G,4,0),0))/1000</f>
        <v>65397.026879999983</v>
      </c>
      <c r="R10" s="205">
        <f>(IFERROR(VLOOKUP(R$1,'YTM Pivot'!$A:$G,4,0),0))/1000</f>
        <v>332.68626</v>
      </c>
      <c r="S10" s="205">
        <f>(IFERROR(VLOOKUP(S$1,'YTM Pivot'!$A:$G,4,0),0))/1000</f>
        <v>239.62690000000001</v>
      </c>
      <c r="T10" s="205">
        <f>(IFERROR(VLOOKUP(T$1,'YTM Pivot'!$A:$G,4,0),0))/1000</f>
        <v>192.85841000000002</v>
      </c>
      <c r="U10" s="206">
        <f>(IFERROR(VLOOKUP(U$1,'YTM Pivot'!$A:$G,4,0),0))/1000</f>
        <v>17910.959019999998</v>
      </c>
      <c r="V10" s="218">
        <f t="shared" si="3"/>
        <v>84073.157469999976</v>
      </c>
      <c r="W10" s="218">
        <f>(IFERROR(VLOOKUP(W$1,'YTM Pivot'!$A:$G,4,0),0))/1000</f>
        <v>15876.260029999998</v>
      </c>
      <c r="X10" s="224">
        <f>(IFERROR(VLOOKUP(X$1,'YTM Pivot'!$A:$G,4,0),0))/1000</f>
        <v>0</v>
      </c>
      <c r="Y10" s="205">
        <f>(IFERROR(VLOOKUP(Y$1,'YTM Pivot'!$A:$G,4,0),0))/1000</f>
        <v>265.42309</v>
      </c>
      <c r="Z10" s="241">
        <f>(IFERROR(VLOOKUP(Z$1,'YTM Pivot'!$A:$G,4,0),0))/1000</f>
        <v>45.450720000000011</v>
      </c>
      <c r="AA10" s="207">
        <f t="shared" si="4"/>
        <v>16187.133839999999</v>
      </c>
      <c r="AB10" s="218">
        <f t="shared" si="5"/>
        <v>100260.29130999997</v>
      </c>
      <c r="AC10" s="8"/>
      <c r="AD10" s="17"/>
      <c r="AE10" s="15"/>
      <c r="AF10" s="17"/>
    </row>
    <row r="11" spans="1:35" x14ac:dyDescent="0.3">
      <c r="D11" s="114" t="s">
        <v>540</v>
      </c>
      <c r="E11" s="201">
        <f>(IFERROR(VLOOKUP(E$1,'Daily Pivot'!$A:$G,5,0),0))/1000</f>
        <v>2613.1218399999993</v>
      </c>
      <c r="F11" s="200">
        <f>(IFERROR(VLOOKUP(F$1,'Daily Pivot'!$A:$G,5,0),0))/1000</f>
        <v>0</v>
      </c>
      <c r="G11" s="204">
        <f>(IFERROR(VLOOKUP(G$1,'Daily Pivot'!$A:$G,5,0),0))/1000</f>
        <v>0</v>
      </c>
      <c r="H11" s="204">
        <f>(IFERROR(VLOOKUP(H$1,'Daily Pivot'!$A:$G,5,0),0))/1000</f>
        <v>39.745200000000011</v>
      </c>
      <c r="I11" s="217">
        <f>(IFERROR(VLOOKUP($I$1,'Daily Pivot'!$A:$G,5,0),0))/1000</f>
        <v>1007.495</v>
      </c>
      <c r="J11" s="217">
        <f t="shared" si="0"/>
        <v>3660.3620399999991</v>
      </c>
      <c r="K11" s="217">
        <f>(IFERROR(VLOOKUP(K$1,'Daily Pivot'!$A:$G,5,0),0))/1000</f>
        <v>414.19983999999988</v>
      </c>
      <c r="L11" s="201">
        <f>(IFERROR(VLOOKUP(L$1,'Daily Pivot'!$A:$G,5,0),0))/1000</f>
        <v>0</v>
      </c>
      <c r="M11" s="200">
        <f>(IFERROR(VLOOKUP(M$1,'Daily Pivot'!$A:$G,5,0),0))/1000</f>
        <v>0</v>
      </c>
      <c r="N11" s="200">
        <f>(IFERROR(VLOOKUP(N$1,'Daily Pivot'!$A:$G,5,0),0))/1000</f>
        <v>0</v>
      </c>
      <c r="O11" s="217">
        <f t="shared" si="1"/>
        <v>414.19983999999988</v>
      </c>
      <c r="P11" s="211">
        <f t="shared" si="2"/>
        <v>4074.5618799999988</v>
      </c>
      <c r="Q11" s="200">
        <f>(IFERROR(VLOOKUP(Q$1,'YTM Pivot'!$A:$G,5,0),0))/1000</f>
        <v>56025.642899999984</v>
      </c>
      <c r="R11" s="200">
        <f>(IFERROR(VLOOKUP(R$1,'YTM Pivot'!$A:$G,5,0),0))/1000</f>
        <v>232.02848000000003</v>
      </c>
      <c r="S11" s="200">
        <f>(IFERROR(VLOOKUP(S$1,'YTM Pivot'!$A:$G,5,0),0))/1000</f>
        <v>206.89492999999999</v>
      </c>
      <c r="T11" s="200">
        <f>(IFERROR(VLOOKUP(T$1,'YTM Pivot'!$A:$G,5,0),0))/1000</f>
        <v>156.99821</v>
      </c>
      <c r="U11" s="201">
        <f>(IFERROR(VLOOKUP(U$1,'YTM Pivot'!$A:$G,5,0),0))/1000</f>
        <v>15583.26338</v>
      </c>
      <c r="V11" s="217">
        <f t="shared" si="3"/>
        <v>72204.827899999989</v>
      </c>
      <c r="W11" s="217">
        <f>(IFERROR(VLOOKUP(W$1,'YTM Pivot'!$A:$G,5,0),0))/1000</f>
        <v>15503.380339999998</v>
      </c>
      <c r="X11" s="223">
        <f>(IFERROR(VLOOKUP(X$1,'YTM Pivot'!$A:$G,5,0),0))/1000</f>
        <v>0</v>
      </c>
      <c r="Y11" s="200">
        <f>(IFERROR(VLOOKUP(Y$1,'YTM Pivot'!$A:$G,5,0),0))/1000</f>
        <v>263.70154000000002</v>
      </c>
      <c r="Z11" s="240">
        <f>(IFERROR(VLOOKUP(Z$1,'YTM Pivot'!$A:$G,5,0),0))/1000</f>
        <v>43.711920000000006</v>
      </c>
      <c r="AA11" s="202">
        <f t="shared" si="4"/>
        <v>15810.793799999998</v>
      </c>
      <c r="AB11" s="217">
        <f t="shared" si="5"/>
        <v>88015.621699999989</v>
      </c>
      <c r="AE11" s="15"/>
    </row>
    <row r="12" spans="1:35" x14ac:dyDescent="0.3">
      <c r="D12" s="114" t="s">
        <v>541</v>
      </c>
      <c r="E12" s="201">
        <f>(IFERROR(VLOOKUP(E$1,'Daily Pivot'!$A:$G,6,0),0))/1000</f>
        <v>205.65056000000001</v>
      </c>
      <c r="F12" s="200">
        <f>(IFERROR(VLOOKUP(F$1,'Daily Pivot'!$A:$G,6,0),0))/1000</f>
        <v>0</v>
      </c>
      <c r="G12" s="204">
        <f>(IFERROR(VLOOKUP(G$1,'Daily Pivot'!$A:$G,6,0),0))/1000</f>
        <v>0</v>
      </c>
      <c r="H12" s="204">
        <f>(IFERROR(VLOOKUP(H$1,'Daily Pivot'!$A:$G,6,0),0))/1000</f>
        <v>2.3460799999999997</v>
      </c>
      <c r="I12" s="217">
        <f>(IFERROR(VLOOKUP($I$1,'Daily Pivot'!$A:$G,6,0),0))/1000</f>
        <v>70.8</v>
      </c>
      <c r="J12" s="217">
        <f t="shared" si="0"/>
        <v>278.79664000000002</v>
      </c>
      <c r="K12" s="217">
        <f>(IFERROR(VLOOKUP(K$1,'Daily Pivot'!$A:$G,6,0),0))/1000</f>
        <v>4.3079999999999998</v>
      </c>
      <c r="L12" s="201">
        <f>(IFERROR(VLOOKUP(L$1,'Daily Pivot'!$A:$G,6,0),0))/1000</f>
        <v>0</v>
      </c>
      <c r="M12" s="200">
        <f>(IFERROR(VLOOKUP(M$1,'Daily Pivot'!$A:$G,6,0),0))/1000</f>
        <v>0</v>
      </c>
      <c r="N12" s="200">
        <f>(IFERROR(VLOOKUP(N$1,'Daily Pivot'!$A:$G,6,0),0))/1000</f>
        <v>0</v>
      </c>
      <c r="O12" s="217">
        <f t="shared" si="1"/>
        <v>4.3079999999999998</v>
      </c>
      <c r="P12" s="211">
        <f t="shared" si="2"/>
        <v>283.10464000000002</v>
      </c>
      <c r="Q12" s="200">
        <f>(IFERROR(VLOOKUP(Q$1,'YTM Pivot'!$A:$G,6,0),0))/1000</f>
        <v>4272.0753400000021</v>
      </c>
      <c r="R12" s="200">
        <f>(IFERROR(VLOOKUP(R$1,'YTM Pivot'!$A:$G,6,0),0))/1000</f>
        <v>44.150820000000003</v>
      </c>
      <c r="S12" s="200">
        <f>(IFERROR(VLOOKUP(S$1,'YTM Pivot'!$A:$G,6,0),0))/1000</f>
        <v>15.572850000000001</v>
      </c>
      <c r="T12" s="200">
        <f>(IFERROR(VLOOKUP(T$1,'YTM Pivot'!$A:$G,6,0),0))/1000</f>
        <v>17.280639999999998</v>
      </c>
      <c r="U12" s="201">
        <f>(IFERROR(VLOOKUP(U$1,'YTM Pivot'!$A:$G,6,0),0))/1000</f>
        <v>1098.3062399999999</v>
      </c>
      <c r="V12" s="217">
        <f t="shared" si="3"/>
        <v>5447.3858900000014</v>
      </c>
      <c r="W12" s="217">
        <f>(IFERROR(VLOOKUP(W$1,'YTM Pivot'!$A:$G,6,0),0))/1000</f>
        <v>162.44928000000002</v>
      </c>
      <c r="X12" s="223">
        <f>(IFERROR(VLOOKUP(X$1,'YTM Pivot'!$A:$G,6,0),0))/1000</f>
        <v>0</v>
      </c>
      <c r="Y12" s="200">
        <f>(IFERROR(VLOOKUP(Y$1,'YTM Pivot'!$A:$G,6,0),0))/1000</f>
        <v>0.74850000000000005</v>
      </c>
      <c r="Z12" s="240">
        <f>(IFERROR(VLOOKUP(Z$1,'YTM Pivot'!$A:$G,6,0),0))/1000</f>
        <v>0.75600000000000001</v>
      </c>
      <c r="AA12" s="202">
        <f t="shared" si="4"/>
        <v>163.95378000000002</v>
      </c>
      <c r="AB12" s="217">
        <f t="shared" si="5"/>
        <v>5611.3396700000012</v>
      </c>
      <c r="AE12" s="15"/>
    </row>
    <row r="13" spans="1:35" x14ac:dyDescent="0.3">
      <c r="D13" s="114" t="s">
        <v>542</v>
      </c>
      <c r="E13" s="201">
        <f>(IFERROR(VLOOKUP(E$1,'Daily Pivot'!$A:$G,7,0),0))/1000</f>
        <v>247.94163999999995</v>
      </c>
      <c r="F13" s="200">
        <f>(IFERROR(VLOOKUP(F$1,'Daily Pivot'!$A:$G,7,0),0))/1000</f>
        <v>0</v>
      </c>
      <c r="G13" s="204">
        <f>(IFERROR(VLOOKUP(G$1,'Daily Pivot'!$A:$G,7,0),0))/1000</f>
        <v>0</v>
      </c>
      <c r="H13" s="204">
        <f>(IFERROR(VLOOKUP(H$1,'Daily Pivot'!$A:$G,7,0),0))/1000</f>
        <v>4.1175199999999998</v>
      </c>
      <c r="I13" s="217">
        <f>(IFERROR(VLOOKUP($I$1,'Daily Pivot'!$A:$G,7,0),0))/1000</f>
        <v>78.650000000000006</v>
      </c>
      <c r="J13" s="217">
        <f t="shared" si="0"/>
        <v>330.70916</v>
      </c>
      <c r="K13" s="217">
        <f>(IFERROR(VLOOKUP(K$1,'Daily Pivot'!$A:$G,7,0),0))/1000</f>
        <v>5.6003999999999996</v>
      </c>
      <c r="L13" s="201">
        <f>(IFERROR(VLOOKUP(L$1,'Daily Pivot'!$A:$G,7,0),0))/1000</f>
        <v>0</v>
      </c>
      <c r="M13" s="200">
        <f>(IFERROR(VLOOKUP(M$1,'Daily Pivot'!$A:$G,7,0),0))/1000</f>
        <v>0</v>
      </c>
      <c r="N13" s="200">
        <f>(IFERROR(VLOOKUP(N$1,'Daily Pivot'!$A:$G,7,0),0))/1000</f>
        <v>0</v>
      </c>
      <c r="O13" s="217">
        <f t="shared" si="1"/>
        <v>5.6003999999999996</v>
      </c>
      <c r="P13" s="211">
        <f t="shared" si="2"/>
        <v>336.30955999999998</v>
      </c>
      <c r="Q13" s="200">
        <f>(IFERROR(VLOOKUP(Q$1,'YTM Pivot'!$A:$G,7,0),0))/1000</f>
        <v>5061.6798299999991</v>
      </c>
      <c r="R13" s="200">
        <f>(IFERROR(VLOOKUP(R$1,'YTM Pivot'!$A:$G,7,0),0))/1000</f>
        <v>56.379760000000005</v>
      </c>
      <c r="S13" s="200">
        <f>(IFERROR(VLOOKUP(S$1,'YTM Pivot'!$A:$G,7,0),0))/1000</f>
        <v>17.06953</v>
      </c>
      <c r="T13" s="200">
        <f>(IFERROR(VLOOKUP(T$1,'YTM Pivot'!$A:$G,7,0),0))/1000</f>
        <v>18.475150000000003</v>
      </c>
      <c r="U13" s="201">
        <f>(IFERROR(VLOOKUP(U$1,'YTM Pivot'!$A:$G,7,0),0))/1000</f>
        <v>1220.0817199999999</v>
      </c>
      <c r="V13" s="217">
        <f t="shared" si="3"/>
        <v>6373.685989999999</v>
      </c>
      <c r="W13" s="217">
        <f>(IFERROR(VLOOKUP(W$1,'YTM Pivot'!$A:$G,7,0),0))/1000</f>
        <v>210.43041000000008</v>
      </c>
      <c r="X13" s="223">
        <f>(IFERROR(VLOOKUP(X$1,'YTM Pivot'!$A:$G,7,0),0))/1000</f>
        <v>0</v>
      </c>
      <c r="Y13" s="200">
        <f>(IFERROR(VLOOKUP(Y$1,'YTM Pivot'!$A:$G,7,0),0))/1000</f>
        <v>0.97304999999999997</v>
      </c>
      <c r="Z13" s="240">
        <f>(IFERROR(VLOOKUP(Z$1,'YTM Pivot'!$A:$G,7,0),0))/1000</f>
        <v>0.98280000000000001</v>
      </c>
      <c r="AA13" s="202">
        <f t="shared" si="4"/>
        <v>212.38626000000008</v>
      </c>
      <c r="AB13" s="217">
        <f t="shared" si="5"/>
        <v>6586.0722499999993</v>
      </c>
      <c r="AE13" s="15"/>
    </row>
    <row r="14" spans="1:35" ht="15" thickBot="1" x14ac:dyDescent="0.35">
      <c r="D14" s="118" t="s">
        <v>543</v>
      </c>
      <c r="E14" s="201">
        <f t="shared" ref="E14:Q14" si="6">E9-E10</f>
        <v>212.56053000000065</v>
      </c>
      <c r="F14" s="200">
        <f>F9-F10</f>
        <v>0</v>
      </c>
      <c r="G14" s="204">
        <f>G9-G10</f>
        <v>0</v>
      </c>
      <c r="H14" s="204">
        <f>H9-H10</f>
        <v>39.548959999999994</v>
      </c>
      <c r="I14" s="217">
        <f>I9-I10</f>
        <v>486.22</v>
      </c>
      <c r="J14" s="217">
        <f t="shared" ref="J14" si="7">J9-J10</f>
        <v>738.32949000000099</v>
      </c>
      <c r="K14" s="217">
        <f>K9-K10</f>
        <v>43.855440000000101</v>
      </c>
      <c r="L14" s="201">
        <f>L9-L10</f>
        <v>0</v>
      </c>
      <c r="M14" s="200">
        <f>M9-M10</f>
        <v>0</v>
      </c>
      <c r="N14" s="200">
        <f>N9-N10</f>
        <v>0</v>
      </c>
      <c r="O14" s="217">
        <f>O9-O10</f>
        <v>43.855440000000101</v>
      </c>
      <c r="P14" s="211">
        <f t="shared" ref="P14" si="8">P9-P10</f>
        <v>782.18493000000126</v>
      </c>
      <c r="Q14" s="203">
        <f t="shared" si="6"/>
        <v>5933.5414000000528</v>
      </c>
      <c r="R14" s="203">
        <f t="shared" ref="R14:V14" si="9">R9-R10</f>
        <v>15.425479999999936</v>
      </c>
      <c r="S14" s="203">
        <f t="shared" si="9"/>
        <v>-20.447600000000023</v>
      </c>
      <c r="T14" s="203">
        <f t="shared" ref="T14" si="10">T9-T10</f>
        <v>149.83554999999993</v>
      </c>
      <c r="U14" s="201">
        <f>U9-U10</f>
        <v>7646.9764000000032</v>
      </c>
      <c r="V14" s="217">
        <f t="shared" si="9"/>
        <v>13725.331230000069</v>
      </c>
      <c r="W14" s="217">
        <f>W9-W10</f>
        <v>1610.0383900000052</v>
      </c>
      <c r="X14" s="247">
        <f t="shared" ref="X14" si="11">X9-X10</f>
        <v>0</v>
      </c>
      <c r="Y14" s="200">
        <f t="shared" ref="Y14" si="12">Y9-Y10</f>
        <v>44.726509999999962</v>
      </c>
      <c r="Z14" s="240">
        <f t="shared" ref="Z14" si="13">Z9-Z10</f>
        <v>36.902879999999989</v>
      </c>
      <c r="AA14" s="202">
        <f t="shared" ref="AA14:AB14" si="14">AA9-AA10</f>
        <v>1691.6677800000034</v>
      </c>
      <c r="AB14" s="217">
        <f t="shared" si="14"/>
        <v>15416.999010000072</v>
      </c>
      <c r="AE14" s="15"/>
    </row>
    <row r="15" spans="1:35" s="16" customFormat="1" ht="15" thickBot="1" x14ac:dyDescent="0.35">
      <c r="D15" s="116" t="s">
        <v>460</v>
      </c>
      <c r="E15" s="176">
        <f t="shared" ref="E15:Q15" si="15">IFERROR(E14/E9,"")</f>
        <v>6.4785530696181926E-2</v>
      </c>
      <c r="F15" s="177" t="str">
        <f t="shared" ref="F15:G15" si="16">IFERROR(F14/F9,"")</f>
        <v/>
      </c>
      <c r="G15" s="178" t="str">
        <f t="shared" si="16"/>
        <v/>
      </c>
      <c r="H15" s="178">
        <f t="shared" ref="H15" si="17">IFERROR(H14/H9,"")</f>
        <v>0.4610192441836608</v>
      </c>
      <c r="I15" s="219">
        <f>IFERROR(I14/I9,"")</f>
        <v>0.29579654025970864</v>
      </c>
      <c r="J15" s="219">
        <f>IFERROR(J14/J9,"")</f>
        <v>0.14735531337476207</v>
      </c>
      <c r="K15" s="219">
        <f t="shared" ref="K15" si="18">IFERROR(K14/K9,"")</f>
        <v>9.3715478090094728E-2</v>
      </c>
      <c r="L15" s="242" t="str">
        <f>IFERROR(L14/L9,"")</f>
        <v/>
      </c>
      <c r="M15" s="177" t="str">
        <f>IFERROR(M14/M9,"")</f>
        <v/>
      </c>
      <c r="N15" s="177" t="str">
        <f>IFERROR(N14/N9,"")</f>
        <v/>
      </c>
      <c r="O15" s="219">
        <f t="shared" si="15"/>
        <v>9.3715478090094728E-2</v>
      </c>
      <c r="P15" s="178">
        <f>IFERROR(P14/P9,"")</f>
        <v>0.14277349643026824</v>
      </c>
      <c r="Q15" s="177">
        <f t="shared" si="15"/>
        <v>8.3183711318667905E-2</v>
      </c>
      <c r="R15" s="177">
        <f t="shared" ref="R15" si="19">IFERROR(R14/R9,"")</f>
        <v>4.4311863771098151E-2</v>
      </c>
      <c r="S15" s="177">
        <f t="shared" ref="S15:T15" si="20">IFERROR(S14/S9,"")</f>
        <v>-9.3291656648232857E-2</v>
      </c>
      <c r="T15" s="177">
        <f t="shared" si="20"/>
        <v>0.43722845304889513</v>
      </c>
      <c r="U15" s="176">
        <f>IFERROR(U14/U9,"")</f>
        <v>0.29920164811184119</v>
      </c>
      <c r="V15" s="219">
        <f>IFERROR(V14/V9,"")</f>
        <v>0.140342978837873</v>
      </c>
      <c r="W15" s="219">
        <f>IFERROR(W14/W9,"")</f>
        <v>9.2074283037427707E-2</v>
      </c>
      <c r="X15" s="242" t="str">
        <f t="shared" ref="X15" si="21">IFERROR(X14/X9,"")</f>
        <v/>
      </c>
      <c r="Y15" s="177">
        <f t="shared" ref="Y15:Z15" si="22">IFERROR(Y14/Y9,"")</f>
        <v>0.14420947181618152</v>
      </c>
      <c r="Z15" s="243">
        <f t="shared" si="22"/>
        <v>0.44810281517747846</v>
      </c>
      <c r="AA15" s="184">
        <f>IFERROR(AA14/AA9,"")</f>
        <v>9.4618633617346626E-2</v>
      </c>
      <c r="AB15" s="219">
        <f t="shared" ref="AB15" si="23">IFERROR(AB14/AB9,"")</f>
        <v>0.1332759348645855</v>
      </c>
    </row>
    <row r="16" spans="1:35" ht="15" thickBot="1" x14ac:dyDescent="0.35">
      <c r="D16" s="179" t="s">
        <v>517</v>
      </c>
      <c r="E16" s="180">
        <f t="shared" ref="E16:V16" si="24">IFERROR(E9*1000/E8,"-")</f>
        <v>354.58637306819412</v>
      </c>
      <c r="F16" s="181" t="str">
        <f t="shared" si="24"/>
        <v>-</v>
      </c>
      <c r="G16" s="183" t="str">
        <f t="shared" si="24"/>
        <v>-</v>
      </c>
      <c r="H16" s="183">
        <f t="shared" ref="H16" si="25">IFERROR(H9*1000/H8,"-")</f>
        <v>974.84</v>
      </c>
      <c r="I16" s="220">
        <f>IFERROR(I9*1000/I8,"-")</f>
        <v>657.50599999999997</v>
      </c>
      <c r="J16" s="220"/>
      <c r="K16" s="220">
        <f>IFERROR(K9*1000/K8,"-")</f>
        <v>162.94</v>
      </c>
      <c r="L16" s="180" t="str">
        <f>IFERROR(L9*1000/L8,"-")</f>
        <v>-</v>
      </c>
      <c r="M16" s="181" t="str">
        <f>IFERROR(M9*1000/M8,"-")</f>
        <v>-</v>
      </c>
      <c r="N16" s="181" t="str">
        <f>IFERROR(N9*1000/N8,"-")</f>
        <v>-</v>
      </c>
      <c r="O16" s="220">
        <f t="shared" si="24"/>
        <v>162.94</v>
      </c>
      <c r="P16" s="213"/>
      <c r="Q16" s="181">
        <f t="shared" si="24"/>
        <v>364.53220501131983</v>
      </c>
      <c r="R16" s="181">
        <f t="shared" si="24"/>
        <v>349.50977911646578</v>
      </c>
      <c r="S16" s="181">
        <f t="shared" si="24"/>
        <v>415.9</v>
      </c>
      <c r="T16" s="181">
        <f t="shared" ref="T16" si="26">IFERROR(T9*1000/T8,"-")</f>
        <v>550.0705617977527</v>
      </c>
      <c r="U16" s="180">
        <f>IFERROR(U9*1000/U8,"-")</f>
        <v>659.01540456913006</v>
      </c>
      <c r="V16" s="220">
        <f t="shared" si="24"/>
        <v>413.34075230870036</v>
      </c>
      <c r="W16" s="220">
        <f>IFERROR(W9*1000/W8,"-")</f>
        <v>161.92966208895515</v>
      </c>
      <c r="X16" s="225" t="str">
        <f>IFERROR(X9*1000/X8,"-")</f>
        <v>-</v>
      </c>
      <c r="Y16" s="181">
        <f>IFERROR(Y9*1000/Y8,"-")</f>
        <v>621.54228456913825</v>
      </c>
      <c r="Z16" s="244">
        <f>IFERROR(Z9*1000/Z8,"-")</f>
        <v>163.4</v>
      </c>
      <c r="AA16" s="185">
        <f>IFERROR(AA9*1000/AA8,"-")</f>
        <v>164.04075254610515</v>
      </c>
      <c r="AB16" s="220"/>
    </row>
    <row r="17" spans="1:28" ht="15" thickBot="1" x14ac:dyDescent="0.35">
      <c r="D17" s="377" t="s">
        <v>482</v>
      </c>
      <c r="E17" s="369"/>
      <c r="F17" s="369"/>
      <c r="G17" s="369"/>
      <c r="H17" s="369"/>
      <c r="I17" s="369"/>
      <c r="J17" s="369"/>
      <c r="K17" s="369"/>
      <c r="L17" s="369"/>
      <c r="M17" s="369"/>
      <c r="N17" s="369"/>
      <c r="O17" s="369"/>
      <c r="P17" s="369"/>
      <c r="Q17" s="369"/>
      <c r="R17" s="369"/>
      <c r="S17" s="369"/>
      <c r="T17" s="369"/>
      <c r="U17" s="369"/>
      <c r="V17" s="369"/>
      <c r="W17" s="369"/>
      <c r="X17" s="369"/>
      <c r="Y17" s="369"/>
      <c r="Z17" s="369"/>
      <c r="AA17" s="369"/>
      <c r="AB17" s="370"/>
    </row>
    <row r="18" spans="1:28" ht="15" thickBot="1" x14ac:dyDescent="0.35"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8" ht="15" thickBot="1" x14ac:dyDescent="0.35">
      <c r="A19" s="233" t="s">
        <v>1634</v>
      </c>
      <c r="B19" s="235">
        <f ca="1">E4</f>
        <v>46097</v>
      </c>
      <c r="C19" s="236"/>
      <c r="D19" s="406" t="str">
        <f>Q4</f>
        <v>MTD - Nov-25</v>
      </c>
      <c r="E19" s="407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28" ht="15" thickBot="1" x14ac:dyDescent="0.35">
      <c r="A20" s="234"/>
      <c r="B20" s="133" t="s">
        <v>456</v>
      </c>
      <c r="C20" s="133" t="s">
        <v>1635</v>
      </c>
      <c r="D20" s="133" t="s">
        <v>456</v>
      </c>
      <c r="E20" s="133" t="s">
        <v>1635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8" x14ac:dyDescent="0.3">
      <c r="A21" s="186" t="s">
        <v>1632</v>
      </c>
      <c r="B21" s="232">
        <f>SUM(B23:B25)</f>
        <v>12125</v>
      </c>
      <c r="C21" s="232">
        <f t="shared" ref="C21:E21" si="27">SUM(C23:C25)</f>
        <v>3748.9513899999997</v>
      </c>
      <c r="D21" s="232">
        <f t="shared" si="27"/>
        <v>305187</v>
      </c>
      <c r="E21" s="232">
        <f t="shared" si="27"/>
        <v>89384.157740000039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 x14ac:dyDescent="0.3">
      <c r="A22" s="188"/>
      <c r="B22" s="136"/>
      <c r="C22" s="136"/>
      <c r="D22" s="136"/>
      <c r="E22" s="136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 x14ac:dyDescent="0.3">
      <c r="A23" s="187" t="s">
        <v>1627</v>
      </c>
      <c r="B23" s="136">
        <f>E8+F8+G8</f>
        <v>9253</v>
      </c>
      <c r="C23" s="136">
        <f>E9+F9+G9</f>
        <v>3280.9877099999999</v>
      </c>
      <c r="D23" s="136">
        <f>Q8+R8+S8</f>
        <v>197200</v>
      </c>
      <c r="E23" s="136">
        <f>Q9+R9+S9</f>
        <v>71897.859320000032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1:28" x14ac:dyDescent="0.3">
      <c r="A24" s="187" t="s">
        <v>1628</v>
      </c>
      <c r="B24" s="136">
        <f>K8</f>
        <v>2872</v>
      </c>
      <c r="C24" s="136">
        <f>K9</f>
        <v>467.96368000000001</v>
      </c>
      <c r="D24" s="136">
        <f>W8</f>
        <v>107987</v>
      </c>
      <c r="E24" s="136">
        <f>W9</f>
        <v>17486.298420000003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1:28" ht="15" thickBot="1" x14ac:dyDescent="0.35">
      <c r="A25" s="187"/>
      <c r="B25" s="188"/>
      <c r="C25" s="188"/>
      <c r="D25" s="188"/>
      <c r="E25" s="188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x14ac:dyDescent="0.3">
      <c r="A26" s="189" t="s">
        <v>1633</v>
      </c>
      <c r="B26" s="232">
        <f>SUM(B28:B30)</f>
        <v>2500</v>
      </c>
      <c r="C26" s="232">
        <f t="shared" ref="C26:E26" si="28">SUM(C28:C30)</f>
        <v>1643.7650000000001</v>
      </c>
      <c r="D26" s="232">
        <f t="shared" si="28"/>
        <v>39281</v>
      </c>
      <c r="E26" s="232">
        <f t="shared" si="28"/>
        <v>25868.085020000002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1:28" x14ac:dyDescent="0.3">
      <c r="A27" s="188"/>
      <c r="B27" s="136"/>
      <c r="C27" s="136"/>
      <c r="D27" s="136"/>
      <c r="E27" s="136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 x14ac:dyDescent="0.3">
      <c r="A28" s="187" t="s">
        <v>1627</v>
      </c>
      <c r="B28" s="136">
        <f>I8</f>
        <v>2500</v>
      </c>
      <c r="C28" s="136">
        <f>I9</f>
        <v>1643.7650000000001</v>
      </c>
      <c r="D28" s="136">
        <f>U8</f>
        <v>38782</v>
      </c>
      <c r="E28" s="136">
        <f>U9</f>
        <v>25557.935420000002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28" x14ac:dyDescent="0.3">
      <c r="A29" s="187" t="s">
        <v>1628</v>
      </c>
      <c r="B29" s="136">
        <f>L8+M8</f>
        <v>0</v>
      </c>
      <c r="C29" s="136">
        <f>L9+M9</f>
        <v>0</v>
      </c>
      <c r="D29" s="136">
        <f>X8+Y8</f>
        <v>499</v>
      </c>
      <c r="E29" s="136">
        <f>X9+Y9</f>
        <v>310.14959999999996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1:28" ht="15" thickBot="1" x14ac:dyDescent="0.35">
      <c r="A30" s="231"/>
      <c r="B30" s="190"/>
      <c r="C30" s="191"/>
      <c r="D30" s="191"/>
      <c r="E30" s="190"/>
      <c r="J30" s="15"/>
    </row>
    <row r="31" spans="1:28" ht="15" thickBot="1" x14ac:dyDescent="0.35">
      <c r="A31" s="192" t="s">
        <v>462</v>
      </c>
      <c r="B31" s="193"/>
      <c r="C31" s="194"/>
      <c r="D31" s="194"/>
      <c r="E31" s="193"/>
      <c r="J31" s="15"/>
    </row>
    <row r="32" spans="1:28" x14ac:dyDescent="0.3">
      <c r="F32" s="15"/>
      <c r="G32" s="15"/>
      <c r="H32" s="15"/>
      <c r="J32" s="15"/>
    </row>
    <row r="33" spans="4:27" x14ac:dyDescent="0.3">
      <c r="F33" s="15"/>
      <c r="G33" s="15"/>
      <c r="H33" s="15"/>
      <c r="J33" s="15"/>
    </row>
    <row r="34" spans="4:27" x14ac:dyDescent="0.3">
      <c r="F34" s="15"/>
      <c r="G34" s="15"/>
      <c r="H34" s="15"/>
      <c r="J34" s="15"/>
    </row>
    <row r="35" spans="4:27" x14ac:dyDescent="0.3">
      <c r="D35" s="114" t="s">
        <v>499</v>
      </c>
      <c r="Q35" s="72">
        <f>Q9*1000/Q$8</f>
        <v>364.53220501131983</v>
      </c>
      <c r="R35" s="72">
        <f>R9*1000/R$8</f>
        <v>349.50977911646578</v>
      </c>
      <c r="S35" s="72"/>
      <c r="T35" s="72"/>
      <c r="V35" s="72"/>
      <c r="W35" s="72">
        <f t="shared" ref="W35:W41" si="29">W9*1000/W$8</f>
        <v>161.92966208895515</v>
      </c>
      <c r="X35" s="72"/>
      <c r="Y35" s="72"/>
      <c r="Z35" s="72"/>
      <c r="AA35" s="72"/>
    </row>
    <row r="36" spans="4:27" x14ac:dyDescent="0.3">
      <c r="D36" s="115" t="s">
        <v>539</v>
      </c>
      <c r="Q36" s="72">
        <f t="shared" ref="Q36:R41" si="30">Q10*1000/Q$8</f>
        <v>334.20906330330075</v>
      </c>
      <c r="R36" s="72">
        <f t="shared" si="30"/>
        <v>334.02234939759035</v>
      </c>
      <c r="S36" s="72"/>
      <c r="T36" s="72"/>
      <c r="V36" s="72"/>
      <c r="W36" s="72">
        <f t="shared" si="29"/>
        <v>147.02010454962169</v>
      </c>
      <c r="X36" s="72"/>
      <c r="Y36" s="72"/>
      <c r="Z36" s="72"/>
      <c r="AA36" s="72"/>
    </row>
    <row r="37" spans="4:27" x14ac:dyDescent="0.3">
      <c r="D37" s="114" t="s">
        <v>540</v>
      </c>
      <c r="Q37" s="72">
        <f t="shared" si="30"/>
        <v>286.3169554929807</v>
      </c>
      <c r="R37" s="72">
        <f t="shared" si="30"/>
        <v>232.96032128514059</v>
      </c>
      <c r="S37" s="72"/>
      <c r="T37" s="72"/>
      <c r="V37" s="72"/>
      <c r="W37" s="72">
        <f t="shared" si="29"/>
        <v>143.56709918786518</v>
      </c>
      <c r="X37" s="72"/>
      <c r="Y37" s="72"/>
      <c r="Z37" s="72"/>
      <c r="AA37" s="72"/>
    </row>
    <row r="38" spans="4:27" x14ac:dyDescent="0.3">
      <c r="D38" s="114" t="s">
        <v>541</v>
      </c>
      <c r="Q38" s="72">
        <f t="shared" si="30"/>
        <v>21.832281463840932</v>
      </c>
      <c r="R38" s="72">
        <f t="shared" si="30"/>
        <v>44.328132530120484</v>
      </c>
      <c r="S38" s="72"/>
      <c r="T38" s="72"/>
      <c r="V38" s="72"/>
      <c r="W38" s="72">
        <f t="shared" si="29"/>
        <v>1.5043410780927335</v>
      </c>
      <c r="X38" s="72"/>
      <c r="Y38" s="72"/>
      <c r="Z38" s="72"/>
      <c r="AA38" s="72"/>
    </row>
    <row r="39" spans="4:27" x14ac:dyDescent="0.3">
      <c r="D39" s="114" t="s">
        <v>542</v>
      </c>
      <c r="Q39" s="72">
        <f t="shared" si="30"/>
        <v>25.867525718403282</v>
      </c>
      <c r="R39" s="72">
        <f t="shared" si="30"/>
        <v>56.606184738955825</v>
      </c>
      <c r="S39" s="72"/>
      <c r="T39" s="72"/>
      <c r="V39" s="72"/>
      <c r="W39" s="72">
        <f t="shared" si="29"/>
        <v>1.9486642836637751</v>
      </c>
      <c r="X39" s="72"/>
      <c r="Y39" s="72"/>
      <c r="Z39" s="72"/>
      <c r="AA39" s="72"/>
    </row>
    <row r="40" spans="4:27" ht="15" thickBot="1" x14ac:dyDescent="0.35">
      <c r="D40" s="118" t="s">
        <v>543</v>
      </c>
      <c r="Q40" s="72">
        <f t="shared" si="30"/>
        <v>30.323141708019094</v>
      </c>
      <c r="R40" s="72">
        <f t="shared" si="30"/>
        <v>15.487429718875438</v>
      </c>
      <c r="S40" s="72"/>
      <c r="T40" s="72"/>
      <c r="V40" s="72"/>
      <c r="W40" s="72">
        <f t="shared" si="29"/>
        <v>14.909557539333488</v>
      </c>
      <c r="X40" s="72"/>
      <c r="Y40" s="72"/>
      <c r="Z40" s="72"/>
      <c r="AA40" s="72"/>
    </row>
    <row r="41" spans="4:27" x14ac:dyDescent="0.3">
      <c r="Q41" s="72">
        <f t="shared" si="30"/>
        <v>4.2510724979771716E-4</v>
      </c>
      <c r="R41" s="72">
        <f t="shared" si="30"/>
        <v>4.4489823063351558E-2</v>
      </c>
      <c r="S41" s="72"/>
      <c r="T41" s="72"/>
      <c r="V41" s="72"/>
      <c r="W41" s="72">
        <f t="shared" si="29"/>
        <v>8.5264229062227584E-4</v>
      </c>
      <c r="X41" s="72"/>
      <c r="Y41" s="72"/>
      <c r="Z41" s="72"/>
      <c r="AA41" s="72"/>
    </row>
  </sheetData>
  <mergeCells count="19">
    <mergeCell ref="D19:E19"/>
    <mergeCell ref="AB5:AB7"/>
    <mergeCell ref="D17:AB17"/>
    <mergeCell ref="V6:V7"/>
    <mergeCell ref="J6:J7"/>
    <mergeCell ref="O6:O7"/>
    <mergeCell ref="K5:O5"/>
    <mergeCell ref="P5:P7"/>
    <mergeCell ref="L6:N6"/>
    <mergeCell ref="X6:Z6"/>
    <mergeCell ref="E4:P4"/>
    <mergeCell ref="E5:J5"/>
    <mergeCell ref="Q5:V5"/>
    <mergeCell ref="W5:AA5"/>
    <mergeCell ref="D6:D7"/>
    <mergeCell ref="Q4:AB4"/>
    <mergeCell ref="AA6:AA7"/>
    <mergeCell ref="Q6:T6"/>
    <mergeCell ref="E6:H6"/>
  </mergeCells>
  <pageMargins left="0.7" right="0.7" top="0.75" bottom="0.75" header="0.3" footer="0.3"/>
  <pageSetup orientation="portrait" horizontalDpi="300" verticalDpi="300" r:id="rId1"/>
  <ignoredErrors>
    <ignoredError sqref="V14:V16 V8:V1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087E-4740-44F4-9C89-EDE37BA42C02}">
  <sheetPr>
    <tabColor rgb="FFFFFF00"/>
  </sheetPr>
  <dimension ref="A3:L123"/>
  <sheetViews>
    <sheetView topLeftCell="H2" workbookViewId="0">
      <selection activeCell="L3" sqref="L3"/>
    </sheetView>
  </sheetViews>
  <sheetFormatPr defaultRowHeight="14.4" x14ac:dyDescent="0.3"/>
  <cols>
    <col min="1" max="1" width="11.6640625" bestFit="1" customWidth="1"/>
    <col min="2" max="2" width="43.77734375" bestFit="1" customWidth="1"/>
    <col min="3" max="3" width="19.6640625" bestFit="1" customWidth="1"/>
    <col min="4" max="4" width="15.33203125" bestFit="1" customWidth="1"/>
    <col min="5" max="5" width="17.6640625" bestFit="1" customWidth="1"/>
    <col min="6" max="6" width="18.21875" bestFit="1" customWidth="1"/>
    <col min="7" max="7" width="21.77734375" bestFit="1" customWidth="1"/>
    <col min="8" max="8" width="25.44140625" bestFit="1" customWidth="1"/>
    <col min="9" max="9" width="29.77734375" bestFit="1" customWidth="1"/>
    <col min="10" max="10" width="20.6640625" bestFit="1" customWidth="1"/>
    <col min="11" max="11" width="13.44140625" bestFit="1" customWidth="1"/>
    <col min="12" max="12" width="14.88671875" bestFit="1" customWidth="1"/>
  </cols>
  <sheetData>
    <row r="3" spans="1:12" x14ac:dyDescent="0.3">
      <c r="A3" s="5" t="s">
        <v>2</v>
      </c>
      <c r="B3" s="5" t="s">
        <v>3</v>
      </c>
      <c r="C3" t="s">
        <v>1181</v>
      </c>
      <c r="D3" t="s">
        <v>341</v>
      </c>
      <c r="E3" t="s">
        <v>1972</v>
      </c>
      <c r="F3" t="s">
        <v>1973</v>
      </c>
      <c r="G3" t="s">
        <v>1974</v>
      </c>
      <c r="H3" t="s">
        <v>1975</v>
      </c>
      <c r="I3" t="s">
        <v>1976</v>
      </c>
      <c r="J3" t="s">
        <v>1977</v>
      </c>
      <c r="K3" t="s">
        <v>1520</v>
      </c>
      <c r="L3" t="s">
        <v>561</v>
      </c>
    </row>
    <row r="4" spans="1:12" x14ac:dyDescent="0.3">
      <c r="A4" t="s">
        <v>595</v>
      </c>
      <c r="B4" t="s">
        <v>596</v>
      </c>
      <c r="C4">
        <v>9808</v>
      </c>
      <c r="D4">
        <v>1298481.1200000001</v>
      </c>
      <c r="E4" s="15">
        <v>1227479.79</v>
      </c>
      <c r="F4" s="15">
        <v>14712</v>
      </c>
      <c r="G4" s="15">
        <v>490.4</v>
      </c>
      <c r="H4" s="15">
        <v>3923.2</v>
      </c>
      <c r="I4" s="15">
        <v>14712</v>
      </c>
      <c r="J4" s="15">
        <v>0</v>
      </c>
      <c r="K4">
        <v>132.38999999999999</v>
      </c>
      <c r="L4" s="17">
        <v>1227275.04</v>
      </c>
    </row>
    <row r="5" spans="1:12" x14ac:dyDescent="0.3">
      <c r="A5" t="s">
        <v>1701</v>
      </c>
      <c r="B5" t="s">
        <v>1702</v>
      </c>
      <c r="C5">
        <v>306000</v>
      </c>
      <c r="D5">
        <v>1603440</v>
      </c>
      <c r="E5" s="15">
        <v>1607929.29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>
        <v>5.24</v>
      </c>
      <c r="L5" s="17">
        <v>0</v>
      </c>
    </row>
    <row r="6" spans="1:12" x14ac:dyDescent="0.3">
      <c r="A6" t="s">
        <v>1659</v>
      </c>
      <c r="B6" t="s">
        <v>1660</v>
      </c>
      <c r="C6">
        <v>7266</v>
      </c>
      <c r="D6">
        <v>991155.06</v>
      </c>
      <c r="E6" s="15">
        <v>984826.16999999993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>
        <v>136.41</v>
      </c>
      <c r="L6" s="17">
        <v>0</v>
      </c>
    </row>
    <row r="7" spans="1:12" x14ac:dyDescent="0.3">
      <c r="A7" t="s">
        <v>1661</v>
      </c>
      <c r="B7" t="s">
        <v>1662</v>
      </c>
      <c r="C7">
        <v>3766</v>
      </c>
      <c r="D7">
        <v>159075.84</v>
      </c>
      <c r="E7" s="15">
        <v>157671.01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>
        <v>42.24</v>
      </c>
      <c r="L7" s="17">
        <v>0</v>
      </c>
    </row>
    <row r="8" spans="1:12" x14ac:dyDescent="0.3">
      <c r="A8" t="s">
        <v>40</v>
      </c>
      <c r="B8" t="s">
        <v>41</v>
      </c>
      <c r="C8">
        <v>87970</v>
      </c>
      <c r="D8">
        <v>14333831.800000003</v>
      </c>
      <c r="E8" s="15">
        <v>12938638.899999999</v>
      </c>
      <c r="F8" s="15">
        <v>131955</v>
      </c>
      <c r="G8" s="15">
        <v>4398.5000000000018</v>
      </c>
      <c r="H8" s="15">
        <v>35188.000000000015</v>
      </c>
      <c r="I8" s="15">
        <v>131955</v>
      </c>
      <c r="J8" s="15">
        <v>0</v>
      </c>
      <c r="K8">
        <v>162.93999999999994</v>
      </c>
      <c r="L8" s="17">
        <v>12990529.899999999</v>
      </c>
    </row>
    <row r="9" spans="1:12" x14ac:dyDescent="0.3">
      <c r="A9" t="s">
        <v>1530</v>
      </c>
      <c r="B9" t="s">
        <v>1531</v>
      </c>
      <c r="C9">
        <v>2606</v>
      </c>
      <c r="D9">
        <v>331926.22000000003</v>
      </c>
      <c r="E9" s="15">
        <v>252860.18</v>
      </c>
      <c r="F9" s="15">
        <v>4247.78</v>
      </c>
      <c r="G9" s="15">
        <v>104.24000000000001</v>
      </c>
      <c r="H9" s="15">
        <v>964.22</v>
      </c>
      <c r="I9" s="15">
        <v>3909</v>
      </c>
      <c r="J9" s="15">
        <v>0</v>
      </c>
      <c r="K9">
        <v>127.37</v>
      </c>
      <c r="L9" s="17">
        <v>252860.18000000002</v>
      </c>
    </row>
    <row r="10" spans="1:12" x14ac:dyDescent="0.3">
      <c r="A10" t="s">
        <v>535</v>
      </c>
      <c r="B10" t="s">
        <v>536</v>
      </c>
      <c r="C10">
        <v>504</v>
      </c>
      <c r="D10">
        <v>82353.600000000006</v>
      </c>
      <c r="E10" s="15">
        <v>45450.720000000001</v>
      </c>
      <c r="F10" s="15">
        <v>756</v>
      </c>
      <c r="G10" s="15">
        <v>25.200000000000003</v>
      </c>
      <c r="H10" s="15">
        <v>201.60000000000002</v>
      </c>
      <c r="I10" s="15">
        <v>756</v>
      </c>
      <c r="J10" s="15">
        <v>0</v>
      </c>
      <c r="K10">
        <v>163.4</v>
      </c>
      <c r="L10" s="17">
        <v>45450.720000000008</v>
      </c>
    </row>
    <row r="11" spans="1:12" x14ac:dyDescent="0.3">
      <c r="A11" t="s">
        <v>533</v>
      </c>
      <c r="B11" t="s">
        <v>534</v>
      </c>
      <c r="C11">
        <v>499</v>
      </c>
      <c r="D11">
        <v>310149.59999999998</v>
      </c>
      <c r="E11" s="15">
        <v>265423.09000000003</v>
      </c>
      <c r="F11" s="15">
        <v>748.5</v>
      </c>
      <c r="G11" s="15">
        <v>24.950000000000003</v>
      </c>
      <c r="H11" s="15">
        <v>199.60000000000002</v>
      </c>
      <c r="I11" s="15">
        <v>748.5</v>
      </c>
      <c r="J11" s="15">
        <v>0</v>
      </c>
      <c r="K11">
        <v>593.94000000000005</v>
      </c>
      <c r="L11" s="17">
        <v>265423.09000000003</v>
      </c>
    </row>
    <row r="12" spans="1:12" x14ac:dyDescent="0.3">
      <c r="A12" t="s">
        <v>32</v>
      </c>
      <c r="B12" t="s">
        <v>33</v>
      </c>
      <c r="C12">
        <v>6603</v>
      </c>
      <c r="D12">
        <v>1371839.28</v>
      </c>
      <c r="E12" s="15">
        <v>1261176.5100000002</v>
      </c>
      <c r="F12" s="15">
        <v>9904.5</v>
      </c>
      <c r="G12" s="15">
        <v>330.15</v>
      </c>
      <c r="H12" s="15">
        <v>2641.2</v>
      </c>
      <c r="I12" s="15">
        <v>9904.5</v>
      </c>
      <c r="J12" s="15">
        <v>0</v>
      </c>
      <c r="K12">
        <v>207.76</v>
      </c>
      <c r="L12" s="17">
        <v>1260974.9099999997</v>
      </c>
    </row>
    <row r="13" spans="1:12" x14ac:dyDescent="0.3">
      <c r="A13" t="s">
        <v>1459</v>
      </c>
      <c r="B13" t="s">
        <v>1460</v>
      </c>
      <c r="C13">
        <v>1000</v>
      </c>
      <c r="D13">
        <v>150220</v>
      </c>
      <c r="E13" s="15">
        <v>144620</v>
      </c>
      <c r="F13" s="15">
        <v>1630</v>
      </c>
      <c r="G13" s="15">
        <v>40</v>
      </c>
      <c r="H13" s="15">
        <v>370</v>
      </c>
      <c r="I13" s="15">
        <v>1500</v>
      </c>
      <c r="J13" s="15">
        <v>0</v>
      </c>
      <c r="K13">
        <v>150.22</v>
      </c>
      <c r="L13" s="17">
        <v>144619.99999999997</v>
      </c>
    </row>
    <row r="14" spans="1:12" x14ac:dyDescent="0.3">
      <c r="A14" t="s">
        <v>1697</v>
      </c>
      <c r="B14" t="s">
        <v>1698</v>
      </c>
      <c r="C14">
        <v>22200</v>
      </c>
      <c r="D14">
        <v>134754</v>
      </c>
      <c r="E14" s="15">
        <v>193719.74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>
        <v>6.07</v>
      </c>
      <c r="L14" s="17">
        <v>0</v>
      </c>
    </row>
    <row r="15" spans="1:12" x14ac:dyDescent="0.3">
      <c r="A15" t="s">
        <v>1699</v>
      </c>
      <c r="B15" t="s">
        <v>1700</v>
      </c>
      <c r="C15">
        <v>11390</v>
      </c>
      <c r="D15">
        <v>69137.3</v>
      </c>
      <c r="E15" s="15">
        <v>114412.75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>
        <v>6.07</v>
      </c>
      <c r="L15" s="17">
        <v>0</v>
      </c>
    </row>
    <row r="16" spans="1:12" x14ac:dyDescent="0.3">
      <c r="A16" t="s">
        <v>1693</v>
      </c>
      <c r="B16" t="s">
        <v>1694</v>
      </c>
      <c r="C16">
        <v>17.8</v>
      </c>
      <c r="D16">
        <v>8455</v>
      </c>
      <c r="E16" s="15">
        <v>8057.72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>
        <v>475</v>
      </c>
      <c r="L16" s="17">
        <v>0</v>
      </c>
    </row>
    <row r="17" spans="1:12" x14ac:dyDescent="0.3">
      <c r="A17" t="s">
        <v>1431</v>
      </c>
      <c r="B17" t="s">
        <v>1432</v>
      </c>
      <c r="C17">
        <v>19500</v>
      </c>
      <c r="D17">
        <v>205725</v>
      </c>
      <c r="E17" s="15">
        <v>205725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>
        <v>10.55</v>
      </c>
      <c r="L17" s="17">
        <v>0</v>
      </c>
    </row>
    <row r="18" spans="1:12" x14ac:dyDescent="0.3">
      <c r="A18" t="s">
        <v>1429</v>
      </c>
      <c r="B18" t="s">
        <v>1430</v>
      </c>
      <c r="C18">
        <v>130000</v>
      </c>
      <c r="D18">
        <v>118300</v>
      </c>
      <c r="E18" s="15">
        <v>117506.88999999998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>
        <v>0.91</v>
      </c>
      <c r="L18" s="17">
        <v>0</v>
      </c>
    </row>
    <row r="19" spans="1:12" x14ac:dyDescent="0.3">
      <c r="A19" t="s">
        <v>1588</v>
      </c>
      <c r="B19" t="s">
        <v>1589</v>
      </c>
      <c r="C19">
        <v>70000</v>
      </c>
      <c r="D19">
        <v>25900</v>
      </c>
      <c r="E19" s="15">
        <v>25900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>
        <v>0.37</v>
      </c>
      <c r="L19" s="17">
        <v>0</v>
      </c>
    </row>
    <row r="20" spans="1:12" x14ac:dyDescent="0.3">
      <c r="A20" t="s">
        <v>1439</v>
      </c>
      <c r="B20" t="s">
        <v>1440</v>
      </c>
      <c r="C20">
        <v>150000</v>
      </c>
      <c r="D20">
        <v>94500</v>
      </c>
      <c r="E20" s="15">
        <v>94573.41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>
        <v>0.63</v>
      </c>
      <c r="L20" s="17">
        <v>0</v>
      </c>
    </row>
    <row r="21" spans="1:12" x14ac:dyDescent="0.3">
      <c r="A21" t="s">
        <v>1608</v>
      </c>
      <c r="B21" t="s">
        <v>448</v>
      </c>
      <c r="C21">
        <v>130000</v>
      </c>
      <c r="D21">
        <v>215800</v>
      </c>
      <c r="E21" s="15">
        <v>215800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>
        <v>1.66</v>
      </c>
      <c r="L21" s="17">
        <v>0</v>
      </c>
    </row>
    <row r="22" spans="1:12" x14ac:dyDescent="0.3">
      <c r="A22" t="s">
        <v>1609</v>
      </c>
      <c r="B22" t="s">
        <v>1610</v>
      </c>
      <c r="C22">
        <v>152000</v>
      </c>
      <c r="D22">
        <v>76000</v>
      </c>
      <c r="E22" s="15">
        <v>76007.680000000008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>
        <v>0.5</v>
      </c>
      <c r="L22" s="17">
        <v>0</v>
      </c>
    </row>
    <row r="23" spans="1:12" x14ac:dyDescent="0.3">
      <c r="A23" t="s">
        <v>1664</v>
      </c>
      <c r="B23" t="s">
        <v>1665</v>
      </c>
      <c r="C23">
        <v>75000</v>
      </c>
      <c r="D23">
        <v>49800</v>
      </c>
      <c r="E23" s="15">
        <v>49443.14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>
        <v>0.66500000000000004</v>
      </c>
      <c r="L23" s="17">
        <v>0</v>
      </c>
    </row>
    <row r="24" spans="1:12" x14ac:dyDescent="0.3">
      <c r="A24" t="s">
        <v>1681</v>
      </c>
      <c r="B24" t="s">
        <v>1682</v>
      </c>
      <c r="C24">
        <v>30000</v>
      </c>
      <c r="D24">
        <v>19800</v>
      </c>
      <c r="E24" s="15">
        <v>19566.150000000001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>
        <v>0.66</v>
      </c>
      <c r="L24" s="17">
        <v>0</v>
      </c>
    </row>
    <row r="25" spans="1:12" x14ac:dyDescent="0.3">
      <c r="A25" t="s">
        <v>1645</v>
      </c>
      <c r="B25" t="s">
        <v>1646</v>
      </c>
      <c r="C25">
        <v>30000</v>
      </c>
      <c r="D25">
        <v>78000</v>
      </c>
      <c r="E25" s="15">
        <v>78000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>
        <v>2.6</v>
      </c>
      <c r="L25" s="17">
        <v>0</v>
      </c>
    </row>
    <row r="26" spans="1:12" x14ac:dyDescent="0.3">
      <c r="A26" t="s">
        <v>1279</v>
      </c>
      <c r="B26" t="s">
        <v>1280</v>
      </c>
      <c r="C26">
        <v>9000</v>
      </c>
      <c r="D26">
        <v>4680</v>
      </c>
      <c r="E26" s="15">
        <v>4511.12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>
        <v>0.53</v>
      </c>
      <c r="L26" s="17">
        <v>0</v>
      </c>
    </row>
    <row r="27" spans="1:12" x14ac:dyDescent="0.3">
      <c r="A27" t="s">
        <v>1423</v>
      </c>
      <c r="B27" t="s">
        <v>1424</v>
      </c>
      <c r="C27">
        <v>7500</v>
      </c>
      <c r="D27">
        <v>4050</v>
      </c>
      <c r="E27" s="15">
        <v>3732.29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>
        <v>0.54</v>
      </c>
      <c r="L27" s="17">
        <v>0</v>
      </c>
    </row>
    <row r="28" spans="1:12" x14ac:dyDescent="0.3">
      <c r="A28" t="s">
        <v>1943</v>
      </c>
      <c r="B28" t="s">
        <v>1944</v>
      </c>
      <c r="C28">
        <v>4000</v>
      </c>
      <c r="D28">
        <v>260880</v>
      </c>
      <c r="E28" s="15">
        <v>254844.77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>
        <v>65.22</v>
      </c>
      <c r="L28" s="17">
        <v>0</v>
      </c>
    </row>
    <row r="29" spans="1:12" x14ac:dyDescent="0.3">
      <c r="A29" t="s">
        <v>1453</v>
      </c>
      <c r="B29" t="s">
        <v>1454</v>
      </c>
      <c r="C29">
        <v>40000</v>
      </c>
      <c r="D29">
        <v>367200</v>
      </c>
      <c r="E29" s="15">
        <v>366440.12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>
        <v>9.18</v>
      </c>
      <c r="L29" s="17">
        <v>0</v>
      </c>
    </row>
    <row r="30" spans="1:12" x14ac:dyDescent="0.3">
      <c r="A30" t="s">
        <v>1649</v>
      </c>
      <c r="B30" t="s">
        <v>1650</v>
      </c>
      <c r="C30">
        <v>5000</v>
      </c>
      <c r="D30">
        <v>18750</v>
      </c>
      <c r="E30" s="15">
        <v>18750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>
        <v>3.75</v>
      </c>
      <c r="L30" s="17">
        <v>0</v>
      </c>
    </row>
    <row r="31" spans="1:12" x14ac:dyDescent="0.3">
      <c r="A31" t="s">
        <v>1663</v>
      </c>
      <c r="B31" t="s">
        <v>1618</v>
      </c>
      <c r="C31">
        <v>200000</v>
      </c>
      <c r="D31">
        <v>4000</v>
      </c>
      <c r="E31" s="15">
        <v>4000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>
        <v>0.02</v>
      </c>
      <c r="L31" s="17">
        <v>0</v>
      </c>
    </row>
    <row r="32" spans="1:12" x14ac:dyDescent="0.3">
      <c r="A32" t="s">
        <v>1666</v>
      </c>
      <c r="B32" t="s">
        <v>1667</v>
      </c>
      <c r="C32">
        <v>219000</v>
      </c>
      <c r="D32">
        <v>109500</v>
      </c>
      <c r="E32" s="15">
        <v>113932.94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>
        <v>0.5</v>
      </c>
      <c r="L32" s="17">
        <v>0</v>
      </c>
    </row>
    <row r="33" spans="1:12" x14ac:dyDescent="0.3">
      <c r="A33" t="s">
        <v>1668</v>
      </c>
      <c r="B33" t="s">
        <v>1669</v>
      </c>
      <c r="C33">
        <v>57000</v>
      </c>
      <c r="D33">
        <v>26220</v>
      </c>
      <c r="E33" s="15">
        <v>26308.14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>
        <v>0.46</v>
      </c>
      <c r="L33" s="17">
        <v>0</v>
      </c>
    </row>
    <row r="34" spans="1:12" x14ac:dyDescent="0.3">
      <c r="A34" t="s">
        <v>1590</v>
      </c>
      <c r="B34" t="s">
        <v>1591</v>
      </c>
      <c r="C34">
        <v>75000</v>
      </c>
      <c r="D34">
        <v>4500</v>
      </c>
      <c r="E34" s="15">
        <v>4199.9799999999996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>
        <v>0.06</v>
      </c>
      <c r="L34" s="17">
        <v>0</v>
      </c>
    </row>
    <row r="35" spans="1:12" x14ac:dyDescent="0.3">
      <c r="A35" t="s">
        <v>1528</v>
      </c>
      <c r="B35" t="s">
        <v>1529</v>
      </c>
      <c r="C35">
        <v>30000</v>
      </c>
      <c r="D35">
        <v>1960500</v>
      </c>
      <c r="E35" s="15">
        <v>1919351.16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>
        <v>65.349999999999994</v>
      </c>
      <c r="L35" s="17">
        <v>0</v>
      </c>
    </row>
    <row r="36" spans="1:12" x14ac:dyDescent="0.3">
      <c r="A36" t="s">
        <v>1586</v>
      </c>
      <c r="B36" t="s">
        <v>1587</v>
      </c>
      <c r="C36">
        <v>20150</v>
      </c>
      <c r="D36">
        <v>1973088</v>
      </c>
      <c r="E36" s="15">
        <v>1951791.26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>
        <v>97.92</v>
      </c>
      <c r="L36" s="17">
        <v>0</v>
      </c>
    </row>
    <row r="37" spans="1:12" x14ac:dyDescent="0.3">
      <c r="A37" t="s">
        <v>1594</v>
      </c>
      <c r="B37" t="s">
        <v>1595</v>
      </c>
      <c r="C37">
        <v>160000</v>
      </c>
      <c r="D37">
        <v>76800</v>
      </c>
      <c r="E37" s="15">
        <v>88345.33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>
        <v>0.48</v>
      </c>
      <c r="L37" s="17">
        <v>0</v>
      </c>
    </row>
    <row r="38" spans="1:12" x14ac:dyDescent="0.3">
      <c r="A38" t="s">
        <v>1457</v>
      </c>
      <c r="B38" t="s">
        <v>1458</v>
      </c>
      <c r="C38">
        <v>40000</v>
      </c>
      <c r="D38">
        <v>110000</v>
      </c>
      <c r="E38" s="15">
        <v>110000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>
        <v>2.75</v>
      </c>
      <c r="L38" s="17">
        <v>0</v>
      </c>
    </row>
    <row r="39" spans="1:12" x14ac:dyDescent="0.3">
      <c r="A39" t="s">
        <v>1584</v>
      </c>
      <c r="B39" t="s">
        <v>1585</v>
      </c>
      <c r="C39">
        <v>49800</v>
      </c>
      <c r="D39">
        <v>283362</v>
      </c>
      <c r="E39" s="15">
        <v>283362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>
        <v>5.69</v>
      </c>
      <c r="L39" s="17">
        <v>0</v>
      </c>
    </row>
    <row r="40" spans="1:12" x14ac:dyDescent="0.3">
      <c r="A40" t="s">
        <v>1350</v>
      </c>
      <c r="B40" t="s">
        <v>1351</v>
      </c>
      <c r="C40">
        <v>450000</v>
      </c>
      <c r="D40">
        <v>27000</v>
      </c>
      <c r="E40" s="15">
        <v>27000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>
        <v>0.06</v>
      </c>
      <c r="L40" s="17">
        <v>0</v>
      </c>
    </row>
    <row r="41" spans="1:12" x14ac:dyDescent="0.3">
      <c r="A41" t="s">
        <v>1606</v>
      </c>
      <c r="B41" t="s">
        <v>1607</v>
      </c>
      <c r="C41">
        <v>140000</v>
      </c>
      <c r="D41">
        <v>8400</v>
      </c>
      <c r="E41" s="15">
        <v>7839.9699999999993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>
        <v>0.06</v>
      </c>
      <c r="L41" s="17">
        <v>0</v>
      </c>
    </row>
    <row r="42" spans="1:12" x14ac:dyDescent="0.3">
      <c r="A42" t="s">
        <v>1598</v>
      </c>
      <c r="B42" t="s">
        <v>1599</v>
      </c>
      <c r="C42">
        <v>50000</v>
      </c>
      <c r="D42">
        <v>3000</v>
      </c>
      <c r="E42" s="15">
        <v>2799.99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>
        <v>0.06</v>
      </c>
      <c r="L42" s="17">
        <v>0</v>
      </c>
    </row>
    <row r="43" spans="1:12" x14ac:dyDescent="0.3">
      <c r="A43" t="s">
        <v>1600</v>
      </c>
      <c r="B43" t="s">
        <v>1601</v>
      </c>
      <c r="C43">
        <v>60000</v>
      </c>
      <c r="D43">
        <v>3600</v>
      </c>
      <c r="E43" s="15">
        <v>3360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>
        <v>0.06</v>
      </c>
      <c r="L43" s="17">
        <v>0</v>
      </c>
    </row>
    <row r="44" spans="1:12" x14ac:dyDescent="0.3">
      <c r="A44" t="s">
        <v>1352</v>
      </c>
      <c r="B44" t="s">
        <v>1353</v>
      </c>
      <c r="C44">
        <v>40000</v>
      </c>
      <c r="D44">
        <v>2400</v>
      </c>
      <c r="E44" s="15">
        <v>2240.0100000000002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>
        <v>0.06</v>
      </c>
      <c r="L44" s="17">
        <v>0</v>
      </c>
    </row>
    <row r="45" spans="1:12" x14ac:dyDescent="0.3">
      <c r="A45" t="s">
        <v>1596</v>
      </c>
      <c r="B45" t="s">
        <v>1597</v>
      </c>
      <c r="C45">
        <v>55000</v>
      </c>
      <c r="D45">
        <v>385000</v>
      </c>
      <c r="E45" s="15">
        <v>385000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>
        <v>7</v>
      </c>
      <c r="L45" s="17">
        <v>0</v>
      </c>
    </row>
    <row r="46" spans="1:12" x14ac:dyDescent="0.3">
      <c r="A46" t="s">
        <v>1647</v>
      </c>
      <c r="B46" t="s">
        <v>1648</v>
      </c>
      <c r="C46">
        <v>39600</v>
      </c>
      <c r="D46">
        <v>1184832</v>
      </c>
      <c r="E46" s="15">
        <v>1268216.29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>
        <v>29.92</v>
      </c>
      <c r="L46" s="17">
        <v>0</v>
      </c>
    </row>
    <row r="47" spans="1:12" x14ac:dyDescent="0.3">
      <c r="A47" t="s">
        <v>1592</v>
      </c>
      <c r="B47" t="s">
        <v>1593</v>
      </c>
      <c r="C47">
        <v>40000</v>
      </c>
      <c r="D47">
        <v>2400</v>
      </c>
      <c r="E47" s="15">
        <v>2241.41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>
        <v>0.06</v>
      </c>
      <c r="L47" s="17">
        <v>0</v>
      </c>
    </row>
    <row r="48" spans="1:12" x14ac:dyDescent="0.3">
      <c r="A48" t="s">
        <v>1338</v>
      </c>
      <c r="B48" t="s">
        <v>1339</v>
      </c>
      <c r="C48">
        <v>4000</v>
      </c>
      <c r="D48">
        <v>3680</v>
      </c>
      <c r="E48" s="15">
        <v>3200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>
        <v>0.92</v>
      </c>
      <c r="L48" s="17">
        <v>0</v>
      </c>
    </row>
    <row r="49" spans="1:12" x14ac:dyDescent="0.3">
      <c r="A49" t="s">
        <v>1578</v>
      </c>
      <c r="B49" t="s">
        <v>1579</v>
      </c>
      <c r="C49">
        <v>48000</v>
      </c>
      <c r="D49">
        <v>93600</v>
      </c>
      <c r="E49" s="15">
        <v>93600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>
        <v>1.95</v>
      </c>
      <c r="L49" s="17">
        <v>0</v>
      </c>
    </row>
    <row r="50" spans="1:12" x14ac:dyDescent="0.3">
      <c r="A50" t="s">
        <v>1361</v>
      </c>
      <c r="B50" t="s">
        <v>1362</v>
      </c>
      <c r="C50">
        <v>50000</v>
      </c>
      <c r="D50">
        <v>3000</v>
      </c>
      <c r="E50" s="15">
        <v>2800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>
        <v>0.06</v>
      </c>
      <c r="L50" s="17">
        <v>0</v>
      </c>
    </row>
    <row r="51" spans="1:12" x14ac:dyDescent="0.3">
      <c r="A51" t="s">
        <v>1611</v>
      </c>
      <c r="B51" t="s">
        <v>1612</v>
      </c>
      <c r="C51">
        <v>55000</v>
      </c>
      <c r="D51">
        <v>3300</v>
      </c>
      <c r="E51" s="15">
        <v>3080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>
        <v>0.06</v>
      </c>
      <c r="L51" s="17">
        <v>0</v>
      </c>
    </row>
    <row r="52" spans="1:12" x14ac:dyDescent="0.3">
      <c r="A52" t="s">
        <v>1604</v>
      </c>
      <c r="B52" t="s">
        <v>1605</v>
      </c>
      <c r="C52">
        <v>50000</v>
      </c>
      <c r="D52">
        <v>3500</v>
      </c>
      <c r="E52" s="15">
        <v>3600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>
        <v>7.0000000000000007E-2</v>
      </c>
      <c r="L52" s="17">
        <v>0</v>
      </c>
    </row>
    <row r="53" spans="1:12" x14ac:dyDescent="0.3">
      <c r="A53" t="s">
        <v>1602</v>
      </c>
      <c r="B53" t="s">
        <v>1603</v>
      </c>
      <c r="C53">
        <v>60000</v>
      </c>
      <c r="D53">
        <v>5400</v>
      </c>
      <c r="E53" s="15">
        <v>5340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>
        <v>0.09</v>
      </c>
      <c r="L53" s="17">
        <v>0</v>
      </c>
    </row>
    <row r="54" spans="1:12" x14ac:dyDescent="0.3">
      <c r="A54" t="s">
        <v>1580</v>
      </c>
      <c r="B54" t="s">
        <v>1581</v>
      </c>
      <c r="C54">
        <v>48000</v>
      </c>
      <c r="D54">
        <v>502080</v>
      </c>
      <c r="E54" s="15">
        <v>499199.62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>
        <v>10.46</v>
      </c>
      <c r="L54" s="17">
        <v>0</v>
      </c>
    </row>
    <row r="55" spans="1:12" x14ac:dyDescent="0.3">
      <c r="A55" t="s">
        <v>1695</v>
      </c>
      <c r="B55" t="s">
        <v>1696</v>
      </c>
      <c r="C55">
        <v>19413</v>
      </c>
      <c r="D55">
        <v>148509.45000000001</v>
      </c>
      <c r="E55" s="15">
        <v>148502.39000000001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>
        <v>7.65</v>
      </c>
      <c r="L55" s="17">
        <v>0</v>
      </c>
    </row>
    <row r="56" spans="1:12" x14ac:dyDescent="0.3">
      <c r="A56" t="s">
        <v>1310</v>
      </c>
      <c r="B56" t="s">
        <v>1311</v>
      </c>
      <c r="C56">
        <v>20000</v>
      </c>
      <c r="D56">
        <v>145600</v>
      </c>
      <c r="E56" s="15">
        <v>144473.04999999999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>
        <v>7.28</v>
      </c>
      <c r="L56" s="17">
        <v>0</v>
      </c>
    </row>
    <row r="57" spans="1:12" x14ac:dyDescent="0.3">
      <c r="A57" t="s">
        <v>1521</v>
      </c>
      <c r="B57" t="s">
        <v>1522</v>
      </c>
      <c r="C57">
        <v>27900</v>
      </c>
      <c r="D57">
        <v>290160</v>
      </c>
      <c r="E57" s="15">
        <v>281845.96999999997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>
        <v>10.4</v>
      </c>
      <c r="L57" s="17">
        <v>0</v>
      </c>
    </row>
    <row r="58" spans="1:12" x14ac:dyDescent="0.3">
      <c r="A58" t="s">
        <v>1582</v>
      </c>
      <c r="B58" t="s">
        <v>1583</v>
      </c>
      <c r="C58">
        <v>39000</v>
      </c>
      <c r="D58">
        <v>477360</v>
      </c>
      <c r="E58" s="15">
        <v>478092.29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>
        <v>12.24</v>
      </c>
      <c r="L58" s="17">
        <v>0</v>
      </c>
    </row>
    <row r="59" spans="1:12" x14ac:dyDescent="0.3">
      <c r="A59" t="s">
        <v>1523</v>
      </c>
      <c r="B59" t="s">
        <v>1524</v>
      </c>
      <c r="C59">
        <v>40000</v>
      </c>
      <c r="D59">
        <v>800</v>
      </c>
      <c r="E59" s="15">
        <v>800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>
        <v>0.02</v>
      </c>
      <c r="L59" s="17">
        <v>0</v>
      </c>
    </row>
    <row r="60" spans="1:12" x14ac:dyDescent="0.3">
      <c r="A60" t="s">
        <v>1525</v>
      </c>
      <c r="B60" t="s">
        <v>1526</v>
      </c>
      <c r="C60">
        <v>30000</v>
      </c>
      <c r="D60">
        <v>600</v>
      </c>
      <c r="E60" s="15">
        <v>600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>
        <v>0.02</v>
      </c>
      <c r="L60" s="17">
        <v>0</v>
      </c>
    </row>
    <row r="61" spans="1:12" x14ac:dyDescent="0.3">
      <c r="A61" t="s">
        <v>1894</v>
      </c>
      <c r="B61" t="s">
        <v>1895</v>
      </c>
      <c r="C61">
        <v>5000</v>
      </c>
      <c r="D61">
        <v>29500</v>
      </c>
      <c r="E61" s="15">
        <v>29500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>
        <v>5.9</v>
      </c>
      <c r="L61" s="17">
        <v>0</v>
      </c>
    </row>
    <row r="62" spans="1:12" x14ac:dyDescent="0.3">
      <c r="A62" t="s">
        <v>1375</v>
      </c>
      <c r="B62" t="s">
        <v>1376</v>
      </c>
      <c r="C62">
        <v>37455</v>
      </c>
      <c r="D62">
        <v>151318.20000000001</v>
      </c>
      <c r="E62" s="15">
        <v>136588.82999999999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>
        <v>4.04</v>
      </c>
      <c r="L62" s="17">
        <v>0</v>
      </c>
    </row>
    <row r="63" spans="1:12" x14ac:dyDescent="0.3">
      <c r="A63" t="s">
        <v>1672</v>
      </c>
      <c r="B63" t="s">
        <v>1673</v>
      </c>
      <c r="C63">
        <v>21000</v>
      </c>
      <c r="D63">
        <v>13860</v>
      </c>
      <c r="E63" s="15">
        <v>14046.36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>
        <v>0.66</v>
      </c>
      <c r="L63" s="17">
        <v>0</v>
      </c>
    </row>
    <row r="64" spans="1:12" x14ac:dyDescent="0.3">
      <c r="A64" t="s">
        <v>1651</v>
      </c>
      <c r="B64" t="s">
        <v>1589</v>
      </c>
      <c r="C64">
        <v>20000</v>
      </c>
      <c r="D64">
        <v>7400</v>
      </c>
      <c r="E64" s="15">
        <v>7400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>
        <v>0.37</v>
      </c>
      <c r="L64" s="17">
        <v>0</v>
      </c>
    </row>
    <row r="65" spans="1:12" x14ac:dyDescent="0.3">
      <c r="A65" t="s">
        <v>1652</v>
      </c>
      <c r="B65" t="s">
        <v>1653</v>
      </c>
      <c r="C65">
        <v>3000</v>
      </c>
      <c r="D65">
        <v>8370</v>
      </c>
      <c r="E65" s="15">
        <v>8153.23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>
        <v>2.79</v>
      </c>
      <c r="L65" s="17">
        <v>0</v>
      </c>
    </row>
    <row r="66" spans="1:12" x14ac:dyDescent="0.3">
      <c r="A66" t="s">
        <v>437</v>
      </c>
      <c r="B66" t="s">
        <v>438</v>
      </c>
      <c r="C66">
        <v>39150</v>
      </c>
      <c r="D66">
        <v>1350675</v>
      </c>
      <c r="E66" s="15">
        <v>1302346.57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>
        <v>34.5</v>
      </c>
      <c r="L66" s="17">
        <v>965047.5</v>
      </c>
    </row>
    <row r="67" spans="1:12" x14ac:dyDescent="0.3">
      <c r="A67" t="s">
        <v>1312</v>
      </c>
      <c r="B67" t="s">
        <v>1313</v>
      </c>
      <c r="C67">
        <v>4000</v>
      </c>
      <c r="D67">
        <v>440</v>
      </c>
      <c r="E67" s="15">
        <v>313.95999999999998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>
        <v>0.11</v>
      </c>
      <c r="L67" s="17">
        <v>0</v>
      </c>
    </row>
    <row r="68" spans="1:12" x14ac:dyDescent="0.3">
      <c r="A68" t="s">
        <v>1267</v>
      </c>
      <c r="B68" t="s">
        <v>1268</v>
      </c>
      <c r="C68">
        <v>4000</v>
      </c>
      <c r="D68">
        <v>520</v>
      </c>
      <c r="E68" s="15">
        <v>519.48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>
        <v>0.13</v>
      </c>
      <c r="L68" s="17">
        <v>0</v>
      </c>
    </row>
    <row r="69" spans="1:12" x14ac:dyDescent="0.3">
      <c r="A69" t="s">
        <v>1377</v>
      </c>
      <c r="B69" t="s">
        <v>1378</v>
      </c>
      <c r="C69">
        <v>40500</v>
      </c>
      <c r="D69">
        <v>1138860</v>
      </c>
      <c r="E69" s="15">
        <v>1026910.49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>
        <v>28.12</v>
      </c>
      <c r="L69" s="17">
        <v>0</v>
      </c>
    </row>
    <row r="70" spans="1:12" x14ac:dyDescent="0.3">
      <c r="A70" t="s">
        <v>1621</v>
      </c>
      <c r="B70" t="s">
        <v>1622</v>
      </c>
      <c r="C70">
        <v>70000</v>
      </c>
      <c r="D70">
        <v>350000</v>
      </c>
      <c r="E70" s="15">
        <v>350000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>
        <v>5</v>
      </c>
      <c r="L70" s="17">
        <v>0</v>
      </c>
    </row>
    <row r="71" spans="1:12" x14ac:dyDescent="0.3">
      <c r="A71" t="s">
        <v>1619</v>
      </c>
      <c r="B71" t="s">
        <v>1620</v>
      </c>
      <c r="C71">
        <v>40000</v>
      </c>
      <c r="D71">
        <v>4000</v>
      </c>
      <c r="E71" s="15">
        <v>3802.71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>
        <v>0.1</v>
      </c>
      <c r="L71" s="17">
        <v>0</v>
      </c>
    </row>
    <row r="72" spans="1:12" x14ac:dyDescent="0.3">
      <c r="A72" t="s">
        <v>1670</v>
      </c>
      <c r="B72" t="s">
        <v>1671</v>
      </c>
      <c r="C72">
        <v>18000</v>
      </c>
      <c r="D72">
        <v>54720</v>
      </c>
      <c r="E72" s="15">
        <v>53926.16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>
        <v>3.04</v>
      </c>
      <c r="L72" s="17">
        <v>0</v>
      </c>
    </row>
    <row r="73" spans="1:12" x14ac:dyDescent="0.3">
      <c r="A73" t="s">
        <v>1213</v>
      </c>
      <c r="B73" t="s">
        <v>1214</v>
      </c>
      <c r="C73">
        <v>95000</v>
      </c>
      <c r="D73">
        <v>40850</v>
      </c>
      <c r="E73" s="15">
        <v>46015.630000000005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>
        <v>0.43</v>
      </c>
      <c r="L73" s="17">
        <v>0</v>
      </c>
    </row>
    <row r="74" spans="1:12" x14ac:dyDescent="0.3">
      <c r="A74" t="s">
        <v>1615</v>
      </c>
      <c r="B74" t="s">
        <v>1616</v>
      </c>
      <c r="C74">
        <v>70000</v>
      </c>
      <c r="D74">
        <v>548800</v>
      </c>
      <c r="E74" s="15">
        <v>539756.49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>
        <v>7.84</v>
      </c>
      <c r="L74" s="17">
        <v>0</v>
      </c>
    </row>
    <row r="75" spans="1:12" x14ac:dyDescent="0.3">
      <c r="A75" t="s">
        <v>1314</v>
      </c>
      <c r="B75" t="s">
        <v>1315</v>
      </c>
      <c r="C75">
        <v>7500</v>
      </c>
      <c r="D75">
        <v>14550</v>
      </c>
      <c r="E75" s="15">
        <v>6800.95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>
        <v>1.94</v>
      </c>
      <c r="L75" s="17">
        <v>0</v>
      </c>
    </row>
    <row r="76" spans="1:12" x14ac:dyDescent="0.3">
      <c r="A76" t="s">
        <v>1387</v>
      </c>
      <c r="B76" t="s">
        <v>1388</v>
      </c>
      <c r="C76">
        <v>4000</v>
      </c>
      <c r="D76">
        <v>56560</v>
      </c>
      <c r="E76" s="15">
        <v>55440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>
        <v>14.14</v>
      </c>
      <c r="L76" s="17">
        <v>0</v>
      </c>
    </row>
    <row r="77" spans="1:12" x14ac:dyDescent="0.3">
      <c r="A77" t="s">
        <v>1385</v>
      </c>
      <c r="B77" t="s">
        <v>1386</v>
      </c>
      <c r="C77">
        <v>4000</v>
      </c>
      <c r="D77">
        <v>50280</v>
      </c>
      <c r="E77" s="15">
        <v>49280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>
        <v>12.57</v>
      </c>
      <c r="L77" s="17">
        <v>0</v>
      </c>
    </row>
    <row r="78" spans="1:12" x14ac:dyDescent="0.3">
      <c r="A78" t="s">
        <v>1320</v>
      </c>
      <c r="B78" t="s">
        <v>1321</v>
      </c>
      <c r="C78">
        <v>15000</v>
      </c>
      <c r="D78">
        <v>6450</v>
      </c>
      <c r="E78" s="15">
        <v>23062.47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>
        <v>0.43</v>
      </c>
      <c r="L78" s="17">
        <v>0</v>
      </c>
    </row>
    <row r="79" spans="1:12" x14ac:dyDescent="0.3">
      <c r="A79" t="s">
        <v>1281</v>
      </c>
      <c r="B79" t="s">
        <v>1282</v>
      </c>
      <c r="C79">
        <v>2500</v>
      </c>
      <c r="D79">
        <v>25175</v>
      </c>
      <c r="E79" s="15">
        <v>24038.55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>
        <v>10.07</v>
      </c>
      <c r="L79" s="17">
        <v>0</v>
      </c>
    </row>
    <row r="80" spans="1:12" x14ac:dyDescent="0.3">
      <c r="A80" t="s">
        <v>1328</v>
      </c>
      <c r="B80" t="s">
        <v>1329</v>
      </c>
      <c r="C80">
        <v>4000</v>
      </c>
      <c r="D80">
        <v>16480</v>
      </c>
      <c r="E80" s="15">
        <v>16565.82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>
        <v>4.12</v>
      </c>
      <c r="L80" s="17">
        <v>0</v>
      </c>
    </row>
    <row r="81" spans="1:12" x14ac:dyDescent="0.3">
      <c r="A81" t="s">
        <v>1613</v>
      </c>
      <c r="B81" t="s">
        <v>1614</v>
      </c>
      <c r="C81">
        <v>20000</v>
      </c>
      <c r="D81">
        <v>89600</v>
      </c>
      <c r="E81" s="15">
        <v>89600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>
        <v>4.4800000000000004</v>
      </c>
      <c r="L81" s="17">
        <v>0</v>
      </c>
    </row>
    <row r="82" spans="1:12" x14ac:dyDescent="0.3">
      <c r="A82" t="s">
        <v>1617</v>
      </c>
      <c r="B82" t="s">
        <v>1618</v>
      </c>
      <c r="C82">
        <v>30000</v>
      </c>
      <c r="D82">
        <v>600</v>
      </c>
      <c r="E82" s="15">
        <v>600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>
        <v>0.02</v>
      </c>
      <c r="L82" s="17">
        <v>0</v>
      </c>
    </row>
    <row r="83" spans="1:12" x14ac:dyDescent="0.3">
      <c r="A83" t="s">
        <v>1683</v>
      </c>
      <c r="B83" t="s">
        <v>1684</v>
      </c>
      <c r="C83">
        <v>1200</v>
      </c>
      <c r="D83">
        <v>7224</v>
      </c>
      <c r="E83" s="15">
        <v>7097.29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>
        <v>6.02</v>
      </c>
      <c r="L83" s="17">
        <v>0</v>
      </c>
    </row>
    <row r="84" spans="1:12" x14ac:dyDescent="0.3">
      <c r="A84" t="s">
        <v>1654</v>
      </c>
      <c r="B84" t="s">
        <v>1655</v>
      </c>
      <c r="C84">
        <v>3000</v>
      </c>
      <c r="D84">
        <v>159210</v>
      </c>
      <c r="E84" s="15">
        <v>147650.39000000001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>
        <v>53.07</v>
      </c>
      <c r="L84" s="17">
        <v>0</v>
      </c>
    </row>
    <row r="85" spans="1:12" x14ac:dyDescent="0.3">
      <c r="A85" t="s">
        <v>1251</v>
      </c>
      <c r="B85" t="s">
        <v>1252</v>
      </c>
      <c r="C85">
        <v>7243</v>
      </c>
      <c r="D85">
        <v>96042.18</v>
      </c>
      <c r="E85" s="15">
        <v>94159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>
        <v>13.26</v>
      </c>
      <c r="L85" s="17">
        <v>0</v>
      </c>
    </row>
    <row r="86" spans="1:12" x14ac:dyDescent="0.3">
      <c r="A86" t="s">
        <v>1227</v>
      </c>
      <c r="B86" t="s">
        <v>1228</v>
      </c>
      <c r="C86">
        <v>10407</v>
      </c>
      <c r="D86">
        <v>68998.41</v>
      </c>
      <c r="E86" s="15">
        <v>79528.72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>
        <v>6.63</v>
      </c>
      <c r="L86" s="17">
        <v>0</v>
      </c>
    </row>
    <row r="87" spans="1:12" x14ac:dyDescent="0.3">
      <c r="A87" t="s">
        <v>1298</v>
      </c>
      <c r="B87" t="s">
        <v>1299</v>
      </c>
      <c r="C87">
        <v>7079</v>
      </c>
      <c r="D87">
        <v>43677.43</v>
      </c>
      <c r="E87" s="15">
        <v>42607.7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>
        <v>6.17</v>
      </c>
      <c r="L87" s="17">
        <v>0</v>
      </c>
    </row>
    <row r="88" spans="1:12" x14ac:dyDescent="0.3">
      <c r="A88" t="s">
        <v>36</v>
      </c>
      <c r="B88" t="s">
        <v>37</v>
      </c>
      <c r="C88">
        <v>36282</v>
      </c>
      <c r="D88">
        <v>23909685.420000002</v>
      </c>
      <c r="E88" s="15">
        <v>16649756.34</v>
      </c>
      <c r="F88" s="15">
        <v>1027506.24</v>
      </c>
      <c r="G88" s="15">
        <v>84174.239999999991</v>
      </c>
      <c r="H88" s="15">
        <v>747046.38</v>
      </c>
      <c r="I88" s="15">
        <v>301503.42</v>
      </c>
      <c r="J88" s="15">
        <v>8707.68</v>
      </c>
      <c r="K88">
        <v>658.76454545454533</v>
      </c>
      <c r="L88" s="17">
        <v>16748134.02</v>
      </c>
    </row>
    <row r="89" spans="1:12" x14ac:dyDescent="0.3">
      <c r="A89" t="s">
        <v>694</v>
      </c>
      <c r="B89" t="s">
        <v>695</v>
      </c>
      <c r="C89">
        <v>2500</v>
      </c>
      <c r="D89">
        <v>1648250</v>
      </c>
      <c r="E89" s="15">
        <v>1012775.0000000002</v>
      </c>
      <c r="F89" s="15">
        <v>70800</v>
      </c>
      <c r="G89" s="15">
        <v>5800</v>
      </c>
      <c r="H89" s="15">
        <v>51475</v>
      </c>
      <c r="I89" s="15">
        <v>20775</v>
      </c>
      <c r="J89" s="15">
        <v>600</v>
      </c>
      <c r="K89">
        <v>659.3</v>
      </c>
      <c r="L89" s="17">
        <v>1162825.0000000002</v>
      </c>
    </row>
    <row r="90" spans="1:12" x14ac:dyDescent="0.3">
      <c r="A90" t="s">
        <v>1674</v>
      </c>
      <c r="B90" t="s">
        <v>1675</v>
      </c>
      <c r="C90">
        <v>1</v>
      </c>
      <c r="D90">
        <v>5000000</v>
      </c>
      <c r="E90" s="15">
        <v>1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>
        <v>5000000</v>
      </c>
      <c r="L90" s="17">
        <v>0</v>
      </c>
    </row>
    <row r="91" spans="1:12" x14ac:dyDescent="0.3">
      <c r="A91" t="s">
        <v>38</v>
      </c>
      <c r="B91" t="s">
        <v>39</v>
      </c>
      <c r="C91">
        <v>56595</v>
      </c>
      <c r="D91">
        <v>19302615.569999997</v>
      </c>
      <c r="E91" s="15">
        <v>18110734.650000002</v>
      </c>
      <c r="F91" s="15">
        <v>1267728.0000000002</v>
      </c>
      <c r="G91" s="15">
        <v>103568.85000000002</v>
      </c>
      <c r="H91" s="15">
        <v>921366.6</v>
      </c>
      <c r="I91" s="15">
        <v>470304.44999999995</v>
      </c>
      <c r="J91" s="15">
        <v>9621.1499999999978</v>
      </c>
      <c r="K91">
        <v>341.56199999999984</v>
      </c>
      <c r="L91" s="17">
        <v>18523543.499999996</v>
      </c>
    </row>
    <row r="92" spans="1:12" x14ac:dyDescent="0.3">
      <c r="A92" t="s">
        <v>362</v>
      </c>
      <c r="B92" t="s">
        <v>363</v>
      </c>
      <c r="C92">
        <v>-4</v>
      </c>
      <c r="D92">
        <v>-3448.96</v>
      </c>
      <c r="E92" s="15">
        <v>-2787.6</v>
      </c>
      <c r="F92" s="15">
        <v>-115.88</v>
      </c>
      <c r="G92" s="15">
        <v>-9.48</v>
      </c>
      <c r="H92" s="15">
        <v>-84.24</v>
      </c>
      <c r="I92" s="15">
        <v>-81.08</v>
      </c>
      <c r="J92" s="15">
        <v>-1.44</v>
      </c>
      <c r="K92">
        <v>862.24</v>
      </c>
      <c r="L92" s="17">
        <v>-2789.1199999999985</v>
      </c>
    </row>
    <row r="93" spans="1:12" x14ac:dyDescent="0.3">
      <c r="A93" t="s">
        <v>364</v>
      </c>
      <c r="B93" t="s">
        <v>365</v>
      </c>
      <c r="C93">
        <v>-34</v>
      </c>
      <c r="D93">
        <v>-3442.16</v>
      </c>
      <c r="E93" s="15">
        <v>-2923.32</v>
      </c>
      <c r="F93" s="15">
        <v>-443.70000000000005</v>
      </c>
      <c r="G93" s="15">
        <v>0</v>
      </c>
      <c r="H93" s="15">
        <v>0</v>
      </c>
      <c r="I93" s="15">
        <v>0</v>
      </c>
      <c r="J93" s="15">
        <v>-1.36</v>
      </c>
      <c r="K93">
        <v>101.24</v>
      </c>
      <c r="L93" s="17">
        <v>-2924.6800000000012</v>
      </c>
    </row>
    <row r="94" spans="1:12" x14ac:dyDescent="0.3">
      <c r="A94" t="s">
        <v>366</v>
      </c>
      <c r="B94" t="s">
        <v>367</v>
      </c>
      <c r="C94">
        <v>448</v>
      </c>
      <c r="D94">
        <v>140712.32000000001</v>
      </c>
      <c r="E94" s="15">
        <v>137061.12</v>
      </c>
      <c r="F94" s="15">
        <v>12252.800000000001</v>
      </c>
      <c r="G94" s="15">
        <v>1003.5200000000001</v>
      </c>
      <c r="H94" s="15">
        <v>8906.24</v>
      </c>
      <c r="I94" s="15">
        <v>9080.9599999999991</v>
      </c>
      <c r="J94" s="15">
        <v>58.24</v>
      </c>
      <c r="K94">
        <v>314.09000000000003</v>
      </c>
      <c r="L94" s="17">
        <v>137123.84000000003</v>
      </c>
    </row>
    <row r="95" spans="1:12" x14ac:dyDescent="0.3">
      <c r="A95" t="s">
        <v>368</v>
      </c>
      <c r="B95" t="s">
        <v>369</v>
      </c>
      <c r="C95">
        <v>322</v>
      </c>
      <c r="D95">
        <v>99617.14</v>
      </c>
      <c r="E95" s="15">
        <v>115829.84</v>
      </c>
      <c r="F95" s="15">
        <v>18933.600000000002</v>
      </c>
      <c r="G95" s="15">
        <v>1548.82</v>
      </c>
      <c r="H95" s="15">
        <v>13762.279999999999</v>
      </c>
      <c r="I95" s="15">
        <v>6526.94</v>
      </c>
      <c r="J95" s="15">
        <v>41.860000000000007</v>
      </c>
      <c r="K95">
        <v>309.37</v>
      </c>
      <c r="L95" s="17">
        <v>115874.92000000001</v>
      </c>
    </row>
    <row r="96" spans="1:12" x14ac:dyDescent="0.3">
      <c r="A96" t="s">
        <v>44</v>
      </c>
      <c r="B96" t="s">
        <v>45</v>
      </c>
      <c r="C96">
        <v>835</v>
      </c>
      <c r="D96">
        <v>283724.65000000002</v>
      </c>
      <c r="E96" s="15">
        <v>273228.7</v>
      </c>
      <c r="F96" s="15">
        <v>19806.199999999997</v>
      </c>
      <c r="G96" s="15">
        <v>1619.8999999999999</v>
      </c>
      <c r="H96" s="15">
        <v>14395.399999999998</v>
      </c>
      <c r="I96" s="15">
        <v>6938.85</v>
      </c>
      <c r="J96" s="15">
        <v>141.95000000000002</v>
      </c>
      <c r="K96">
        <v>339.79</v>
      </c>
      <c r="L96" s="17">
        <v>273379.00000000006</v>
      </c>
    </row>
    <row r="97" spans="1:12" x14ac:dyDescent="0.3">
      <c r="A97" t="s">
        <v>633</v>
      </c>
      <c r="B97" t="s">
        <v>634</v>
      </c>
      <c r="C97">
        <v>490</v>
      </c>
      <c r="D97">
        <v>167124.29999999999</v>
      </c>
      <c r="E97" s="15">
        <v>160279</v>
      </c>
      <c r="F97" s="15">
        <v>10976.000000000002</v>
      </c>
      <c r="G97" s="15">
        <v>896.69999999999993</v>
      </c>
      <c r="H97" s="15">
        <v>7977.2000000000007</v>
      </c>
      <c r="I97" s="15">
        <v>4071.9</v>
      </c>
      <c r="J97" s="15">
        <v>83.300000000000011</v>
      </c>
      <c r="K97">
        <v>341.07</v>
      </c>
      <c r="L97" s="17">
        <v>160362.29999999996</v>
      </c>
    </row>
    <row r="98" spans="1:12" x14ac:dyDescent="0.3">
      <c r="A98" t="s">
        <v>46</v>
      </c>
      <c r="B98" t="s">
        <v>47</v>
      </c>
      <c r="C98">
        <v>3939</v>
      </c>
      <c r="D98">
        <v>1343423.0699999998</v>
      </c>
      <c r="E98" s="15">
        <v>1228679.0999999999</v>
      </c>
      <c r="F98" s="15">
        <v>88233.600000000006</v>
      </c>
      <c r="G98" s="15">
        <v>7208.3700000000008</v>
      </c>
      <c r="H98" s="15">
        <v>64126.920000000006</v>
      </c>
      <c r="I98" s="15">
        <v>32733.09</v>
      </c>
      <c r="J98" s="15">
        <v>669.63</v>
      </c>
      <c r="K98">
        <v>343.94</v>
      </c>
      <c r="L98" s="17">
        <v>1289116.5299999998</v>
      </c>
    </row>
    <row r="99" spans="1:12" x14ac:dyDescent="0.3">
      <c r="A99" t="s">
        <v>30</v>
      </c>
      <c r="B99" t="s">
        <v>31</v>
      </c>
      <c r="C99">
        <v>1917</v>
      </c>
      <c r="D99">
        <v>653831.18999999994</v>
      </c>
      <c r="E99" s="15">
        <v>583596.57000000007</v>
      </c>
      <c r="F99" s="15">
        <v>42940.800000000003</v>
      </c>
      <c r="G99" s="15">
        <v>3508.1099999999997</v>
      </c>
      <c r="H99" s="15">
        <v>31208.760000000002</v>
      </c>
      <c r="I99" s="15">
        <v>15930.27</v>
      </c>
      <c r="J99" s="15">
        <v>325.89000000000004</v>
      </c>
      <c r="K99">
        <v>341.07000000000005</v>
      </c>
      <c r="L99" s="17">
        <v>627376.59000000008</v>
      </c>
    </row>
    <row r="100" spans="1:12" x14ac:dyDescent="0.3">
      <c r="A100" t="s">
        <v>23</v>
      </c>
      <c r="B100" t="s">
        <v>24</v>
      </c>
      <c r="C100">
        <v>28089</v>
      </c>
      <c r="D100">
        <v>13571481.239999998</v>
      </c>
      <c r="E100" s="15">
        <v>11734704.089999998</v>
      </c>
      <c r="F100" s="15">
        <v>617958</v>
      </c>
      <c r="G100" s="15">
        <v>50560.200000000004</v>
      </c>
      <c r="H100" s="15">
        <v>449143.11</v>
      </c>
      <c r="I100" s="15">
        <v>233419.59000000003</v>
      </c>
      <c r="J100" s="15">
        <v>7303.14</v>
      </c>
      <c r="K100">
        <v>483.15999999999991</v>
      </c>
      <c r="L100" s="17">
        <v>11844288.629999997</v>
      </c>
    </row>
    <row r="101" spans="1:12" x14ac:dyDescent="0.3">
      <c r="A101" t="s">
        <v>42</v>
      </c>
      <c r="B101" t="s">
        <v>43</v>
      </c>
      <c r="C101">
        <v>22226</v>
      </c>
      <c r="D101">
        <v>7580570.1600000011</v>
      </c>
      <c r="E101" s="15">
        <v>7224985.7299999995</v>
      </c>
      <c r="F101" s="15">
        <v>497862.40000000002</v>
      </c>
      <c r="G101" s="15">
        <v>40673.579999999994</v>
      </c>
      <c r="H101" s="15">
        <v>361839.28</v>
      </c>
      <c r="I101" s="15">
        <v>184698.06000000003</v>
      </c>
      <c r="J101" s="15">
        <v>3778.4200000000005</v>
      </c>
      <c r="K101">
        <v>342.02666666666664</v>
      </c>
      <c r="L101" s="17">
        <v>7274569.8000000007</v>
      </c>
    </row>
    <row r="102" spans="1:12" x14ac:dyDescent="0.3">
      <c r="A102" t="s">
        <v>376</v>
      </c>
      <c r="B102" t="s">
        <v>377</v>
      </c>
      <c r="C102">
        <v>230</v>
      </c>
      <c r="D102">
        <v>114673.4</v>
      </c>
      <c r="E102" s="15">
        <v>85369.1</v>
      </c>
      <c r="F102" s="15">
        <v>13524</v>
      </c>
      <c r="G102" s="15">
        <v>1106.3</v>
      </c>
      <c r="H102" s="15">
        <v>9830.1999999999989</v>
      </c>
      <c r="I102" s="15">
        <v>4662.0999999999995</v>
      </c>
      <c r="J102" s="15">
        <v>29.900000000000002</v>
      </c>
      <c r="K102">
        <v>498.58</v>
      </c>
      <c r="L102" s="17">
        <v>85401.300000000017</v>
      </c>
    </row>
    <row r="103" spans="1:12" x14ac:dyDescent="0.3">
      <c r="A103" t="s">
        <v>637</v>
      </c>
      <c r="B103" t="s">
        <v>638</v>
      </c>
      <c r="C103">
        <v>8645</v>
      </c>
      <c r="D103">
        <v>3142920.5199999996</v>
      </c>
      <c r="E103" s="15">
        <v>2820604.1500000004</v>
      </c>
      <c r="F103" s="15">
        <v>181026.30000000005</v>
      </c>
      <c r="G103" s="15">
        <v>14782.95</v>
      </c>
      <c r="H103" s="15">
        <v>131576.90000000002</v>
      </c>
      <c r="I103" s="15">
        <v>143679.9</v>
      </c>
      <c r="J103" s="15">
        <v>2161.25</v>
      </c>
      <c r="K103">
        <v>364.024</v>
      </c>
      <c r="L103" s="17">
        <v>2822765.4000000004</v>
      </c>
    </row>
    <row r="104" spans="1:12" x14ac:dyDescent="0.3">
      <c r="A104" t="s">
        <v>378</v>
      </c>
      <c r="B104" t="s">
        <v>379</v>
      </c>
      <c r="C104">
        <v>17601</v>
      </c>
      <c r="D104">
        <v>6299554.1800000006</v>
      </c>
      <c r="E104" s="15">
        <v>5612104.2600000016</v>
      </c>
      <c r="F104" s="15">
        <v>419607.84</v>
      </c>
      <c r="G104" s="15">
        <v>34321.950000000004</v>
      </c>
      <c r="H104" s="15">
        <v>305025.32999999996</v>
      </c>
      <c r="I104" s="15">
        <v>181114.28999999995</v>
      </c>
      <c r="J104" s="15">
        <v>4576.2600000000011</v>
      </c>
      <c r="K104">
        <v>358.12545454545455</v>
      </c>
      <c r="L104" s="17">
        <v>5728421.46</v>
      </c>
    </row>
    <row r="105" spans="1:12" x14ac:dyDescent="0.3">
      <c r="A105" t="s">
        <v>568</v>
      </c>
      <c r="B105" t="s">
        <v>594</v>
      </c>
      <c r="C105">
        <v>11000</v>
      </c>
      <c r="D105">
        <v>157740</v>
      </c>
      <c r="E105" s="15">
        <v>228910</v>
      </c>
      <c r="F105" s="15">
        <v>126390</v>
      </c>
      <c r="G105" s="15">
        <v>10340</v>
      </c>
      <c r="H105" s="15">
        <v>0</v>
      </c>
      <c r="I105" s="15">
        <v>0</v>
      </c>
      <c r="J105" s="15">
        <v>0</v>
      </c>
      <c r="K105">
        <v>14.339999999999998</v>
      </c>
      <c r="L105" s="17">
        <v>228910</v>
      </c>
    </row>
    <row r="106" spans="1:12" x14ac:dyDescent="0.3">
      <c r="A106" t="s">
        <v>380</v>
      </c>
      <c r="B106" t="s">
        <v>381</v>
      </c>
      <c r="C106">
        <v>14172</v>
      </c>
      <c r="D106">
        <v>3148731.6</v>
      </c>
      <c r="E106" s="15">
        <v>3005783.85</v>
      </c>
      <c r="F106" s="15">
        <v>260623.07999999993</v>
      </c>
      <c r="G106" s="15">
        <v>21258</v>
      </c>
      <c r="H106" s="15">
        <v>189479.63999999996</v>
      </c>
      <c r="I106" s="15">
        <v>117769.31999999999</v>
      </c>
      <c r="J106" s="15">
        <v>566.88</v>
      </c>
      <c r="K106">
        <v>222.33823529411774</v>
      </c>
      <c r="L106" s="17">
        <v>3070222.0799999991</v>
      </c>
    </row>
    <row r="107" spans="1:12" x14ac:dyDescent="0.3">
      <c r="A107" t="s">
        <v>493</v>
      </c>
      <c r="B107" t="s">
        <v>494</v>
      </c>
      <c r="C107">
        <v>1075</v>
      </c>
      <c r="D107">
        <v>366140.15</v>
      </c>
      <c r="E107" s="15">
        <v>351804.5</v>
      </c>
      <c r="F107" s="15">
        <v>25499.000000000007</v>
      </c>
      <c r="G107" s="15">
        <v>2085.5</v>
      </c>
      <c r="H107" s="15">
        <v>18532.999999999996</v>
      </c>
      <c r="I107" s="15">
        <v>8933.25</v>
      </c>
      <c r="J107" s="15">
        <v>182.75</v>
      </c>
      <c r="K107">
        <v>343.91333333333336</v>
      </c>
      <c r="L107" s="17">
        <v>351987.24999999988</v>
      </c>
    </row>
    <row r="108" spans="1:12" x14ac:dyDescent="0.3">
      <c r="A108" t="s">
        <v>639</v>
      </c>
      <c r="B108" t="s">
        <v>640</v>
      </c>
      <c r="C108">
        <v>8014</v>
      </c>
      <c r="D108">
        <v>5838679.8400000008</v>
      </c>
      <c r="E108" s="15">
        <v>5152128.75</v>
      </c>
      <c r="F108" s="15">
        <v>239458.32000000007</v>
      </c>
      <c r="G108" s="15">
        <v>19634.300000000003</v>
      </c>
      <c r="H108" s="15">
        <v>174064.08000000002</v>
      </c>
      <c r="I108" s="15">
        <v>66596.34</v>
      </c>
      <c r="J108" s="15">
        <v>3446.02</v>
      </c>
      <c r="K108">
        <v>728.56000000000051</v>
      </c>
      <c r="L108" s="17">
        <v>5172716.4399999967</v>
      </c>
    </row>
    <row r="109" spans="1:12" x14ac:dyDescent="0.3">
      <c r="A109" t="s">
        <v>641</v>
      </c>
      <c r="B109" t="s">
        <v>642</v>
      </c>
      <c r="C109">
        <v>-2</v>
      </c>
      <c r="D109">
        <v>-990</v>
      </c>
      <c r="E109" s="15">
        <v>-931.8</v>
      </c>
      <c r="F109" s="15">
        <v>-71.100000000000009</v>
      </c>
      <c r="G109" s="15">
        <v>-5.82</v>
      </c>
      <c r="H109" s="15">
        <v>-51.680000000000007</v>
      </c>
      <c r="I109" s="15">
        <v>-16.62</v>
      </c>
      <c r="J109" s="15">
        <v>-0.54</v>
      </c>
      <c r="K109">
        <v>495</v>
      </c>
      <c r="L109" s="17">
        <v>-932.33999999999958</v>
      </c>
    </row>
    <row r="110" spans="1:12" x14ac:dyDescent="0.3">
      <c r="A110" t="s">
        <v>698</v>
      </c>
      <c r="B110" t="s">
        <v>699</v>
      </c>
      <c r="C110">
        <v>527</v>
      </c>
      <c r="D110">
        <v>219179.3</v>
      </c>
      <c r="E110" s="15">
        <v>239537.31</v>
      </c>
      <c r="F110" s="15">
        <v>15572.85</v>
      </c>
      <c r="G110" s="15">
        <v>1275.3399999999999</v>
      </c>
      <c r="H110" s="15">
        <v>11325.23</v>
      </c>
      <c r="I110" s="15">
        <v>4379.37</v>
      </c>
      <c r="J110" s="15">
        <v>89.59</v>
      </c>
      <c r="K110">
        <v>415.9</v>
      </c>
      <c r="L110" s="17">
        <v>239626.9</v>
      </c>
    </row>
    <row r="111" spans="1:12" x14ac:dyDescent="0.3">
      <c r="A111" t="s">
        <v>1184</v>
      </c>
      <c r="B111" t="s">
        <v>1185</v>
      </c>
      <c r="C111">
        <v>4912</v>
      </c>
      <c r="D111">
        <v>2373281.9200000004</v>
      </c>
      <c r="E111" s="15">
        <v>2069818.56</v>
      </c>
      <c r="F111" s="15">
        <v>108064</v>
      </c>
      <c r="G111" s="15">
        <v>8841.6</v>
      </c>
      <c r="H111" s="15">
        <v>78542.880000000005</v>
      </c>
      <c r="I111" s="15">
        <v>40818.719999999994</v>
      </c>
      <c r="J111" s="15">
        <v>1277.1199999999999</v>
      </c>
      <c r="K111">
        <v>483.15999999999991</v>
      </c>
      <c r="L111" s="17">
        <v>2071095.6799999992</v>
      </c>
    </row>
    <row r="112" spans="1:12" x14ac:dyDescent="0.3">
      <c r="A112" t="s">
        <v>1182</v>
      </c>
      <c r="B112" t="s">
        <v>1183</v>
      </c>
      <c r="C112">
        <v>5719</v>
      </c>
      <c r="D112">
        <v>2763192.04</v>
      </c>
      <c r="E112" s="15">
        <v>2409872.2200000002</v>
      </c>
      <c r="F112" s="15">
        <v>125818</v>
      </c>
      <c r="G112" s="15">
        <v>10294.199999999999</v>
      </c>
      <c r="H112" s="15">
        <v>91446.81</v>
      </c>
      <c r="I112" s="15">
        <v>47524.89</v>
      </c>
      <c r="J112" s="15">
        <v>1486.9399999999998</v>
      </c>
      <c r="K112">
        <v>483.15999999999997</v>
      </c>
      <c r="L112" s="17">
        <v>2411359.1599999992</v>
      </c>
    </row>
    <row r="113" spans="1:12" x14ac:dyDescent="0.3">
      <c r="A113" t="s">
        <v>1179</v>
      </c>
      <c r="B113" t="s">
        <v>1180</v>
      </c>
      <c r="C113">
        <v>3450</v>
      </c>
      <c r="D113">
        <v>1666901.9999999998</v>
      </c>
      <c r="E113" s="15">
        <v>1453761.0000000002</v>
      </c>
      <c r="F113" s="15">
        <v>75900</v>
      </c>
      <c r="G113" s="15">
        <v>6210</v>
      </c>
      <c r="H113" s="15">
        <v>55165.5</v>
      </c>
      <c r="I113" s="15">
        <v>28669.500000000004</v>
      </c>
      <c r="J113" s="15">
        <v>897</v>
      </c>
      <c r="K113">
        <v>483.15999999999997</v>
      </c>
      <c r="L113" s="17">
        <v>1454657.9999999995</v>
      </c>
    </row>
    <row r="114" spans="1:12" x14ac:dyDescent="0.3">
      <c r="A114" t="s">
        <v>1196</v>
      </c>
      <c r="B114" t="s">
        <v>1197</v>
      </c>
      <c r="C114">
        <v>1905</v>
      </c>
      <c r="D114">
        <v>676313.1</v>
      </c>
      <c r="E114" s="15">
        <v>619506</v>
      </c>
      <c r="F114" s="15">
        <v>45415.199999999997</v>
      </c>
      <c r="G114" s="15">
        <v>3714.7500000000005</v>
      </c>
      <c r="H114" s="15">
        <v>33013.649999999994</v>
      </c>
      <c r="I114" s="15">
        <v>19602.45</v>
      </c>
      <c r="J114" s="15">
        <v>495.3</v>
      </c>
      <c r="K114">
        <v>355.02</v>
      </c>
      <c r="L114" s="17">
        <v>620001.29999999993</v>
      </c>
    </row>
    <row r="115" spans="1:12" x14ac:dyDescent="0.3">
      <c r="A115" t="s">
        <v>1549</v>
      </c>
      <c r="B115" t="s">
        <v>1550</v>
      </c>
      <c r="C115">
        <v>51</v>
      </c>
      <c r="D115">
        <v>5100</v>
      </c>
      <c r="E115" s="15">
        <v>4470.1499999999996</v>
      </c>
      <c r="F115" s="15">
        <v>1884.96</v>
      </c>
      <c r="G115" s="15">
        <v>154.02000000000001</v>
      </c>
      <c r="H115" s="15">
        <v>0</v>
      </c>
      <c r="I115" s="15">
        <v>0</v>
      </c>
      <c r="J115" s="15">
        <v>1.53</v>
      </c>
      <c r="K115">
        <v>100</v>
      </c>
      <c r="L115" s="17">
        <v>4472.1900000000005</v>
      </c>
    </row>
    <row r="116" spans="1:12" x14ac:dyDescent="0.3">
      <c r="A116" t="s">
        <v>1551</v>
      </c>
      <c r="B116" t="s">
        <v>1552</v>
      </c>
      <c r="C116">
        <v>51</v>
      </c>
      <c r="D116">
        <v>6426</v>
      </c>
      <c r="E116" s="15">
        <v>5244.84</v>
      </c>
      <c r="F116" s="15">
        <v>1884.96</v>
      </c>
      <c r="G116" s="15">
        <v>154.02000000000001</v>
      </c>
      <c r="H116" s="15">
        <v>0</v>
      </c>
      <c r="I116" s="15">
        <v>0</v>
      </c>
      <c r="J116" s="15">
        <v>2.04</v>
      </c>
      <c r="K116">
        <v>126</v>
      </c>
      <c r="L116" s="17">
        <v>5247.39</v>
      </c>
    </row>
    <row r="117" spans="1:12" x14ac:dyDescent="0.3">
      <c r="A117" t="s">
        <v>1553</v>
      </c>
      <c r="B117" t="s">
        <v>1554</v>
      </c>
      <c r="C117">
        <v>102</v>
      </c>
      <c r="D117">
        <v>55080</v>
      </c>
      <c r="E117" s="15">
        <v>34981.919999999998</v>
      </c>
      <c r="F117" s="15">
        <v>4609.38</v>
      </c>
      <c r="G117" s="15">
        <v>376.38</v>
      </c>
      <c r="H117" s="15">
        <v>3350.7000000000003</v>
      </c>
      <c r="I117" s="15">
        <v>2067.54</v>
      </c>
      <c r="J117" s="15">
        <v>13.26</v>
      </c>
      <c r="K117">
        <v>540</v>
      </c>
      <c r="L117" s="17">
        <v>34996.199999999997</v>
      </c>
    </row>
    <row r="118" spans="1:12" x14ac:dyDescent="0.3">
      <c r="A118" t="s">
        <v>1687</v>
      </c>
      <c r="B118" t="s">
        <v>1688</v>
      </c>
      <c r="C118">
        <v>2135</v>
      </c>
      <c r="D118">
        <v>740247.2</v>
      </c>
      <c r="E118" s="15">
        <v>719601.75</v>
      </c>
      <c r="F118" s="15">
        <v>44023.700000000004</v>
      </c>
      <c r="G118" s="15">
        <v>4718.3500000000004</v>
      </c>
      <c r="H118" s="15">
        <v>37853.550000000003</v>
      </c>
      <c r="I118" s="15">
        <v>18104.800000000003</v>
      </c>
      <c r="J118" s="15">
        <v>384.29999999999995</v>
      </c>
      <c r="K118">
        <v>346.71999999999997</v>
      </c>
      <c r="L118" s="17">
        <v>719986.04999999993</v>
      </c>
    </row>
    <row r="119" spans="1:12" x14ac:dyDescent="0.3">
      <c r="A119" t="s">
        <v>1689</v>
      </c>
      <c r="B119" t="s">
        <v>1690</v>
      </c>
      <c r="C119">
        <v>264</v>
      </c>
      <c r="D119">
        <v>257357.76</v>
      </c>
      <c r="E119" s="15">
        <v>132162.80000000002</v>
      </c>
      <c r="F119" s="15">
        <v>7038.24</v>
      </c>
      <c r="G119" s="15">
        <v>757.68000000000006</v>
      </c>
      <c r="H119" s="15">
        <v>6050.8799999999992</v>
      </c>
      <c r="I119" s="15">
        <v>5459.5199999999995</v>
      </c>
      <c r="J119" s="15">
        <v>84.48</v>
      </c>
      <c r="K119">
        <v>974.84</v>
      </c>
      <c r="L119" s="17">
        <v>138710.88000000003</v>
      </c>
    </row>
    <row r="120" spans="1:12" x14ac:dyDescent="0.3">
      <c r="A120" t="s">
        <v>1691</v>
      </c>
      <c r="B120" t="s">
        <v>1692</v>
      </c>
      <c r="C120">
        <v>155</v>
      </c>
      <c r="D120">
        <v>18730.2</v>
      </c>
      <c r="E120" s="15">
        <v>9428.65</v>
      </c>
      <c r="F120" s="15">
        <v>1863.1</v>
      </c>
      <c r="G120" s="15">
        <v>0</v>
      </c>
      <c r="H120" s="15">
        <v>0</v>
      </c>
      <c r="I120" s="15">
        <v>0</v>
      </c>
      <c r="J120" s="15">
        <v>3.1</v>
      </c>
      <c r="K120">
        <v>120.83999999999999</v>
      </c>
      <c r="L120" s="17">
        <v>9431.75</v>
      </c>
    </row>
    <row r="121" spans="1:12" x14ac:dyDescent="0.3">
      <c r="A121" t="s">
        <v>1679</v>
      </c>
      <c r="B121" t="s">
        <v>1680</v>
      </c>
      <c r="C121">
        <v>1595</v>
      </c>
      <c r="D121">
        <v>789525</v>
      </c>
      <c r="E121" s="15">
        <v>306176.2</v>
      </c>
      <c r="F121" s="15">
        <v>46669.7</v>
      </c>
      <c r="G121" s="15">
        <v>5008.3</v>
      </c>
      <c r="H121" s="15">
        <v>40114.25</v>
      </c>
      <c r="I121" s="15">
        <v>10303.700000000001</v>
      </c>
      <c r="J121" s="15">
        <v>0</v>
      </c>
      <c r="K121">
        <v>495</v>
      </c>
      <c r="L121" s="17">
        <v>306176.2</v>
      </c>
    </row>
    <row r="122" spans="1:12" x14ac:dyDescent="0.3">
      <c r="A122" t="s">
        <v>1903</v>
      </c>
      <c r="B122" t="s">
        <v>1904</v>
      </c>
      <c r="C122">
        <v>1365</v>
      </c>
      <c r="D122">
        <v>465560.55</v>
      </c>
      <c r="E122" s="15">
        <v>384788.25000000006</v>
      </c>
      <c r="F122" s="15">
        <v>28146.3</v>
      </c>
      <c r="G122" s="15">
        <v>3016.65</v>
      </c>
      <c r="H122" s="15">
        <v>24201.45</v>
      </c>
      <c r="I122" s="15">
        <v>11575.2</v>
      </c>
      <c r="J122" s="15">
        <v>232.05</v>
      </c>
      <c r="K122">
        <v>341.07</v>
      </c>
      <c r="L122" s="17">
        <v>447023.85000000009</v>
      </c>
    </row>
    <row r="123" spans="1:12" x14ac:dyDescent="0.3">
      <c r="A123" t="s">
        <v>53</v>
      </c>
      <c r="C123">
        <v>4348098.8</v>
      </c>
      <c r="D123">
        <v>137359044.19000009</v>
      </c>
      <c r="E123" s="15">
        <v>115624941.72000003</v>
      </c>
      <c r="F123" s="15">
        <v>5611339.6699999999</v>
      </c>
      <c r="G123" s="15">
        <v>454010.7199999998</v>
      </c>
      <c r="H123" s="15">
        <v>3924173.12</v>
      </c>
      <c r="I123" s="15">
        <v>2160630.7199999997</v>
      </c>
      <c r="J123" s="15">
        <v>47257.689999999988</v>
      </c>
      <c r="K123">
        <v>10919.523014861958</v>
      </c>
      <c r="L123" s="17">
        <v>101225338.81000005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B7B97-B445-43DC-836C-B9DBAE57D8FF}">
  <sheetPr filterMode="1">
    <tabColor rgb="FFFFFF00"/>
  </sheetPr>
  <dimension ref="A1:AT30"/>
  <sheetViews>
    <sheetView topLeftCell="B1" zoomScale="90" zoomScaleNormal="90" workbookViewId="0">
      <selection activeCell="K6" sqref="K6:K22"/>
    </sheetView>
  </sheetViews>
  <sheetFormatPr defaultRowHeight="14.4" x14ac:dyDescent="0.3"/>
  <cols>
    <col min="1" max="1" width="34.6640625" bestFit="1" customWidth="1"/>
    <col min="2" max="2" width="16.77734375" bestFit="1" customWidth="1"/>
    <col min="3" max="3" width="20.44140625" bestFit="1" customWidth="1"/>
    <col min="4" max="4" width="13.109375" bestFit="1" customWidth="1"/>
    <col min="5" max="5" width="41" bestFit="1" customWidth="1"/>
    <col min="6" max="6" width="6.77734375" bestFit="1" customWidth="1"/>
    <col min="7" max="7" width="14.33203125" bestFit="1" customWidth="1"/>
    <col min="8" max="8" width="17.33203125" bestFit="1" customWidth="1"/>
    <col min="9" max="9" width="17.33203125" customWidth="1"/>
    <col min="10" max="10" width="19.109375" bestFit="1" customWidth="1"/>
    <col min="11" max="11" width="17.77734375" bestFit="1" customWidth="1"/>
    <col min="12" max="12" width="16.21875" hidden="1" customWidth="1"/>
    <col min="13" max="13" width="16.77734375" hidden="1" customWidth="1"/>
    <col min="14" max="14" width="13.44140625" hidden="1" customWidth="1"/>
    <col min="15" max="15" width="15.6640625" hidden="1" customWidth="1"/>
    <col min="16" max="16" width="14.33203125" bestFit="1" customWidth="1"/>
    <col min="17" max="17" width="14.77734375" hidden="1" customWidth="1"/>
    <col min="18" max="18" width="16.77734375" hidden="1" customWidth="1"/>
    <col min="19" max="19" width="15.21875" hidden="1" customWidth="1"/>
    <col min="20" max="20" width="22.77734375" hidden="1" customWidth="1"/>
    <col min="21" max="21" width="25.88671875" hidden="1" customWidth="1"/>
    <col min="22" max="22" width="17.21875" hidden="1" customWidth="1"/>
    <col min="23" max="23" width="11" hidden="1" customWidth="1"/>
    <col min="24" max="24" width="9.21875" hidden="1" customWidth="1"/>
    <col min="25" max="25" width="19.33203125" hidden="1" customWidth="1"/>
    <col min="26" max="26" width="17.44140625" hidden="1" customWidth="1"/>
    <col min="27" max="27" width="23.21875" hidden="1" customWidth="1"/>
    <col min="28" max="28" width="15.77734375" hidden="1" customWidth="1"/>
    <col min="29" max="29" width="19.77734375" hidden="1" customWidth="1"/>
    <col min="30" max="30" width="23.88671875" hidden="1" customWidth="1"/>
    <col min="31" max="31" width="21.6640625" hidden="1" customWidth="1"/>
    <col min="32" max="32" width="16.6640625" hidden="1" customWidth="1"/>
    <col min="33" max="33" width="16.44140625" hidden="1" customWidth="1"/>
    <col min="34" max="34" width="17.109375" hidden="1" customWidth="1"/>
    <col min="35" max="35" width="21.77734375" hidden="1" customWidth="1"/>
    <col min="36" max="36" width="25.6640625" hidden="1" customWidth="1"/>
    <col min="37" max="37" width="29.88671875" hidden="1" customWidth="1"/>
    <col min="38" max="38" width="19.5546875" hidden="1" customWidth="1"/>
    <col min="39" max="39" width="14.33203125" hidden="1" customWidth="1"/>
    <col min="40" max="40" width="24.77734375" hidden="1" customWidth="1"/>
    <col min="41" max="41" width="14.33203125" hidden="1" customWidth="1"/>
    <col min="42" max="42" width="24.77734375" hidden="1" customWidth="1"/>
    <col min="43" max="43" width="5.88671875" hidden="1" customWidth="1"/>
    <col min="44" max="44" width="16.21875" hidden="1" customWidth="1"/>
    <col min="45" max="45" width="5.88671875" hidden="1" customWidth="1"/>
    <col min="46" max="46" width="21.5546875" hidden="1" customWidth="1"/>
  </cols>
  <sheetData>
    <row r="1" spans="1:46" s="353" customFormat="1" ht="40.950000000000003" customHeight="1" x14ac:dyDescent="0.3">
      <c r="A1" s="348" t="s">
        <v>0</v>
      </c>
      <c r="B1" s="348" t="s">
        <v>1</v>
      </c>
      <c r="C1" s="348" t="s">
        <v>516</v>
      </c>
      <c r="D1" s="348" t="s">
        <v>2</v>
      </c>
      <c r="E1" s="348" t="s">
        <v>3</v>
      </c>
      <c r="F1" s="348" t="s">
        <v>2023</v>
      </c>
      <c r="G1" s="348" t="s">
        <v>4</v>
      </c>
      <c r="H1" s="348" t="s">
        <v>5</v>
      </c>
      <c r="I1" s="348" t="s">
        <v>2033</v>
      </c>
      <c r="J1" s="348" t="s">
        <v>6</v>
      </c>
      <c r="K1" s="349" t="s">
        <v>7</v>
      </c>
      <c r="L1" s="348" t="s">
        <v>8</v>
      </c>
      <c r="M1" s="348" t="s">
        <v>9</v>
      </c>
      <c r="N1" s="349" t="s">
        <v>10</v>
      </c>
      <c r="O1" s="348" t="s">
        <v>11</v>
      </c>
      <c r="P1" s="348" t="s">
        <v>12</v>
      </c>
      <c r="Q1" s="349" t="s">
        <v>13</v>
      </c>
      <c r="R1" s="348" t="s">
        <v>14</v>
      </c>
      <c r="S1" s="349" t="s">
        <v>15</v>
      </c>
      <c r="T1" s="350" t="s">
        <v>336</v>
      </c>
      <c r="U1" s="350" t="s">
        <v>337</v>
      </c>
      <c r="V1" s="350" t="s">
        <v>343</v>
      </c>
      <c r="W1" s="350" t="s">
        <v>344</v>
      </c>
      <c r="X1" s="350" t="s">
        <v>517</v>
      </c>
      <c r="Y1" s="351" t="s">
        <v>1986</v>
      </c>
      <c r="Z1" s="351" t="s">
        <v>453</v>
      </c>
      <c r="AA1" s="351" t="s">
        <v>347</v>
      </c>
      <c r="AB1" s="351" t="s">
        <v>353</v>
      </c>
      <c r="AC1" s="351" t="s">
        <v>352</v>
      </c>
      <c r="AD1" s="351" t="s">
        <v>350</v>
      </c>
      <c r="AE1" s="351" t="s">
        <v>1293</v>
      </c>
      <c r="AF1" s="352" t="s">
        <v>1987</v>
      </c>
      <c r="AG1" s="352" t="s">
        <v>464</v>
      </c>
      <c r="AH1" s="352" t="s">
        <v>468</v>
      </c>
      <c r="AI1" s="352" t="s">
        <v>1958</v>
      </c>
      <c r="AJ1" s="352" t="s">
        <v>1959</v>
      </c>
      <c r="AK1" s="352" t="s">
        <v>1960</v>
      </c>
      <c r="AL1" s="352" t="s">
        <v>1292</v>
      </c>
      <c r="AM1" s="352" t="s">
        <v>1988</v>
      </c>
      <c r="AN1" s="352" t="s">
        <v>1989</v>
      </c>
      <c r="AO1" s="352" t="s">
        <v>1990</v>
      </c>
      <c r="AP1" s="352" t="s">
        <v>1991</v>
      </c>
      <c r="AQ1" s="352" t="s">
        <v>1998</v>
      </c>
      <c r="AR1" s="352" t="s">
        <v>1999</v>
      </c>
      <c r="AS1" s="352" t="s">
        <v>2000</v>
      </c>
      <c r="AT1" s="352" t="s">
        <v>2001</v>
      </c>
    </row>
    <row r="2" spans="1:46" hidden="1" x14ac:dyDescent="0.3">
      <c r="A2" s="254" t="s">
        <v>1295</v>
      </c>
      <c r="B2" s="255">
        <v>45990</v>
      </c>
      <c r="C2" s="256">
        <v>3271316537</v>
      </c>
      <c r="D2" s="256" t="s">
        <v>694</v>
      </c>
      <c r="E2" s="256" t="s">
        <v>695</v>
      </c>
      <c r="F2" s="256" t="str">
        <f t="shared" ref="F2:F28" si="0">IF(A2="Atomberg Technologies Private Limit","Fan","Ref")</f>
        <v>Ref</v>
      </c>
      <c r="G2" s="256" t="s">
        <v>18</v>
      </c>
      <c r="H2" s="256" t="s">
        <v>19</v>
      </c>
      <c r="I2" s="256" t="s">
        <v>2031</v>
      </c>
      <c r="J2" s="256" t="s">
        <v>20</v>
      </c>
      <c r="K2" s="257">
        <v>1000</v>
      </c>
      <c r="L2" s="258">
        <v>464890</v>
      </c>
      <c r="M2" s="257">
        <v>1000</v>
      </c>
      <c r="N2" s="257">
        <v>1000</v>
      </c>
      <c r="O2" s="255">
        <v>45990</v>
      </c>
      <c r="P2" s="258">
        <v>659300</v>
      </c>
      <c r="Q2" s="256" t="s">
        <v>21</v>
      </c>
      <c r="R2" s="256" t="s">
        <v>22</v>
      </c>
      <c r="S2" s="256">
        <v>1</v>
      </c>
      <c r="T2" s="256" t="str">
        <f>VLOOKUP('Sales Report'!$H2,Master!$H$3:$I$8,2,0)</f>
        <v>Finished Goods</v>
      </c>
      <c r="U2" s="256" t="str">
        <f>VLOOKUP('Sales Report'!$J2,Master!B:C,2,0)</f>
        <v>FG-PCB-Ref</v>
      </c>
      <c r="V2" s="259">
        <f>P2-L2</f>
        <v>194410</v>
      </c>
      <c r="W2" s="260">
        <f>'Sales Report'!$V2/'Sales Report'!$P2</f>
        <v>0.29487335052328228</v>
      </c>
      <c r="X2" s="256">
        <f>'Sales Report'!$P2/'Sales Report'!$N2</f>
        <v>659.3</v>
      </c>
      <c r="Y2" s="261">
        <f>SUM('Sales Report'!$Z2:$AE2)</f>
        <v>464.89000000000004</v>
      </c>
      <c r="Z2" s="261">
        <f>SUMIFS('COGS Break up'!$E:$E,'COGS Break up'!$A:$A,'Sales Report'!$D2,'COGS Break up'!$D:$D,'Sales Report'!$Z$1)</f>
        <v>405.11000000000007</v>
      </c>
      <c r="AA2" s="261">
        <f>SUMIFS('COGS Break up'!$E:$E,'COGS Break up'!$A:$A,'Sales Report'!$D2,'COGS Break up'!$D:$D,'Sales Report'!$AA$1)</f>
        <v>28.32</v>
      </c>
      <c r="AB2" s="261">
        <f>SUMIFS('COGS Break up'!E:E,'COGS Break up'!A:A,'Sales Report'!$D:$D,'COGS Break up'!C:C,'Sales Report'!$AB$1)</f>
        <v>2.3199999999999998</v>
      </c>
      <c r="AC2" s="261">
        <f>SUMIFS('COGS Break up'!E:E,'COGS Break up'!A:A,'Sales Report'!$D:$D,'COGS Break up'!C:C,$AC$1)</f>
        <v>20.59</v>
      </c>
      <c r="AD2" s="261">
        <f>SUMIFS('COGS Break up'!E:E,'COGS Break up'!A:A,'Sales Report'!$D:$D,'COGS Break up'!C:C,$AD$1)</f>
        <v>8.31</v>
      </c>
      <c r="AE2" s="261">
        <f>SUMIFS('COGS Break up'!$E:$E,'COGS Break up'!$A:$A,'Sales Report'!$D2,'COGS Break up'!$D:$D,'Sales Report'!$AE$1)</f>
        <v>0.24</v>
      </c>
      <c r="AF2" s="262">
        <f>'Sales Report'!$AG2+'Sales Report'!$AH2+$AJ2+'Sales Report'!$AL2+AK2+AI2</f>
        <v>464890.00000000006</v>
      </c>
      <c r="AG2" s="261">
        <f>'Sales Report'!$N2*'Sales Report'!$Z2</f>
        <v>405110.00000000006</v>
      </c>
      <c r="AH2" s="261">
        <f>'Sales Report'!$N2*'Sales Report'!$AA2</f>
        <v>28320</v>
      </c>
      <c r="AI2" s="261">
        <f t="shared" ref="AI2:AI28" si="1">AB2*$N2</f>
        <v>2320</v>
      </c>
      <c r="AJ2" s="261">
        <f t="shared" ref="AJ2:AJ28" si="2">AC2*$N2</f>
        <v>20590</v>
      </c>
      <c r="AK2" s="261">
        <f t="shared" ref="AK2:AK28" si="3">AD2*$N2</f>
        <v>8310</v>
      </c>
      <c r="AL2" s="261">
        <f>'Sales Report'!$AE2*'Sales Report'!$N2</f>
        <v>240</v>
      </c>
      <c r="AM2" s="354">
        <v>31122</v>
      </c>
      <c r="AN2" s="261" t="s">
        <v>1996</v>
      </c>
      <c r="AO2" s="354">
        <v>41552</v>
      </c>
      <c r="AP2" s="261" t="s">
        <v>1994</v>
      </c>
      <c r="AQ2" s="261" t="s">
        <v>1097</v>
      </c>
      <c r="AR2" s="261" t="s">
        <v>996</v>
      </c>
      <c r="AS2" s="261" t="s">
        <v>2002</v>
      </c>
      <c r="AT2" s="261" t="s">
        <v>2003</v>
      </c>
    </row>
    <row r="3" spans="1:46" hidden="1" x14ac:dyDescent="0.3">
      <c r="A3" s="263" t="s">
        <v>1295</v>
      </c>
      <c r="B3" s="264">
        <v>45990</v>
      </c>
      <c r="C3" s="265">
        <v>3271316534</v>
      </c>
      <c r="D3" s="265" t="s">
        <v>36</v>
      </c>
      <c r="E3" s="265" t="s">
        <v>37</v>
      </c>
      <c r="F3" s="265" t="str">
        <f t="shared" si="0"/>
        <v>Ref</v>
      </c>
      <c r="G3" s="265" t="s">
        <v>18</v>
      </c>
      <c r="H3" s="265" t="s">
        <v>19</v>
      </c>
      <c r="I3" s="265" t="s">
        <v>2031</v>
      </c>
      <c r="J3" s="265" t="s">
        <v>20</v>
      </c>
      <c r="K3" s="266">
        <v>1500</v>
      </c>
      <c r="L3" s="267">
        <v>692055</v>
      </c>
      <c r="M3" s="266">
        <v>1500</v>
      </c>
      <c r="N3" s="266">
        <v>1500</v>
      </c>
      <c r="O3" s="264">
        <v>45990</v>
      </c>
      <c r="P3" s="267">
        <v>984465</v>
      </c>
      <c r="Q3" s="265" t="s">
        <v>21</v>
      </c>
      <c r="R3" s="265" t="s">
        <v>22</v>
      </c>
      <c r="S3" s="265">
        <v>1</v>
      </c>
      <c r="T3" s="265" t="str">
        <f>VLOOKUP('Sales Report'!$H3,Master!$H$3:$I$8,2,0)</f>
        <v>Finished Goods</v>
      </c>
      <c r="U3" s="265" t="str">
        <f>VLOOKUP('Sales Report'!$J3,Master!B:C,2,0)</f>
        <v>FG-PCB-Ref</v>
      </c>
      <c r="V3" s="268">
        <f>'Sales Report'!$P3-'Sales Report'!$AF3</f>
        <v>292410</v>
      </c>
      <c r="W3" s="269">
        <f>'Sales Report'!$V3/'Sales Report'!$P3</f>
        <v>0.29702427206655391</v>
      </c>
      <c r="X3" s="265">
        <f>'Sales Report'!$P3/'Sales Report'!$N3</f>
        <v>656.31</v>
      </c>
      <c r="Y3" s="270">
        <f>SUM('Sales Report'!$Z3:$AE3)</f>
        <v>461.37</v>
      </c>
      <c r="Z3" s="270">
        <f>SUMIFS('COGS Break up'!$E:$E,'COGS Break up'!$A:$A,'Sales Report'!$D3,'COGS Break up'!$D:$D,'Sales Report'!$Z$1)</f>
        <v>401.59000000000003</v>
      </c>
      <c r="AA3" s="270">
        <f>SUMIFS('COGS Break up'!$E:$E,'COGS Break up'!$A:$A,'Sales Report'!$D3,'COGS Break up'!$D:$D,'Sales Report'!$AA$1)</f>
        <v>28.32</v>
      </c>
      <c r="AB3" s="270">
        <f>SUMIFS('COGS Break up'!E:E,'COGS Break up'!A:A,'Sales Report'!$D:$D,'COGS Break up'!C:C,'Sales Report'!$AB$1)</f>
        <v>2.3199999999999998</v>
      </c>
      <c r="AC3" s="270">
        <f>SUMIFS('COGS Break up'!E:E,'COGS Break up'!A:A,'Sales Report'!$D:$D,'COGS Break up'!C:C,$AC$1)</f>
        <v>20.59</v>
      </c>
      <c r="AD3" s="270">
        <f>SUMIFS('COGS Break up'!E:E,'COGS Break up'!A:A,'Sales Report'!$D:$D,'COGS Break up'!C:C,$AD$1)</f>
        <v>8.31</v>
      </c>
      <c r="AE3" s="270">
        <f>SUMIFS('COGS Break up'!$E:$E,'COGS Break up'!$A:$A,'Sales Report'!$D3,'COGS Break up'!$D:$D,'Sales Report'!$AE$1)</f>
        <v>0.24</v>
      </c>
      <c r="AF3" s="271">
        <f>'Sales Report'!$AG3+'Sales Report'!$AH3+$AJ3+'Sales Report'!$AL3+AK3+AI3</f>
        <v>692055</v>
      </c>
      <c r="AG3" s="270">
        <f>'Sales Report'!$N3*'Sales Report'!$Z3</f>
        <v>602385</v>
      </c>
      <c r="AH3" s="270">
        <f>'Sales Report'!$N3*'Sales Report'!$AA3</f>
        <v>42480</v>
      </c>
      <c r="AI3" s="270">
        <f t="shared" si="1"/>
        <v>3479.9999999999995</v>
      </c>
      <c r="AJ3" s="270">
        <f t="shared" si="2"/>
        <v>30885</v>
      </c>
      <c r="AK3" s="270">
        <f t="shared" si="3"/>
        <v>12465</v>
      </c>
      <c r="AL3" s="270">
        <f>'Sales Report'!$AE3*'Sales Report'!$N3</f>
        <v>360</v>
      </c>
      <c r="AM3" s="355">
        <v>31122</v>
      </c>
      <c r="AN3" s="270" t="s">
        <v>1996</v>
      </c>
      <c r="AO3" s="355">
        <v>41552</v>
      </c>
      <c r="AP3" s="270" t="s">
        <v>1994</v>
      </c>
      <c r="AQ3" s="270" t="s">
        <v>1097</v>
      </c>
      <c r="AR3" s="270" t="s">
        <v>996</v>
      </c>
      <c r="AS3" s="270" t="s">
        <v>2002</v>
      </c>
      <c r="AT3" s="270" t="s">
        <v>2003</v>
      </c>
    </row>
    <row r="4" spans="1:46" hidden="1" x14ac:dyDescent="0.3">
      <c r="A4" s="272" t="s">
        <v>479</v>
      </c>
      <c r="B4" s="273">
        <v>45990</v>
      </c>
      <c r="C4" s="274">
        <v>3271316602</v>
      </c>
      <c r="D4" s="274" t="s">
        <v>40</v>
      </c>
      <c r="E4" s="274" t="s">
        <v>41</v>
      </c>
      <c r="F4" s="274" t="str">
        <f>IF(A4="Atomberg Technologies Private Limit","Fan","Ref")</f>
        <v>Fan</v>
      </c>
      <c r="G4" s="274" t="s">
        <v>18</v>
      </c>
      <c r="H4" s="274" t="s">
        <v>34</v>
      </c>
      <c r="I4" s="274" t="s">
        <v>2032</v>
      </c>
      <c r="J4" s="274" t="s">
        <v>772</v>
      </c>
      <c r="K4" s="275">
        <v>2872</v>
      </c>
      <c r="L4" s="276">
        <v>424108.24</v>
      </c>
      <c r="M4" s="275">
        <v>2872</v>
      </c>
      <c r="N4" s="275">
        <v>2872</v>
      </c>
      <c r="O4" s="273">
        <v>45990</v>
      </c>
      <c r="P4" s="276">
        <v>467963.68</v>
      </c>
      <c r="Q4" s="274" t="s">
        <v>21</v>
      </c>
      <c r="R4" s="274" t="s">
        <v>22</v>
      </c>
      <c r="S4" s="274">
        <v>1</v>
      </c>
      <c r="T4" s="274" t="str">
        <f>VLOOKUP('Sales Report'!$H4,Master!$H$3:$I$8,2,0)</f>
        <v>Semi-Finished Goods</v>
      </c>
      <c r="U4" s="274" t="str">
        <f>VLOOKUP('Sales Report'!$J4,Master!B:C,2,0)</f>
        <v>SFG-GV5 Stator</v>
      </c>
      <c r="V4" s="277">
        <f>'Sales Report'!$P4-'Sales Report'!$AF4</f>
        <v>43855.440000000119</v>
      </c>
      <c r="W4" s="278">
        <f>'Sales Report'!$V4/'Sales Report'!$P4</f>
        <v>9.371547809009477E-2</v>
      </c>
      <c r="X4" s="274">
        <f>'Sales Report'!$P4/'Sales Report'!$N4</f>
        <v>162.94</v>
      </c>
      <c r="Y4" s="279">
        <f>SUM('Sales Report'!$Z4:$AE4)</f>
        <v>147.66999999999999</v>
      </c>
      <c r="Z4" s="279">
        <f>SUMIFS('COGS Break up'!$E:$E,'COGS Break up'!$A:$A,'Sales Report'!$D4,'COGS Break up'!$D:$D,'Sales Report'!$Z$1)</f>
        <v>144.21999999999997</v>
      </c>
      <c r="AA4" s="279">
        <f>SUMIFS('COGS Break up'!$E:$E,'COGS Break up'!$A:$A,'Sales Report'!$D4,'COGS Break up'!$D:$D,'Sales Report'!$AA$1)</f>
        <v>1.5</v>
      </c>
      <c r="AB4" s="279">
        <f>SUMIFS('COGS Break up'!E:E,'COGS Break up'!A:A,'Sales Report'!$D:$D,'COGS Break up'!C:C,'Sales Report'!$AB$1)</f>
        <v>0.05</v>
      </c>
      <c r="AC4" s="279">
        <f>SUMIFS('COGS Break up'!E:E,'COGS Break up'!A:A,'Sales Report'!$D:$D,'COGS Break up'!C:C,$AC$1)</f>
        <v>0.4</v>
      </c>
      <c r="AD4" s="279">
        <f>SUMIFS('COGS Break up'!E:E,'COGS Break up'!A:A,'Sales Report'!$D:$D,'COGS Break up'!C:C,$AD$1)</f>
        <v>1.5</v>
      </c>
      <c r="AE4" s="279">
        <f>SUMIFS('COGS Break up'!$E:$E,'COGS Break up'!$A:$A,'Sales Report'!$D4,'COGS Break up'!$D:$D,'Sales Report'!$AE$1)</f>
        <v>0</v>
      </c>
      <c r="AF4" s="280">
        <f>'Sales Report'!$AG4+'Sales Report'!$AH4+$AJ4+'Sales Report'!$AL4+AK4+AI4</f>
        <v>424108.23999999987</v>
      </c>
      <c r="AG4" s="279">
        <f>'Sales Report'!$N4*'Sales Report'!$Z4</f>
        <v>414199.83999999991</v>
      </c>
      <c r="AH4" s="279">
        <f>'Sales Report'!$N4*'Sales Report'!$AA4</f>
        <v>4308</v>
      </c>
      <c r="AI4" s="279">
        <f t="shared" si="1"/>
        <v>143.6</v>
      </c>
      <c r="AJ4" s="279">
        <f t="shared" si="2"/>
        <v>1148.8</v>
      </c>
      <c r="AK4" s="279">
        <f t="shared" si="3"/>
        <v>4308</v>
      </c>
      <c r="AL4" s="279">
        <f>'Sales Report'!$AE4*'Sales Report'!$N4</f>
        <v>0</v>
      </c>
      <c r="AM4" s="356">
        <v>31123</v>
      </c>
      <c r="AN4" s="279" t="s">
        <v>1997</v>
      </c>
      <c r="AO4" s="356">
        <v>41563</v>
      </c>
      <c r="AP4" s="279" t="s">
        <v>1995</v>
      </c>
      <c r="AQ4" s="279" t="s">
        <v>2004</v>
      </c>
      <c r="AR4" s="279" t="s">
        <v>2005</v>
      </c>
      <c r="AS4" s="279" t="s">
        <v>2006</v>
      </c>
      <c r="AT4" s="279" t="s">
        <v>2007</v>
      </c>
    </row>
    <row r="5" spans="1:46" hidden="1" x14ac:dyDescent="0.3">
      <c r="A5" s="263" t="s">
        <v>479</v>
      </c>
      <c r="B5" s="264">
        <v>45990</v>
      </c>
      <c r="C5" s="265">
        <v>3271316494</v>
      </c>
      <c r="D5" s="265" t="s">
        <v>639</v>
      </c>
      <c r="E5" s="265" t="s">
        <v>640</v>
      </c>
      <c r="F5" s="265" t="str">
        <f t="shared" ref="F5:F28" si="4">IF(A5="Atomberg Technologies Private Limit","Fan","Ref")</f>
        <v>Fan</v>
      </c>
      <c r="G5" s="265" t="s">
        <v>18</v>
      </c>
      <c r="H5" s="265" t="s">
        <v>19</v>
      </c>
      <c r="I5" s="265" t="s">
        <v>2032</v>
      </c>
      <c r="J5" s="265" t="s">
        <v>27</v>
      </c>
      <c r="K5" s="266">
        <v>213</v>
      </c>
      <c r="L5" s="267">
        <v>137391.39000000001</v>
      </c>
      <c r="M5" s="266">
        <v>213</v>
      </c>
      <c r="N5" s="266">
        <v>213</v>
      </c>
      <c r="O5" s="264">
        <v>45990</v>
      </c>
      <c r="P5" s="267">
        <v>155183.28</v>
      </c>
      <c r="Q5" s="265" t="s">
        <v>21</v>
      </c>
      <c r="R5" s="265" t="s">
        <v>22</v>
      </c>
      <c r="S5" s="265">
        <v>1</v>
      </c>
      <c r="T5" s="265" t="str">
        <f>VLOOKUP('Sales Report'!$H5,Master!$H$3:$I$8,2,0)</f>
        <v>Finished Goods</v>
      </c>
      <c r="U5" s="265" t="str">
        <f>VLOOKUP('Sales Report'!$J5,Master!B:C,2,0)</f>
        <v>FG-PCB-CF</v>
      </c>
      <c r="V5" s="268">
        <f>'Sales Report'!$P5-'Sales Report'!$AF5</f>
        <v>17791.890000000072</v>
      </c>
      <c r="W5" s="269">
        <f>'Sales Report'!$V5/'Sales Report'!$P5</f>
        <v>0.11465081805204834</v>
      </c>
      <c r="X5" s="265">
        <f>'Sales Report'!$P5/'Sales Report'!$N5</f>
        <v>728.56</v>
      </c>
      <c r="Y5" s="270">
        <f>SUM('Sales Report'!$Z5:$AE5)</f>
        <v>645.02999999999963</v>
      </c>
      <c r="Z5" s="270">
        <f>SUMIFS('COGS Break up'!$E:$E,'COGS Break up'!$A:$A,'Sales Report'!$D5,'COGS Break up'!$D:$D,'Sales Report'!$Z$1)</f>
        <v>582.23999999999967</v>
      </c>
      <c r="AA5" s="270">
        <f>SUMIFS('COGS Break up'!$E:$E,'COGS Break up'!$A:$A,'Sales Report'!$D5,'COGS Break up'!$D:$D,'Sales Report'!$AA$1)</f>
        <v>29.88</v>
      </c>
      <c r="AB5" s="270">
        <f>SUMIFS('COGS Break up'!E:E,'COGS Break up'!A:A,'Sales Report'!$D:$D,'COGS Break up'!C:C,'Sales Report'!$AB$1)</f>
        <v>2.4500000000000002</v>
      </c>
      <c r="AC5" s="270">
        <f>SUMIFS('COGS Break up'!E:E,'COGS Break up'!A:A,'Sales Report'!$D:$D,'COGS Break up'!C:C,$AC$1)</f>
        <v>21.72</v>
      </c>
      <c r="AD5" s="270">
        <f>SUMIFS('COGS Break up'!E:E,'COGS Break up'!A:A,'Sales Report'!$D:$D,'COGS Break up'!C:C,$AD$1)</f>
        <v>8.31</v>
      </c>
      <c r="AE5" s="270">
        <f>SUMIFS('COGS Break up'!$E:$E,'COGS Break up'!$A:$A,'Sales Report'!$D5,'COGS Break up'!$D:$D,'Sales Report'!$AE$1)</f>
        <v>0.43</v>
      </c>
      <c r="AF5" s="271">
        <f>'Sales Report'!$AG5+'Sales Report'!$AH5+$AJ5+'Sales Report'!$AL5+AK5+AI5</f>
        <v>137391.38999999993</v>
      </c>
      <c r="AG5" s="270">
        <f>'Sales Report'!$N5*'Sales Report'!$Z5</f>
        <v>124017.11999999992</v>
      </c>
      <c r="AH5" s="270">
        <f>'Sales Report'!$N5*'Sales Report'!$AA5</f>
        <v>6364.44</v>
      </c>
      <c r="AI5" s="270">
        <f t="shared" si="1"/>
        <v>521.85</v>
      </c>
      <c r="AJ5" s="270">
        <f t="shared" si="2"/>
        <v>4626.3599999999997</v>
      </c>
      <c r="AK5" s="270">
        <f t="shared" si="3"/>
        <v>1770.0300000000002</v>
      </c>
      <c r="AL5" s="270">
        <f>'Sales Report'!$AE5*'Sales Report'!$N5</f>
        <v>91.59</v>
      </c>
      <c r="AM5" s="355">
        <v>31122</v>
      </c>
      <c r="AN5" s="270" t="s">
        <v>1996</v>
      </c>
      <c r="AO5" s="355">
        <v>41552</v>
      </c>
      <c r="AP5" s="270" t="s">
        <v>1994</v>
      </c>
      <c r="AQ5" s="270" t="s">
        <v>965</v>
      </c>
      <c r="AR5" s="270" t="s">
        <v>1000</v>
      </c>
      <c r="AS5" s="270" t="s">
        <v>2008</v>
      </c>
      <c r="AT5" s="270" t="s">
        <v>2009</v>
      </c>
    </row>
    <row r="6" spans="1:46" x14ac:dyDescent="0.3">
      <c r="A6" s="272" t="s">
        <v>479</v>
      </c>
      <c r="B6" s="273">
        <v>45990</v>
      </c>
      <c r="C6" s="274">
        <v>3271316601</v>
      </c>
      <c r="D6" s="274" t="s">
        <v>23</v>
      </c>
      <c r="E6" s="274" t="s">
        <v>24</v>
      </c>
      <c r="F6" s="274" t="str">
        <f t="shared" si="4"/>
        <v>Fan</v>
      </c>
      <c r="G6" s="274" t="s">
        <v>18</v>
      </c>
      <c r="H6" s="274" t="s">
        <v>19</v>
      </c>
      <c r="I6" s="274" t="s">
        <v>2034</v>
      </c>
      <c r="J6" s="274" t="s">
        <v>27</v>
      </c>
      <c r="K6" s="275">
        <v>1185</v>
      </c>
      <c r="L6" s="276">
        <v>499370.85</v>
      </c>
      <c r="M6" s="275">
        <v>1185</v>
      </c>
      <c r="N6" s="275">
        <v>1185</v>
      </c>
      <c r="O6" s="273">
        <v>45990</v>
      </c>
      <c r="P6" s="276">
        <v>572544.6</v>
      </c>
      <c r="Q6" s="274" t="s">
        <v>21</v>
      </c>
      <c r="R6" s="274" t="s">
        <v>22</v>
      </c>
      <c r="S6" s="274">
        <v>1</v>
      </c>
      <c r="T6" s="274" t="str">
        <f>VLOOKUP('Sales Report'!$H6,Master!$H$3:$I$8,2,0)</f>
        <v>Finished Goods</v>
      </c>
      <c r="U6" s="274" t="str">
        <f>VLOOKUP('Sales Report'!$J6,Master!B:C,2,0)</f>
        <v>FG-PCB-CF</v>
      </c>
      <c r="V6" s="277">
        <f>'Sales Report'!$P6-'Sales Report'!$AF6</f>
        <v>73173.750000000175</v>
      </c>
      <c r="W6" s="278">
        <f>'Sales Report'!$V6/'Sales Report'!$P6</f>
        <v>0.12780445401109394</v>
      </c>
      <c r="X6" s="274">
        <f>'Sales Report'!$P6/'Sales Report'!$N6</f>
        <v>483.15999999999997</v>
      </c>
      <c r="Y6" s="279">
        <f>SUM('Sales Report'!$Z6:$AE6)</f>
        <v>421.40999999999985</v>
      </c>
      <c r="Z6" s="279">
        <f>SUMIFS('COGS Break up'!$E:$E,'COGS Break up'!$A:$A,'Sales Report'!$D6,'COGS Break up'!$D:$D,'Sales Report'!$Z$1)</f>
        <v>373.04999999999984</v>
      </c>
      <c r="AA6" s="279">
        <f>SUMIFS('COGS Break up'!$E:$E,'COGS Break up'!$A:$A,'Sales Report'!$D6,'COGS Break up'!$D:$D,'Sales Report'!$AA$1)</f>
        <v>22</v>
      </c>
      <c r="AB6" s="279">
        <f>SUMIFS('COGS Break up'!E:E,'COGS Break up'!A:A,'Sales Report'!$D:$D,'COGS Break up'!C:C,'Sales Report'!$AB$1)</f>
        <v>1.8</v>
      </c>
      <c r="AC6" s="279">
        <f>SUMIFS('COGS Break up'!E:E,'COGS Break up'!A:A,'Sales Report'!$D:$D,'COGS Break up'!C:C,$AC$1)</f>
        <v>15.99</v>
      </c>
      <c r="AD6" s="279">
        <f>SUMIFS('COGS Break up'!E:E,'COGS Break up'!A:A,'Sales Report'!$D:$D,'COGS Break up'!C:C,$AD$1)</f>
        <v>8.31</v>
      </c>
      <c r="AE6" s="279">
        <f>SUMIFS('COGS Break up'!$E:$E,'COGS Break up'!$A:$A,'Sales Report'!$D6,'COGS Break up'!$D:$D,'Sales Report'!$AE$1)</f>
        <v>0.26</v>
      </c>
      <c r="AF6" s="280">
        <f>'Sales Report'!$AG6+'Sales Report'!$AH6+$AJ6+'Sales Report'!$AL6+AK6+AI6</f>
        <v>499370.8499999998</v>
      </c>
      <c r="AG6" s="279">
        <f>'Sales Report'!$N6*'Sales Report'!$Z6</f>
        <v>442064.24999999983</v>
      </c>
      <c r="AH6" s="279">
        <f>'Sales Report'!$N6*'Sales Report'!$AA6</f>
        <v>26070</v>
      </c>
      <c r="AI6" s="279">
        <f t="shared" si="1"/>
        <v>2133</v>
      </c>
      <c r="AJ6" s="279">
        <f t="shared" si="2"/>
        <v>18948.150000000001</v>
      </c>
      <c r="AK6" s="279">
        <f t="shared" si="3"/>
        <v>9847.35</v>
      </c>
      <c r="AL6" s="279">
        <f>'Sales Report'!$AE6*'Sales Report'!$N6</f>
        <v>308.10000000000002</v>
      </c>
      <c r="AM6" s="356">
        <v>31122</v>
      </c>
      <c r="AN6" s="279" t="s">
        <v>1996</v>
      </c>
      <c r="AO6" s="356">
        <v>41552</v>
      </c>
      <c r="AP6" s="279" t="s">
        <v>1994</v>
      </c>
      <c r="AQ6" s="279" t="s">
        <v>965</v>
      </c>
      <c r="AR6" s="279" t="s">
        <v>1000</v>
      </c>
      <c r="AS6" s="279" t="s">
        <v>2010</v>
      </c>
      <c r="AT6" s="279" t="s">
        <v>2011</v>
      </c>
    </row>
    <row r="7" spans="1:46" x14ac:dyDescent="0.3">
      <c r="A7" s="263" t="s">
        <v>479</v>
      </c>
      <c r="B7" s="264">
        <v>45990</v>
      </c>
      <c r="C7" s="265">
        <v>3271316601</v>
      </c>
      <c r="D7" s="265" t="s">
        <v>38</v>
      </c>
      <c r="E7" s="265" t="s">
        <v>39</v>
      </c>
      <c r="F7" s="265" t="str">
        <f t="shared" si="4"/>
        <v>Fan</v>
      </c>
      <c r="G7" s="265" t="s">
        <v>18</v>
      </c>
      <c r="H7" s="265" t="s">
        <v>19</v>
      </c>
      <c r="I7" s="265" t="s">
        <v>2034</v>
      </c>
      <c r="J7" s="265" t="s">
        <v>27</v>
      </c>
      <c r="K7" s="266">
        <v>2970</v>
      </c>
      <c r="L7" s="267">
        <v>971576.1</v>
      </c>
      <c r="M7" s="266">
        <v>2970</v>
      </c>
      <c r="N7" s="266">
        <v>2970</v>
      </c>
      <c r="O7" s="264">
        <v>45990</v>
      </c>
      <c r="P7" s="267">
        <v>1012977.9</v>
      </c>
      <c r="Q7" s="265" t="s">
        <v>21</v>
      </c>
      <c r="R7" s="265" t="s">
        <v>22</v>
      </c>
      <c r="S7" s="265">
        <v>1</v>
      </c>
      <c r="T7" s="265" t="str">
        <f>VLOOKUP('Sales Report'!$H7,Master!$H$3:$I$8,2,0)</f>
        <v>Finished Goods</v>
      </c>
      <c r="U7" s="265" t="str">
        <f>VLOOKUP('Sales Report'!$J7,Master!B:C,2,0)</f>
        <v>FG-PCB-CF</v>
      </c>
      <c r="V7" s="268">
        <f>'Sales Report'!$P7-'Sales Report'!$AF7</f>
        <v>41401.800000000163</v>
      </c>
      <c r="W7" s="269">
        <f>'Sales Report'!$V7/'Sales Report'!$P7</f>
        <v>4.0871375377488653E-2</v>
      </c>
      <c r="X7" s="265">
        <f>'Sales Report'!$P7/'Sales Report'!$N7</f>
        <v>341.07</v>
      </c>
      <c r="Y7" s="270">
        <f>SUM('Sales Report'!$Z7:$AE7)</f>
        <v>327.13</v>
      </c>
      <c r="Z7" s="270">
        <f>SUMIFS('COGS Break up'!$E:$E,'COGS Break up'!$A:$A,'Sales Report'!$D7,'COGS Break up'!$D:$D,'Sales Report'!$Z$1)</f>
        <v>278.14</v>
      </c>
      <c r="AA7" s="270">
        <f>SUMIFS('COGS Break up'!$E:$E,'COGS Break up'!$A:$A,'Sales Report'!$D7,'COGS Break up'!$D:$D,'Sales Report'!$AA$1)</f>
        <v>22.400000000000002</v>
      </c>
      <c r="AB7" s="270">
        <f>SUMIFS('COGS Break up'!E:E,'COGS Break up'!A:A,'Sales Report'!$D:$D,'COGS Break up'!C:C,'Sales Report'!$AB$1)</f>
        <v>1.8299999999999998</v>
      </c>
      <c r="AC7" s="270">
        <f>SUMIFS('COGS Break up'!E:E,'COGS Break up'!A:A,'Sales Report'!$D:$D,'COGS Break up'!C:C,$AC$1)</f>
        <v>16.28</v>
      </c>
      <c r="AD7" s="270">
        <f>SUMIFS('COGS Break up'!E:E,'COGS Break up'!A:A,'Sales Report'!$D:$D,'COGS Break up'!C:C,$AD$1)</f>
        <v>8.31</v>
      </c>
      <c r="AE7" s="270">
        <f>SUMIFS('COGS Break up'!$E:$E,'COGS Break up'!$A:$A,'Sales Report'!$D7,'COGS Break up'!$D:$D,'Sales Report'!$AE$1)</f>
        <v>0.17</v>
      </c>
      <c r="AF7" s="271">
        <f>'Sales Report'!$AG7+'Sales Report'!$AH7+$AJ7+'Sales Report'!$AL7+AK7+AI7</f>
        <v>971576.09999999986</v>
      </c>
      <c r="AG7" s="270">
        <f>'Sales Report'!$N7*'Sales Report'!$Z7</f>
        <v>826075.79999999993</v>
      </c>
      <c r="AH7" s="270">
        <f>'Sales Report'!$N7*'Sales Report'!$AA7</f>
        <v>66528</v>
      </c>
      <c r="AI7" s="270">
        <f t="shared" si="1"/>
        <v>5435.0999999999995</v>
      </c>
      <c r="AJ7" s="270">
        <f t="shared" si="2"/>
        <v>48351.600000000006</v>
      </c>
      <c r="AK7" s="270">
        <f t="shared" si="3"/>
        <v>24680.7</v>
      </c>
      <c r="AL7" s="270">
        <f>'Sales Report'!$AE7*'Sales Report'!$N7</f>
        <v>504.90000000000003</v>
      </c>
      <c r="AM7" s="355">
        <v>31122</v>
      </c>
      <c r="AN7" s="270" t="s">
        <v>1996</v>
      </c>
      <c r="AO7" s="355">
        <v>41552</v>
      </c>
      <c r="AP7" s="270" t="s">
        <v>1994</v>
      </c>
      <c r="AQ7" s="270" t="s">
        <v>965</v>
      </c>
      <c r="AR7" s="270" t="s">
        <v>1000</v>
      </c>
      <c r="AS7" s="270" t="s">
        <v>2012</v>
      </c>
      <c r="AT7" s="270" t="s">
        <v>2013</v>
      </c>
    </row>
    <row r="8" spans="1:46" x14ac:dyDescent="0.3">
      <c r="A8" s="272" t="s">
        <v>479</v>
      </c>
      <c r="B8" s="273">
        <v>45990</v>
      </c>
      <c r="C8" s="274">
        <v>3271316601</v>
      </c>
      <c r="D8" s="274" t="s">
        <v>30</v>
      </c>
      <c r="E8" s="274" t="s">
        <v>31</v>
      </c>
      <c r="F8" s="274" t="str">
        <f t="shared" si="4"/>
        <v>Fan</v>
      </c>
      <c r="G8" s="274" t="s">
        <v>18</v>
      </c>
      <c r="H8" s="274" t="s">
        <v>19</v>
      </c>
      <c r="I8" s="274" t="s">
        <v>2034</v>
      </c>
      <c r="J8" s="274" t="s">
        <v>27</v>
      </c>
      <c r="K8" s="275">
        <v>887</v>
      </c>
      <c r="L8" s="276">
        <v>290137.7</v>
      </c>
      <c r="M8" s="275">
        <v>887</v>
      </c>
      <c r="N8" s="275">
        <v>887</v>
      </c>
      <c r="O8" s="273">
        <v>45990</v>
      </c>
      <c r="P8" s="276">
        <v>302529.09000000003</v>
      </c>
      <c r="Q8" s="274" t="s">
        <v>21</v>
      </c>
      <c r="R8" s="274" t="s">
        <v>22</v>
      </c>
      <c r="S8" s="274">
        <v>1</v>
      </c>
      <c r="T8" s="274" t="str">
        <f>VLOOKUP('Sales Report'!$H8,Master!$H$3:$I$8,2,0)</f>
        <v>Finished Goods</v>
      </c>
      <c r="U8" s="274" t="str">
        <f>VLOOKUP('Sales Report'!$J8,Master!B:C,2,0)</f>
        <v>FG-PCB-CF</v>
      </c>
      <c r="V8" s="277">
        <f>'Sales Report'!$P8-'Sales Report'!$AF8</f>
        <v>12391.390000000014</v>
      </c>
      <c r="W8" s="278">
        <f>'Sales Report'!$V8/'Sales Report'!$P8</f>
        <v>4.0959333861084281E-2</v>
      </c>
      <c r="X8" s="274">
        <f>'Sales Report'!$P8/'Sales Report'!$N8</f>
        <v>341.07000000000005</v>
      </c>
      <c r="Y8" s="279">
        <f>SUM('Sales Report'!$Z8:$AE8)</f>
        <v>327.10000000000002</v>
      </c>
      <c r="Z8" s="279">
        <f>SUMIFS('COGS Break up'!$E:$E,'COGS Break up'!$A:$A,'Sales Report'!$D8,'COGS Break up'!$D:$D,'Sales Report'!$Z$1)</f>
        <v>278.11000000000007</v>
      </c>
      <c r="AA8" s="279">
        <f>SUMIFS('COGS Break up'!$E:$E,'COGS Break up'!$A:$A,'Sales Report'!$D8,'COGS Break up'!$D:$D,'Sales Report'!$AA$1)</f>
        <v>22.400000000000002</v>
      </c>
      <c r="AB8" s="279">
        <f>SUMIFS('COGS Break up'!E:E,'COGS Break up'!A:A,'Sales Report'!$D:$D,'COGS Break up'!C:C,'Sales Report'!$AB$1)</f>
        <v>1.8299999999999998</v>
      </c>
      <c r="AC8" s="279">
        <f>SUMIFS('COGS Break up'!E:E,'COGS Break up'!A:A,'Sales Report'!$D:$D,'COGS Break up'!C:C,$AC$1)</f>
        <v>16.28</v>
      </c>
      <c r="AD8" s="279">
        <f>SUMIFS('COGS Break up'!E:E,'COGS Break up'!A:A,'Sales Report'!$D:$D,'COGS Break up'!C:C,$AD$1)</f>
        <v>8.31</v>
      </c>
      <c r="AE8" s="279">
        <f>SUMIFS('COGS Break up'!$E:$E,'COGS Break up'!$A:$A,'Sales Report'!$D8,'COGS Break up'!$D:$D,'Sales Report'!$AE$1)</f>
        <v>0.17</v>
      </c>
      <c r="AF8" s="280">
        <f>'Sales Report'!$AG8+'Sales Report'!$AH8+$AJ8+'Sales Report'!$AL8+AK8+AI8</f>
        <v>290137.7</v>
      </c>
      <c r="AG8" s="279">
        <f>'Sales Report'!$N8*'Sales Report'!$Z8</f>
        <v>246683.57000000007</v>
      </c>
      <c r="AH8" s="279">
        <f>'Sales Report'!$N8*'Sales Report'!$AA8</f>
        <v>19868.800000000003</v>
      </c>
      <c r="AI8" s="279">
        <f t="shared" si="1"/>
        <v>1623.2099999999998</v>
      </c>
      <c r="AJ8" s="279">
        <f t="shared" si="2"/>
        <v>14440.36</v>
      </c>
      <c r="AK8" s="279">
        <f t="shared" si="3"/>
        <v>7370.97</v>
      </c>
      <c r="AL8" s="279">
        <f>'Sales Report'!$AE8*'Sales Report'!$N8</f>
        <v>150.79000000000002</v>
      </c>
      <c r="AM8" s="356">
        <v>31122</v>
      </c>
      <c r="AN8" s="279" t="s">
        <v>1996</v>
      </c>
      <c r="AO8" s="356">
        <v>41552</v>
      </c>
      <c r="AP8" s="279" t="s">
        <v>1994</v>
      </c>
      <c r="AQ8" s="279" t="s">
        <v>965</v>
      </c>
      <c r="AR8" s="279" t="s">
        <v>1000</v>
      </c>
      <c r="AS8" s="279" t="s">
        <v>2012</v>
      </c>
      <c r="AT8" s="279" t="s">
        <v>2013</v>
      </c>
    </row>
    <row r="9" spans="1:46" x14ac:dyDescent="0.3">
      <c r="A9" s="263" t="s">
        <v>479</v>
      </c>
      <c r="B9" s="264">
        <v>45990</v>
      </c>
      <c r="C9" s="265">
        <v>3271316494</v>
      </c>
      <c r="D9" s="265" t="s">
        <v>46</v>
      </c>
      <c r="E9" s="265" t="s">
        <v>47</v>
      </c>
      <c r="F9" s="265" t="str">
        <f t="shared" si="4"/>
        <v>Fan</v>
      </c>
      <c r="G9" s="265" t="s">
        <v>18</v>
      </c>
      <c r="H9" s="265" t="s">
        <v>19</v>
      </c>
      <c r="I9" s="265" t="s">
        <v>2034</v>
      </c>
      <c r="J9" s="265" t="s">
        <v>27</v>
      </c>
      <c r="K9" s="266">
        <v>1220</v>
      </c>
      <c r="L9" s="267">
        <v>399062</v>
      </c>
      <c r="M9" s="266">
        <v>1220</v>
      </c>
      <c r="N9" s="266">
        <v>1220</v>
      </c>
      <c r="O9" s="264">
        <v>45990</v>
      </c>
      <c r="P9" s="267">
        <v>416105.4</v>
      </c>
      <c r="Q9" s="265" t="s">
        <v>21</v>
      </c>
      <c r="R9" s="265" t="s">
        <v>22</v>
      </c>
      <c r="S9" s="265">
        <v>1</v>
      </c>
      <c r="T9" s="265" t="str">
        <f>VLOOKUP('Sales Report'!$H9,Master!$H$3:$I$8,2,0)</f>
        <v>Finished Goods</v>
      </c>
      <c r="U9" s="265" t="str">
        <f>VLOOKUP('Sales Report'!$J9,Master!B:C,2,0)</f>
        <v>FG-PCB-CF</v>
      </c>
      <c r="V9" s="268">
        <f>'Sales Report'!$P9-'Sales Report'!$AF9</f>
        <v>17043.40000000014</v>
      </c>
      <c r="W9" s="269">
        <f>'Sales Report'!$V9/'Sales Report'!$P9</f>
        <v>4.0959333861084565E-2</v>
      </c>
      <c r="X9" s="265">
        <f>'Sales Report'!$P9/'Sales Report'!$N9</f>
        <v>341.07</v>
      </c>
      <c r="Y9" s="270">
        <f>SUM('Sales Report'!$Z9:$AE9)</f>
        <v>327.09999999999991</v>
      </c>
      <c r="Z9" s="270">
        <f>SUMIFS('COGS Break up'!$E:$E,'COGS Break up'!$A:$A,'Sales Report'!$D9,'COGS Break up'!$D:$D,'Sales Report'!$Z$1)</f>
        <v>278.1099999999999</v>
      </c>
      <c r="AA9" s="270">
        <f>SUMIFS('COGS Break up'!$E:$E,'COGS Break up'!$A:$A,'Sales Report'!$D9,'COGS Break up'!$D:$D,'Sales Report'!$AA$1)</f>
        <v>22.400000000000002</v>
      </c>
      <c r="AB9" s="270">
        <f>SUMIFS('COGS Break up'!E:E,'COGS Break up'!A:A,'Sales Report'!$D:$D,'COGS Break up'!C:C,'Sales Report'!$AB$1)</f>
        <v>1.8299999999999998</v>
      </c>
      <c r="AC9" s="270">
        <f>SUMIFS('COGS Break up'!E:E,'COGS Break up'!A:A,'Sales Report'!$D:$D,'COGS Break up'!C:C,$AC$1)</f>
        <v>16.28</v>
      </c>
      <c r="AD9" s="270">
        <f>SUMIFS('COGS Break up'!E:E,'COGS Break up'!A:A,'Sales Report'!$D:$D,'COGS Break up'!C:C,$AD$1)</f>
        <v>8.31</v>
      </c>
      <c r="AE9" s="270">
        <f>SUMIFS('COGS Break up'!$E:$E,'COGS Break up'!$A:$A,'Sales Report'!$D9,'COGS Break up'!$D:$D,'Sales Report'!$AE$1)</f>
        <v>0.17</v>
      </c>
      <c r="AF9" s="271">
        <f>'Sales Report'!$AG9+'Sales Report'!$AH9+$AJ9+'Sales Report'!$AL9+AK9+AI9</f>
        <v>399061.99999999988</v>
      </c>
      <c r="AG9" s="270">
        <f>'Sales Report'!$N9*'Sales Report'!$Z9</f>
        <v>339294.1999999999</v>
      </c>
      <c r="AH9" s="270">
        <f>'Sales Report'!$N9*'Sales Report'!$AA9</f>
        <v>27328.000000000004</v>
      </c>
      <c r="AI9" s="270">
        <f t="shared" si="1"/>
        <v>2232.6</v>
      </c>
      <c r="AJ9" s="270">
        <f t="shared" si="2"/>
        <v>19861.600000000002</v>
      </c>
      <c r="AK9" s="270">
        <f t="shared" si="3"/>
        <v>10138.200000000001</v>
      </c>
      <c r="AL9" s="270">
        <f>'Sales Report'!$AE9*'Sales Report'!$N9</f>
        <v>207.4</v>
      </c>
      <c r="AM9" s="355">
        <v>31122</v>
      </c>
      <c r="AN9" s="270" t="s">
        <v>1996</v>
      </c>
      <c r="AO9" s="355">
        <v>41552</v>
      </c>
      <c r="AP9" s="270" t="s">
        <v>1994</v>
      </c>
      <c r="AQ9" s="270" t="s">
        <v>965</v>
      </c>
      <c r="AR9" s="270" t="s">
        <v>1000</v>
      </c>
      <c r="AS9" s="270" t="s">
        <v>2012</v>
      </c>
      <c r="AT9" s="270" t="s">
        <v>2013</v>
      </c>
    </row>
    <row r="10" spans="1:46" x14ac:dyDescent="0.3">
      <c r="A10" s="272" t="s">
        <v>479</v>
      </c>
      <c r="B10" s="273">
        <v>45990</v>
      </c>
      <c r="C10" s="274">
        <v>3271316494</v>
      </c>
      <c r="D10" s="274" t="s">
        <v>378</v>
      </c>
      <c r="E10" s="274" t="s">
        <v>379</v>
      </c>
      <c r="F10" s="274" t="str">
        <f t="shared" si="4"/>
        <v>Fan</v>
      </c>
      <c r="G10" s="274" t="s">
        <v>18</v>
      </c>
      <c r="H10" s="274" t="s">
        <v>19</v>
      </c>
      <c r="I10" s="274" t="s">
        <v>2034</v>
      </c>
      <c r="J10" s="274" t="s">
        <v>27</v>
      </c>
      <c r="K10" s="275">
        <v>675</v>
      </c>
      <c r="L10" s="276">
        <v>219510</v>
      </c>
      <c r="M10" s="275">
        <v>675</v>
      </c>
      <c r="N10" s="275">
        <v>675</v>
      </c>
      <c r="O10" s="273">
        <v>45990</v>
      </c>
      <c r="P10" s="276">
        <v>239638.5</v>
      </c>
      <c r="Q10" s="274" t="s">
        <v>21</v>
      </c>
      <c r="R10" s="274" t="s">
        <v>22</v>
      </c>
      <c r="S10" s="274">
        <v>1</v>
      </c>
      <c r="T10" s="274" t="str">
        <f>VLOOKUP('Sales Report'!$H10,Master!$H$3:$I$8,2,0)</f>
        <v>Finished Goods</v>
      </c>
      <c r="U10" s="274" t="str">
        <f>VLOOKUP('Sales Report'!$J10,Master!B:C,2,0)</f>
        <v>FG-PCB-CF</v>
      </c>
      <c r="V10" s="277">
        <f>'Sales Report'!$P10-'Sales Report'!$AF10</f>
        <v>20128.500000000029</v>
      </c>
      <c r="W10" s="278">
        <f>'Sales Report'!$V10/'Sales Report'!$P10</f>
        <v>8.3995267872232673E-2</v>
      </c>
      <c r="X10" s="274">
        <f>'Sales Report'!$P10/'Sales Report'!$N10</f>
        <v>355.02</v>
      </c>
      <c r="Y10" s="279">
        <f>SUM('Sales Report'!$Z10:$AE10)</f>
        <v>325.19999999999993</v>
      </c>
      <c r="Z10" s="279">
        <f>SUMIFS('COGS Break up'!$E:$E,'COGS Break up'!$A:$A,'Sales Report'!$D10,'COGS Break up'!$D:$D,'Sales Report'!$Z$1)</f>
        <v>271.52999999999997</v>
      </c>
      <c r="AA10" s="279">
        <f>SUMIFS('COGS Break up'!$E:$E,'COGS Break up'!$A:$A,'Sales Report'!$D10,'COGS Break up'!$D:$D,'Sales Report'!$AA$1)</f>
        <v>23.84</v>
      </c>
      <c r="AB10" s="279">
        <f>SUMIFS('COGS Break up'!E:E,'COGS Break up'!A:A,'Sales Report'!$D:$D,'COGS Break up'!C:C,'Sales Report'!$AB$1)</f>
        <v>1.9500000000000002</v>
      </c>
      <c r="AC10" s="279">
        <f>SUMIFS('COGS Break up'!E:E,'COGS Break up'!A:A,'Sales Report'!$D:$D,'COGS Break up'!C:C,$AC$1)</f>
        <v>17.329999999999998</v>
      </c>
      <c r="AD10" s="279">
        <f>SUMIFS('COGS Break up'!E:E,'COGS Break up'!A:A,'Sales Report'!$D:$D,'COGS Break up'!C:C,$AD$1)</f>
        <v>10.29</v>
      </c>
      <c r="AE10" s="279">
        <f>SUMIFS('COGS Break up'!$E:$E,'COGS Break up'!$A:$A,'Sales Report'!$D10,'COGS Break up'!$D:$D,'Sales Report'!$AE$1)</f>
        <v>0.26</v>
      </c>
      <c r="AF10" s="280">
        <f>'Sales Report'!$AG10+'Sales Report'!$AH10+$AJ10+'Sales Report'!$AL10+AK10+AI10</f>
        <v>219509.99999999997</v>
      </c>
      <c r="AG10" s="279">
        <f>'Sales Report'!$N10*'Sales Report'!$Z10</f>
        <v>183282.74999999997</v>
      </c>
      <c r="AH10" s="279">
        <f>'Sales Report'!$N10*'Sales Report'!$AA10</f>
        <v>16092</v>
      </c>
      <c r="AI10" s="279">
        <f t="shared" si="1"/>
        <v>1316.2500000000002</v>
      </c>
      <c r="AJ10" s="279">
        <f t="shared" si="2"/>
        <v>11697.749999999998</v>
      </c>
      <c r="AK10" s="279">
        <f t="shared" si="3"/>
        <v>6945.7499999999991</v>
      </c>
      <c r="AL10" s="279">
        <f>'Sales Report'!$AE10*'Sales Report'!$N10</f>
        <v>175.5</v>
      </c>
      <c r="AM10" s="356">
        <v>31122</v>
      </c>
      <c r="AN10" s="279" t="s">
        <v>1996</v>
      </c>
      <c r="AO10" s="356">
        <v>41552</v>
      </c>
      <c r="AP10" s="279" t="s">
        <v>1994</v>
      </c>
      <c r="AQ10" s="279" t="s">
        <v>965</v>
      </c>
      <c r="AR10" s="279" t="s">
        <v>1000</v>
      </c>
      <c r="AS10" s="279" t="s">
        <v>2014</v>
      </c>
      <c r="AT10" s="279" t="s">
        <v>2015</v>
      </c>
    </row>
    <row r="11" spans="1:46" x14ac:dyDescent="0.3">
      <c r="A11" s="263" t="s">
        <v>479</v>
      </c>
      <c r="B11" s="264">
        <v>45990</v>
      </c>
      <c r="C11" s="265">
        <v>3271316601</v>
      </c>
      <c r="D11" s="265" t="s">
        <v>378</v>
      </c>
      <c r="E11" s="265" t="s">
        <v>379</v>
      </c>
      <c r="F11" s="265" t="str">
        <f t="shared" si="4"/>
        <v>Fan</v>
      </c>
      <c r="G11" s="265" t="s">
        <v>18</v>
      </c>
      <c r="H11" s="265" t="s">
        <v>19</v>
      </c>
      <c r="I11" s="265" t="s">
        <v>2034</v>
      </c>
      <c r="J11" s="265" t="s">
        <v>27</v>
      </c>
      <c r="K11" s="266">
        <v>867</v>
      </c>
      <c r="L11" s="267">
        <v>281948.40000000002</v>
      </c>
      <c r="M11" s="266">
        <v>867</v>
      </c>
      <c r="N11" s="266">
        <v>867</v>
      </c>
      <c r="O11" s="264">
        <v>45990</v>
      </c>
      <c r="P11" s="267">
        <v>307802.34000000003</v>
      </c>
      <c r="Q11" s="265" t="s">
        <v>21</v>
      </c>
      <c r="R11" s="265" t="s">
        <v>22</v>
      </c>
      <c r="S11" s="265">
        <v>1</v>
      </c>
      <c r="T11" s="265" t="str">
        <f>VLOOKUP('Sales Report'!$H11,Master!$H$3:$I$8,2,0)</f>
        <v>Finished Goods</v>
      </c>
      <c r="U11" s="265" t="str">
        <f>VLOOKUP('Sales Report'!$J11,Master!B:C,2,0)</f>
        <v>FG-PCB-CF</v>
      </c>
      <c r="V11" s="268">
        <f>'Sales Report'!$P11-'Sales Report'!$AF11</f>
        <v>25853.940000000061</v>
      </c>
      <c r="W11" s="269">
        <f>'Sales Report'!$V11/'Sales Report'!$P11</f>
        <v>8.3995267872232743E-2</v>
      </c>
      <c r="X11" s="265">
        <f>'Sales Report'!$P11/'Sales Report'!$N11</f>
        <v>355.02000000000004</v>
      </c>
      <c r="Y11" s="270">
        <f>SUM('Sales Report'!$Z11:$AE11)</f>
        <v>325.19999999999993</v>
      </c>
      <c r="Z11" s="270">
        <f>SUMIFS('COGS Break up'!$E:$E,'COGS Break up'!$A:$A,'Sales Report'!$D11,'COGS Break up'!$D:$D,'Sales Report'!$Z$1)</f>
        <v>271.52999999999997</v>
      </c>
      <c r="AA11" s="270">
        <f>SUMIFS('COGS Break up'!$E:$E,'COGS Break up'!$A:$A,'Sales Report'!$D11,'COGS Break up'!$D:$D,'Sales Report'!$AA$1)</f>
        <v>23.84</v>
      </c>
      <c r="AB11" s="270">
        <f>SUMIFS('COGS Break up'!E:E,'COGS Break up'!A:A,'Sales Report'!$D:$D,'COGS Break up'!C:C,'Sales Report'!$AB$1)</f>
        <v>1.9500000000000002</v>
      </c>
      <c r="AC11" s="270">
        <f>SUMIFS('COGS Break up'!E:E,'COGS Break up'!A:A,'Sales Report'!$D:$D,'COGS Break up'!C:C,$AC$1)</f>
        <v>17.329999999999998</v>
      </c>
      <c r="AD11" s="270">
        <f>SUMIFS('COGS Break up'!E:E,'COGS Break up'!A:A,'Sales Report'!$D:$D,'COGS Break up'!C:C,$AD$1)</f>
        <v>10.29</v>
      </c>
      <c r="AE11" s="270">
        <f>SUMIFS('COGS Break up'!$E:$E,'COGS Break up'!$A:$A,'Sales Report'!$D11,'COGS Break up'!$D:$D,'Sales Report'!$AE$1)</f>
        <v>0.26</v>
      </c>
      <c r="AF11" s="271">
        <f>'Sales Report'!$AG11+'Sales Report'!$AH11+$AJ11+'Sales Report'!$AL11+AK11+AI11</f>
        <v>281948.39999999997</v>
      </c>
      <c r="AG11" s="270">
        <f>'Sales Report'!$N11*'Sales Report'!$Z11</f>
        <v>235416.50999999998</v>
      </c>
      <c r="AH11" s="270">
        <f>'Sales Report'!$N11*'Sales Report'!$AA11</f>
        <v>20669.28</v>
      </c>
      <c r="AI11" s="270">
        <f t="shared" si="1"/>
        <v>1690.65</v>
      </c>
      <c r="AJ11" s="270">
        <f t="shared" si="2"/>
        <v>15025.109999999999</v>
      </c>
      <c r="AK11" s="270">
        <f t="shared" si="3"/>
        <v>8921.4299999999985</v>
      </c>
      <c r="AL11" s="270">
        <f>'Sales Report'!$AE11*'Sales Report'!$N11</f>
        <v>225.42000000000002</v>
      </c>
      <c r="AM11" s="355">
        <v>31122</v>
      </c>
      <c r="AN11" s="270" t="s">
        <v>1996</v>
      </c>
      <c r="AO11" s="355">
        <v>41552</v>
      </c>
      <c r="AP11" s="270" t="s">
        <v>1994</v>
      </c>
      <c r="AQ11" s="270" t="s">
        <v>965</v>
      </c>
      <c r="AR11" s="270" t="s">
        <v>1000</v>
      </c>
      <c r="AS11" s="270" t="s">
        <v>2014</v>
      </c>
      <c r="AT11" s="270" t="s">
        <v>2015</v>
      </c>
    </row>
    <row r="12" spans="1:46" x14ac:dyDescent="0.3">
      <c r="A12" s="272" t="s">
        <v>479</v>
      </c>
      <c r="B12" s="273">
        <v>45990</v>
      </c>
      <c r="C12" s="274">
        <v>3271316601</v>
      </c>
      <c r="D12" s="274" t="s">
        <v>380</v>
      </c>
      <c r="E12" s="274" t="s">
        <v>381</v>
      </c>
      <c r="F12" s="274" t="str">
        <f t="shared" si="4"/>
        <v>Fan</v>
      </c>
      <c r="G12" s="274" t="s">
        <v>18</v>
      </c>
      <c r="H12" s="274" t="s">
        <v>19</v>
      </c>
      <c r="I12" s="274" t="s">
        <v>2034</v>
      </c>
      <c r="J12" s="274" t="s">
        <v>27</v>
      </c>
      <c r="K12" s="275">
        <v>444</v>
      </c>
      <c r="L12" s="276">
        <v>96170.4</v>
      </c>
      <c r="M12" s="275">
        <v>444</v>
      </c>
      <c r="N12" s="275">
        <v>444</v>
      </c>
      <c r="O12" s="273">
        <v>45990</v>
      </c>
      <c r="P12" s="276">
        <v>98501.4</v>
      </c>
      <c r="Q12" s="274" t="s">
        <v>21</v>
      </c>
      <c r="R12" s="274" t="s">
        <v>22</v>
      </c>
      <c r="S12" s="274">
        <v>1</v>
      </c>
      <c r="T12" s="274" t="str">
        <f>VLOOKUP('Sales Report'!$H12,Master!$H$3:$I$8,2,0)</f>
        <v>Finished Goods</v>
      </c>
      <c r="U12" s="274" t="str">
        <f>VLOOKUP('Sales Report'!$J12,Master!B:C,2,0)</f>
        <v>FG-PCB-CF</v>
      </c>
      <c r="V12" s="277">
        <f>'Sales Report'!$P12-'Sales Report'!$AF12</f>
        <v>2331.0000000000146</v>
      </c>
      <c r="W12" s="278">
        <f>'Sales Report'!$V12/'Sales Report'!$P12</f>
        <v>2.3664638269100893E-2</v>
      </c>
      <c r="X12" s="274">
        <f>'Sales Report'!$P12/'Sales Report'!$N12</f>
        <v>221.85</v>
      </c>
      <c r="Y12" s="279">
        <f>SUM('Sales Report'!$Z12:$AE12)</f>
        <v>216.59999999999994</v>
      </c>
      <c r="Z12" s="279">
        <f>SUMIFS('COGS Break up'!$E:$E,'COGS Break up'!$A:$A,'Sales Report'!$D12,'COGS Break up'!$D:$D,'Sales Report'!$Z$1)</f>
        <v>174.98999999999995</v>
      </c>
      <c r="AA12" s="279">
        <f>SUMIFS('COGS Break up'!$E:$E,'COGS Break up'!$A:$A,'Sales Report'!$D12,'COGS Break up'!$D:$D,'Sales Report'!$AA$1)</f>
        <v>18.389999999999997</v>
      </c>
      <c r="AB12" s="279">
        <f>SUMIFS('COGS Break up'!E:E,'COGS Break up'!A:A,'Sales Report'!$D:$D,'COGS Break up'!C:C,'Sales Report'!$AB$1)</f>
        <v>1.5</v>
      </c>
      <c r="AC12" s="279">
        <f>SUMIFS('COGS Break up'!E:E,'COGS Break up'!A:A,'Sales Report'!$D:$D,'COGS Break up'!C:C,$AC$1)</f>
        <v>13.37</v>
      </c>
      <c r="AD12" s="279">
        <f>SUMIFS('COGS Break up'!E:E,'COGS Break up'!A:A,'Sales Report'!$D:$D,'COGS Break up'!C:C,$AD$1)</f>
        <v>8.31</v>
      </c>
      <c r="AE12" s="279">
        <f>SUMIFS('COGS Break up'!$E:$E,'COGS Break up'!$A:$A,'Sales Report'!$D12,'COGS Break up'!$D:$D,'Sales Report'!$AE$1)</f>
        <v>0.04</v>
      </c>
      <c r="AF12" s="280">
        <f>'Sales Report'!$AG12+'Sales Report'!$AH12+$AJ12+'Sales Report'!$AL12+AK12+AI12</f>
        <v>96170.39999999998</v>
      </c>
      <c r="AG12" s="279">
        <f>'Sales Report'!$N12*'Sales Report'!$Z12</f>
        <v>77695.559999999983</v>
      </c>
      <c r="AH12" s="279">
        <f>'Sales Report'!$N12*'Sales Report'!$AA12</f>
        <v>8165.1599999999989</v>
      </c>
      <c r="AI12" s="279">
        <f t="shared" si="1"/>
        <v>666</v>
      </c>
      <c r="AJ12" s="279">
        <f t="shared" si="2"/>
        <v>5936.28</v>
      </c>
      <c r="AK12" s="279">
        <f t="shared" si="3"/>
        <v>3689.6400000000003</v>
      </c>
      <c r="AL12" s="279">
        <f>'Sales Report'!$AE12*'Sales Report'!$N12</f>
        <v>17.760000000000002</v>
      </c>
      <c r="AM12" s="356">
        <v>31122</v>
      </c>
      <c r="AN12" s="279" t="s">
        <v>1996</v>
      </c>
      <c r="AO12" s="356">
        <v>41552</v>
      </c>
      <c r="AP12" s="279" t="s">
        <v>1994</v>
      </c>
      <c r="AQ12" s="279" t="s">
        <v>965</v>
      </c>
      <c r="AR12" s="279" t="s">
        <v>1000</v>
      </c>
      <c r="AS12" s="279" t="s">
        <v>2016</v>
      </c>
      <c r="AT12" s="279" t="s">
        <v>2017</v>
      </c>
    </row>
    <row r="13" spans="1:46" x14ac:dyDescent="0.3">
      <c r="A13" s="263" t="s">
        <v>479</v>
      </c>
      <c r="B13" s="264">
        <v>45990</v>
      </c>
      <c r="C13" s="265">
        <v>3271316494</v>
      </c>
      <c r="D13" s="265" t="s">
        <v>380</v>
      </c>
      <c r="E13" s="265" t="s">
        <v>381</v>
      </c>
      <c r="F13" s="265" t="str">
        <f t="shared" si="4"/>
        <v>Fan</v>
      </c>
      <c r="G13" s="265" t="s">
        <v>18</v>
      </c>
      <c r="H13" s="265" t="s">
        <v>19</v>
      </c>
      <c r="I13" s="265" t="s">
        <v>2034</v>
      </c>
      <c r="J13" s="265" t="s">
        <v>27</v>
      </c>
      <c r="K13" s="266">
        <v>792</v>
      </c>
      <c r="L13" s="267">
        <v>171547.2</v>
      </c>
      <c r="M13" s="266">
        <v>792</v>
      </c>
      <c r="N13" s="266">
        <v>792</v>
      </c>
      <c r="O13" s="264">
        <v>45990</v>
      </c>
      <c r="P13" s="267">
        <v>175705.2</v>
      </c>
      <c r="Q13" s="265" t="s">
        <v>21</v>
      </c>
      <c r="R13" s="265" t="s">
        <v>22</v>
      </c>
      <c r="S13" s="265">
        <v>1</v>
      </c>
      <c r="T13" s="265" t="str">
        <f>VLOOKUP('Sales Report'!$H13,Master!$H$3:$I$8,2,0)</f>
        <v>Finished Goods</v>
      </c>
      <c r="U13" s="265" t="str">
        <f>VLOOKUP('Sales Report'!$J13,Master!B:C,2,0)</f>
        <v>FG-PCB-CF</v>
      </c>
      <c r="V13" s="268">
        <f>'Sales Report'!$P13-'Sales Report'!$AF13</f>
        <v>4158.0000000000582</v>
      </c>
      <c r="W13" s="269">
        <f>'Sales Report'!$V13/'Sales Report'!$P13</f>
        <v>2.3664638269101073E-2</v>
      </c>
      <c r="X13" s="265">
        <f>'Sales Report'!$P13/'Sales Report'!$N13</f>
        <v>221.85000000000002</v>
      </c>
      <c r="Y13" s="270">
        <f>SUM('Sales Report'!$Z13:$AE13)</f>
        <v>216.59999999999994</v>
      </c>
      <c r="Z13" s="270">
        <f>SUMIFS('COGS Break up'!$E:$E,'COGS Break up'!$A:$A,'Sales Report'!$D13,'COGS Break up'!$D:$D,'Sales Report'!$Z$1)</f>
        <v>174.98999999999995</v>
      </c>
      <c r="AA13" s="270">
        <f>SUMIFS('COGS Break up'!$E:$E,'COGS Break up'!$A:$A,'Sales Report'!$D13,'COGS Break up'!$D:$D,'Sales Report'!$AA$1)</f>
        <v>18.389999999999997</v>
      </c>
      <c r="AB13" s="270">
        <f>SUMIFS('COGS Break up'!E:E,'COGS Break up'!A:A,'Sales Report'!$D:$D,'COGS Break up'!C:C,'Sales Report'!$AB$1)</f>
        <v>1.5</v>
      </c>
      <c r="AC13" s="270">
        <f>SUMIFS('COGS Break up'!E:E,'COGS Break up'!A:A,'Sales Report'!$D:$D,'COGS Break up'!C:C,$AC$1)</f>
        <v>13.37</v>
      </c>
      <c r="AD13" s="270">
        <f>SUMIFS('COGS Break up'!E:E,'COGS Break up'!A:A,'Sales Report'!$D:$D,'COGS Break up'!C:C,$AD$1)</f>
        <v>8.31</v>
      </c>
      <c r="AE13" s="270">
        <f>SUMIFS('COGS Break up'!$E:$E,'COGS Break up'!$A:$A,'Sales Report'!$D13,'COGS Break up'!$D:$D,'Sales Report'!$AE$1)</f>
        <v>0.04</v>
      </c>
      <c r="AF13" s="271">
        <f>'Sales Report'!$AG13+'Sales Report'!$AH13+$AJ13+'Sales Report'!$AL13+AK13+AI13</f>
        <v>171547.19999999995</v>
      </c>
      <c r="AG13" s="270">
        <f>'Sales Report'!$N13*'Sales Report'!$Z13</f>
        <v>138592.07999999996</v>
      </c>
      <c r="AH13" s="270">
        <f>'Sales Report'!$N13*'Sales Report'!$AA13</f>
        <v>14564.879999999997</v>
      </c>
      <c r="AI13" s="270">
        <f t="shared" si="1"/>
        <v>1188</v>
      </c>
      <c r="AJ13" s="270">
        <f t="shared" si="2"/>
        <v>10589.039999999999</v>
      </c>
      <c r="AK13" s="270">
        <f t="shared" si="3"/>
        <v>6581.52</v>
      </c>
      <c r="AL13" s="270">
        <f>'Sales Report'!$AE13*'Sales Report'!$N13</f>
        <v>31.68</v>
      </c>
      <c r="AM13" s="355">
        <v>31122</v>
      </c>
      <c r="AN13" s="270" t="s">
        <v>1996</v>
      </c>
      <c r="AO13" s="355">
        <v>41552</v>
      </c>
      <c r="AP13" s="270" t="s">
        <v>1994</v>
      </c>
      <c r="AQ13" s="270" t="s">
        <v>965</v>
      </c>
      <c r="AR13" s="270" t="s">
        <v>1000</v>
      </c>
      <c r="AS13" s="270" t="s">
        <v>2016</v>
      </c>
      <c r="AT13" s="270" t="s">
        <v>2017</v>
      </c>
    </row>
    <row r="14" spans="1:46" x14ac:dyDescent="0.3">
      <c r="A14" s="272" t="s">
        <v>479</v>
      </c>
      <c r="B14" s="273">
        <v>45990</v>
      </c>
      <c r="C14" s="274">
        <v>3271316746</v>
      </c>
      <c r="D14" s="274" t="s">
        <v>1689</v>
      </c>
      <c r="E14" s="274" t="s">
        <v>1690</v>
      </c>
      <c r="F14" s="274" t="str">
        <f t="shared" si="4"/>
        <v>Fan</v>
      </c>
      <c r="G14" s="274" t="s">
        <v>18</v>
      </c>
      <c r="H14" s="274" t="s">
        <v>19</v>
      </c>
      <c r="I14" s="274" t="s">
        <v>2034</v>
      </c>
      <c r="J14" s="274" t="s">
        <v>1105</v>
      </c>
      <c r="K14" s="275">
        <v>88</v>
      </c>
      <c r="L14" s="276">
        <v>46208.800000000003</v>
      </c>
      <c r="M14" s="275">
        <v>88</v>
      </c>
      <c r="N14" s="275">
        <v>88</v>
      </c>
      <c r="O14" s="273">
        <v>45990</v>
      </c>
      <c r="P14" s="276">
        <v>85785.919999999998</v>
      </c>
      <c r="Q14" s="274" t="s">
        <v>21</v>
      </c>
      <c r="R14" s="274" t="s">
        <v>22</v>
      </c>
      <c r="S14" s="274">
        <v>1</v>
      </c>
      <c r="T14" s="274" t="str">
        <f>VLOOKUP('Sales Report'!$H14,Master!$H$3:$I$8,2,0)</f>
        <v>Finished Goods</v>
      </c>
      <c r="U14" s="274" t="str">
        <f>VLOOKUP('Sales Report'!$J14,Master!B:C,2,0)</f>
        <v>FG-PCB-Ped</v>
      </c>
      <c r="V14" s="277">
        <f>'Sales Report'!$P14-'Sales Report'!$AF14</f>
        <v>39577.119999999988</v>
      </c>
      <c r="W14" s="278">
        <f>'Sales Report'!$V14/'Sales Report'!$P14</f>
        <v>0.46134750318000889</v>
      </c>
      <c r="X14" s="274">
        <f>'Sales Report'!$P14/'Sales Report'!$N14</f>
        <v>974.84</v>
      </c>
      <c r="Y14" s="279">
        <f>SUM('Sales Report'!$Z14:$AE14)</f>
        <v>525.10000000000014</v>
      </c>
      <c r="Z14" s="279">
        <f>SUMIFS('COGS Break up'!$E:$E,'COGS Break up'!$A:$A,'Sales Report'!$D14,'COGS Break up'!$D:$D,'Sales Report'!$Z$1)</f>
        <v>451.65000000000009</v>
      </c>
      <c r="AA14" s="279">
        <f>SUMIFS('COGS Break up'!$E:$E,'COGS Break up'!$A:$A,'Sales Report'!$D14,'COGS Break up'!$D:$D,'Sales Report'!$AA$1)</f>
        <v>26.66</v>
      </c>
      <c r="AB14" s="279">
        <f>SUMIFS('COGS Break up'!E:E,'COGS Break up'!A:A,'Sales Report'!$D:$D,'COGS Break up'!C:C,'Sales Report'!$AB$1)</f>
        <v>2.87</v>
      </c>
      <c r="AC14" s="279">
        <f>SUMIFS('COGS Break up'!E:E,'COGS Break up'!A:A,'Sales Report'!$D:$D,'COGS Break up'!C:C,$AC$1)</f>
        <v>22.919999999999998</v>
      </c>
      <c r="AD14" s="279">
        <f>SUMIFS('COGS Break up'!E:E,'COGS Break up'!A:A,'Sales Report'!$D:$D,'COGS Break up'!C:C,$AD$1)</f>
        <v>20.68</v>
      </c>
      <c r="AE14" s="279">
        <f>SUMIFS('COGS Break up'!$E:$E,'COGS Break up'!$A:$A,'Sales Report'!$D14,'COGS Break up'!$D:$D,'Sales Report'!$AE$1)</f>
        <v>0.32</v>
      </c>
      <c r="AF14" s="280">
        <f>'Sales Report'!$AG14+'Sales Report'!$AH14+$AJ14+'Sales Report'!$AL14+AK14+AI14</f>
        <v>46208.80000000001</v>
      </c>
      <c r="AG14" s="279">
        <f>'Sales Report'!$N14*'Sales Report'!$Z14</f>
        <v>39745.200000000012</v>
      </c>
      <c r="AH14" s="279">
        <f>'Sales Report'!$N14*'Sales Report'!$AA14</f>
        <v>2346.08</v>
      </c>
      <c r="AI14" s="279">
        <f t="shared" si="1"/>
        <v>252.56</v>
      </c>
      <c r="AJ14" s="279">
        <f t="shared" si="2"/>
        <v>2016.9599999999998</v>
      </c>
      <c r="AK14" s="279">
        <f t="shared" si="3"/>
        <v>1819.84</v>
      </c>
      <c r="AL14" s="279">
        <f>'Sales Report'!$AE14*'Sales Report'!$N14</f>
        <v>28.16</v>
      </c>
      <c r="AM14" s="356">
        <v>31122</v>
      </c>
      <c r="AN14" s="279" t="s">
        <v>1996</v>
      </c>
      <c r="AO14" s="356">
        <v>41552</v>
      </c>
      <c r="AP14" s="279" t="s">
        <v>1994</v>
      </c>
      <c r="AQ14" s="279" t="s">
        <v>1126</v>
      </c>
      <c r="AR14" s="279" t="s">
        <v>2018</v>
      </c>
      <c r="AS14" s="279" t="s">
        <v>2019</v>
      </c>
      <c r="AT14" s="279" t="s">
        <v>2020</v>
      </c>
    </row>
    <row r="15" spans="1:46" hidden="1" x14ac:dyDescent="0.3">
      <c r="A15" s="263" t="s">
        <v>1295</v>
      </c>
      <c r="B15" s="264">
        <v>45989</v>
      </c>
      <c r="C15" s="265">
        <v>3271316205</v>
      </c>
      <c r="D15" s="265" t="s">
        <v>694</v>
      </c>
      <c r="E15" s="265" t="s">
        <v>695</v>
      </c>
      <c r="F15" s="265" t="str">
        <f t="shared" si="4"/>
        <v>Ref</v>
      </c>
      <c r="G15" s="265" t="s">
        <v>18</v>
      </c>
      <c r="H15" s="265" t="s">
        <v>19</v>
      </c>
      <c r="I15" s="265" t="s">
        <v>2031</v>
      </c>
      <c r="J15" s="265" t="s">
        <v>20</v>
      </c>
      <c r="K15" s="266">
        <v>1500</v>
      </c>
      <c r="L15" s="267">
        <v>697335</v>
      </c>
      <c r="M15" s="266">
        <v>1500</v>
      </c>
      <c r="N15" s="266">
        <v>1500</v>
      </c>
      <c r="O15" s="264">
        <v>45989</v>
      </c>
      <c r="P15" s="267">
        <v>988950</v>
      </c>
      <c r="Q15" s="265" t="s">
        <v>21</v>
      </c>
      <c r="R15" s="265" t="s">
        <v>22</v>
      </c>
      <c r="S15" s="265">
        <v>1</v>
      </c>
      <c r="T15" s="265" t="str">
        <f>VLOOKUP('Sales Report'!$H15,Master!$H$3:$I$8,2,0)</f>
        <v>Finished Goods</v>
      </c>
      <c r="U15" s="265" t="str">
        <f>VLOOKUP('Sales Report'!$J15,Master!B:C,2,0)</f>
        <v>FG-PCB-Ref</v>
      </c>
      <c r="V15" s="268">
        <f>'Sales Report'!$P15-'Sales Report'!$AF15</f>
        <v>291614.99999999988</v>
      </c>
      <c r="W15" s="269">
        <f>'Sales Report'!$V15/'Sales Report'!$P15</f>
        <v>0.29487335052328217</v>
      </c>
      <c r="X15" s="265">
        <f>'Sales Report'!$P15/'Sales Report'!$N15</f>
        <v>659.3</v>
      </c>
      <c r="Y15" s="270">
        <f>SUM('Sales Report'!$Z15:$AE15)</f>
        <v>464.89000000000004</v>
      </c>
      <c r="Z15" s="270">
        <f>SUMIFS('COGS Break up'!$E:$E,'COGS Break up'!$A:$A,'Sales Report'!$D15,'COGS Break up'!$D:$D,'Sales Report'!$Z$1)</f>
        <v>405.11000000000007</v>
      </c>
      <c r="AA15" s="270">
        <f>SUMIFS('COGS Break up'!$E:$E,'COGS Break up'!$A:$A,'Sales Report'!$D15,'COGS Break up'!$D:$D,'Sales Report'!$AA$1)</f>
        <v>28.32</v>
      </c>
      <c r="AB15" s="270">
        <f>SUMIFS('COGS Break up'!E:E,'COGS Break up'!A:A,'Sales Report'!$D:$D,'COGS Break up'!C:C,'Sales Report'!$AB$1)</f>
        <v>2.3199999999999998</v>
      </c>
      <c r="AC15" s="270">
        <f>SUMIFS('COGS Break up'!E:E,'COGS Break up'!A:A,'Sales Report'!$D:$D,'COGS Break up'!C:C,$AC$1)</f>
        <v>20.59</v>
      </c>
      <c r="AD15" s="270">
        <f>SUMIFS('COGS Break up'!E:E,'COGS Break up'!A:A,'Sales Report'!$D:$D,'COGS Break up'!C:C,$AD$1)</f>
        <v>8.31</v>
      </c>
      <c r="AE15" s="270">
        <f>SUMIFS('COGS Break up'!$E:$E,'COGS Break up'!$A:$A,'Sales Report'!$D15,'COGS Break up'!$D:$D,'Sales Report'!$AE$1)</f>
        <v>0.24</v>
      </c>
      <c r="AF15" s="271">
        <f>'Sales Report'!$AG15+'Sales Report'!$AH15+$AJ15+'Sales Report'!$AL15+AK15+AI15</f>
        <v>697335.00000000012</v>
      </c>
      <c r="AG15" s="270">
        <f>'Sales Report'!$N15*'Sales Report'!$Z15</f>
        <v>607665.00000000012</v>
      </c>
      <c r="AH15" s="270">
        <f>'Sales Report'!$N15*'Sales Report'!$AA15</f>
        <v>42480</v>
      </c>
      <c r="AI15" s="270">
        <f t="shared" si="1"/>
        <v>3479.9999999999995</v>
      </c>
      <c r="AJ15" s="270">
        <f t="shared" si="2"/>
        <v>30885</v>
      </c>
      <c r="AK15" s="270">
        <f t="shared" si="3"/>
        <v>12465</v>
      </c>
      <c r="AL15" s="270">
        <f>'Sales Report'!$AE15*'Sales Report'!$N15</f>
        <v>360</v>
      </c>
      <c r="AM15" s="355">
        <v>31122</v>
      </c>
      <c r="AN15" s="270" t="s">
        <v>1996</v>
      </c>
      <c r="AO15" s="355">
        <v>41552</v>
      </c>
      <c r="AP15" s="270" t="s">
        <v>1994</v>
      </c>
      <c r="AQ15" s="270" t="s">
        <v>1097</v>
      </c>
      <c r="AR15" s="270" t="s">
        <v>996</v>
      </c>
      <c r="AS15" s="270" t="s">
        <v>2002</v>
      </c>
      <c r="AT15" s="270" t="s">
        <v>2003</v>
      </c>
    </row>
    <row r="16" spans="1:46" x14ac:dyDescent="0.3">
      <c r="A16" s="272" t="s">
        <v>479</v>
      </c>
      <c r="B16" s="273">
        <v>45989</v>
      </c>
      <c r="C16" s="274">
        <v>3271316144</v>
      </c>
      <c r="D16" s="274" t="s">
        <v>40</v>
      </c>
      <c r="E16" s="274" t="s">
        <v>41</v>
      </c>
      <c r="F16" s="274" t="str">
        <f t="shared" si="4"/>
        <v>Fan</v>
      </c>
      <c r="G16" s="274" t="s">
        <v>18</v>
      </c>
      <c r="H16" s="274" t="s">
        <v>34</v>
      </c>
      <c r="I16" s="274" t="s">
        <v>2034</v>
      </c>
      <c r="J16" s="274" t="s">
        <v>772</v>
      </c>
      <c r="K16" s="275">
        <v>6384</v>
      </c>
      <c r="L16" s="276">
        <v>942725.28</v>
      </c>
      <c r="M16" s="275">
        <v>6384</v>
      </c>
      <c r="N16" s="275">
        <v>6384</v>
      </c>
      <c r="O16" s="273">
        <v>45989</v>
      </c>
      <c r="P16" s="276">
        <v>1040208.96</v>
      </c>
      <c r="Q16" s="274" t="s">
        <v>21</v>
      </c>
      <c r="R16" s="274" t="s">
        <v>22</v>
      </c>
      <c r="S16" s="274">
        <v>1</v>
      </c>
      <c r="T16" s="274" t="str">
        <f>VLOOKUP('Sales Report'!$H16,Master!$H$3:$I$8,2,0)</f>
        <v>Semi-Finished Goods</v>
      </c>
      <c r="U16" s="274" t="str">
        <f>VLOOKUP('Sales Report'!$J16,Master!B:C,2,0)</f>
        <v>SFG-GV5 Stator</v>
      </c>
      <c r="V16" s="277">
        <f>'Sales Report'!$P16-'Sales Report'!$AF16</f>
        <v>97483.680000000168</v>
      </c>
      <c r="W16" s="278">
        <f>'Sales Report'!$V16/'Sales Report'!$P16</f>
        <v>9.3715478090094673E-2</v>
      </c>
      <c r="X16" s="274">
        <f>'Sales Report'!$P16/'Sales Report'!$N16</f>
        <v>162.94</v>
      </c>
      <c r="Y16" s="279">
        <f>SUM('Sales Report'!$Z16:$AE16)</f>
        <v>147.66999999999999</v>
      </c>
      <c r="Z16" s="279">
        <f>SUMIFS('COGS Break up'!$E:$E,'COGS Break up'!$A:$A,'Sales Report'!$D16,'COGS Break up'!$D:$D,'Sales Report'!$Z$1)</f>
        <v>144.21999999999997</v>
      </c>
      <c r="AA16" s="279">
        <f>SUMIFS('COGS Break up'!$E:$E,'COGS Break up'!$A:$A,'Sales Report'!$D16,'COGS Break up'!$D:$D,'Sales Report'!$AA$1)</f>
        <v>1.5</v>
      </c>
      <c r="AB16" s="279">
        <f>SUMIFS('COGS Break up'!E:E,'COGS Break up'!A:A,'Sales Report'!$D:$D,'COGS Break up'!C:C,'Sales Report'!$AB$1)</f>
        <v>0.05</v>
      </c>
      <c r="AC16" s="279">
        <f>SUMIFS('COGS Break up'!E:E,'COGS Break up'!A:A,'Sales Report'!$D:$D,'COGS Break up'!C:C,$AC$1)</f>
        <v>0.4</v>
      </c>
      <c r="AD16" s="279">
        <f>SUMIFS('COGS Break up'!E:E,'COGS Break up'!A:A,'Sales Report'!$D:$D,'COGS Break up'!C:C,$AD$1)</f>
        <v>1.5</v>
      </c>
      <c r="AE16" s="279">
        <f>SUMIFS('COGS Break up'!$E:$E,'COGS Break up'!$A:$A,'Sales Report'!$D16,'COGS Break up'!$D:$D,'Sales Report'!$AE$1)</f>
        <v>0</v>
      </c>
      <c r="AF16" s="280">
        <f>'Sales Report'!$AG16+'Sales Report'!$AH16+$AJ16+'Sales Report'!$AL16+AK16+AI16</f>
        <v>942725.2799999998</v>
      </c>
      <c r="AG16" s="279">
        <f>'Sales Report'!$N16*'Sales Report'!$Z16</f>
        <v>920700.47999999986</v>
      </c>
      <c r="AH16" s="279">
        <f>'Sales Report'!$N16*'Sales Report'!$AA16</f>
        <v>9576</v>
      </c>
      <c r="AI16" s="279">
        <f t="shared" si="1"/>
        <v>319.20000000000005</v>
      </c>
      <c r="AJ16" s="279">
        <f t="shared" si="2"/>
        <v>2553.6000000000004</v>
      </c>
      <c r="AK16" s="279">
        <f t="shared" si="3"/>
        <v>9576</v>
      </c>
      <c r="AL16" s="279">
        <f>'Sales Report'!$AE16*'Sales Report'!$N16</f>
        <v>0</v>
      </c>
      <c r="AM16" s="356">
        <v>31123</v>
      </c>
      <c r="AN16" s="279" t="s">
        <v>1997</v>
      </c>
      <c r="AO16" s="356">
        <v>41563</v>
      </c>
      <c r="AP16" s="279" t="s">
        <v>1995</v>
      </c>
      <c r="AQ16" s="279" t="s">
        <v>2004</v>
      </c>
      <c r="AR16" s="279" t="s">
        <v>2005</v>
      </c>
      <c r="AS16" s="279" t="s">
        <v>2006</v>
      </c>
      <c r="AT16" s="279" t="s">
        <v>2007</v>
      </c>
    </row>
    <row r="17" spans="1:46" x14ac:dyDescent="0.3">
      <c r="A17" s="263" t="s">
        <v>479</v>
      </c>
      <c r="B17" s="264">
        <v>45989</v>
      </c>
      <c r="C17" s="265">
        <v>3271316320</v>
      </c>
      <c r="D17" s="265" t="s">
        <v>40</v>
      </c>
      <c r="E17" s="265" t="s">
        <v>41</v>
      </c>
      <c r="F17" s="265" t="str">
        <f t="shared" si="4"/>
        <v>Fan</v>
      </c>
      <c r="G17" s="265" t="s">
        <v>18</v>
      </c>
      <c r="H17" s="265" t="s">
        <v>34</v>
      </c>
      <c r="I17" s="265" t="s">
        <v>2034</v>
      </c>
      <c r="J17" s="265" t="s">
        <v>772</v>
      </c>
      <c r="K17" s="266">
        <v>2240</v>
      </c>
      <c r="L17" s="267">
        <v>330780.79999999999</v>
      </c>
      <c r="M17" s="266">
        <v>2240</v>
      </c>
      <c r="N17" s="266">
        <v>2240</v>
      </c>
      <c r="O17" s="264">
        <v>45989</v>
      </c>
      <c r="P17" s="267">
        <v>364985.59999999998</v>
      </c>
      <c r="Q17" s="265" t="s">
        <v>21</v>
      </c>
      <c r="R17" s="265" t="s">
        <v>22</v>
      </c>
      <c r="S17" s="265">
        <v>1</v>
      </c>
      <c r="T17" s="265" t="str">
        <f>VLOOKUP('Sales Report'!$H17,Master!$H$3:$I$8,2,0)</f>
        <v>Semi-Finished Goods</v>
      </c>
      <c r="U17" s="265" t="str">
        <f>VLOOKUP('Sales Report'!$J17,Master!B:C,2,0)</f>
        <v>SFG-GV5 Stator</v>
      </c>
      <c r="V17" s="268">
        <f>'Sales Report'!$P17-'Sales Report'!$AF17</f>
        <v>34204.800000000047</v>
      </c>
      <c r="W17" s="269">
        <f>'Sales Report'!$V17/'Sales Report'!$P17</f>
        <v>9.3715478090094645E-2</v>
      </c>
      <c r="X17" s="265">
        <f>'Sales Report'!$P17/'Sales Report'!$N17</f>
        <v>162.94</v>
      </c>
      <c r="Y17" s="270">
        <f>SUM('Sales Report'!$Z17:$AE17)</f>
        <v>147.66999999999999</v>
      </c>
      <c r="Z17" s="270">
        <f>SUMIFS('COGS Break up'!$E:$E,'COGS Break up'!$A:$A,'Sales Report'!$D17,'COGS Break up'!$D:$D,'Sales Report'!$Z$1)</f>
        <v>144.21999999999997</v>
      </c>
      <c r="AA17" s="270">
        <f>SUMIFS('COGS Break up'!$E:$E,'COGS Break up'!$A:$A,'Sales Report'!$D17,'COGS Break up'!$D:$D,'Sales Report'!$AA$1)</f>
        <v>1.5</v>
      </c>
      <c r="AB17" s="270">
        <f>SUMIFS('COGS Break up'!E:E,'COGS Break up'!A:A,'Sales Report'!$D:$D,'COGS Break up'!C:C,'Sales Report'!$AB$1)</f>
        <v>0.05</v>
      </c>
      <c r="AC17" s="270">
        <f>SUMIFS('COGS Break up'!E:E,'COGS Break up'!A:A,'Sales Report'!$D:$D,'COGS Break up'!C:C,$AC$1)</f>
        <v>0.4</v>
      </c>
      <c r="AD17" s="270">
        <f>SUMIFS('COGS Break up'!E:E,'COGS Break up'!A:A,'Sales Report'!$D:$D,'COGS Break up'!C:C,$AD$1)</f>
        <v>1.5</v>
      </c>
      <c r="AE17" s="270">
        <f>SUMIFS('COGS Break up'!$E:$E,'COGS Break up'!$A:$A,'Sales Report'!$D17,'COGS Break up'!$D:$D,'Sales Report'!$AE$1)</f>
        <v>0</v>
      </c>
      <c r="AF17" s="271">
        <f>'Sales Report'!$AG17+'Sales Report'!$AH17+$AJ17+'Sales Report'!$AL17+AK17+AI17</f>
        <v>330780.79999999993</v>
      </c>
      <c r="AG17" s="270">
        <f>'Sales Report'!$N17*'Sales Report'!$Z17</f>
        <v>323052.79999999993</v>
      </c>
      <c r="AH17" s="270">
        <f>'Sales Report'!$N17*'Sales Report'!$AA17</f>
        <v>3360</v>
      </c>
      <c r="AI17" s="270">
        <f t="shared" si="1"/>
        <v>112</v>
      </c>
      <c r="AJ17" s="270">
        <f t="shared" si="2"/>
        <v>896</v>
      </c>
      <c r="AK17" s="270">
        <f t="shared" si="3"/>
        <v>3360</v>
      </c>
      <c r="AL17" s="270">
        <f>'Sales Report'!$AE17*'Sales Report'!$N17</f>
        <v>0</v>
      </c>
      <c r="AM17" s="355">
        <v>31123</v>
      </c>
      <c r="AN17" s="270" t="s">
        <v>1997</v>
      </c>
      <c r="AO17" s="355">
        <v>41563</v>
      </c>
      <c r="AP17" s="270" t="s">
        <v>1995</v>
      </c>
      <c r="AQ17" s="270" t="s">
        <v>2004</v>
      </c>
      <c r="AR17" s="270" t="s">
        <v>2005</v>
      </c>
      <c r="AS17" s="270" t="s">
        <v>2006</v>
      </c>
      <c r="AT17" s="270" t="s">
        <v>2007</v>
      </c>
    </row>
    <row r="18" spans="1:46" x14ac:dyDescent="0.3">
      <c r="A18" s="272" t="s">
        <v>479</v>
      </c>
      <c r="B18" s="273">
        <v>45989</v>
      </c>
      <c r="C18" s="274">
        <v>3271316291</v>
      </c>
      <c r="D18" s="274" t="s">
        <v>40</v>
      </c>
      <c r="E18" s="274" t="s">
        <v>41</v>
      </c>
      <c r="F18" s="274" t="str">
        <f t="shared" si="4"/>
        <v>Fan</v>
      </c>
      <c r="G18" s="274" t="s">
        <v>18</v>
      </c>
      <c r="H18" s="274" t="s">
        <v>34</v>
      </c>
      <c r="I18" s="274" t="s">
        <v>2034</v>
      </c>
      <c r="J18" s="274" t="s">
        <v>772</v>
      </c>
      <c r="K18" s="275">
        <v>3596</v>
      </c>
      <c r="L18" s="276">
        <v>531021.31999999995</v>
      </c>
      <c r="M18" s="275">
        <v>3596</v>
      </c>
      <c r="N18" s="275">
        <v>3596</v>
      </c>
      <c r="O18" s="273">
        <v>45989</v>
      </c>
      <c r="P18" s="276">
        <v>585932.24</v>
      </c>
      <c r="Q18" s="274" t="s">
        <v>21</v>
      </c>
      <c r="R18" s="274" t="s">
        <v>22</v>
      </c>
      <c r="S18" s="274">
        <v>1</v>
      </c>
      <c r="T18" s="274" t="str">
        <f>VLOOKUP('Sales Report'!$H18,Master!$H$3:$I$8,2,0)</f>
        <v>Semi-Finished Goods</v>
      </c>
      <c r="U18" s="274" t="str">
        <f>VLOOKUP('Sales Report'!$J18,Master!B:C,2,0)</f>
        <v>SFG-GV5 Stator</v>
      </c>
      <c r="V18" s="277">
        <f>'Sales Report'!$P18-'Sales Report'!$AF18</f>
        <v>54910.920000000042</v>
      </c>
      <c r="W18" s="278">
        <f>'Sales Report'!$V18/'Sales Report'!$P18</f>
        <v>9.3715478090094589E-2</v>
      </c>
      <c r="X18" s="274">
        <f>'Sales Report'!$P18/'Sales Report'!$N18</f>
        <v>162.94</v>
      </c>
      <c r="Y18" s="279">
        <f>SUM('Sales Report'!$Z18:$AE18)</f>
        <v>147.66999999999999</v>
      </c>
      <c r="Z18" s="279">
        <f>SUMIFS('COGS Break up'!$E:$E,'COGS Break up'!$A:$A,'Sales Report'!$D18,'COGS Break up'!$D:$D,'Sales Report'!$Z$1)</f>
        <v>144.21999999999997</v>
      </c>
      <c r="AA18" s="279">
        <f>SUMIFS('COGS Break up'!$E:$E,'COGS Break up'!$A:$A,'Sales Report'!$D18,'COGS Break up'!$D:$D,'Sales Report'!$AA$1)</f>
        <v>1.5</v>
      </c>
      <c r="AB18" s="279">
        <f>SUMIFS('COGS Break up'!E:E,'COGS Break up'!A:A,'Sales Report'!$D:$D,'COGS Break up'!C:C,'Sales Report'!$AB$1)</f>
        <v>0.05</v>
      </c>
      <c r="AC18" s="279">
        <f>SUMIFS('COGS Break up'!E:E,'COGS Break up'!A:A,'Sales Report'!$D:$D,'COGS Break up'!C:C,$AC$1)</f>
        <v>0.4</v>
      </c>
      <c r="AD18" s="279">
        <f>SUMIFS('COGS Break up'!E:E,'COGS Break up'!A:A,'Sales Report'!$D:$D,'COGS Break up'!C:C,$AD$1)</f>
        <v>1.5</v>
      </c>
      <c r="AE18" s="279">
        <f>SUMIFS('COGS Break up'!$E:$E,'COGS Break up'!$A:$A,'Sales Report'!$D18,'COGS Break up'!$D:$D,'Sales Report'!$AE$1)</f>
        <v>0</v>
      </c>
      <c r="AF18" s="280">
        <f>'Sales Report'!$AG18+'Sales Report'!$AH18+$AJ18+'Sales Report'!$AL18+AK18+AI18</f>
        <v>531021.31999999995</v>
      </c>
      <c r="AG18" s="279">
        <f>'Sales Report'!$N18*'Sales Report'!$Z18</f>
        <v>518615.11999999988</v>
      </c>
      <c r="AH18" s="279">
        <f>'Sales Report'!$N18*'Sales Report'!$AA18</f>
        <v>5394</v>
      </c>
      <c r="AI18" s="279">
        <f t="shared" si="1"/>
        <v>179.8</v>
      </c>
      <c r="AJ18" s="279">
        <f t="shared" si="2"/>
        <v>1438.4</v>
      </c>
      <c r="AK18" s="279">
        <f t="shared" si="3"/>
        <v>5394</v>
      </c>
      <c r="AL18" s="279">
        <f>'Sales Report'!$AE18*'Sales Report'!$N18</f>
        <v>0</v>
      </c>
      <c r="AM18" s="356">
        <v>31123</v>
      </c>
      <c r="AN18" s="279" t="s">
        <v>1997</v>
      </c>
      <c r="AO18" s="356">
        <v>41563</v>
      </c>
      <c r="AP18" s="279" t="s">
        <v>1995</v>
      </c>
      <c r="AQ18" s="279" t="s">
        <v>2004</v>
      </c>
      <c r="AR18" s="279" t="s">
        <v>2005</v>
      </c>
      <c r="AS18" s="279" t="s">
        <v>2006</v>
      </c>
      <c r="AT18" s="279" t="s">
        <v>2007</v>
      </c>
    </row>
    <row r="19" spans="1:46" x14ac:dyDescent="0.3">
      <c r="A19" s="263" t="s">
        <v>479</v>
      </c>
      <c r="B19" s="264">
        <v>45989</v>
      </c>
      <c r="C19" s="265">
        <v>3271316101</v>
      </c>
      <c r="D19" s="265" t="s">
        <v>639</v>
      </c>
      <c r="E19" s="265" t="s">
        <v>640</v>
      </c>
      <c r="F19" s="265" t="str">
        <f t="shared" si="4"/>
        <v>Fan</v>
      </c>
      <c r="G19" s="265" t="s">
        <v>18</v>
      </c>
      <c r="H19" s="265" t="s">
        <v>19</v>
      </c>
      <c r="I19" s="265" t="s">
        <v>2034</v>
      </c>
      <c r="J19" s="265" t="s">
        <v>27</v>
      </c>
      <c r="K19" s="266">
        <v>60</v>
      </c>
      <c r="L19" s="267">
        <v>38701.800000000003</v>
      </c>
      <c r="M19" s="266">
        <v>60</v>
      </c>
      <c r="N19" s="266">
        <v>60</v>
      </c>
      <c r="O19" s="264">
        <v>45989</v>
      </c>
      <c r="P19" s="267">
        <v>43713.599999999999</v>
      </c>
      <c r="Q19" s="265" t="s">
        <v>21</v>
      </c>
      <c r="R19" s="265" t="s">
        <v>22</v>
      </c>
      <c r="S19" s="265">
        <v>1</v>
      </c>
      <c r="T19" s="265" t="str">
        <f>VLOOKUP('Sales Report'!$H19,Master!$H$3:$I$8,2,0)</f>
        <v>Finished Goods</v>
      </c>
      <c r="U19" s="265" t="str">
        <f>VLOOKUP('Sales Report'!$J19,Master!B:C,2,0)</f>
        <v>FG-PCB-CF</v>
      </c>
      <c r="V19" s="268">
        <f>'Sales Report'!$P19-'Sales Report'!$AF19</f>
        <v>5011.8000000000175</v>
      </c>
      <c r="W19" s="269">
        <f>'Sales Report'!$V19/'Sales Report'!$P19</f>
        <v>0.11465081805204828</v>
      </c>
      <c r="X19" s="265">
        <f>'Sales Report'!$P19/'Sales Report'!$N19</f>
        <v>728.56</v>
      </c>
      <c r="Y19" s="270">
        <f>SUM('Sales Report'!$Z19:$AE19)</f>
        <v>645.02999999999963</v>
      </c>
      <c r="Z19" s="270">
        <f>SUMIFS('COGS Break up'!$E:$E,'COGS Break up'!$A:$A,'Sales Report'!$D19,'COGS Break up'!$D:$D,'Sales Report'!$Z$1)</f>
        <v>582.23999999999967</v>
      </c>
      <c r="AA19" s="270">
        <f>SUMIFS('COGS Break up'!$E:$E,'COGS Break up'!$A:$A,'Sales Report'!$D19,'COGS Break up'!$D:$D,'Sales Report'!$AA$1)</f>
        <v>29.88</v>
      </c>
      <c r="AB19" s="270">
        <f>SUMIFS('COGS Break up'!E:E,'COGS Break up'!A:A,'Sales Report'!$D:$D,'COGS Break up'!C:C,'Sales Report'!$AB$1)</f>
        <v>2.4500000000000002</v>
      </c>
      <c r="AC19" s="270">
        <f>SUMIFS('COGS Break up'!E:E,'COGS Break up'!A:A,'Sales Report'!$D:$D,'COGS Break up'!C:C,$AC$1)</f>
        <v>21.72</v>
      </c>
      <c r="AD19" s="270">
        <f>SUMIFS('COGS Break up'!E:E,'COGS Break up'!A:A,'Sales Report'!$D:$D,'COGS Break up'!C:C,$AD$1)</f>
        <v>8.31</v>
      </c>
      <c r="AE19" s="270">
        <f>SUMIFS('COGS Break up'!$E:$E,'COGS Break up'!$A:$A,'Sales Report'!$D19,'COGS Break up'!$D:$D,'Sales Report'!$AE$1)</f>
        <v>0.43</v>
      </c>
      <c r="AF19" s="271">
        <f>'Sales Report'!$AG19+'Sales Report'!$AH19+$AJ19+'Sales Report'!$AL19+AK19+AI19</f>
        <v>38701.799999999981</v>
      </c>
      <c r="AG19" s="270">
        <f>'Sales Report'!$N19*'Sales Report'!$Z19</f>
        <v>34934.39999999998</v>
      </c>
      <c r="AH19" s="270">
        <f>'Sales Report'!$N19*'Sales Report'!$AA19</f>
        <v>1792.8</v>
      </c>
      <c r="AI19" s="270">
        <f t="shared" si="1"/>
        <v>147</v>
      </c>
      <c r="AJ19" s="270">
        <f t="shared" si="2"/>
        <v>1303.1999999999998</v>
      </c>
      <c r="AK19" s="270">
        <f t="shared" si="3"/>
        <v>498.6</v>
      </c>
      <c r="AL19" s="270">
        <f>'Sales Report'!$AE19*'Sales Report'!$N19</f>
        <v>25.8</v>
      </c>
      <c r="AM19" s="355">
        <v>31122</v>
      </c>
      <c r="AN19" s="270" t="s">
        <v>1996</v>
      </c>
      <c r="AO19" s="355">
        <v>41552</v>
      </c>
      <c r="AP19" s="270" t="s">
        <v>1994</v>
      </c>
      <c r="AQ19" s="270" t="s">
        <v>965</v>
      </c>
      <c r="AR19" s="270" t="s">
        <v>1000</v>
      </c>
      <c r="AS19" s="270" t="s">
        <v>2008</v>
      </c>
      <c r="AT19" s="270" t="s">
        <v>2009</v>
      </c>
    </row>
    <row r="20" spans="1:46" x14ac:dyDescent="0.3">
      <c r="A20" s="272" t="s">
        <v>479</v>
      </c>
      <c r="B20" s="273">
        <v>45989</v>
      </c>
      <c r="C20" s="274">
        <v>3271316297</v>
      </c>
      <c r="D20" s="274" t="s">
        <v>42</v>
      </c>
      <c r="E20" s="274" t="s">
        <v>43</v>
      </c>
      <c r="F20" s="274" t="str">
        <f t="shared" si="4"/>
        <v>Fan</v>
      </c>
      <c r="G20" s="274" t="s">
        <v>18</v>
      </c>
      <c r="H20" s="274" t="s">
        <v>19</v>
      </c>
      <c r="I20" s="274" t="s">
        <v>2034</v>
      </c>
      <c r="J20" s="274" t="s">
        <v>27</v>
      </c>
      <c r="K20" s="275">
        <v>935</v>
      </c>
      <c r="L20" s="276">
        <v>305866.55</v>
      </c>
      <c r="M20" s="275">
        <v>935</v>
      </c>
      <c r="N20" s="275">
        <v>935</v>
      </c>
      <c r="O20" s="273">
        <v>45989</v>
      </c>
      <c r="P20" s="276">
        <v>318900.45</v>
      </c>
      <c r="Q20" s="274" t="s">
        <v>21</v>
      </c>
      <c r="R20" s="274" t="s">
        <v>22</v>
      </c>
      <c r="S20" s="274">
        <v>1</v>
      </c>
      <c r="T20" s="274" t="str">
        <f>VLOOKUP('Sales Report'!$H20,Master!$H$3:$I$8,2,0)</f>
        <v>Finished Goods</v>
      </c>
      <c r="U20" s="274" t="str">
        <f>VLOOKUP('Sales Report'!$J20,Master!B:C,2,0)</f>
        <v>FG-PCB-CF</v>
      </c>
      <c r="V20" s="277">
        <f>'Sales Report'!$P20-'Sales Report'!$AF20</f>
        <v>13033.899999999965</v>
      </c>
      <c r="W20" s="278">
        <f>'Sales Report'!$V20/'Sales Report'!$P20</f>
        <v>4.0871375377488382E-2</v>
      </c>
      <c r="X20" s="274">
        <f>'Sales Report'!$P20/'Sales Report'!$N20</f>
        <v>341.07</v>
      </c>
      <c r="Y20" s="279">
        <f>SUM('Sales Report'!$Z20:$AE20)</f>
        <v>327.13</v>
      </c>
      <c r="Z20" s="279">
        <f>SUMIFS('COGS Break up'!$E:$E,'COGS Break up'!$A:$A,'Sales Report'!$D20,'COGS Break up'!$D:$D,'Sales Report'!$Z$1)</f>
        <v>278.14000000000004</v>
      </c>
      <c r="AA20" s="279">
        <f>SUMIFS('COGS Break up'!$E:$E,'COGS Break up'!$A:$A,'Sales Report'!$D20,'COGS Break up'!$D:$D,'Sales Report'!$AA$1)</f>
        <v>22.400000000000002</v>
      </c>
      <c r="AB20" s="279">
        <f>SUMIFS('COGS Break up'!E:E,'COGS Break up'!A:A,'Sales Report'!$D:$D,'COGS Break up'!C:C,'Sales Report'!$AB$1)</f>
        <v>1.8299999999999998</v>
      </c>
      <c r="AC20" s="279">
        <f>SUMIFS('COGS Break up'!E:E,'COGS Break up'!A:A,'Sales Report'!$D:$D,'COGS Break up'!C:C,$AC$1)</f>
        <v>16.28</v>
      </c>
      <c r="AD20" s="279">
        <f>SUMIFS('COGS Break up'!E:E,'COGS Break up'!A:A,'Sales Report'!$D:$D,'COGS Break up'!C:C,$AD$1)</f>
        <v>8.31</v>
      </c>
      <c r="AE20" s="279">
        <f>SUMIFS('COGS Break up'!$E:$E,'COGS Break up'!$A:$A,'Sales Report'!$D20,'COGS Break up'!$D:$D,'Sales Report'!$AE$1)</f>
        <v>0.17</v>
      </c>
      <c r="AF20" s="280">
        <f>'Sales Report'!$AG20+'Sales Report'!$AH20+$AJ20+'Sales Report'!$AL20+AK20+AI20</f>
        <v>305866.55000000005</v>
      </c>
      <c r="AG20" s="279">
        <f>'Sales Report'!$N20*'Sales Report'!$Z20</f>
        <v>260060.90000000005</v>
      </c>
      <c r="AH20" s="279">
        <f>'Sales Report'!$N20*'Sales Report'!$AA20</f>
        <v>20944.000000000004</v>
      </c>
      <c r="AI20" s="279">
        <f t="shared" si="1"/>
        <v>1711.05</v>
      </c>
      <c r="AJ20" s="279">
        <f t="shared" si="2"/>
        <v>15221.800000000001</v>
      </c>
      <c r="AK20" s="279">
        <f t="shared" si="3"/>
        <v>7769.85</v>
      </c>
      <c r="AL20" s="279">
        <f>'Sales Report'!$AE20*'Sales Report'!$N20</f>
        <v>158.95000000000002</v>
      </c>
      <c r="AM20" s="356">
        <v>31122</v>
      </c>
      <c r="AN20" s="279" t="s">
        <v>1996</v>
      </c>
      <c r="AO20" s="356">
        <v>41552</v>
      </c>
      <c r="AP20" s="279" t="s">
        <v>1994</v>
      </c>
      <c r="AQ20" s="279" t="s">
        <v>965</v>
      </c>
      <c r="AR20" s="279" t="s">
        <v>1000</v>
      </c>
      <c r="AS20" s="279" t="s">
        <v>2012</v>
      </c>
      <c r="AT20" s="279" t="s">
        <v>2013</v>
      </c>
    </row>
    <row r="21" spans="1:46" x14ac:dyDescent="0.3">
      <c r="A21" s="263" t="s">
        <v>479</v>
      </c>
      <c r="B21" s="264">
        <v>45989</v>
      </c>
      <c r="C21" s="265">
        <v>3271316101</v>
      </c>
      <c r="D21" s="265" t="s">
        <v>23</v>
      </c>
      <c r="E21" s="265" t="s">
        <v>24</v>
      </c>
      <c r="F21" s="265" t="str">
        <f t="shared" si="4"/>
        <v>Fan</v>
      </c>
      <c r="G21" s="265" t="s">
        <v>18</v>
      </c>
      <c r="H21" s="265" t="s">
        <v>19</v>
      </c>
      <c r="I21" s="265" t="s">
        <v>2034</v>
      </c>
      <c r="J21" s="265" t="s">
        <v>27</v>
      </c>
      <c r="K21" s="266">
        <v>930</v>
      </c>
      <c r="L21" s="267">
        <v>391911.3</v>
      </c>
      <c r="M21" s="266">
        <v>930</v>
      </c>
      <c r="N21" s="266">
        <v>930</v>
      </c>
      <c r="O21" s="264">
        <v>45989</v>
      </c>
      <c r="P21" s="267">
        <v>449338.8</v>
      </c>
      <c r="Q21" s="265" t="s">
        <v>21</v>
      </c>
      <c r="R21" s="265" t="s">
        <v>22</v>
      </c>
      <c r="S21" s="265">
        <v>1</v>
      </c>
      <c r="T21" s="265" t="str">
        <f>VLOOKUP('Sales Report'!$H21,Master!$H$3:$I$8,2,0)</f>
        <v>Finished Goods</v>
      </c>
      <c r="U21" s="265" t="str">
        <f>VLOOKUP('Sales Report'!$J21,Master!B:C,2,0)</f>
        <v>FG-PCB-CF</v>
      </c>
      <c r="V21" s="268">
        <f>'Sales Report'!$P21-'Sales Report'!$AF21</f>
        <v>57427.500000000175</v>
      </c>
      <c r="W21" s="269">
        <f>'Sales Report'!$V21/'Sales Report'!$P21</f>
        <v>0.12780445401109403</v>
      </c>
      <c r="X21" s="265">
        <f>'Sales Report'!$P21/'Sales Report'!$N21</f>
        <v>483.15999999999997</v>
      </c>
      <c r="Y21" s="270">
        <f>SUM('Sales Report'!$Z21:$AE21)</f>
        <v>421.40999999999985</v>
      </c>
      <c r="Z21" s="270">
        <f>SUMIFS('COGS Break up'!$E:$E,'COGS Break up'!$A:$A,'Sales Report'!$D21,'COGS Break up'!$D:$D,'Sales Report'!$Z$1)</f>
        <v>373.04999999999984</v>
      </c>
      <c r="AA21" s="270">
        <f>SUMIFS('COGS Break up'!$E:$E,'COGS Break up'!$A:$A,'Sales Report'!$D21,'COGS Break up'!$D:$D,'Sales Report'!$AA$1)</f>
        <v>22</v>
      </c>
      <c r="AB21" s="270">
        <f>SUMIFS('COGS Break up'!E:E,'COGS Break up'!A:A,'Sales Report'!$D:$D,'COGS Break up'!C:C,'Sales Report'!$AB$1)</f>
        <v>1.8</v>
      </c>
      <c r="AC21" s="270">
        <f>SUMIFS('COGS Break up'!E:E,'COGS Break up'!A:A,'Sales Report'!$D:$D,'COGS Break up'!C:C,$AC$1)</f>
        <v>15.99</v>
      </c>
      <c r="AD21" s="270">
        <f>SUMIFS('COGS Break up'!E:E,'COGS Break up'!A:A,'Sales Report'!$D:$D,'COGS Break up'!C:C,$AD$1)</f>
        <v>8.31</v>
      </c>
      <c r="AE21" s="270">
        <f>SUMIFS('COGS Break up'!$E:$E,'COGS Break up'!$A:$A,'Sales Report'!$D21,'COGS Break up'!$D:$D,'Sales Report'!$AE$1)</f>
        <v>0.26</v>
      </c>
      <c r="AF21" s="271">
        <f>'Sales Report'!$AG21+'Sales Report'!$AH21+$AJ21+'Sales Report'!$AL21+AK21+AI21</f>
        <v>391911.29999999981</v>
      </c>
      <c r="AG21" s="270">
        <f>'Sales Report'!$N21*'Sales Report'!$Z21</f>
        <v>346936.49999999983</v>
      </c>
      <c r="AH21" s="270">
        <f>'Sales Report'!$N21*'Sales Report'!$AA21</f>
        <v>20460</v>
      </c>
      <c r="AI21" s="270">
        <f t="shared" si="1"/>
        <v>1674</v>
      </c>
      <c r="AJ21" s="270">
        <f t="shared" si="2"/>
        <v>14870.7</v>
      </c>
      <c r="AK21" s="270">
        <f t="shared" si="3"/>
        <v>7728.3</v>
      </c>
      <c r="AL21" s="270">
        <f>'Sales Report'!$AE21*'Sales Report'!$N21</f>
        <v>241.8</v>
      </c>
      <c r="AM21" s="355">
        <v>31122</v>
      </c>
      <c r="AN21" s="270" t="s">
        <v>1996</v>
      </c>
      <c r="AO21" s="355">
        <v>41552</v>
      </c>
      <c r="AP21" s="270" t="s">
        <v>1994</v>
      </c>
      <c r="AQ21" s="270" t="s">
        <v>965</v>
      </c>
      <c r="AR21" s="270" t="s">
        <v>1000</v>
      </c>
      <c r="AS21" s="270" t="s">
        <v>2010</v>
      </c>
      <c r="AT21" s="270" t="s">
        <v>2011</v>
      </c>
    </row>
    <row r="22" spans="1:46" x14ac:dyDescent="0.3">
      <c r="A22" s="272" t="s">
        <v>479</v>
      </c>
      <c r="B22" s="273">
        <v>45989</v>
      </c>
      <c r="C22" s="274">
        <v>3271316297</v>
      </c>
      <c r="D22" s="274" t="s">
        <v>38</v>
      </c>
      <c r="E22" s="274" t="s">
        <v>39</v>
      </c>
      <c r="F22" s="274" t="str">
        <f t="shared" si="4"/>
        <v>Fan</v>
      </c>
      <c r="G22" s="274" t="s">
        <v>18</v>
      </c>
      <c r="H22" s="274" t="s">
        <v>19</v>
      </c>
      <c r="I22" s="274" t="s">
        <v>2034</v>
      </c>
      <c r="J22" s="274" t="s">
        <v>27</v>
      </c>
      <c r="K22" s="275">
        <v>2740</v>
      </c>
      <c r="L22" s="276">
        <v>896336.2</v>
      </c>
      <c r="M22" s="275">
        <v>2740</v>
      </c>
      <c r="N22" s="275">
        <v>2740</v>
      </c>
      <c r="O22" s="273">
        <v>45989</v>
      </c>
      <c r="P22" s="276">
        <v>934531.8</v>
      </c>
      <c r="Q22" s="274" t="s">
        <v>21</v>
      </c>
      <c r="R22" s="274" t="s">
        <v>22</v>
      </c>
      <c r="S22" s="274">
        <v>1</v>
      </c>
      <c r="T22" s="274" t="str">
        <f>VLOOKUP('Sales Report'!$H22,Master!$H$3:$I$8,2,0)</f>
        <v>Finished Goods</v>
      </c>
      <c r="U22" s="274" t="str">
        <f>VLOOKUP('Sales Report'!$J22,Master!B:C,2,0)</f>
        <v>FG-PCB-CF</v>
      </c>
      <c r="V22" s="277">
        <f>'Sales Report'!$P22-'Sales Report'!$AF22</f>
        <v>38195.600000000093</v>
      </c>
      <c r="W22" s="278">
        <f>'Sales Report'!$V22/'Sales Report'!$P22</f>
        <v>4.087137537748859E-2</v>
      </c>
      <c r="X22" s="274">
        <f>'Sales Report'!$P22/'Sales Report'!$N22</f>
        <v>341.07</v>
      </c>
      <c r="Y22" s="279">
        <f>SUM('Sales Report'!$Z22:$AE22)</f>
        <v>327.13</v>
      </c>
      <c r="Z22" s="279">
        <f>SUMIFS('COGS Break up'!$E:$E,'COGS Break up'!$A:$A,'Sales Report'!$D22,'COGS Break up'!$D:$D,'Sales Report'!$Z$1)</f>
        <v>278.14</v>
      </c>
      <c r="AA22" s="279">
        <f>SUMIFS('COGS Break up'!$E:$E,'COGS Break up'!$A:$A,'Sales Report'!$D22,'COGS Break up'!$D:$D,'Sales Report'!$AA$1)</f>
        <v>22.400000000000002</v>
      </c>
      <c r="AB22" s="279">
        <f>SUMIFS('COGS Break up'!E:E,'COGS Break up'!A:A,'Sales Report'!$D:$D,'COGS Break up'!C:C,'Sales Report'!$AB$1)</f>
        <v>1.8299999999999998</v>
      </c>
      <c r="AC22" s="279">
        <f>SUMIFS('COGS Break up'!E:E,'COGS Break up'!A:A,'Sales Report'!$D:$D,'COGS Break up'!C:C,$AC$1)</f>
        <v>16.28</v>
      </c>
      <c r="AD22" s="279">
        <f>SUMIFS('COGS Break up'!E:E,'COGS Break up'!A:A,'Sales Report'!$D:$D,'COGS Break up'!C:C,$AD$1)</f>
        <v>8.31</v>
      </c>
      <c r="AE22" s="279">
        <f>SUMIFS('COGS Break up'!$E:$E,'COGS Break up'!$A:$A,'Sales Report'!$D22,'COGS Break up'!$D:$D,'Sales Report'!$AE$1)</f>
        <v>0.17</v>
      </c>
      <c r="AF22" s="280">
        <f>'Sales Report'!$AG22+'Sales Report'!$AH22+$AJ22+'Sales Report'!$AL22+AK22+AI22</f>
        <v>896336.2</v>
      </c>
      <c r="AG22" s="279">
        <f>'Sales Report'!$N22*'Sales Report'!$Z22</f>
        <v>762103.6</v>
      </c>
      <c r="AH22" s="279">
        <f>'Sales Report'!$N22*'Sales Report'!$AA22</f>
        <v>61376.000000000007</v>
      </c>
      <c r="AI22" s="279">
        <f t="shared" si="1"/>
        <v>5014.2</v>
      </c>
      <c r="AJ22" s="279">
        <f t="shared" si="2"/>
        <v>44607.200000000004</v>
      </c>
      <c r="AK22" s="279">
        <f t="shared" si="3"/>
        <v>22769.4</v>
      </c>
      <c r="AL22" s="279">
        <f>'Sales Report'!$AE22*'Sales Report'!$N22</f>
        <v>465.8</v>
      </c>
      <c r="AM22" s="356">
        <v>31122</v>
      </c>
      <c r="AN22" s="279" t="s">
        <v>1996</v>
      </c>
      <c r="AO22" s="356">
        <v>41552</v>
      </c>
      <c r="AP22" s="279" t="s">
        <v>1994</v>
      </c>
      <c r="AQ22" s="279" t="s">
        <v>965</v>
      </c>
      <c r="AR22" s="279" t="s">
        <v>1000</v>
      </c>
      <c r="AS22" s="279" t="s">
        <v>2012</v>
      </c>
      <c r="AT22" s="279" t="s">
        <v>2013</v>
      </c>
    </row>
    <row r="23" spans="1:46" hidden="1" x14ac:dyDescent="0.3">
      <c r="A23" s="263" t="s">
        <v>479</v>
      </c>
      <c r="B23" s="264">
        <v>45989</v>
      </c>
      <c r="C23" s="265">
        <v>3271316170</v>
      </c>
      <c r="D23" s="265" t="s">
        <v>38</v>
      </c>
      <c r="E23" s="265" t="s">
        <v>39</v>
      </c>
      <c r="F23" s="265" t="str">
        <f t="shared" si="4"/>
        <v>Fan</v>
      </c>
      <c r="G23" s="265" t="s">
        <v>18</v>
      </c>
      <c r="H23" s="265" t="s">
        <v>19</v>
      </c>
      <c r="I23" s="265" t="s">
        <v>2032</v>
      </c>
      <c r="J23" s="265" t="s">
        <v>27</v>
      </c>
      <c r="K23" s="266">
        <v>2520</v>
      </c>
      <c r="L23" s="267">
        <v>824367.6</v>
      </c>
      <c r="M23" s="266">
        <v>2520</v>
      </c>
      <c r="N23" s="266">
        <v>2520</v>
      </c>
      <c r="O23" s="264">
        <v>45989</v>
      </c>
      <c r="P23" s="267">
        <v>859496.4</v>
      </c>
      <c r="Q23" s="265" t="s">
        <v>21</v>
      </c>
      <c r="R23" s="265" t="s">
        <v>22</v>
      </c>
      <c r="S23" s="265">
        <v>1</v>
      </c>
      <c r="T23" s="265" t="str">
        <f>VLOOKUP('Sales Report'!$H23,Master!$H$3:$I$8,2,0)</f>
        <v>Finished Goods</v>
      </c>
      <c r="U23" s="265" t="str">
        <f>VLOOKUP('Sales Report'!$J23,Master!B:C,2,0)</f>
        <v>FG-PCB-CF</v>
      </c>
      <c r="V23" s="268">
        <f>'Sales Report'!$P23-'Sales Report'!$AF23</f>
        <v>35128.800000000163</v>
      </c>
      <c r="W23" s="269">
        <f>'Sales Report'!$V23/'Sales Report'!$P23</f>
        <v>4.0871375377488681E-2</v>
      </c>
      <c r="X23" s="265">
        <f>'Sales Report'!$P23/'Sales Report'!$N23</f>
        <v>341.07</v>
      </c>
      <c r="Y23" s="270">
        <f>SUM('Sales Report'!$Z23:$AE23)</f>
        <v>327.13</v>
      </c>
      <c r="Z23" s="270">
        <f>SUMIFS('COGS Break up'!$E:$E,'COGS Break up'!$A:$A,'Sales Report'!$D23,'COGS Break up'!$D:$D,'Sales Report'!$Z$1)</f>
        <v>278.14</v>
      </c>
      <c r="AA23" s="270">
        <f>SUMIFS('COGS Break up'!$E:$E,'COGS Break up'!$A:$A,'Sales Report'!$D23,'COGS Break up'!$D:$D,'Sales Report'!$AA$1)</f>
        <v>22.400000000000002</v>
      </c>
      <c r="AB23" s="270">
        <f>SUMIFS('COGS Break up'!E:E,'COGS Break up'!A:A,'Sales Report'!$D:$D,'COGS Break up'!C:C,'Sales Report'!$AB$1)</f>
        <v>1.8299999999999998</v>
      </c>
      <c r="AC23" s="270">
        <f>SUMIFS('COGS Break up'!E:E,'COGS Break up'!A:A,'Sales Report'!$D:$D,'COGS Break up'!C:C,$AC$1)</f>
        <v>16.28</v>
      </c>
      <c r="AD23" s="270">
        <f>SUMIFS('COGS Break up'!E:E,'COGS Break up'!A:A,'Sales Report'!$D:$D,'COGS Break up'!C:C,$AD$1)</f>
        <v>8.31</v>
      </c>
      <c r="AE23" s="270">
        <f>SUMIFS('COGS Break up'!$E:$E,'COGS Break up'!$A:$A,'Sales Report'!$D23,'COGS Break up'!$D:$D,'Sales Report'!$AE$1)</f>
        <v>0.17</v>
      </c>
      <c r="AF23" s="271">
        <f>'Sales Report'!$AG23+'Sales Report'!$AH23+$AJ23+'Sales Report'!$AL23+AK23+AI23</f>
        <v>824367.59999999986</v>
      </c>
      <c r="AG23" s="270">
        <f>'Sales Report'!$N23*'Sales Report'!$Z23</f>
        <v>700912.79999999993</v>
      </c>
      <c r="AH23" s="270">
        <f>'Sales Report'!$N23*'Sales Report'!$AA23</f>
        <v>56448.000000000007</v>
      </c>
      <c r="AI23" s="270">
        <f t="shared" si="1"/>
        <v>4611.5999999999995</v>
      </c>
      <c r="AJ23" s="270">
        <f t="shared" si="2"/>
        <v>41025.600000000006</v>
      </c>
      <c r="AK23" s="270">
        <f t="shared" si="3"/>
        <v>20941.2</v>
      </c>
      <c r="AL23" s="270">
        <f>'Sales Report'!$AE23*'Sales Report'!$N23</f>
        <v>428.40000000000003</v>
      </c>
      <c r="AM23" s="355">
        <v>31122</v>
      </c>
      <c r="AN23" s="270" t="s">
        <v>1996</v>
      </c>
      <c r="AO23" s="355">
        <v>41552</v>
      </c>
      <c r="AP23" s="270" t="s">
        <v>1994</v>
      </c>
      <c r="AQ23" s="270" t="s">
        <v>965</v>
      </c>
      <c r="AR23" s="270" t="s">
        <v>1000</v>
      </c>
      <c r="AS23" s="270" t="s">
        <v>2012</v>
      </c>
      <c r="AT23" s="270" t="s">
        <v>2013</v>
      </c>
    </row>
    <row r="24" spans="1:46" hidden="1" x14ac:dyDescent="0.3">
      <c r="A24" s="272" t="s">
        <v>479</v>
      </c>
      <c r="B24" s="273">
        <v>45989</v>
      </c>
      <c r="C24" s="274">
        <v>3271316101</v>
      </c>
      <c r="D24" s="274" t="s">
        <v>378</v>
      </c>
      <c r="E24" s="274" t="s">
        <v>379</v>
      </c>
      <c r="F24" s="274" t="str">
        <f t="shared" si="4"/>
        <v>Fan</v>
      </c>
      <c r="G24" s="274" t="s">
        <v>18</v>
      </c>
      <c r="H24" s="274" t="s">
        <v>19</v>
      </c>
      <c r="I24" s="274" t="s">
        <v>2032</v>
      </c>
      <c r="J24" s="274" t="s">
        <v>27</v>
      </c>
      <c r="K24" s="275">
        <v>420</v>
      </c>
      <c r="L24" s="276">
        <v>136584</v>
      </c>
      <c r="M24" s="275">
        <v>420</v>
      </c>
      <c r="N24" s="275">
        <v>420</v>
      </c>
      <c r="O24" s="273">
        <v>45989</v>
      </c>
      <c r="P24" s="276">
        <v>149108.4</v>
      </c>
      <c r="Q24" s="274" t="s">
        <v>21</v>
      </c>
      <c r="R24" s="274" t="s">
        <v>22</v>
      </c>
      <c r="S24" s="274">
        <v>1</v>
      </c>
      <c r="T24" s="274" t="str">
        <f>VLOOKUP('Sales Report'!$H24,Master!$H$3:$I$8,2,0)</f>
        <v>Finished Goods</v>
      </c>
      <c r="U24" s="274" t="str">
        <f>VLOOKUP('Sales Report'!$J24,Master!B:C,2,0)</f>
        <v>FG-PCB-CF</v>
      </c>
      <c r="V24" s="277">
        <f>'Sales Report'!$P24-'Sales Report'!$AF24</f>
        <v>12524.399999999994</v>
      </c>
      <c r="W24" s="278">
        <f>'Sales Report'!$V24/'Sales Report'!$P24</f>
        <v>8.3995267872232521E-2</v>
      </c>
      <c r="X24" s="274">
        <f>'Sales Report'!$P24/'Sales Report'!$N24</f>
        <v>355.02</v>
      </c>
      <c r="Y24" s="279">
        <f>SUM('Sales Report'!$Z24:$AE24)</f>
        <v>325.19999999999993</v>
      </c>
      <c r="Z24" s="279">
        <f>SUMIFS('COGS Break up'!$E:$E,'COGS Break up'!$A:$A,'Sales Report'!$D24,'COGS Break up'!$D:$D,'Sales Report'!$Z$1)</f>
        <v>271.52999999999997</v>
      </c>
      <c r="AA24" s="279">
        <f>SUMIFS('COGS Break up'!$E:$E,'COGS Break up'!$A:$A,'Sales Report'!$D24,'COGS Break up'!$D:$D,'Sales Report'!$AA$1)</f>
        <v>23.84</v>
      </c>
      <c r="AB24" s="279">
        <f>SUMIFS('COGS Break up'!E:E,'COGS Break up'!A:A,'Sales Report'!$D:$D,'COGS Break up'!C:C,'Sales Report'!$AB$1)</f>
        <v>1.9500000000000002</v>
      </c>
      <c r="AC24" s="279">
        <f>SUMIFS('COGS Break up'!E:E,'COGS Break up'!A:A,'Sales Report'!$D:$D,'COGS Break up'!C:C,$AC$1)</f>
        <v>17.329999999999998</v>
      </c>
      <c r="AD24" s="279">
        <f>SUMIFS('COGS Break up'!E:E,'COGS Break up'!A:A,'Sales Report'!$D:$D,'COGS Break up'!C:C,$AD$1)</f>
        <v>10.29</v>
      </c>
      <c r="AE24" s="279">
        <f>SUMIFS('COGS Break up'!$E:$E,'COGS Break up'!$A:$A,'Sales Report'!$D24,'COGS Break up'!$D:$D,'Sales Report'!$AE$1)</f>
        <v>0.26</v>
      </c>
      <c r="AF24" s="280">
        <f>'Sales Report'!$AG24+'Sales Report'!$AH24+$AJ24+'Sales Report'!$AL24+AK24+AI24</f>
        <v>136584</v>
      </c>
      <c r="AG24" s="279">
        <f>'Sales Report'!$N24*'Sales Report'!$Z24</f>
        <v>114042.59999999999</v>
      </c>
      <c r="AH24" s="279">
        <f>'Sales Report'!$N24*'Sales Report'!$AA24</f>
        <v>10012.799999999999</v>
      </c>
      <c r="AI24" s="279">
        <f t="shared" si="1"/>
        <v>819.00000000000011</v>
      </c>
      <c r="AJ24" s="279">
        <f t="shared" si="2"/>
        <v>7278.5999999999995</v>
      </c>
      <c r="AK24" s="279">
        <f t="shared" si="3"/>
        <v>4321.7999999999993</v>
      </c>
      <c r="AL24" s="279">
        <f>'Sales Report'!$AE24*'Sales Report'!$N24</f>
        <v>109.2</v>
      </c>
      <c r="AM24" s="356">
        <v>31122</v>
      </c>
      <c r="AN24" s="279" t="s">
        <v>1996</v>
      </c>
      <c r="AO24" s="356">
        <v>41552</v>
      </c>
      <c r="AP24" s="279" t="s">
        <v>1994</v>
      </c>
      <c r="AQ24" s="279" t="s">
        <v>965</v>
      </c>
      <c r="AR24" s="279" t="s">
        <v>1000</v>
      </c>
      <c r="AS24" s="279" t="s">
        <v>2014</v>
      </c>
      <c r="AT24" s="279" t="s">
        <v>2015</v>
      </c>
    </row>
    <row r="25" spans="1:46" hidden="1" x14ac:dyDescent="0.3">
      <c r="A25" s="263" t="s">
        <v>479</v>
      </c>
      <c r="B25" s="264">
        <v>45989</v>
      </c>
      <c r="C25" s="265">
        <v>3271316297</v>
      </c>
      <c r="D25" s="265" t="s">
        <v>378</v>
      </c>
      <c r="E25" s="265" t="s">
        <v>379</v>
      </c>
      <c r="F25" s="265" t="str">
        <f t="shared" si="4"/>
        <v>Fan</v>
      </c>
      <c r="G25" s="265" t="s">
        <v>18</v>
      </c>
      <c r="H25" s="265" t="s">
        <v>19</v>
      </c>
      <c r="I25" s="265" t="s">
        <v>2032</v>
      </c>
      <c r="J25" s="265" t="s">
        <v>27</v>
      </c>
      <c r="K25" s="266">
        <v>120</v>
      </c>
      <c r="L25" s="267">
        <v>39024</v>
      </c>
      <c r="M25" s="266">
        <v>120</v>
      </c>
      <c r="N25" s="266">
        <v>120</v>
      </c>
      <c r="O25" s="264">
        <v>45989</v>
      </c>
      <c r="P25" s="267">
        <v>42602.400000000001</v>
      </c>
      <c r="Q25" s="265" t="s">
        <v>21</v>
      </c>
      <c r="R25" s="265" t="s">
        <v>22</v>
      </c>
      <c r="S25" s="265">
        <v>1</v>
      </c>
      <c r="T25" s="265" t="str">
        <f>VLOOKUP('Sales Report'!$H25,Master!$H$3:$I$8,2,0)</f>
        <v>Finished Goods</v>
      </c>
      <c r="U25" s="265" t="str">
        <f>VLOOKUP('Sales Report'!$J25,Master!B:C,2,0)</f>
        <v>FG-PCB-CF</v>
      </c>
      <c r="V25" s="268">
        <f>'Sales Report'!$P25-'Sales Report'!$AF25</f>
        <v>3578.4000000000015</v>
      </c>
      <c r="W25" s="269">
        <f>'Sales Report'!$V25/'Sales Report'!$P25</f>
        <v>8.3995267872232576E-2</v>
      </c>
      <c r="X25" s="265">
        <f>'Sales Report'!$P25/'Sales Report'!$N25</f>
        <v>355.02000000000004</v>
      </c>
      <c r="Y25" s="270">
        <f>SUM('Sales Report'!$Z25:$AE25)</f>
        <v>325.19999999999993</v>
      </c>
      <c r="Z25" s="270">
        <f>SUMIFS('COGS Break up'!$E:$E,'COGS Break up'!$A:$A,'Sales Report'!$D25,'COGS Break up'!$D:$D,'Sales Report'!$Z$1)</f>
        <v>271.52999999999997</v>
      </c>
      <c r="AA25" s="270">
        <f>SUMIFS('COGS Break up'!$E:$E,'COGS Break up'!$A:$A,'Sales Report'!$D25,'COGS Break up'!$D:$D,'Sales Report'!$AA$1)</f>
        <v>23.84</v>
      </c>
      <c r="AB25" s="270">
        <f>SUMIFS('COGS Break up'!E:E,'COGS Break up'!A:A,'Sales Report'!$D:$D,'COGS Break up'!C:C,'Sales Report'!$AB$1)</f>
        <v>1.9500000000000002</v>
      </c>
      <c r="AC25" s="270">
        <f>SUMIFS('COGS Break up'!E:E,'COGS Break up'!A:A,'Sales Report'!$D:$D,'COGS Break up'!C:C,$AC$1)</f>
        <v>17.329999999999998</v>
      </c>
      <c r="AD25" s="270">
        <f>SUMIFS('COGS Break up'!E:E,'COGS Break up'!A:A,'Sales Report'!$D:$D,'COGS Break up'!C:C,$AD$1)</f>
        <v>10.29</v>
      </c>
      <c r="AE25" s="270">
        <f>SUMIFS('COGS Break up'!$E:$E,'COGS Break up'!$A:$A,'Sales Report'!$D25,'COGS Break up'!$D:$D,'Sales Report'!$AE$1)</f>
        <v>0.26</v>
      </c>
      <c r="AF25" s="271">
        <f>'Sales Report'!$AG25+'Sales Report'!$AH25+$AJ25+'Sales Report'!$AL25+AK25+AI25</f>
        <v>39024</v>
      </c>
      <c r="AG25" s="270">
        <f>'Sales Report'!$N25*'Sales Report'!$Z25</f>
        <v>32583.599999999999</v>
      </c>
      <c r="AH25" s="270">
        <f>'Sales Report'!$N25*'Sales Report'!$AA25</f>
        <v>2860.8</v>
      </c>
      <c r="AI25" s="270">
        <f t="shared" si="1"/>
        <v>234.00000000000003</v>
      </c>
      <c r="AJ25" s="270">
        <f t="shared" si="2"/>
        <v>2079.6</v>
      </c>
      <c r="AK25" s="270">
        <f t="shared" si="3"/>
        <v>1234.8</v>
      </c>
      <c r="AL25" s="270">
        <f>'Sales Report'!$AE25*'Sales Report'!$N25</f>
        <v>31.200000000000003</v>
      </c>
      <c r="AM25" s="355">
        <v>31122</v>
      </c>
      <c r="AN25" s="270" t="s">
        <v>1996</v>
      </c>
      <c r="AO25" s="355">
        <v>41552</v>
      </c>
      <c r="AP25" s="270" t="s">
        <v>1994</v>
      </c>
      <c r="AQ25" s="270" t="s">
        <v>965</v>
      </c>
      <c r="AR25" s="270" t="s">
        <v>1000</v>
      </c>
      <c r="AS25" s="270" t="s">
        <v>2014</v>
      </c>
      <c r="AT25" s="270" t="s">
        <v>2015</v>
      </c>
    </row>
    <row r="26" spans="1:46" hidden="1" x14ac:dyDescent="0.3">
      <c r="A26" s="272" t="s">
        <v>479</v>
      </c>
      <c r="B26" s="273">
        <v>45989</v>
      </c>
      <c r="C26" s="274">
        <v>3271316101</v>
      </c>
      <c r="D26" s="274" t="s">
        <v>380</v>
      </c>
      <c r="E26" s="274" t="s">
        <v>381</v>
      </c>
      <c r="F26" s="274" t="str">
        <f t="shared" si="4"/>
        <v>Fan</v>
      </c>
      <c r="G26" s="274" t="s">
        <v>18</v>
      </c>
      <c r="H26" s="274" t="s">
        <v>19</v>
      </c>
      <c r="I26" s="274" t="s">
        <v>2032</v>
      </c>
      <c r="J26" s="274" t="s">
        <v>27</v>
      </c>
      <c r="K26" s="275">
        <v>299</v>
      </c>
      <c r="L26" s="276">
        <v>64763.4</v>
      </c>
      <c r="M26" s="275">
        <v>299</v>
      </c>
      <c r="N26" s="275">
        <v>299</v>
      </c>
      <c r="O26" s="273">
        <v>45989</v>
      </c>
      <c r="P26" s="276">
        <v>66333.149999999994</v>
      </c>
      <c r="Q26" s="274" t="s">
        <v>21</v>
      </c>
      <c r="R26" s="274" t="s">
        <v>22</v>
      </c>
      <c r="S26" s="274">
        <v>1</v>
      </c>
      <c r="T26" s="274" t="str">
        <f>VLOOKUP('Sales Report'!$H26,Master!$H$3:$I$8,2,0)</f>
        <v>Finished Goods</v>
      </c>
      <c r="U26" s="274" t="str">
        <f>VLOOKUP('Sales Report'!$J26,Master!B:C,2,0)</f>
        <v>FG-PCB-CF</v>
      </c>
      <c r="V26" s="277">
        <f>'Sales Report'!$P26-'Sales Report'!$AF26</f>
        <v>1569.7500000000073</v>
      </c>
      <c r="W26" s="278">
        <f>'Sales Report'!$V26/'Sales Report'!$P26</f>
        <v>2.3664638269100854E-2</v>
      </c>
      <c r="X26" s="274">
        <f>'Sales Report'!$P26/'Sales Report'!$N26</f>
        <v>221.85</v>
      </c>
      <c r="Y26" s="279">
        <f>SUM('Sales Report'!$Z26:$AE26)</f>
        <v>216.59999999999994</v>
      </c>
      <c r="Z26" s="279">
        <f>SUMIFS('COGS Break up'!$E:$E,'COGS Break up'!$A:$A,'Sales Report'!$D26,'COGS Break up'!$D:$D,'Sales Report'!$Z$1)</f>
        <v>174.98999999999995</v>
      </c>
      <c r="AA26" s="279">
        <f>SUMIFS('COGS Break up'!$E:$E,'COGS Break up'!$A:$A,'Sales Report'!$D26,'COGS Break up'!$D:$D,'Sales Report'!$AA$1)</f>
        <v>18.389999999999997</v>
      </c>
      <c r="AB26" s="279">
        <f>SUMIFS('COGS Break up'!E:E,'COGS Break up'!A:A,'Sales Report'!$D:$D,'COGS Break up'!C:C,'Sales Report'!$AB$1)</f>
        <v>1.5</v>
      </c>
      <c r="AC26" s="279">
        <f>SUMIFS('COGS Break up'!E:E,'COGS Break up'!A:A,'Sales Report'!$D:$D,'COGS Break up'!C:C,$AC$1)</f>
        <v>13.37</v>
      </c>
      <c r="AD26" s="279">
        <f>SUMIFS('COGS Break up'!E:E,'COGS Break up'!A:A,'Sales Report'!$D:$D,'COGS Break up'!C:C,$AD$1)</f>
        <v>8.31</v>
      </c>
      <c r="AE26" s="279">
        <f>SUMIFS('COGS Break up'!$E:$E,'COGS Break up'!$A:$A,'Sales Report'!$D26,'COGS Break up'!$D:$D,'Sales Report'!$AE$1)</f>
        <v>0.04</v>
      </c>
      <c r="AF26" s="280">
        <f>'Sales Report'!$AG26+'Sales Report'!$AH26+$AJ26+'Sales Report'!$AL26+AK26+AI26</f>
        <v>64763.399999999987</v>
      </c>
      <c r="AG26" s="279">
        <f>'Sales Report'!$N26*'Sales Report'!$Z26</f>
        <v>52322.009999999987</v>
      </c>
      <c r="AH26" s="279">
        <f>'Sales Report'!$N26*'Sales Report'!$AA26</f>
        <v>5498.6099999999988</v>
      </c>
      <c r="AI26" s="279">
        <f t="shared" si="1"/>
        <v>448.5</v>
      </c>
      <c r="AJ26" s="279">
        <f t="shared" si="2"/>
        <v>3997.6299999999997</v>
      </c>
      <c r="AK26" s="279">
        <f t="shared" si="3"/>
        <v>2484.69</v>
      </c>
      <c r="AL26" s="279">
        <f>'Sales Report'!$AE26*'Sales Report'!$N26</f>
        <v>11.96</v>
      </c>
      <c r="AM26" s="356">
        <v>31122</v>
      </c>
      <c r="AN26" s="279" t="s">
        <v>1996</v>
      </c>
      <c r="AO26" s="356">
        <v>41552</v>
      </c>
      <c r="AP26" s="279" t="s">
        <v>1994</v>
      </c>
      <c r="AQ26" s="279" t="s">
        <v>965</v>
      </c>
      <c r="AR26" s="279" t="s">
        <v>1000</v>
      </c>
      <c r="AS26" s="279" t="s">
        <v>2016</v>
      </c>
      <c r="AT26" s="279" t="s">
        <v>2017</v>
      </c>
    </row>
    <row r="27" spans="1:46" hidden="1" x14ac:dyDescent="0.3">
      <c r="A27" s="263" t="s">
        <v>479</v>
      </c>
      <c r="B27" s="264">
        <v>45989</v>
      </c>
      <c r="C27" s="265">
        <v>3271316491</v>
      </c>
      <c r="D27" s="265" t="s">
        <v>1903</v>
      </c>
      <c r="E27" s="265" t="s">
        <v>1904</v>
      </c>
      <c r="F27" s="265" t="str">
        <f t="shared" si="4"/>
        <v>Fan</v>
      </c>
      <c r="G27" s="265" t="s">
        <v>18</v>
      </c>
      <c r="H27" s="265" t="s">
        <v>19</v>
      </c>
      <c r="I27" s="265" t="s">
        <v>2032</v>
      </c>
      <c r="J27" s="265" t="s">
        <v>27</v>
      </c>
      <c r="K27" s="266">
        <v>1260</v>
      </c>
      <c r="L27" s="267">
        <v>412435.8</v>
      </c>
      <c r="M27" s="266">
        <v>1260</v>
      </c>
      <c r="N27" s="266">
        <v>1260</v>
      </c>
      <c r="O27" s="264">
        <v>45989</v>
      </c>
      <c r="P27" s="267">
        <v>429748.2</v>
      </c>
      <c r="Q27" s="265" t="s">
        <v>21</v>
      </c>
      <c r="R27" s="265" t="s">
        <v>22</v>
      </c>
      <c r="S27" s="265">
        <v>1</v>
      </c>
      <c r="T27" s="265" t="str">
        <f>VLOOKUP('Sales Report'!$H27,Master!$H$3:$I$8,2,0)</f>
        <v>Finished Goods</v>
      </c>
      <c r="U27" s="265" t="str">
        <f>VLOOKUP('Sales Report'!$J27,Master!B:C,2,0)</f>
        <v>FG-PCB-CF</v>
      </c>
      <c r="V27" s="268">
        <f>'Sales Report'!$P27-'Sales Report'!$AF27</f>
        <v>17325</v>
      </c>
      <c r="W27" s="269">
        <f>'Sales Report'!$V27/'Sales Report'!$P27</f>
        <v>4.0314304981382117E-2</v>
      </c>
      <c r="X27" s="265">
        <f>'Sales Report'!$P27/'Sales Report'!$N27</f>
        <v>341.07</v>
      </c>
      <c r="Y27" s="270">
        <f>SUM('Sales Report'!$Z27:$AE27)</f>
        <v>327.32000000000005</v>
      </c>
      <c r="Z27" s="270">
        <f>SUMIFS('COGS Break up'!$E:$E,'COGS Break up'!$A:$A,'Sales Report'!$D27,'COGS Break up'!$D:$D,'Sales Report'!$Z$1)</f>
        <v>278.11</v>
      </c>
      <c r="AA27" s="270">
        <f>SUMIFS('COGS Break up'!$E:$E,'COGS Break up'!$A:$A,'Sales Report'!$D27,'COGS Break up'!$D:$D,'Sales Report'!$AA$1)</f>
        <v>20.62</v>
      </c>
      <c r="AB27" s="270">
        <f>SUMIFS('COGS Break up'!E:E,'COGS Break up'!A:A,'Sales Report'!$D:$D,'COGS Break up'!C:C,'Sales Report'!$AB$1)</f>
        <v>2.21</v>
      </c>
      <c r="AC27" s="270">
        <f>SUMIFS('COGS Break up'!E:E,'COGS Break up'!A:A,'Sales Report'!$D:$D,'COGS Break up'!C:C,$AC$1)</f>
        <v>17.73</v>
      </c>
      <c r="AD27" s="270">
        <f>SUMIFS('COGS Break up'!E:E,'COGS Break up'!A:A,'Sales Report'!$D:$D,'COGS Break up'!C:C,$AD$1)</f>
        <v>8.48</v>
      </c>
      <c r="AE27" s="270">
        <f>SUMIFS('COGS Break up'!$E:$E,'COGS Break up'!$A:$A,'Sales Report'!$D27,'COGS Break up'!$D:$D,'Sales Report'!$AE$1)</f>
        <v>0.17</v>
      </c>
      <c r="AF27" s="271">
        <f>'Sales Report'!$AG27+'Sales Report'!$AH27+$AJ27+'Sales Report'!$AL27+AK27+AI27</f>
        <v>412423.2</v>
      </c>
      <c r="AG27" s="270">
        <f>'Sales Report'!$N27*'Sales Report'!$Z27</f>
        <v>350418.60000000003</v>
      </c>
      <c r="AH27" s="270">
        <f>'Sales Report'!$N27*'Sales Report'!$AA27</f>
        <v>25981.200000000001</v>
      </c>
      <c r="AI27" s="270">
        <f t="shared" si="1"/>
        <v>2784.6</v>
      </c>
      <c r="AJ27" s="270">
        <f t="shared" si="2"/>
        <v>22339.8</v>
      </c>
      <c r="AK27" s="270">
        <f t="shared" si="3"/>
        <v>10684.800000000001</v>
      </c>
      <c r="AL27" s="270">
        <f>'Sales Report'!$AE27*'Sales Report'!$N27</f>
        <v>214.20000000000002</v>
      </c>
      <c r="AM27" s="355">
        <v>31122</v>
      </c>
      <c r="AN27" s="270" t="s">
        <v>1996</v>
      </c>
      <c r="AO27" s="355">
        <v>41552</v>
      </c>
      <c r="AP27" s="270" t="s">
        <v>1994</v>
      </c>
      <c r="AQ27" s="270" t="s">
        <v>965</v>
      </c>
      <c r="AR27" s="270" t="s">
        <v>1000</v>
      </c>
      <c r="AS27" s="270" t="s">
        <v>2021</v>
      </c>
      <c r="AT27" s="270" t="s">
        <v>2022</v>
      </c>
    </row>
    <row r="28" spans="1:46" hidden="1" x14ac:dyDescent="0.3">
      <c r="A28" s="272" t="s">
        <v>479</v>
      </c>
      <c r="B28" s="273">
        <v>45989</v>
      </c>
      <c r="C28" s="274">
        <v>3271316319</v>
      </c>
      <c r="D28" s="274" t="s">
        <v>1943</v>
      </c>
      <c r="E28" s="274" t="s">
        <v>1944</v>
      </c>
      <c r="F28" s="274" t="str">
        <f t="shared" si="4"/>
        <v>Fan</v>
      </c>
      <c r="G28" s="274" t="s">
        <v>18</v>
      </c>
      <c r="H28" s="274" t="s">
        <v>48</v>
      </c>
      <c r="I28" s="274" t="s">
        <v>2032</v>
      </c>
      <c r="J28" s="274" t="s">
        <v>202</v>
      </c>
      <c r="K28" s="275">
        <v>4000</v>
      </c>
      <c r="L28" s="276">
        <v>254844.77</v>
      </c>
      <c r="M28" s="275">
        <v>4000</v>
      </c>
      <c r="N28" s="275">
        <v>4000</v>
      </c>
      <c r="O28" s="273">
        <v>45989</v>
      </c>
      <c r="P28" s="276">
        <v>260880</v>
      </c>
      <c r="Q28" s="274" t="s">
        <v>21</v>
      </c>
      <c r="R28" s="274" t="s">
        <v>22</v>
      </c>
      <c r="S28" s="274">
        <v>1</v>
      </c>
      <c r="T28" s="274" t="str">
        <f>VLOOKUP('Sales Report'!$H28,Master!$H$3:$I$8,2,0)</f>
        <v>Raw Material</v>
      </c>
      <c r="U28" s="274" t="str">
        <f>VLOOKUP('Sales Report'!$J28,Master!B:C,2,0)</f>
        <v>RM-Eletro-IC</v>
      </c>
      <c r="V28" s="277">
        <f>'Sales Report'!$P28-'Sales Report'!$AF28</f>
        <v>6035.2300000000105</v>
      </c>
      <c r="W28" s="278">
        <f>'Sales Report'!$V28/'Sales Report'!$P28</f>
        <v>2.3134122968414637E-2</v>
      </c>
      <c r="X28" s="274">
        <f>'Sales Report'!$P28/'Sales Report'!$N28</f>
        <v>65.22</v>
      </c>
      <c r="Y28" s="279">
        <f>SUM('Sales Report'!$Z28:$AE28)</f>
        <v>63.711192499999996</v>
      </c>
      <c r="Z28" s="279">
        <v>63.711192499999996</v>
      </c>
      <c r="AA28" s="279">
        <f>SUMIFS('COGS Break up'!$E:$E,'COGS Break up'!$A:$A,'Sales Report'!$D28,'COGS Break up'!$D:$D,'Sales Report'!$AA$1)</f>
        <v>0</v>
      </c>
      <c r="AB28" s="279">
        <f>SUMIFS('COGS Break up'!E:E,'COGS Break up'!A:A,'Sales Report'!$D:$D,'COGS Break up'!C:C,'Sales Report'!$AB$1)</f>
        <v>0</v>
      </c>
      <c r="AC28" s="279">
        <f>SUMIFS('COGS Break up'!E:E,'COGS Break up'!A:A,'Sales Report'!$D:$D,'COGS Break up'!C:C,$AC$1)</f>
        <v>0</v>
      </c>
      <c r="AD28" s="279">
        <f>SUMIFS('COGS Break up'!E:E,'COGS Break up'!A:A,'Sales Report'!$D:$D,'COGS Break up'!C:C,$AD$1)</f>
        <v>0</v>
      </c>
      <c r="AE28" s="279">
        <f>SUMIFS('COGS Break up'!$E:$E,'COGS Break up'!$A:$A,'Sales Report'!$D28,'COGS Break up'!$D:$D,'Sales Report'!$AE$1)</f>
        <v>0</v>
      </c>
      <c r="AF28" s="280">
        <f>'Sales Report'!$AG28+'Sales Report'!$AH28+$AJ28+'Sales Report'!$AL28+AK28+AI28</f>
        <v>254844.77</v>
      </c>
      <c r="AG28" s="279">
        <f>'Sales Report'!$N28*'Sales Report'!$Z28</f>
        <v>254844.77</v>
      </c>
      <c r="AH28" s="279">
        <f>'Sales Report'!$N28*'Sales Report'!$AA28</f>
        <v>0</v>
      </c>
      <c r="AI28" s="279">
        <f t="shared" si="1"/>
        <v>0</v>
      </c>
      <c r="AJ28" s="279">
        <f t="shared" si="2"/>
        <v>0</v>
      </c>
      <c r="AK28" s="279">
        <f t="shared" si="3"/>
        <v>0</v>
      </c>
      <c r="AL28" s="279">
        <f>'Sales Report'!$AE28*'Sales Report'!$N28</f>
        <v>0</v>
      </c>
      <c r="AM28" s="356">
        <v>31114</v>
      </c>
      <c r="AN28" s="279" t="s">
        <v>1992</v>
      </c>
      <c r="AO28" s="356">
        <v>41504</v>
      </c>
      <c r="AP28" s="279" t="s">
        <v>1993</v>
      </c>
      <c r="AQ28" s="279"/>
      <c r="AR28" s="279"/>
      <c r="AS28" s="279"/>
      <c r="AT28" s="279"/>
    </row>
    <row r="29" spans="1:46" x14ac:dyDescent="0.3">
      <c r="G29" s="408"/>
      <c r="H29" s="408"/>
    </row>
    <row r="30" spans="1:46" x14ac:dyDescent="0.3">
      <c r="G30" s="409"/>
      <c r="H30" s="409"/>
    </row>
  </sheetData>
  <autoFilter ref="A1:P28" xr:uid="{661B7B97-B445-43DC-836C-B9DBAE57D8FF}">
    <filterColumn colId="5">
      <filters>
        <filter val="Fan"/>
      </filters>
    </filterColumn>
    <filterColumn colId="8">
      <filters>
        <filter val="FG003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0F2A-AC75-4538-AD3F-1FACE513B108}">
  <dimension ref="B2:F8"/>
  <sheetViews>
    <sheetView tabSelected="1" workbookViewId="0">
      <selection activeCell="A4" sqref="A4"/>
    </sheetView>
  </sheetViews>
  <sheetFormatPr defaultRowHeight="14.4" x14ac:dyDescent="0.3"/>
  <cols>
    <col min="2" max="2" width="8.109375" bestFit="1" customWidth="1"/>
    <col min="3" max="3" width="8" bestFit="1" customWidth="1"/>
    <col min="4" max="4" width="10.77734375" bestFit="1" customWidth="1"/>
    <col min="5" max="5" width="7.77734375" bestFit="1" customWidth="1"/>
    <col min="6" max="6" width="10.109375" bestFit="1" customWidth="1"/>
  </cols>
  <sheetData>
    <row r="2" spans="2:6" x14ac:dyDescent="0.3">
      <c r="B2" s="410" t="s">
        <v>2024</v>
      </c>
      <c r="C2" s="410" t="s">
        <v>2033</v>
      </c>
      <c r="D2" s="410" t="s">
        <v>2025</v>
      </c>
      <c r="E2" s="410" t="s">
        <v>2026</v>
      </c>
      <c r="F2" s="410" t="s">
        <v>2027</v>
      </c>
    </row>
    <row r="3" spans="2:6" x14ac:dyDescent="0.3">
      <c r="B3" s="410" t="s">
        <v>2028</v>
      </c>
      <c r="C3" s="410" t="str">
        <f>IFERROR(VLOOKUP(B3,'Sales Report'!F:K,4,0),"Not Sold")</f>
        <v>Not Sold</v>
      </c>
      <c r="D3" s="410" t="e">
        <f>VLOOKUP(B3,'Sales Report'!F:F,1,0)</f>
        <v>#N/A</v>
      </c>
      <c r="E3" s="411">
        <f>SUMIF('Sales Report'!F:F,Sheet2!B3,'Sales Report'!K:K)</f>
        <v>0</v>
      </c>
      <c r="F3" s="411">
        <f>SUMIF('Sales Report'!F:F,Sheet2!B3,'Sales Report'!P:P)</f>
        <v>0</v>
      </c>
    </row>
    <row r="4" spans="2:6" x14ac:dyDescent="0.3">
      <c r="B4" s="410" t="s">
        <v>1130</v>
      </c>
      <c r="C4" s="410" t="str">
        <f>IFERROR(VLOOKUP(B4,'Sales Report'!F:K,4,0),"Not Sold")</f>
        <v>FG002</v>
      </c>
      <c r="D4" s="410" t="str">
        <f>VLOOKUP(B4,'Sales Report'!F:F,1,0)</f>
        <v>Fan</v>
      </c>
      <c r="E4" s="411">
        <f>SUMIF('Sales Report'!F:F,Sheet2!B4,'Sales Report'!K:K)</f>
        <v>37717</v>
      </c>
      <c r="F4" s="411">
        <f>SUMIF('Sales Report'!F:F,Sheet2!B4,'Sales Report'!P:P)</f>
        <v>9380517.3099999987</v>
      </c>
    </row>
    <row r="5" spans="2:6" x14ac:dyDescent="0.3">
      <c r="B5" s="410" t="s">
        <v>1130</v>
      </c>
      <c r="C5" s="410" t="s">
        <v>2034</v>
      </c>
      <c r="D5" s="410"/>
      <c r="E5" s="411">
        <f>SUMIFS('Sales Report'!K:K,'Sales Report'!F:F,Sheet2!B5,'Sales Report'!I:I,Sheet2!C5)</f>
        <v>26013</v>
      </c>
      <c r="F5" s="411">
        <f>SUMIFS('Sales Report'!P:P,'Sales Report'!F:F,Sheet2!B5,'Sales Report'!I:I,Sheet2!C5)</f>
        <v>6949201.7999999998</v>
      </c>
    </row>
    <row r="6" spans="2:6" x14ac:dyDescent="0.3">
      <c r="B6" s="410" t="s">
        <v>966</v>
      </c>
      <c r="C6" s="410" t="str">
        <f>IFERROR(VLOOKUP(B6,'Sales Report'!F:K,4,0),"Not Sold")</f>
        <v>FG001</v>
      </c>
      <c r="D6" s="410" t="str">
        <f>VLOOKUP(B6,'Sales Report'!F:F,1,0)</f>
        <v>Ref</v>
      </c>
      <c r="E6" s="411">
        <f>SUMIF('Sales Report'!F:F,Sheet2!B6,'Sales Report'!K:K)</f>
        <v>4000</v>
      </c>
      <c r="F6" s="411">
        <f>SUMIF('Sales Report'!F:F,Sheet2!B6,'Sales Report'!P:P)</f>
        <v>2632715</v>
      </c>
    </row>
    <row r="7" spans="2:6" x14ac:dyDescent="0.3">
      <c r="B7" s="410" t="s">
        <v>2029</v>
      </c>
      <c r="C7" s="410" t="str">
        <f>IFERROR(VLOOKUP(B7,'Sales Report'!F:K,4,0),"Not Sold")</f>
        <v>Not Sold</v>
      </c>
      <c r="D7" s="410" t="e">
        <f>VLOOKUP(B7,'Sales Report'!F:F,1,0)</f>
        <v>#N/A</v>
      </c>
      <c r="E7" s="411">
        <f>SUMIF('Sales Report'!F:F,Sheet2!B7,'Sales Report'!K:K)</f>
        <v>0</v>
      </c>
      <c r="F7" s="411">
        <f>SUMIF('Sales Report'!F:F,Sheet2!B7,'Sales Report'!P:P)</f>
        <v>0</v>
      </c>
    </row>
    <row r="8" spans="2:6" x14ac:dyDescent="0.3">
      <c r="B8" s="410" t="s">
        <v>2030</v>
      </c>
      <c r="C8" s="410" t="str">
        <f>IFERROR(VLOOKUP(B8,'Sales Report'!F:K,4,0),"Not Sold")</f>
        <v>Not Sold</v>
      </c>
      <c r="D8" s="410" t="e">
        <f>VLOOKUP(B8,'Sales Report'!F:F,1,0)</f>
        <v>#N/A</v>
      </c>
      <c r="E8" s="411">
        <f>SUMIF('Sales Report'!F:F,Sheet2!B8,'Sales Report'!K:K)</f>
        <v>0</v>
      </c>
      <c r="F8" s="411">
        <f>SUMIF('Sales Report'!F:F,Sheet2!B8,'Sales Report'!P:P)</f>
        <v>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3EB6-F3AB-4073-9422-46BDF3C5B419}">
  <sheetPr>
    <tabColor rgb="FFFFFF00"/>
  </sheetPr>
  <dimension ref="A1:AQ472"/>
  <sheetViews>
    <sheetView topLeftCell="A11" zoomScale="90" zoomScaleNormal="90" workbookViewId="0">
      <selection activeCell="A2" sqref="A2"/>
    </sheetView>
  </sheetViews>
  <sheetFormatPr defaultRowHeight="14.4" x14ac:dyDescent="0.3"/>
  <cols>
    <col min="1" max="1" width="36.109375" bestFit="1" customWidth="1"/>
    <col min="2" max="2" width="14.21875" bestFit="1" customWidth="1"/>
    <col min="3" max="3" width="18" bestFit="1" customWidth="1"/>
    <col min="4" max="4" width="10.6640625" bestFit="1" customWidth="1"/>
    <col min="5" max="5" width="44.33203125" bestFit="1" customWidth="1"/>
    <col min="6" max="6" width="11.77734375" bestFit="1" customWidth="1"/>
    <col min="7" max="7" width="14.77734375" bestFit="1" customWidth="1"/>
    <col min="8" max="8" width="16.5546875" bestFit="1" customWidth="1"/>
    <col min="9" max="9" width="13.33203125" bestFit="1" customWidth="1"/>
    <col min="10" max="10" width="13.77734375" bestFit="1" customWidth="1"/>
    <col min="11" max="11" width="14.33203125" bestFit="1" customWidth="1"/>
    <col min="12" max="12" width="10.88671875" bestFit="1" customWidth="1"/>
    <col min="13" max="13" width="13.109375" bestFit="1" customWidth="1"/>
    <col min="14" max="14" width="11.77734375" bestFit="1" customWidth="1"/>
    <col min="15" max="15" width="12.21875" bestFit="1" customWidth="1"/>
    <col min="16" max="16" width="16.77734375" bestFit="1" customWidth="1"/>
    <col min="17" max="17" width="12.6640625" bestFit="1" customWidth="1"/>
    <col min="18" max="18" width="20.21875" bestFit="1" customWidth="1"/>
    <col min="19" max="19" width="23.44140625" bestFit="1" customWidth="1"/>
    <col min="20" max="20" width="19" bestFit="1" customWidth="1"/>
    <col min="21" max="21" width="14.6640625" bestFit="1" customWidth="1"/>
    <col min="22" max="22" width="8.44140625" bestFit="1" customWidth="1"/>
    <col min="23" max="23" width="8" bestFit="1" customWidth="1"/>
    <col min="24" max="24" width="13.6640625" bestFit="1" customWidth="1"/>
    <col min="25" max="25" width="11.88671875" bestFit="1" customWidth="1"/>
    <col min="26" max="26" width="20.77734375" bestFit="1" customWidth="1"/>
    <col min="27" max="27" width="14.33203125" bestFit="1" customWidth="1"/>
    <col min="28" max="28" width="18.21875" bestFit="1" customWidth="1"/>
    <col min="29" max="29" width="22.44140625" bestFit="1" customWidth="1"/>
    <col min="30" max="30" width="19.109375" bestFit="1" customWidth="1"/>
    <col min="31" max="31" width="25.33203125" bestFit="1" customWidth="1"/>
    <col min="32" max="32" width="11.21875" bestFit="1" customWidth="1"/>
    <col min="33" max="33" width="12.88671875" bestFit="1" customWidth="1"/>
    <col min="34" max="34" width="13.5546875" bestFit="1" customWidth="1"/>
    <col min="35" max="35" width="19.21875" bestFit="1" customWidth="1"/>
    <col min="36" max="36" width="23.109375" bestFit="1" customWidth="1"/>
    <col min="37" max="37" width="27.33203125" bestFit="1" customWidth="1"/>
    <col min="38" max="38" width="16.109375" bestFit="1" customWidth="1"/>
    <col min="39" max="39" width="22.21875" bestFit="1" customWidth="1"/>
    <col min="40" max="40" width="14.5546875" bestFit="1" customWidth="1"/>
    <col min="41" max="41" width="20.77734375" bestFit="1" customWidth="1"/>
    <col min="42" max="42" width="14.5546875" bestFit="1" customWidth="1"/>
    <col min="43" max="43" width="20.77734375" bestFit="1" customWidth="1"/>
  </cols>
  <sheetData>
    <row r="1" spans="1:43" s="353" customFormat="1" ht="40.950000000000003" customHeight="1" x14ac:dyDescent="0.3">
      <c r="A1" s="348" t="s">
        <v>0</v>
      </c>
      <c r="B1" s="348" t="s">
        <v>1</v>
      </c>
      <c r="C1" s="348" t="s">
        <v>516</v>
      </c>
      <c r="D1" s="348" t="s">
        <v>2</v>
      </c>
      <c r="E1" s="348" t="s">
        <v>3</v>
      </c>
      <c r="F1" s="348" t="s">
        <v>4</v>
      </c>
      <c r="G1" s="348" t="s">
        <v>5</v>
      </c>
      <c r="H1" s="348" t="s">
        <v>6</v>
      </c>
      <c r="I1" s="349" t="s">
        <v>7</v>
      </c>
      <c r="J1" s="348" t="s">
        <v>8</v>
      </c>
      <c r="K1" s="348" t="s">
        <v>9</v>
      </c>
      <c r="L1" s="349" t="s">
        <v>10</v>
      </c>
      <c r="M1" s="348" t="s">
        <v>11</v>
      </c>
      <c r="N1" s="348" t="s">
        <v>12</v>
      </c>
      <c r="O1" s="349" t="s">
        <v>13</v>
      </c>
      <c r="P1" s="348" t="s">
        <v>14</v>
      </c>
      <c r="Q1" s="349" t="s">
        <v>15</v>
      </c>
      <c r="R1" s="350" t="s">
        <v>336</v>
      </c>
      <c r="S1" s="350" t="s">
        <v>337</v>
      </c>
      <c r="T1" s="350" t="s">
        <v>1178</v>
      </c>
      <c r="U1" s="350" t="s">
        <v>343</v>
      </c>
      <c r="V1" s="350" t="s">
        <v>344</v>
      </c>
      <c r="W1" s="350" t="s">
        <v>517</v>
      </c>
      <c r="X1" s="351" t="s">
        <v>1986</v>
      </c>
      <c r="Y1" s="351" t="s">
        <v>453</v>
      </c>
      <c r="Z1" s="351" t="s">
        <v>347</v>
      </c>
      <c r="AA1" s="351" t="s">
        <v>353</v>
      </c>
      <c r="AB1" s="351" t="s">
        <v>352</v>
      </c>
      <c r="AC1" s="351" t="s">
        <v>350</v>
      </c>
      <c r="AD1" s="351" t="s">
        <v>1293</v>
      </c>
      <c r="AE1" s="351" t="s">
        <v>348</v>
      </c>
      <c r="AF1" s="352" t="s">
        <v>1987</v>
      </c>
      <c r="AG1" s="352" t="s">
        <v>464</v>
      </c>
      <c r="AH1" s="352" t="s">
        <v>468</v>
      </c>
      <c r="AI1" s="352" t="s">
        <v>1958</v>
      </c>
      <c r="AJ1" s="352" t="s">
        <v>1959</v>
      </c>
      <c r="AK1" s="352" t="s">
        <v>1960</v>
      </c>
      <c r="AL1" s="352" t="s">
        <v>1292</v>
      </c>
      <c r="AM1" s="352" t="s">
        <v>463</v>
      </c>
      <c r="AN1" s="352" t="s">
        <v>1988</v>
      </c>
      <c r="AO1" s="352" t="s">
        <v>1989</v>
      </c>
      <c r="AP1" s="352" t="s">
        <v>1990</v>
      </c>
      <c r="AQ1" s="352" t="s">
        <v>1991</v>
      </c>
    </row>
    <row r="2" spans="1:43" x14ac:dyDescent="0.3">
      <c r="A2" s="254" t="s">
        <v>1295</v>
      </c>
      <c r="B2" s="255">
        <v>45990</v>
      </c>
      <c r="C2" s="256" t="s">
        <v>1928</v>
      </c>
      <c r="D2" s="256" t="s">
        <v>694</v>
      </c>
      <c r="E2" s="256" t="s">
        <v>695</v>
      </c>
      <c r="F2" s="256" t="s">
        <v>18</v>
      </c>
      <c r="G2" s="256" t="s">
        <v>19</v>
      </c>
      <c r="H2" s="256" t="s">
        <v>20</v>
      </c>
      <c r="I2" s="257">
        <v>1000</v>
      </c>
      <c r="J2" s="258">
        <v>464890</v>
      </c>
      <c r="K2" s="257">
        <v>1000</v>
      </c>
      <c r="L2" s="257">
        <v>1000</v>
      </c>
      <c r="M2" s="255">
        <v>45990</v>
      </c>
      <c r="N2" s="258">
        <v>659300</v>
      </c>
      <c r="O2" s="256" t="s">
        <v>21</v>
      </c>
      <c r="P2" s="256" t="s">
        <v>22</v>
      </c>
      <c r="Q2" s="256" t="s">
        <v>660</v>
      </c>
      <c r="R2" s="256" t="str">
        <f>VLOOKUP('MIS Working 1'!$G2,Master!$H$3:$I$8,2,0)</f>
        <v>Finished Goods</v>
      </c>
      <c r="S2" s="256" t="str">
        <f>VLOOKUP('MIS Working 1'!$H2,Master!B:C,2,0)</f>
        <v>FG-PCB-Ref</v>
      </c>
      <c r="T2" s="256" t="str">
        <f>VLOOKUP('MIS Working 1'!$S2,Master!E:F,2,0)</f>
        <v>FG-PCB-Ref</v>
      </c>
      <c r="U2" s="259">
        <f>'MIS Working 1'!$N2-'MIS Working 1'!$AF2</f>
        <v>194169.99999999994</v>
      </c>
      <c r="V2" s="260">
        <f>'MIS Working 1'!$U2/'MIS Working 1'!$N2</f>
        <v>0.29450932807523122</v>
      </c>
      <c r="W2" s="256">
        <f>'MIS Working 1'!$N2/'MIS Working 1'!$L2</f>
        <v>659.3</v>
      </c>
      <c r="X2" s="261">
        <f>SUM('MIS Working 1'!$Y2:$AE2)</f>
        <v>496.11</v>
      </c>
      <c r="Y2" s="261">
        <f>SUMIFS('COGS Break up'!$E:$E,'COGS Break up'!$A:$A,'MIS Working 1'!$D2,'COGS Break up'!$D:$D,'MIS Working 1'!$Y$1)</f>
        <v>405.11000000000007</v>
      </c>
      <c r="Z2" s="261">
        <f>SUMIFS('COGS Break up'!$E:$E,'COGS Break up'!$A:$A,'MIS Working 1'!$D2,'COGS Break up'!$D:$D,'MIS Working 1'!$Z$1)</f>
        <v>28.32</v>
      </c>
      <c r="AA2" s="261">
        <f>SUMIFS('COGS Break up'!E:E,'COGS Break up'!A:A,'MIS Working 1'!$D:$D,'COGS Break up'!C:C,'MIS Working 1'!$AA$1)</f>
        <v>2.3199999999999998</v>
      </c>
      <c r="AB2" s="261">
        <f>SUMIFS('COGS Break up'!E:E,'COGS Break up'!A:A,'MIS Working 1'!$D:$D,'COGS Break up'!C:C,$AB$1)</f>
        <v>20.59</v>
      </c>
      <c r="AC2" s="261">
        <f>SUMIFS('COGS Break up'!E:E,'COGS Break up'!A:A,'MIS Working 1'!$D:$D,'COGS Break up'!C:C,$AC$1)</f>
        <v>8.31</v>
      </c>
      <c r="AD2" s="261">
        <f>SUMIFS('COGS Break up'!$E:$E,'COGS Break up'!$A:$A,'MIS Working 1'!$D2,'COGS Break up'!$D:$D,'MIS Working 1'!$AD$1)</f>
        <v>0.24</v>
      </c>
      <c r="AE2" s="261">
        <f>SUMIFS('COGS Break up'!$E:$E,'COGS Break up'!$A:$A,'MIS Working 1'!$D2,'COGS Break up'!$D:$D,'MIS Working 1'!$AE$1)</f>
        <v>31.22</v>
      </c>
      <c r="AF2" s="262">
        <f>'MIS Working 1'!$AG2+'MIS Working 1'!$AH2+'MIS Working 1'!$AM2+'MIS Working 1'!$AL2</f>
        <v>465130.00000000006</v>
      </c>
      <c r="AG2" s="261">
        <f>'MIS Working 1'!$L2*'MIS Working 1'!$Y2</f>
        <v>405110.00000000006</v>
      </c>
      <c r="AH2" s="261">
        <f>'MIS Working 1'!$L2*'MIS Working 1'!$Z2</f>
        <v>28320</v>
      </c>
      <c r="AI2" s="261">
        <f t="shared" ref="AI2:AI65" si="0">AA2*$L2</f>
        <v>2320</v>
      </c>
      <c r="AJ2" s="261">
        <f t="shared" ref="AJ2:AJ65" si="1">AB2*$L2</f>
        <v>20590</v>
      </c>
      <c r="AK2" s="261">
        <f t="shared" ref="AK2:AK65" si="2">AC2*$L2</f>
        <v>8310</v>
      </c>
      <c r="AL2" s="261">
        <f>'MIS Working 1'!$AD2*'MIS Working 1'!$L2</f>
        <v>240</v>
      </c>
      <c r="AM2" s="261">
        <f>'MIS Working 1'!$L2*'MIS Working 1'!$AE2+'MIS Working 1'!$AL2</f>
        <v>31460</v>
      </c>
    </row>
    <row r="3" spans="1:43" x14ac:dyDescent="0.3">
      <c r="A3" s="263" t="s">
        <v>1295</v>
      </c>
      <c r="B3" s="264">
        <v>45990</v>
      </c>
      <c r="C3" s="265" t="s">
        <v>1929</v>
      </c>
      <c r="D3" s="265" t="s">
        <v>36</v>
      </c>
      <c r="E3" s="265" t="s">
        <v>37</v>
      </c>
      <c r="F3" s="265" t="s">
        <v>18</v>
      </c>
      <c r="G3" s="265" t="s">
        <v>19</v>
      </c>
      <c r="H3" s="265" t="s">
        <v>20</v>
      </c>
      <c r="I3" s="266">
        <v>1500</v>
      </c>
      <c r="J3" s="267">
        <v>692055</v>
      </c>
      <c r="K3" s="266">
        <v>1500</v>
      </c>
      <c r="L3" s="266">
        <v>1500</v>
      </c>
      <c r="M3" s="264">
        <v>45990</v>
      </c>
      <c r="N3" s="267">
        <v>984465</v>
      </c>
      <c r="O3" s="265" t="s">
        <v>21</v>
      </c>
      <c r="P3" s="265" t="s">
        <v>22</v>
      </c>
      <c r="Q3" s="265" t="s">
        <v>660</v>
      </c>
      <c r="R3" s="265" t="str">
        <f>VLOOKUP('MIS Working 1'!$G3,Master!$H$3:$I$8,2,0)</f>
        <v>Finished Goods</v>
      </c>
      <c r="S3" s="265" t="str">
        <f>VLOOKUP('MIS Working 1'!$H3,Master!B:C,2,0)</f>
        <v>FG-PCB-Ref</v>
      </c>
      <c r="T3" s="265" t="str">
        <f>VLOOKUP('MIS Working 1'!$S3,Master!E:F,2,0)</f>
        <v>FG-PCB-Ref</v>
      </c>
      <c r="U3" s="268">
        <f>'MIS Working 1'!$N3-'MIS Working 1'!$AF3</f>
        <v>292050</v>
      </c>
      <c r="V3" s="269">
        <f>'MIS Working 1'!$U3/'MIS Working 1'!$N3</f>
        <v>0.29665859121451754</v>
      </c>
      <c r="W3" s="265">
        <f>'MIS Working 1'!$N3/'MIS Working 1'!$L3</f>
        <v>656.31</v>
      </c>
      <c r="X3" s="270">
        <f>SUM('MIS Working 1'!$Y3:$AE3)</f>
        <v>492.59000000000003</v>
      </c>
      <c r="Y3" s="270">
        <f>SUMIFS('COGS Break up'!$E:$E,'COGS Break up'!$A:$A,'MIS Working 1'!$D3,'COGS Break up'!$D:$D,'MIS Working 1'!$Y$1)</f>
        <v>401.59000000000003</v>
      </c>
      <c r="Z3" s="270">
        <f>SUMIFS('COGS Break up'!$E:$E,'COGS Break up'!$A:$A,'MIS Working 1'!$D3,'COGS Break up'!$D:$D,'MIS Working 1'!$Z$1)</f>
        <v>28.32</v>
      </c>
      <c r="AA3" s="270">
        <f>SUMIFS('COGS Break up'!E:E,'COGS Break up'!A:A,'MIS Working 1'!$D:$D,'COGS Break up'!C:C,'MIS Working 1'!$AA$1)</f>
        <v>2.3199999999999998</v>
      </c>
      <c r="AB3" s="270">
        <f>SUMIFS('COGS Break up'!E:E,'COGS Break up'!A:A,'MIS Working 1'!$D:$D,'COGS Break up'!C:C,$AB$1)</f>
        <v>20.59</v>
      </c>
      <c r="AC3" s="270">
        <f>SUMIFS('COGS Break up'!E:E,'COGS Break up'!A:A,'MIS Working 1'!$D:$D,'COGS Break up'!C:C,$AC$1)</f>
        <v>8.31</v>
      </c>
      <c r="AD3" s="270">
        <f>SUMIFS('COGS Break up'!$E:$E,'COGS Break up'!$A:$A,'MIS Working 1'!$D3,'COGS Break up'!$D:$D,'MIS Working 1'!$AD$1)</f>
        <v>0.24</v>
      </c>
      <c r="AE3" s="270">
        <f>SUMIFS('COGS Break up'!$E:$E,'COGS Break up'!$A:$A,'MIS Working 1'!$D3,'COGS Break up'!$D:$D,'MIS Working 1'!$AE$1)</f>
        <v>31.22</v>
      </c>
      <c r="AF3" s="271">
        <f>'MIS Working 1'!$AG3+'MIS Working 1'!$AH3+'MIS Working 1'!$AM3+'MIS Working 1'!$AL3</f>
        <v>692415</v>
      </c>
      <c r="AG3" s="270">
        <f>'MIS Working 1'!$L3*'MIS Working 1'!$Y3</f>
        <v>602385</v>
      </c>
      <c r="AH3" s="270">
        <f>'MIS Working 1'!$L3*'MIS Working 1'!$Z3</f>
        <v>42480</v>
      </c>
      <c r="AI3" s="270">
        <f t="shared" si="0"/>
        <v>3479.9999999999995</v>
      </c>
      <c r="AJ3" s="270">
        <f t="shared" si="1"/>
        <v>30885</v>
      </c>
      <c r="AK3" s="270">
        <f t="shared" si="2"/>
        <v>12465</v>
      </c>
      <c r="AL3" s="270">
        <f>'MIS Working 1'!$AD3*'MIS Working 1'!$L3</f>
        <v>360</v>
      </c>
      <c r="AM3" s="270">
        <f>'MIS Working 1'!$L3*'MIS Working 1'!$AE3+'MIS Working 1'!$AL3</f>
        <v>47190</v>
      </c>
    </row>
    <row r="4" spans="1:43" x14ac:dyDescent="0.3">
      <c r="A4" s="272" t="s">
        <v>479</v>
      </c>
      <c r="B4" s="273">
        <v>45990</v>
      </c>
      <c r="C4" s="274" t="s">
        <v>1930</v>
      </c>
      <c r="D4" s="274" t="s">
        <v>40</v>
      </c>
      <c r="E4" s="274" t="s">
        <v>41</v>
      </c>
      <c r="F4" s="274" t="s">
        <v>18</v>
      </c>
      <c r="G4" s="274" t="s">
        <v>34</v>
      </c>
      <c r="H4" s="274" t="s">
        <v>772</v>
      </c>
      <c r="I4" s="275">
        <v>2872</v>
      </c>
      <c r="J4" s="276">
        <v>424108.24</v>
      </c>
      <c r="K4" s="275">
        <v>2872</v>
      </c>
      <c r="L4" s="275">
        <v>2872</v>
      </c>
      <c r="M4" s="273">
        <v>45990</v>
      </c>
      <c r="N4" s="276">
        <v>467963.68</v>
      </c>
      <c r="O4" s="274" t="s">
        <v>21</v>
      </c>
      <c r="P4" s="274" t="s">
        <v>22</v>
      </c>
      <c r="Q4" s="274" t="s">
        <v>660</v>
      </c>
      <c r="R4" s="274" t="str">
        <f>VLOOKUP('MIS Working 1'!$G4,Master!$H$3:$I$8,2,0)</f>
        <v>Semi-Finished Goods</v>
      </c>
      <c r="S4" s="274" t="str">
        <f>VLOOKUP('MIS Working 1'!$H4,Master!B:C,2,0)</f>
        <v>SFG-GV5 Stator</v>
      </c>
      <c r="T4" s="274" t="str">
        <f>VLOOKUP('MIS Working 1'!$S4,Master!E:F,2,0)</f>
        <v>Sub Ass.-Mech Stator</v>
      </c>
      <c r="U4" s="277">
        <f>'MIS Working 1'!$N4-'MIS Working 1'!$AF4</f>
        <v>43855.440000000061</v>
      </c>
      <c r="V4" s="278">
        <f>'MIS Working 1'!$U4/'MIS Working 1'!$N4</f>
        <v>9.3715478090094645E-2</v>
      </c>
      <c r="W4" s="274">
        <f>'MIS Working 1'!$N4/'MIS Working 1'!$L4</f>
        <v>162.94</v>
      </c>
      <c r="X4" s="279">
        <f>SUM('MIS Working 1'!$Y4:$AE4)</f>
        <v>149.61999999999998</v>
      </c>
      <c r="Y4" s="279">
        <f>SUMIFS('COGS Break up'!$E:$E,'COGS Break up'!$A:$A,'MIS Working 1'!$D4,'COGS Break up'!$D:$D,'MIS Working 1'!$Y$1)</f>
        <v>144.21999999999997</v>
      </c>
      <c r="Z4" s="279">
        <f>SUMIFS('COGS Break up'!$E:$E,'COGS Break up'!$A:$A,'MIS Working 1'!$D4,'COGS Break up'!$D:$D,'MIS Working 1'!$Z$1)</f>
        <v>1.5</v>
      </c>
      <c r="AA4" s="279">
        <f>SUMIFS('COGS Break up'!E:E,'COGS Break up'!A:A,'MIS Working 1'!$D:$D,'COGS Break up'!C:C,'MIS Working 1'!$AA$1)</f>
        <v>0.05</v>
      </c>
      <c r="AB4" s="279">
        <f>SUMIFS('COGS Break up'!E:E,'COGS Break up'!A:A,'MIS Working 1'!$D:$D,'COGS Break up'!C:C,$AB$1)</f>
        <v>0.4</v>
      </c>
      <c r="AC4" s="279">
        <f>SUMIFS('COGS Break up'!E:E,'COGS Break up'!A:A,'MIS Working 1'!$D:$D,'COGS Break up'!C:C,$AC$1)</f>
        <v>1.5</v>
      </c>
      <c r="AD4" s="279">
        <f>SUMIFS('COGS Break up'!$E:$E,'COGS Break up'!$A:$A,'MIS Working 1'!$D4,'COGS Break up'!$D:$D,'MIS Working 1'!$AD$1)</f>
        <v>0</v>
      </c>
      <c r="AE4" s="279">
        <f>SUMIFS('COGS Break up'!$E:$E,'COGS Break up'!$A:$A,'MIS Working 1'!$D4,'COGS Break up'!$D:$D,'MIS Working 1'!$AE$1)</f>
        <v>1.95</v>
      </c>
      <c r="AF4" s="280">
        <f>'MIS Working 1'!$AG4+'MIS Working 1'!$AH4+'MIS Working 1'!$AM4+'MIS Working 1'!$AL4</f>
        <v>424108.23999999993</v>
      </c>
      <c r="AG4" s="279">
        <f>'MIS Working 1'!$L4*'MIS Working 1'!$Y4</f>
        <v>414199.83999999991</v>
      </c>
      <c r="AH4" s="279">
        <f>'MIS Working 1'!$L4*'MIS Working 1'!$Z4</f>
        <v>4308</v>
      </c>
      <c r="AI4" s="279">
        <f t="shared" si="0"/>
        <v>143.6</v>
      </c>
      <c r="AJ4" s="279">
        <f t="shared" si="1"/>
        <v>1148.8</v>
      </c>
      <c r="AK4" s="279">
        <f t="shared" si="2"/>
        <v>4308</v>
      </c>
      <c r="AL4" s="279">
        <f>'MIS Working 1'!$AD4*'MIS Working 1'!$L4</f>
        <v>0</v>
      </c>
      <c r="AM4" s="279">
        <f>'MIS Working 1'!$L4*'MIS Working 1'!$AE4+'MIS Working 1'!$AL4</f>
        <v>5600.4</v>
      </c>
    </row>
    <row r="5" spans="1:43" x14ac:dyDescent="0.3">
      <c r="A5" s="263" t="s">
        <v>479</v>
      </c>
      <c r="B5" s="264">
        <v>45990</v>
      </c>
      <c r="C5" s="265" t="s">
        <v>1931</v>
      </c>
      <c r="D5" s="265" t="s">
        <v>639</v>
      </c>
      <c r="E5" s="265" t="s">
        <v>640</v>
      </c>
      <c r="F5" s="265" t="s">
        <v>18</v>
      </c>
      <c r="G5" s="265" t="s">
        <v>19</v>
      </c>
      <c r="H5" s="265" t="s">
        <v>27</v>
      </c>
      <c r="I5" s="266">
        <v>213</v>
      </c>
      <c r="J5" s="267">
        <v>137391.39000000001</v>
      </c>
      <c r="K5" s="266">
        <v>213</v>
      </c>
      <c r="L5" s="266">
        <v>213</v>
      </c>
      <c r="M5" s="264">
        <v>45990</v>
      </c>
      <c r="N5" s="267">
        <v>155183.28</v>
      </c>
      <c r="O5" s="265" t="s">
        <v>21</v>
      </c>
      <c r="P5" s="265" t="s">
        <v>22</v>
      </c>
      <c r="Q5" s="265" t="s">
        <v>660</v>
      </c>
      <c r="R5" s="265" t="str">
        <f>VLOOKUP('MIS Working 1'!$G5,Master!$H$3:$I$8,2,0)</f>
        <v>Finished Goods</v>
      </c>
      <c r="S5" s="265" t="str">
        <f>VLOOKUP('MIS Working 1'!$H5,Master!B:C,2,0)</f>
        <v>FG-PCB-CF</v>
      </c>
      <c r="T5" s="265" t="str">
        <f>VLOOKUP('MIS Working 1'!$S5,Master!E:F,2,0)</f>
        <v>FG-PCB-CF</v>
      </c>
      <c r="U5" s="268">
        <f>'MIS Working 1'!$N5-'MIS Working 1'!$AF5</f>
        <v>17700.300000000076</v>
      </c>
      <c r="V5" s="269">
        <f>'MIS Working 1'!$U5/'MIS Working 1'!$N5</f>
        <v>0.11406061271549406</v>
      </c>
      <c r="W5" s="265">
        <f>'MIS Working 1'!$N5/'MIS Working 1'!$L5</f>
        <v>728.56</v>
      </c>
      <c r="X5" s="270">
        <f>SUM('MIS Working 1'!$Y5:$AE5)</f>
        <v>677.50999999999965</v>
      </c>
      <c r="Y5" s="270">
        <f>SUMIFS('COGS Break up'!$E:$E,'COGS Break up'!$A:$A,'MIS Working 1'!$D5,'COGS Break up'!$D:$D,'MIS Working 1'!$Y$1)</f>
        <v>582.23999999999967</v>
      </c>
      <c r="Z5" s="270">
        <f>SUMIFS('COGS Break up'!$E:$E,'COGS Break up'!$A:$A,'MIS Working 1'!$D5,'COGS Break up'!$D:$D,'MIS Working 1'!$Z$1)</f>
        <v>29.88</v>
      </c>
      <c r="AA5" s="270">
        <f>SUMIFS('COGS Break up'!E:E,'COGS Break up'!A:A,'MIS Working 1'!$D:$D,'COGS Break up'!C:C,'MIS Working 1'!$AA$1)</f>
        <v>2.4500000000000002</v>
      </c>
      <c r="AB5" s="270">
        <f>SUMIFS('COGS Break up'!E:E,'COGS Break up'!A:A,'MIS Working 1'!$D:$D,'COGS Break up'!C:C,$AB$1)</f>
        <v>21.72</v>
      </c>
      <c r="AC5" s="270">
        <f>SUMIFS('COGS Break up'!E:E,'COGS Break up'!A:A,'MIS Working 1'!$D:$D,'COGS Break up'!C:C,$AC$1)</f>
        <v>8.31</v>
      </c>
      <c r="AD5" s="270">
        <f>SUMIFS('COGS Break up'!$E:$E,'COGS Break up'!$A:$A,'MIS Working 1'!$D5,'COGS Break up'!$D:$D,'MIS Working 1'!$AD$1)</f>
        <v>0.43</v>
      </c>
      <c r="AE5" s="270">
        <f>SUMIFS('COGS Break up'!$E:$E,'COGS Break up'!$A:$A,'MIS Working 1'!$D5,'COGS Break up'!$D:$D,'MIS Working 1'!$AE$1)</f>
        <v>32.480000000000004</v>
      </c>
      <c r="AF5" s="271">
        <f>'MIS Working 1'!$AG5+'MIS Working 1'!$AH5+'MIS Working 1'!$AM5+'MIS Working 1'!$AL5</f>
        <v>137482.97999999992</v>
      </c>
      <c r="AG5" s="270">
        <f>'MIS Working 1'!$L5*'MIS Working 1'!$Y5</f>
        <v>124017.11999999992</v>
      </c>
      <c r="AH5" s="270">
        <f>'MIS Working 1'!$L5*'MIS Working 1'!$Z5</f>
        <v>6364.44</v>
      </c>
      <c r="AI5" s="270">
        <f t="shared" si="0"/>
        <v>521.85</v>
      </c>
      <c r="AJ5" s="270">
        <f t="shared" si="1"/>
        <v>4626.3599999999997</v>
      </c>
      <c r="AK5" s="270">
        <f t="shared" si="2"/>
        <v>1770.0300000000002</v>
      </c>
      <c r="AL5" s="270">
        <f>'MIS Working 1'!$AD5*'MIS Working 1'!$L5</f>
        <v>91.59</v>
      </c>
      <c r="AM5" s="270">
        <f>'MIS Working 1'!$L5*'MIS Working 1'!$AE5+'MIS Working 1'!$AL5</f>
        <v>7009.8300000000008</v>
      </c>
    </row>
    <row r="6" spans="1:43" x14ac:dyDescent="0.3">
      <c r="A6" s="272" t="s">
        <v>479</v>
      </c>
      <c r="B6" s="273">
        <v>45990</v>
      </c>
      <c r="C6" s="274" t="s">
        <v>1932</v>
      </c>
      <c r="D6" s="274" t="s">
        <v>23</v>
      </c>
      <c r="E6" s="274" t="s">
        <v>24</v>
      </c>
      <c r="F6" s="274" t="s">
        <v>18</v>
      </c>
      <c r="G6" s="274" t="s">
        <v>19</v>
      </c>
      <c r="H6" s="274" t="s">
        <v>27</v>
      </c>
      <c r="I6" s="275">
        <v>1185</v>
      </c>
      <c r="J6" s="276">
        <v>499370.85</v>
      </c>
      <c r="K6" s="275">
        <v>1185</v>
      </c>
      <c r="L6" s="275">
        <v>1185</v>
      </c>
      <c r="M6" s="273">
        <v>45990</v>
      </c>
      <c r="N6" s="276">
        <v>572544.6</v>
      </c>
      <c r="O6" s="274" t="s">
        <v>21</v>
      </c>
      <c r="P6" s="274" t="s">
        <v>22</v>
      </c>
      <c r="Q6" s="274" t="s">
        <v>660</v>
      </c>
      <c r="R6" s="274" t="str">
        <f>VLOOKUP('MIS Working 1'!$G6,Master!$H$3:$I$8,2,0)</f>
        <v>Finished Goods</v>
      </c>
      <c r="S6" s="274" t="str">
        <f>VLOOKUP('MIS Working 1'!$H6,Master!B:C,2,0)</f>
        <v>FG-PCB-CF</v>
      </c>
      <c r="T6" s="274" t="str">
        <f>VLOOKUP('MIS Working 1'!$S6,Master!E:F,2,0)</f>
        <v>FG-PCB-CF</v>
      </c>
      <c r="U6" s="277">
        <f>'MIS Working 1'!$N6-'MIS Working 1'!$AF6</f>
        <v>72865.650000000198</v>
      </c>
      <c r="V6" s="278">
        <f>'MIS Working 1'!$U6/'MIS Working 1'!$N6</f>
        <v>0.12726632999420517</v>
      </c>
      <c r="W6" s="274">
        <f>'MIS Working 1'!$N6/'MIS Working 1'!$L6</f>
        <v>483.15999999999997</v>
      </c>
      <c r="X6" s="279">
        <f>SUM('MIS Working 1'!$Y6:$AE6)</f>
        <v>447.50999999999988</v>
      </c>
      <c r="Y6" s="279">
        <f>SUMIFS('COGS Break up'!$E:$E,'COGS Break up'!$A:$A,'MIS Working 1'!$D6,'COGS Break up'!$D:$D,'MIS Working 1'!$Y$1)</f>
        <v>373.04999999999984</v>
      </c>
      <c r="Z6" s="279">
        <f>SUMIFS('COGS Break up'!$E:$E,'COGS Break up'!$A:$A,'MIS Working 1'!$D6,'COGS Break up'!$D:$D,'MIS Working 1'!$Z$1)</f>
        <v>22</v>
      </c>
      <c r="AA6" s="279">
        <f>SUMIFS('COGS Break up'!E:E,'COGS Break up'!A:A,'MIS Working 1'!$D:$D,'COGS Break up'!C:C,'MIS Working 1'!$AA$1)</f>
        <v>1.8</v>
      </c>
      <c r="AB6" s="279">
        <f>SUMIFS('COGS Break up'!E:E,'COGS Break up'!A:A,'MIS Working 1'!$D:$D,'COGS Break up'!C:C,$AB$1)</f>
        <v>15.99</v>
      </c>
      <c r="AC6" s="279">
        <f>SUMIFS('COGS Break up'!E:E,'COGS Break up'!A:A,'MIS Working 1'!$D:$D,'COGS Break up'!C:C,$AC$1)</f>
        <v>8.31</v>
      </c>
      <c r="AD6" s="279">
        <f>SUMIFS('COGS Break up'!$E:$E,'COGS Break up'!$A:$A,'MIS Working 1'!$D6,'COGS Break up'!$D:$D,'MIS Working 1'!$AD$1)</f>
        <v>0.26</v>
      </c>
      <c r="AE6" s="279">
        <f>SUMIFS('COGS Break up'!$E:$E,'COGS Break up'!$A:$A,'MIS Working 1'!$D6,'COGS Break up'!$D:$D,'MIS Working 1'!$AE$1)</f>
        <v>26.1</v>
      </c>
      <c r="AF6" s="280">
        <f>'MIS Working 1'!$AG6+'MIS Working 1'!$AH6+'MIS Working 1'!$AM6+'MIS Working 1'!$AL6</f>
        <v>499678.94999999978</v>
      </c>
      <c r="AG6" s="279">
        <f>'MIS Working 1'!$L6*'MIS Working 1'!$Y6</f>
        <v>442064.24999999983</v>
      </c>
      <c r="AH6" s="279">
        <f>'MIS Working 1'!$L6*'MIS Working 1'!$Z6</f>
        <v>26070</v>
      </c>
      <c r="AI6" s="279">
        <f t="shared" si="0"/>
        <v>2133</v>
      </c>
      <c r="AJ6" s="279">
        <f t="shared" si="1"/>
        <v>18948.150000000001</v>
      </c>
      <c r="AK6" s="279">
        <f t="shared" si="2"/>
        <v>9847.35</v>
      </c>
      <c r="AL6" s="279">
        <f>'MIS Working 1'!$AD6*'MIS Working 1'!$L6</f>
        <v>308.10000000000002</v>
      </c>
      <c r="AM6" s="279">
        <f>'MIS Working 1'!$L6*'MIS Working 1'!$AE6+'MIS Working 1'!$AL6</f>
        <v>31236.6</v>
      </c>
    </row>
    <row r="7" spans="1:43" x14ac:dyDescent="0.3">
      <c r="A7" s="263" t="s">
        <v>479</v>
      </c>
      <c r="B7" s="264">
        <v>45990</v>
      </c>
      <c r="C7" s="265" t="s">
        <v>1932</v>
      </c>
      <c r="D7" s="265" t="s">
        <v>38</v>
      </c>
      <c r="E7" s="265" t="s">
        <v>39</v>
      </c>
      <c r="F7" s="265" t="s">
        <v>18</v>
      </c>
      <c r="G7" s="265" t="s">
        <v>19</v>
      </c>
      <c r="H7" s="265" t="s">
        <v>27</v>
      </c>
      <c r="I7" s="266">
        <v>2970</v>
      </c>
      <c r="J7" s="267">
        <v>971576.1</v>
      </c>
      <c r="K7" s="266">
        <v>2970</v>
      </c>
      <c r="L7" s="266">
        <v>2970</v>
      </c>
      <c r="M7" s="264">
        <v>45990</v>
      </c>
      <c r="N7" s="267">
        <v>1012977.9</v>
      </c>
      <c r="O7" s="265" t="s">
        <v>21</v>
      </c>
      <c r="P7" s="265" t="s">
        <v>22</v>
      </c>
      <c r="Q7" s="265" t="s">
        <v>660</v>
      </c>
      <c r="R7" s="265" t="str">
        <f>VLOOKUP('MIS Working 1'!$G7,Master!$H$3:$I$8,2,0)</f>
        <v>Finished Goods</v>
      </c>
      <c r="S7" s="265" t="str">
        <f>VLOOKUP('MIS Working 1'!$H7,Master!B:C,2,0)</f>
        <v>FG-PCB-CF</v>
      </c>
      <c r="T7" s="265" t="str">
        <f>VLOOKUP('MIS Working 1'!$S7,Master!E:F,2,0)</f>
        <v>FG-PCB-CF</v>
      </c>
      <c r="U7" s="268">
        <f>'MIS Working 1'!$N7-'MIS Working 1'!$AF7</f>
        <v>40896.900000000023</v>
      </c>
      <c r="V7" s="269">
        <f>'MIS Working 1'!$U7/'MIS Working 1'!$N7</f>
        <v>4.0372943970445975E-2</v>
      </c>
      <c r="W7" s="265">
        <f>'MIS Working 1'!$N7/'MIS Working 1'!$L7</f>
        <v>341.07</v>
      </c>
      <c r="X7" s="270">
        <f>SUM('MIS Working 1'!$Y7:$AE7)</f>
        <v>353.55</v>
      </c>
      <c r="Y7" s="270">
        <f>SUMIFS('COGS Break up'!$E:$E,'COGS Break up'!$A:$A,'MIS Working 1'!$D7,'COGS Break up'!$D:$D,'MIS Working 1'!$Y$1)</f>
        <v>278.14</v>
      </c>
      <c r="Z7" s="270">
        <f>SUMIFS('COGS Break up'!$E:$E,'COGS Break up'!$A:$A,'MIS Working 1'!$D7,'COGS Break up'!$D:$D,'MIS Working 1'!$Z$1)</f>
        <v>22.400000000000002</v>
      </c>
      <c r="AA7" s="270">
        <f>SUMIFS('COGS Break up'!E:E,'COGS Break up'!A:A,'MIS Working 1'!$D:$D,'COGS Break up'!C:C,'MIS Working 1'!$AA$1)</f>
        <v>1.8299999999999998</v>
      </c>
      <c r="AB7" s="270">
        <f>SUMIFS('COGS Break up'!E:E,'COGS Break up'!A:A,'MIS Working 1'!$D:$D,'COGS Break up'!C:C,$AB$1)</f>
        <v>16.28</v>
      </c>
      <c r="AC7" s="270">
        <f>SUMIFS('COGS Break up'!E:E,'COGS Break up'!A:A,'MIS Working 1'!$D:$D,'COGS Break up'!C:C,$AC$1)</f>
        <v>8.31</v>
      </c>
      <c r="AD7" s="270">
        <f>SUMIFS('COGS Break up'!$E:$E,'COGS Break up'!$A:$A,'MIS Working 1'!$D7,'COGS Break up'!$D:$D,'MIS Working 1'!$AD$1)</f>
        <v>0.17</v>
      </c>
      <c r="AE7" s="270">
        <f>SUMIFS('COGS Break up'!$E:$E,'COGS Break up'!$A:$A,'MIS Working 1'!$D7,'COGS Break up'!$D:$D,'MIS Working 1'!$AE$1)</f>
        <v>26.42</v>
      </c>
      <c r="AF7" s="271">
        <f>'MIS Working 1'!$AG7+'MIS Working 1'!$AH7+'MIS Working 1'!$AM7+'MIS Working 1'!$AL7</f>
        <v>972081</v>
      </c>
      <c r="AG7" s="270">
        <f>'MIS Working 1'!$L7*'MIS Working 1'!$Y7</f>
        <v>826075.79999999993</v>
      </c>
      <c r="AH7" s="270">
        <f>'MIS Working 1'!$L7*'MIS Working 1'!$Z7</f>
        <v>66528</v>
      </c>
      <c r="AI7" s="270">
        <f t="shared" si="0"/>
        <v>5435.0999999999995</v>
      </c>
      <c r="AJ7" s="270">
        <f t="shared" si="1"/>
        <v>48351.600000000006</v>
      </c>
      <c r="AK7" s="270">
        <f t="shared" si="2"/>
        <v>24680.7</v>
      </c>
      <c r="AL7" s="270">
        <f>'MIS Working 1'!$AD7*'MIS Working 1'!$L7</f>
        <v>504.90000000000003</v>
      </c>
      <c r="AM7" s="270">
        <f>'MIS Working 1'!$L7*'MIS Working 1'!$AE7+'MIS Working 1'!$AL7</f>
        <v>78972.3</v>
      </c>
    </row>
    <row r="8" spans="1:43" x14ac:dyDescent="0.3">
      <c r="A8" s="272" t="s">
        <v>479</v>
      </c>
      <c r="B8" s="273">
        <v>45990</v>
      </c>
      <c r="C8" s="274" t="s">
        <v>1932</v>
      </c>
      <c r="D8" s="274" t="s">
        <v>30</v>
      </c>
      <c r="E8" s="274" t="s">
        <v>31</v>
      </c>
      <c r="F8" s="274" t="s">
        <v>18</v>
      </c>
      <c r="G8" s="274" t="s">
        <v>19</v>
      </c>
      <c r="H8" s="274" t="s">
        <v>27</v>
      </c>
      <c r="I8" s="275">
        <v>887</v>
      </c>
      <c r="J8" s="276">
        <v>290137.7</v>
      </c>
      <c r="K8" s="275">
        <v>887</v>
      </c>
      <c r="L8" s="275">
        <v>887</v>
      </c>
      <c r="M8" s="273">
        <v>45990</v>
      </c>
      <c r="N8" s="276">
        <v>302529.09000000003</v>
      </c>
      <c r="O8" s="274" t="s">
        <v>21</v>
      </c>
      <c r="P8" s="274" t="s">
        <v>22</v>
      </c>
      <c r="Q8" s="274" t="s">
        <v>660</v>
      </c>
      <c r="R8" s="274" t="str">
        <f>VLOOKUP('MIS Working 1'!$G8,Master!$H$3:$I$8,2,0)</f>
        <v>Finished Goods</v>
      </c>
      <c r="S8" s="274" t="str">
        <f>VLOOKUP('MIS Working 1'!$H8,Master!B:C,2,0)</f>
        <v>FG-PCB-CF</v>
      </c>
      <c r="T8" s="274" t="str">
        <f>VLOOKUP('MIS Working 1'!$S8,Master!E:F,2,0)</f>
        <v>FG-PCB-CF</v>
      </c>
      <c r="U8" s="277">
        <f>'MIS Working 1'!$N8-'MIS Working 1'!$AF8</f>
        <v>12240.599999999977</v>
      </c>
      <c r="V8" s="278">
        <f>'MIS Working 1'!$U8/'MIS Working 1'!$N8</f>
        <v>4.046090245404161E-2</v>
      </c>
      <c r="W8" s="274">
        <f>'MIS Working 1'!$N8/'MIS Working 1'!$L8</f>
        <v>341.07000000000005</v>
      </c>
      <c r="X8" s="279">
        <f>SUM('MIS Working 1'!$Y8:$AE8)</f>
        <v>353.52000000000004</v>
      </c>
      <c r="Y8" s="279">
        <f>SUMIFS('COGS Break up'!$E:$E,'COGS Break up'!$A:$A,'MIS Working 1'!$D8,'COGS Break up'!$D:$D,'MIS Working 1'!$Y$1)</f>
        <v>278.11000000000007</v>
      </c>
      <c r="Z8" s="279">
        <f>SUMIFS('COGS Break up'!$E:$E,'COGS Break up'!$A:$A,'MIS Working 1'!$D8,'COGS Break up'!$D:$D,'MIS Working 1'!$Z$1)</f>
        <v>22.400000000000002</v>
      </c>
      <c r="AA8" s="279">
        <f>SUMIFS('COGS Break up'!E:E,'COGS Break up'!A:A,'MIS Working 1'!$D:$D,'COGS Break up'!C:C,'MIS Working 1'!$AA$1)</f>
        <v>1.8299999999999998</v>
      </c>
      <c r="AB8" s="279">
        <f>SUMIFS('COGS Break up'!E:E,'COGS Break up'!A:A,'MIS Working 1'!$D:$D,'COGS Break up'!C:C,$AB$1)</f>
        <v>16.28</v>
      </c>
      <c r="AC8" s="279">
        <f>SUMIFS('COGS Break up'!E:E,'COGS Break up'!A:A,'MIS Working 1'!$D:$D,'COGS Break up'!C:C,$AC$1)</f>
        <v>8.31</v>
      </c>
      <c r="AD8" s="279">
        <f>SUMIFS('COGS Break up'!$E:$E,'COGS Break up'!$A:$A,'MIS Working 1'!$D8,'COGS Break up'!$D:$D,'MIS Working 1'!$AD$1)</f>
        <v>0.17</v>
      </c>
      <c r="AE8" s="279">
        <f>SUMIFS('COGS Break up'!$E:$E,'COGS Break up'!$A:$A,'MIS Working 1'!$D8,'COGS Break up'!$D:$D,'MIS Working 1'!$AE$1)</f>
        <v>26.42</v>
      </c>
      <c r="AF8" s="280">
        <f>'MIS Working 1'!$AG8+'MIS Working 1'!$AH8+'MIS Working 1'!$AM8+'MIS Working 1'!$AL8</f>
        <v>290288.49000000005</v>
      </c>
      <c r="AG8" s="279">
        <f>'MIS Working 1'!$L8*'MIS Working 1'!$Y8</f>
        <v>246683.57000000007</v>
      </c>
      <c r="AH8" s="279">
        <f>'MIS Working 1'!$L8*'MIS Working 1'!$Z8</f>
        <v>19868.800000000003</v>
      </c>
      <c r="AI8" s="279">
        <f t="shared" si="0"/>
        <v>1623.2099999999998</v>
      </c>
      <c r="AJ8" s="279">
        <f t="shared" si="1"/>
        <v>14440.36</v>
      </c>
      <c r="AK8" s="279">
        <f t="shared" si="2"/>
        <v>7370.97</v>
      </c>
      <c r="AL8" s="279">
        <f>'MIS Working 1'!$AD8*'MIS Working 1'!$L8</f>
        <v>150.79000000000002</v>
      </c>
      <c r="AM8" s="279">
        <f>'MIS Working 1'!$L8*'MIS Working 1'!$AE8+'MIS Working 1'!$AL8</f>
        <v>23585.33</v>
      </c>
    </row>
    <row r="9" spans="1:43" x14ac:dyDescent="0.3">
      <c r="A9" s="263" t="s">
        <v>479</v>
      </c>
      <c r="B9" s="264">
        <v>45990</v>
      </c>
      <c r="C9" s="265" t="s">
        <v>1931</v>
      </c>
      <c r="D9" s="265" t="s">
        <v>46</v>
      </c>
      <c r="E9" s="265" t="s">
        <v>47</v>
      </c>
      <c r="F9" s="265" t="s">
        <v>18</v>
      </c>
      <c r="G9" s="265" t="s">
        <v>19</v>
      </c>
      <c r="H9" s="265" t="s">
        <v>27</v>
      </c>
      <c r="I9" s="266">
        <v>1220</v>
      </c>
      <c r="J9" s="267">
        <v>399062</v>
      </c>
      <c r="K9" s="266">
        <v>1220</v>
      </c>
      <c r="L9" s="266">
        <v>1220</v>
      </c>
      <c r="M9" s="264">
        <v>45990</v>
      </c>
      <c r="N9" s="267">
        <v>416105.4</v>
      </c>
      <c r="O9" s="265" t="s">
        <v>21</v>
      </c>
      <c r="P9" s="265" t="s">
        <v>22</v>
      </c>
      <c r="Q9" s="265" t="s">
        <v>660</v>
      </c>
      <c r="R9" s="265" t="str">
        <f>VLOOKUP('MIS Working 1'!$G9,Master!$H$3:$I$8,2,0)</f>
        <v>Finished Goods</v>
      </c>
      <c r="S9" s="265" t="str">
        <f>VLOOKUP('MIS Working 1'!$H9,Master!B:C,2,0)</f>
        <v>FG-PCB-CF</v>
      </c>
      <c r="T9" s="265" t="str">
        <f>VLOOKUP('MIS Working 1'!$S9,Master!E:F,2,0)</f>
        <v>FG-PCB-CF</v>
      </c>
      <c r="U9" s="268">
        <f>'MIS Working 1'!$N9-'MIS Working 1'!$AF9</f>
        <v>16836.000000000116</v>
      </c>
      <c r="V9" s="269">
        <f>'MIS Working 1'!$U9/'MIS Working 1'!$N9</f>
        <v>4.0460902454041971E-2</v>
      </c>
      <c r="W9" s="265">
        <f>'MIS Working 1'!$N9/'MIS Working 1'!$L9</f>
        <v>341.07</v>
      </c>
      <c r="X9" s="270">
        <f>SUM('MIS Working 1'!$Y9:$AE9)</f>
        <v>353.51999999999992</v>
      </c>
      <c r="Y9" s="270">
        <f>SUMIFS('COGS Break up'!$E:$E,'COGS Break up'!$A:$A,'MIS Working 1'!$D9,'COGS Break up'!$D:$D,'MIS Working 1'!$Y$1)</f>
        <v>278.1099999999999</v>
      </c>
      <c r="Z9" s="270">
        <f>SUMIFS('COGS Break up'!$E:$E,'COGS Break up'!$A:$A,'MIS Working 1'!$D9,'COGS Break up'!$D:$D,'MIS Working 1'!$Z$1)</f>
        <v>22.400000000000002</v>
      </c>
      <c r="AA9" s="270">
        <f>SUMIFS('COGS Break up'!E:E,'COGS Break up'!A:A,'MIS Working 1'!$D:$D,'COGS Break up'!C:C,'MIS Working 1'!$AA$1)</f>
        <v>1.8299999999999998</v>
      </c>
      <c r="AB9" s="270">
        <f>SUMIFS('COGS Break up'!E:E,'COGS Break up'!A:A,'MIS Working 1'!$D:$D,'COGS Break up'!C:C,$AB$1)</f>
        <v>16.28</v>
      </c>
      <c r="AC9" s="270">
        <f>SUMIFS('COGS Break up'!E:E,'COGS Break up'!A:A,'MIS Working 1'!$D:$D,'COGS Break up'!C:C,$AC$1)</f>
        <v>8.31</v>
      </c>
      <c r="AD9" s="270">
        <f>SUMIFS('COGS Break up'!$E:$E,'COGS Break up'!$A:$A,'MIS Working 1'!$D9,'COGS Break up'!$D:$D,'MIS Working 1'!$AD$1)</f>
        <v>0.17</v>
      </c>
      <c r="AE9" s="270">
        <f>SUMIFS('COGS Break up'!$E:$E,'COGS Break up'!$A:$A,'MIS Working 1'!$D9,'COGS Break up'!$D:$D,'MIS Working 1'!$AE$1)</f>
        <v>26.42</v>
      </c>
      <c r="AF9" s="271">
        <f>'MIS Working 1'!$AG9+'MIS Working 1'!$AH9+'MIS Working 1'!$AM9+'MIS Working 1'!$AL9</f>
        <v>399269.39999999991</v>
      </c>
      <c r="AG9" s="270">
        <f>'MIS Working 1'!$L9*'MIS Working 1'!$Y9</f>
        <v>339294.1999999999</v>
      </c>
      <c r="AH9" s="270">
        <f>'MIS Working 1'!$L9*'MIS Working 1'!$Z9</f>
        <v>27328.000000000004</v>
      </c>
      <c r="AI9" s="270">
        <f t="shared" si="0"/>
        <v>2232.6</v>
      </c>
      <c r="AJ9" s="270">
        <f t="shared" si="1"/>
        <v>19861.600000000002</v>
      </c>
      <c r="AK9" s="270">
        <f t="shared" si="2"/>
        <v>10138.200000000001</v>
      </c>
      <c r="AL9" s="270">
        <f>'MIS Working 1'!$AD9*'MIS Working 1'!$L9</f>
        <v>207.4</v>
      </c>
      <c r="AM9" s="270">
        <f>'MIS Working 1'!$L9*'MIS Working 1'!$AE9+'MIS Working 1'!$AL9</f>
        <v>32439.800000000003</v>
      </c>
    </row>
    <row r="10" spans="1:43" x14ac:dyDescent="0.3">
      <c r="A10" s="272" t="s">
        <v>479</v>
      </c>
      <c r="B10" s="273">
        <v>45990</v>
      </c>
      <c r="C10" s="274" t="s">
        <v>1931</v>
      </c>
      <c r="D10" s="274" t="s">
        <v>378</v>
      </c>
      <c r="E10" s="274" t="s">
        <v>379</v>
      </c>
      <c r="F10" s="274" t="s">
        <v>18</v>
      </c>
      <c r="G10" s="274" t="s">
        <v>19</v>
      </c>
      <c r="H10" s="274" t="s">
        <v>27</v>
      </c>
      <c r="I10" s="275">
        <v>675</v>
      </c>
      <c r="J10" s="276">
        <v>219510</v>
      </c>
      <c r="K10" s="275">
        <v>675</v>
      </c>
      <c r="L10" s="275">
        <v>675</v>
      </c>
      <c r="M10" s="273">
        <v>45990</v>
      </c>
      <c r="N10" s="276">
        <v>239638.5</v>
      </c>
      <c r="O10" s="274" t="s">
        <v>21</v>
      </c>
      <c r="P10" s="274" t="s">
        <v>22</v>
      </c>
      <c r="Q10" s="274" t="s">
        <v>660</v>
      </c>
      <c r="R10" s="274" t="str">
        <f>VLOOKUP('MIS Working 1'!$G10,Master!$H$3:$I$8,2,0)</f>
        <v>Finished Goods</v>
      </c>
      <c r="S10" s="274" t="str">
        <f>VLOOKUP('MIS Working 1'!$H10,Master!B:C,2,0)</f>
        <v>FG-PCB-CF</v>
      </c>
      <c r="T10" s="274" t="str">
        <f>VLOOKUP('MIS Working 1'!$S10,Master!E:F,2,0)</f>
        <v>FG-PCB-CF</v>
      </c>
      <c r="U10" s="277">
        <f>'MIS Working 1'!$N10-'MIS Working 1'!$AF10</f>
        <v>19953.000000000029</v>
      </c>
      <c r="V10" s="278">
        <f>'MIS Working 1'!$U10/'MIS Working 1'!$N10</f>
        <v>8.3262914765365459E-2</v>
      </c>
      <c r="W10" s="274">
        <f>'MIS Working 1'!$N10/'MIS Working 1'!$L10</f>
        <v>355.02</v>
      </c>
      <c r="X10" s="279">
        <f>SUM('MIS Working 1'!$Y10:$AE10)</f>
        <v>354.76999999999992</v>
      </c>
      <c r="Y10" s="279">
        <f>SUMIFS('COGS Break up'!$E:$E,'COGS Break up'!$A:$A,'MIS Working 1'!$D10,'COGS Break up'!$D:$D,'MIS Working 1'!$Y$1)</f>
        <v>271.52999999999997</v>
      </c>
      <c r="Z10" s="279">
        <f>SUMIFS('COGS Break up'!$E:$E,'COGS Break up'!$A:$A,'MIS Working 1'!$D10,'COGS Break up'!$D:$D,'MIS Working 1'!$Z$1)</f>
        <v>23.84</v>
      </c>
      <c r="AA10" s="279">
        <f>SUMIFS('COGS Break up'!E:E,'COGS Break up'!A:A,'MIS Working 1'!$D:$D,'COGS Break up'!C:C,'MIS Working 1'!$AA$1)</f>
        <v>1.9500000000000002</v>
      </c>
      <c r="AB10" s="279">
        <f>SUMIFS('COGS Break up'!E:E,'COGS Break up'!A:A,'MIS Working 1'!$D:$D,'COGS Break up'!C:C,$AB$1)</f>
        <v>17.329999999999998</v>
      </c>
      <c r="AC10" s="279">
        <f>SUMIFS('COGS Break up'!E:E,'COGS Break up'!A:A,'MIS Working 1'!$D:$D,'COGS Break up'!C:C,$AC$1)</f>
        <v>10.29</v>
      </c>
      <c r="AD10" s="279">
        <f>SUMIFS('COGS Break up'!$E:$E,'COGS Break up'!$A:$A,'MIS Working 1'!$D10,'COGS Break up'!$D:$D,'MIS Working 1'!$AD$1)</f>
        <v>0.26</v>
      </c>
      <c r="AE10" s="279">
        <f>SUMIFS('COGS Break up'!$E:$E,'COGS Break up'!$A:$A,'MIS Working 1'!$D10,'COGS Break up'!$D:$D,'MIS Working 1'!$AE$1)</f>
        <v>29.569999999999997</v>
      </c>
      <c r="AF10" s="280">
        <f>'MIS Working 1'!$AG10+'MIS Working 1'!$AH10+'MIS Working 1'!$AM10+'MIS Working 1'!$AL10</f>
        <v>219685.49999999997</v>
      </c>
      <c r="AG10" s="279">
        <f>'MIS Working 1'!$L10*'MIS Working 1'!$Y10</f>
        <v>183282.74999999997</v>
      </c>
      <c r="AH10" s="279">
        <f>'MIS Working 1'!$L10*'MIS Working 1'!$Z10</f>
        <v>16092</v>
      </c>
      <c r="AI10" s="279">
        <f t="shared" si="0"/>
        <v>1316.2500000000002</v>
      </c>
      <c r="AJ10" s="279">
        <f t="shared" si="1"/>
        <v>11697.749999999998</v>
      </c>
      <c r="AK10" s="279">
        <f t="shared" si="2"/>
        <v>6945.7499999999991</v>
      </c>
      <c r="AL10" s="279">
        <f>'MIS Working 1'!$AD10*'MIS Working 1'!$L10</f>
        <v>175.5</v>
      </c>
      <c r="AM10" s="279">
        <f>'MIS Working 1'!$L10*'MIS Working 1'!$AE10+'MIS Working 1'!$AL10</f>
        <v>20135.249999999996</v>
      </c>
    </row>
    <row r="11" spans="1:43" x14ac:dyDescent="0.3">
      <c r="A11" s="263" t="s">
        <v>479</v>
      </c>
      <c r="B11" s="264">
        <v>45990</v>
      </c>
      <c r="C11" s="265" t="s">
        <v>1932</v>
      </c>
      <c r="D11" s="265" t="s">
        <v>378</v>
      </c>
      <c r="E11" s="265" t="s">
        <v>379</v>
      </c>
      <c r="F11" s="265" t="s">
        <v>18</v>
      </c>
      <c r="G11" s="265" t="s">
        <v>19</v>
      </c>
      <c r="H11" s="265" t="s">
        <v>27</v>
      </c>
      <c r="I11" s="266">
        <v>867</v>
      </c>
      <c r="J11" s="267">
        <v>281948.40000000002</v>
      </c>
      <c r="K11" s="266">
        <v>867</v>
      </c>
      <c r="L11" s="266">
        <v>867</v>
      </c>
      <c r="M11" s="264">
        <v>45990</v>
      </c>
      <c r="N11" s="267">
        <v>307802.34000000003</v>
      </c>
      <c r="O11" s="265" t="s">
        <v>21</v>
      </c>
      <c r="P11" s="265" t="s">
        <v>22</v>
      </c>
      <c r="Q11" s="265" t="s">
        <v>660</v>
      </c>
      <c r="R11" s="265" t="str">
        <f>VLOOKUP('MIS Working 1'!$G11,Master!$H$3:$I$8,2,0)</f>
        <v>Finished Goods</v>
      </c>
      <c r="S11" s="265" t="str">
        <f>VLOOKUP('MIS Working 1'!$H11,Master!B:C,2,0)</f>
        <v>FG-PCB-CF</v>
      </c>
      <c r="T11" s="265" t="str">
        <f>VLOOKUP('MIS Working 1'!$S11,Master!E:F,2,0)</f>
        <v>FG-PCB-CF</v>
      </c>
      <c r="U11" s="268">
        <f>'MIS Working 1'!$N11-'MIS Working 1'!$AF11</f>
        <v>25628.520000000077</v>
      </c>
      <c r="V11" s="269">
        <f>'MIS Working 1'!$U11/'MIS Working 1'!$N11</f>
        <v>8.326291476536557E-2</v>
      </c>
      <c r="W11" s="265">
        <f>'MIS Working 1'!$N11/'MIS Working 1'!$L11</f>
        <v>355.02000000000004</v>
      </c>
      <c r="X11" s="270">
        <f>SUM('MIS Working 1'!$Y11:$AE11)</f>
        <v>354.76999999999992</v>
      </c>
      <c r="Y11" s="270">
        <f>SUMIFS('COGS Break up'!$E:$E,'COGS Break up'!$A:$A,'MIS Working 1'!$D11,'COGS Break up'!$D:$D,'MIS Working 1'!$Y$1)</f>
        <v>271.52999999999997</v>
      </c>
      <c r="Z11" s="270">
        <f>SUMIFS('COGS Break up'!$E:$E,'COGS Break up'!$A:$A,'MIS Working 1'!$D11,'COGS Break up'!$D:$D,'MIS Working 1'!$Z$1)</f>
        <v>23.84</v>
      </c>
      <c r="AA11" s="270">
        <f>SUMIFS('COGS Break up'!E:E,'COGS Break up'!A:A,'MIS Working 1'!$D:$D,'COGS Break up'!C:C,'MIS Working 1'!$AA$1)</f>
        <v>1.9500000000000002</v>
      </c>
      <c r="AB11" s="270">
        <f>SUMIFS('COGS Break up'!E:E,'COGS Break up'!A:A,'MIS Working 1'!$D:$D,'COGS Break up'!C:C,$AB$1)</f>
        <v>17.329999999999998</v>
      </c>
      <c r="AC11" s="270">
        <f>SUMIFS('COGS Break up'!E:E,'COGS Break up'!A:A,'MIS Working 1'!$D:$D,'COGS Break up'!C:C,$AC$1)</f>
        <v>10.29</v>
      </c>
      <c r="AD11" s="270">
        <f>SUMIFS('COGS Break up'!$E:$E,'COGS Break up'!$A:$A,'MIS Working 1'!$D11,'COGS Break up'!$D:$D,'MIS Working 1'!$AD$1)</f>
        <v>0.26</v>
      </c>
      <c r="AE11" s="270">
        <f>SUMIFS('COGS Break up'!$E:$E,'COGS Break up'!$A:$A,'MIS Working 1'!$D11,'COGS Break up'!$D:$D,'MIS Working 1'!$AE$1)</f>
        <v>29.569999999999997</v>
      </c>
      <c r="AF11" s="271">
        <f>'MIS Working 1'!$AG11+'MIS Working 1'!$AH11+'MIS Working 1'!$AM11+'MIS Working 1'!$AL11</f>
        <v>282173.81999999995</v>
      </c>
      <c r="AG11" s="270">
        <f>'MIS Working 1'!$L11*'MIS Working 1'!$Y11</f>
        <v>235416.50999999998</v>
      </c>
      <c r="AH11" s="270">
        <f>'MIS Working 1'!$L11*'MIS Working 1'!$Z11</f>
        <v>20669.28</v>
      </c>
      <c r="AI11" s="270">
        <f t="shared" si="0"/>
        <v>1690.65</v>
      </c>
      <c r="AJ11" s="270">
        <f t="shared" si="1"/>
        <v>15025.109999999999</v>
      </c>
      <c r="AK11" s="270">
        <f t="shared" si="2"/>
        <v>8921.4299999999985</v>
      </c>
      <c r="AL11" s="270">
        <f>'MIS Working 1'!$AD11*'MIS Working 1'!$L11</f>
        <v>225.42000000000002</v>
      </c>
      <c r="AM11" s="270">
        <f>'MIS Working 1'!$L11*'MIS Working 1'!$AE11+'MIS Working 1'!$AL11</f>
        <v>25862.609999999997</v>
      </c>
    </row>
    <row r="12" spans="1:43" x14ac:dyDescent="0.3">
      <c r="A12" s="272" t="s">
        <v>479</v>
      </c>
      <c r="B12" s="273">
        <v>45990</v>
      </c>
      <c r="C12" s="274" t="s">
        <v>1932</v>
      </c>
      <c r="D12" s="274" t="s">
        <v>380</v>
      </c>
      <c r="E12" s="274" t="s">
        <v>381</v>
      </c>
      <c r="F12" s="274" t="s">
        <v>18</v>
      </c>
      <c r="G12" s="274" t="s">
        <v>19</v>
      </c>
      <c r="H12" s="274" t="s">
        <v>27</v>
      </c>
      <c r="I12" s="275">
        <v>444</v>
      </c>
      <c r="J12" s="276">
        <v>96170.4</v>
      </c>
      <c r="K12" s="275">
        <v>444</v>
      </c>
      <c r="L12" s="275">
        <v>444</v>
      </c>
      <c r="M12" s="273">
        <v>45990</v>
      </c>
      <c r="N12" s="276">
        <v>98501.4</v>
      </c>
      <c r="O12" s="274" t="s">
        <v>21</v>
      </c>
      <c r="P12" s="274" t="s">
        <v>22</v>
      </c>
      <c r="Q12" s="274" t="s">
        <v>660</v>
      </c>
      <c r="R12" s="274" t="str">
        <f>VLOOKUP('MIS Working 1'!$G12,Master!$H$3:$I$8,2,0)</f>
        <v>Finished Goods</v>
      </c>
      <c r="S12" s="274" t="str">
        <f>VLOOKUP('MIS Working 1'!$H12,Master!B:C,2,0)</f>
        <v>FG-PCB-CF</v>
      </c>
      <c r="T12" s="274" t="str">
        <f>VLOOKUP('MIS Working 1'!$S12,Master!E:F,2,0)</f>
        <v>FG-PCB-CF</v>
      </c>
      <c r="U12" s="277">
        <f>'MIS Working 1'!$N12-'MIS Working 1'!$AF12</f>
        <v>2313.2400000000052</v>
      </c>
      <c r="V12" s="278">
        <f>'MIS Working 1'!$U12/'MIS Working 1'!$N12</f>
        <v>2.3484336263240983E-2</v>
      </c>
      <c r="W12" s="274">
        <f>'MIS Working 1'!$N12/'MIS Working 1'!$L12</f>
        <v>221.85</v>
      </c>
      <c r="X12" s="279">
        <f>SUM('MIS Working 1'!$Y12:$AE12)</f>
        <v>239.77999999999994</v>
      </c>
      <c r="Y12" s="279">
        <f>SUMIFS('COGS Break up'!$E:$E,'COGS Break up'!$A:$A,'MIS Working 1'!$D12,'COGS Break up'!$D:$D,'MIS Working 1'!$Y$1)</f>
        <v>174.98999999999995</v>
      </c>
      <c r="Z12" s="279">
        <f>SUMIFS('COGS Break up'!$E:$E,'COGS Break up'!$A:$A,'MIS Working 1'!$D12,'COGS Break up'!$D:$D,'MIS Working 1'!$Z$1)</f>
        <v>18.389999999999997</v>
      </c>
      <c r="AA12" s="279">
        <f>SUMIFS('COGS Break up'!E:E,'COGS Break up'!A:A,'MIS Working 1'!$D:$D,'COGS Break up'!C:C,'MIS Working 1'!$AA$1)</f>
        <v>1.5</v>
      </c>
      <c r="AB12" s="279">
        <f>SUMIFS('COGS Break up'!E:E,'COGS Break up'!A:A,'MIS Working 1'!$D:$D,'COGS Break up'!C:C,$AB$1)</f>
        <v>13.37</v>
      </c>
      <c r="AC12" s="279">
        <f>SUMIFS('COGS Break up'!E:E,'COGS Break up'!A:A,'MIS Working 1'!$D:$D,'COGS Break up'!C:C,$AC$1)</f>
        <v>8.31</v>
      </c>
      <c r="AD12" s="279">
        <f>SUMIFS('COGS Break up'!$E:$E,'COGS Break up'!$A:$A,'MIS Working 1'!$D12,'COGS Break up'!$D:$D,'MIS Working 1'!$AD$1)</f>
        <v>0.04</v>
      </c>
      <c r="AE12" s="279">
        <f>SUMIFS('COGS Break up'!$E:$E,'COGS Break up'!$A:$A,'MIS Working 1'!$D12,'COGS Break up'!$D:$D,'MIS Working 1'!$AE$1)</f>
        <v>23.18</v>
      </c>
      <c r="AF12" s="280">
        <f>'MIS Working 1'!$AG12+'MIS Working 1'!$AH12+'MIS Working 1'!$AM12+'MIS Working 1'!$AL12</f>
        <v>96188.159999999989</v>
      </c>
      <c r="AG12" s="279">
        <f>'MIS Working 1'!$L12*'MIS Working 1'!$Y12</f>
        <v>77695.559999999983</v>
      </c>
      <c r="AH12" s="279">
        <f>'MIS Working 1'!$L12*'MIS Working 1'!$Z12</f>
        <v>8165.1599999999989</v>
      </c>
      <c r="AI12" s="279">
        <f t="shared" si="0"/>
        <v>666</v>
      </c>
      <c r="AJ12" s="279">
        <f t="shared" si="1"/>
        <v>5936.28</v>
      </c>
      <c r="AK12" s="279">
        <f t="shared" si="2"/>
        <v>3689.6400000000003</v>
      </c>
      <c r="AL12" s="279">
        <f>'MIS Working 1'!$AD12*'MIS Working 1'!$L12</f>
        <v>17.760000000000002</v>
      </c>
      <c r="AM12" s="279">
        <f>'MIS Working 1'!$L12*'MIS Working 1'!$AE12+'MIS Working 1'!$AL12</f>
        <v>10309.68</v>
      </c>
    </row>
    <row r="13" spans="1:43" x14ac:dyDescent="0.3">
      <c r="A13" s="263" t="s">
        <v>479</v>
      </c>
      <c r="B13" s="264">
        <v>45990</v>
      </c>
      <c r="C13" s="265" t="s">
        <v>1931</v>
      </c>
      <c r="D13" s="265" t="s">
        <v>380</v>
      </c>
      <c r="E13" s="265" t="s">
        <v>381</v>
      </c>
      <c r="F13" s="265" t="s">
        <v>18</v>
      </c>
      <c r="G13" s="265" t="s">
        <v>19</v>
      </c>
      <c r="H13" s="265" t="s">
        <v>27</v>
      </c>
      <c r="I13" s="266">
        <v>792</v>
      </c>
      <c r="J13" s="267">
        <v>171547.2</v>
      </c>
      <c r="K13" s="266">
        <v>792</v>
      </c>
      <c r="L13" s="266">
        <v>792</v>
      </c>
      <c r="M13" s="264">
        <v>45990</v>
      </c>
      <c r="N13" s="267">
        <v>175705.2</v>
      </c>
      <c r="O13" s="265" t="s">
        <v>21</v>
      </c>
      <c r="P13" s="265" t="s">
        <v>22</v>
      </c>
      <c r="Q13" s="265" t="s">
        <v>660</v>
      </c>
      <c r="R13" s="265" t="str">
        <f>VLOOKUP('MIS Working 1'!$G13,Master!$H$3:$I$8,2,0)</f>
        <v>Finished Goods</v>
      </c>
      <c r="S13" s="265" t="str">
        <f>VLOOKUP('MIS Working 1'!$H13,Master!B:C,2,0)</f>
        <v>FG-PCB-CF</v>
      </c>
      <c r="T13" s="265" t="str">
        <f>VLOOKUP('MIS Working 1'!$S13,Master!E:F,2,0)</f>
        <v>FG-PCB-CF</v>
      </c>
      <c r="U13" s="268">
        <f>'MIS Working 1'!$N13-'MIS Working 1'!$AF13</f>
        <v>4126.3200000000652</v>
      </c>
      <c r="V13" s="269">
        <f>'MIS Working 1'!$U13/'MIS Working 1'!$N13</f>
        <v>2.3484336263241298E-2</v>
      </c>
      <c r="W13" s="265">
        <f>'MIS Working 1'!$N13/'MIS Working 1'!$L13</f>
        <v>221.85000000000002</v>
      </c>
      <c r="X13" s="270">
        <f>SUM('MIS Working 1'!$Y13:$AE13)</f>
        <v>239.77999999999994</v>
      </c>
      <c r="Y13" s="270">
        <f>SUMIFS('COGS Break up'!$E:$E,'COGS Break up'!$A:$A,'MIS Working 1'!$D13,'COGS Break up'!$D:$D,'MIS Working 1'!$Y$1)</f>
        <v>174.98999999999995</v>
      </c>
      <c r="Z13" s="270">
        <f>SUMIFS('COGS Break up'!$E:$E,'COGS Break up'!$A:$A,'MIS Working 1'!$D13,'COGS Break up'!$D:$D,'MIS Working 1'!$Z$1)</f>
        <v>18.389999999999997</v>
      </c>
      <c r="AA13" s="270">
        <f>SUMIFS('COGS Break up'!E:E,'COGS Break up'!A:A,'MIS Working 1'!$D:$D,'COGS Break up'!C:C,'MIS Working 1'!$AA$1)</f>
        <v>1.5</v>
      </c>
      <c r="AB13" s="270">
        <f>SUMIFS('COGS Break up'!E:E,'COGS Break up'!A:A,'MIS Working 1'!$D:$D,'COGS Break up'!C:C,$AB$1)</f>
        <v>13.37</v>
      </c>
      <c r="AC13" s="270">
        <f>SUMIFS('COGS Break up'!E:E,'COGS Break up'!A:A,'MIS Working 1'!$D:$D,'COGS Break up'!C:C,$AC$1)</f>
        <v>8.31</v>
      </c>
      <c r="AD13" s="270">
        <f>SUMIFS('COGS Break up'!$E:$E,'COGS Break up'!$A:$A,'MIS Working 1'!$D13,'COGS Break up'!$D:$D,'MIS Working 1'!$AD$1)</f>
        <v>0.04</v>
      </c>
      <c r="AE13" s="270">
        <f>SUMIFS('COGS Break up'!$E:$E,'COGS Break up'!$A:$A,'MIS Working 1'!$D13,'COGS Break up'!$D:$D,'MIS Working 1'!$AE$1)</f>
        <v>23.18</v>
      </c>
      <c r="AF13" s="271">
        <f>'MIS Working 1'!$AG13+'MIS Working 1'!$AH13+'MIS Working 1'!$AM13+'MIS Working 1'!$AL13</f>
        <v>171578.87999999995</v>
      </c>
      <c r="AG13" s="270">
        <f>'MIS Working 1'!$L13*'MIS Working 1'!$Y13</f>
        <v>138592.07999999996</v>
      </c>
      <c r="AH13" s="270">
        <f>'MIS Working 1'!$L13*'MIS Working 1'!$Z13</f>
        <v>14564.879999999997</v>
      </c>
      <c r="AI13" s="270">
        <f t="shared" si="0"/>
        <v>1188</v>
      </c>
      <c r="AJ13" s="270">
        <f t="shared" si="1"/>
        <v>10589.039999999999</v>
      </c>
      <c r="AK13" s="270">
        <f t="shared" si="2"/>
        <v>6581.52</v>
      </c>
      <c r="AL13" s="270">
        <f>'MIS Working 1'!$AD13*'MIS Working 1'!$L13</f>
        <v>31.68</v>
      </c>
      <c r="AM13" s="270">
        <f>'MIS Working 1'!$L13*'MIS Working 1'!$AE13+'MIS Working 1'!$AL13</f>
        <v>18390.240000000002</v>
      </c>
    </row>
    <row r="14" spans="1:43" x14ac:dyDescent="0.3">
      <c r="A14" s="272" t="s">
        <v>479</v>
      </c>
      <c r="B14" s="273">
        <v>45990</v>
      </c>
      <c r="C14" s="274" t="s">
        <v>1933</v>
      </c>
      <c r="D14" s="274" t="s">
        <v>1689</v>
      </c>
      <c r="E14" s="274" t="s">
        <v>1690</v>
      </c>
      <c r="F14" s="274" t="s">
        <v>18</v>
      </c>
      <c r="G14" s="274" t="s">
        <v>19</v>
      </c>
      <c r="H14" s="274" t="s">
        <v>1105</v>
      </c>
      <c r="I14" s="275">
        <v>88</v>
      </c>
      <c r="J14" s="276">
        <v>46208.800000000003</v>
      </c>
      <c r="K14" s="275">
        <v>88</v>
      </c>
      <c r="L14" s="275">
        <v>88</v>
      </c>
      <c r="M14" s="273">
        <v>45990</v>
      </c>
      <c r="N14" s="276">
        <v>85785.919999999998</v>
      </c>
      <c r="O14" s="274" t="s">
        <v>21</v>
      </c>
      <c r="P14" s="274" t="s">
        <v>22</v>
      </c>
      <c r="Q14" s="274" t="s">
        <v>660</v>
      </c>
      <c r="R14" s="274" t="str">
        <f>VLOOKUP('MIS Working 1'!$G14,Master!$H$3:$I$8,2,0)</f>
        <v>Finished Goods</v>
      </c>
      <c r="S14" s="274" t="str">
        <f>VLOOKUP('MIS Working 1'!$H14,Master!B:C,2,0)</f>
        <v>FG-PCB-Ped</v>
      </c>
      <c r="T14" s="274" t="str">
        <f>VLOOKUP('MIS Working 1'!$S14,Master!E:F,2,0)</f>
        <v>FG-PCB-Ped</v>
      </c>
      <c r="U14" s="277">
        <f>'MIS Working 1'!$N14-'MIS Working 1'!$AF14</f>
        <v>39548.959999999985</v>
      </c>
      <c r="V14" s="278">
        <f>'MIS Working 1'!$U14/'MIS Working 1'!$N14</f>
        <v>0.46101924418366075</v>
      </c>
      <c r="W14" s="274">
        <f>'MIS Working 1'!$N14/'MIS Working 1'!$L14</f>
        <v>974.84</v>
      </c>
      <c r="X14" s="279">
        <f>SUM('MIS Working 1'!$Y14:$AE14)</f>
        <v>571.57000000000016</v>
      </c>
      <c r="Y14" s="279">
        <f>SUMIFS('COGS Break up'!$E:$E,'COGS Break up'!$A:$A,'MIS Working 1'!$D14,'COGS Break up'!$D:$D,'MIS Working 1'!$Y$1)</f>
        <v>451.65000000000009</v>
      </c>
      <c r="Z14" s="279">
        <f>SUMIFS('COGS Break up'!$E:$E,'COGS Break up'!$A:$A,'MIS Working 1'!$D14,'COGS Break up'!$D:$D,'MIS Working 1'!$Z$1)</f>
        <v>26.66</v>
      </c>
      <c r="AA14" s="279">
        <f>SUMIFS('COGS Break up'!E:E,'COGS Break up'!A:A,'MIS Working 1'!$D:$D,'COGS Break up'!C:C,'MIS Working 1'!$AA$1)</f>
        <v>2.87</v>
      </c>
      <c r="AB14" s="279">
        <f>SUMIFS('COGS Break up'!E:E,'COGS Break up'!A:A,'MIS Working 1'!$D:$D,'COGS Break up'!C:C,$AB$1)</f>
        <v>22.919999999999998</v>
      </c>
      <c r="AC14" s="279">
        <f>SUMIFS('COGS Break up'!E:E,'COGS Break up'!A:A,'MIS Working 1'!$D:$D,'COGS Break up'!C:C,$AC$1)</f>
        <v>20.68</v>
      </c>
      <c r="AD14" s="279">
        <f>SUMIFS('COGS Break up'!$E:$E,'COGS Break up'!$A:$A,'MIS Working 1'!$D14,'COGS Break up'!$D:$D,'MIS Working 1'!$AD$1)</f>
        <v>0.32</v>
      </c>
      <c r="AE14" s="279">
        <f>SUMIFS('COGS Break up'!$E:$E,'COGS Break up'!$A:$A,'MIS Working 1'!$D14,'COGS Break up'!$D:$D,'MIS Working 1'!$AE$1)</f>
        <v>46.469999999999992</v>
      </c>
      <c r="AF14" s="280">
        <f>'MIS Working 1'!$AG14+'MIS Working 1'!$AH14+'MIS Working 1'!$AM14+'MIS Working 1'!$AL14</f>
        <v>46236.960000000014</v>
      </c>
      <c r="AG14" s="279">
        <f>'MIS Working 1'!$L14*'MIS Working 1'!$Y14</f>
        <v>39745.200000000012</v>
      </c>
      <c r="AH14" s="279">
        <f>'MIS Working 1'!$L14*'MIS Working 1'!$Z14</f>
        <v>2346.08</v>
      </c>
      <c r="AI14" s="279">
        <f t="shared" si="0"/>
        <v>252.56</v>
      </c>
      <c r="AJ14" s="279">
        <f t="shared" si="1"/>
        <v>2016.9599999999998</v>
      </c>
      <c r="AK14" s="279">
        <f t="shared" si="2"/>
        <v>1819.84</v>
      </c>
      <c r="AL14" s="279">
        <f>'MIS Working 1'!$AD14*'MIS Working 1'!$L14</f>
        <v>28.16</v>
      </c>
      <c r="AM14" s="279">
        <f>'MIS Working 1'!$L14*'MIS Working 1'!$AE14+'MIS Working 1'!$AL14</f>
        <v>4117.5199999999995</v>
      </c>
    </row>
    <row r="15" spans="1:43" x14ac:dyDescent="0.3">
      <c r="A15" s="263" t="s">
        <v>1295</v>
      </c>
      <c r="B15" s="264">
        <v>45989</v>
      </c>
      <c r="C15" s="265" t="s">
        <v>1934</v>
      </c>
      <c r="D15" s="265" t="s">
        <v>694</v>
      </c>
      <c r="E15" s="265" t="s">
        <v>695</v>
      </c>
      <c r="F15" s="265" t="s">
        <v>18</v>
      </c>
      <c r="G15" s="265" t="s">
        <v>19</v>
      </c>
      <c r="H15" s="265" t="s">
        <v>20</v>
      </c>
      <c r="I15" s="266">
        <v>1500</v>
      </c>
      <c r="J15" s="267">
        <v>697335</v>
      </c>
      <c r="K15" s="266">
        <v>1500</v>
      </c>
      <c r="L15" s="266">
        <v>1500</v>
      </c>
      <c r="M15" s="264">
        <v>45989</v>
      </c>
      <c r="N15" s="267">
        <v>988950</v>
      </c>
      <c r="O15" s="265" t="s">
        <v>21</v>
      </c>
      <c r="P15" s="265" t="s">
        <v>22</v>
      </c>
      <c r="Q15" s="265" t="s">
        <v>660</v>
      </c>
      <c r="R15" s="265" t="str">
        <f>VLOOKUP('MIS Working 1'!$G15,Master!$H$3:$I$8,2,0)</f>
        <v>Finished Goods</v>
      </c>
      <c r="S15" s="265" t="str">
        <f>VLOOKUP('MIS Working 1'!$H15,Master!B:C,2,0)</f>
        <v>FG-PCB-Ref</v>
      </c>
      <c r="T15" s="265" t="str">
        <f>VLOOKUP('MIS Working 1'!$S15,Master!E:F,2,0)</f>
        <v>FG-PCB-Ref</v>
      </c>
      <c r="U15" s="268">
        <f>'MIS Working 1'!$N15-'MIS Working 1'!$AF15</f>
        <v>291254.99999999988</v>
      </c>
      <c r="V15" s="269">
        <f>'MIS Working 1'!$U15/'MIS Working 1'!$N15</f>
        <v>0.29450932807523117</v>
      </c>
      <c r="W15" s="265">
        <f>'MIS Working 1'!$N15/'MIS Working 1'!$L15</f>
        <v>659.3</v>
      </c>
      <c r="X15" s="270">
        <f>SUM('MIS Working 1'!$Y15:$AE15)</f>
        <v>496.11</v>
      </c>
      <c r="Y15" s="270">
        <f>SUMIFS('COGS Break up'!$E:$E,'COGS Break up'!$A:$A,'MIS Working 1'!$D15,'COGS Break up'!$D:$D,'MIS Working 1'!$Y$1)</f>
        <v>405.11000000000007</v>
      </c>
      <c r="Z15" s="270">
        <f>SUMIFS('COGS Break up'!$E:$E,'COGS Break up'!$A:$A,'MIS Working 1'!$D15,'COGS Break up'!$D:$D,'MIS Working 1'!$Z$1)</f>
        <v>28.32</v>
      </c>
      <c r="AA15" s="270">
        <f>SUMIFS('COGS Break up'!E:E,'COGS Break up'!A:A,'MIS Working 1'!$D:$D,'COGS Break up'!C:C,'MIS Working 1'!$AA$1)</f>
        <v>2.3199999999999998</v>
      </c>
      <c r="AB15" s="270">
        <f>SUMIFS('COGS Break up'!E:E,'COGS Break up'!A:A,'MIS Working 1'!$D:$D,'COGS Break up'!C:C,$AB$1)</f>
        <v>20.59</v>
      </c>
      <c r="AC15" s="270">
        <f>SUMIFS('COGS Break up'!E:E,'COGS Break up'!A:A,'MIS Working 1'!$D:$D,'COGS Break up'!C:C,$AC$1)</f>
        <v>8.31</v>
      </c>
      <c r="AD15" s="270">
        <f>SUMIFS('COGS Break up'!$E:$E,'COGS Break up'!$A:$A,'MIS Working 1'!$D15,'COGS Break up'!$D:$D,'MIS Working 1'!$AD$1)</f>
        <v>0.24</v>
      </c>
      <c r="AE15" s="270">
        <f>SUMIFS('COGS Break up'!$E:$E,'COGS Break up'!$A:$A,'MIS Working 1'!$D15,'COGS Break up'!$D:$D,'MIS Working 1'!$AE$1)</f>
        <v>31.22</v>
      </c>
      <c r="AF15" s="271">
        <f>'MIS Working 1'!$AG15+'MIS Working 1'!$AH15+'MIS Working 1'!$AM15+'MIS Working 1'!$AL15</f>
        <v>697695.00000000012</v>
      </c>
      <c r="AG15" s="270">
        <f>'MIS Working 1'!$L15*'MIS Working 1'!$Y15</f>
        <v>607665.00000000012</v>
      </c>
      <c r="AH15" s="270">
        <f>'MIS Working 1'!$L15*'MIS Working 1'!$Z15</f>
        <v>42480</v>
      </c>
      <c r="AI15" s="270">
        <f t="shared" si="0"/>
        <v>3479.9999999999995</v>
      </c>
      <c r="AJ15" s="270">
        <f t="shared" si="1"/>
        <v>30885</v>
      </c>
      <c r="AK15" s="270">
        <f t="shared" si="2"/>
        <v>12465</v>
      </c>
      <c r="AL15" s="270">
        <f>'MIS Working 1'!$AD15*'MIS Working 1'!$L15</f>
        <v>360</v>
      </c>
      <c r="AM15" s="270">
        <f>'MIS Working 1'!$L15*'MIS Working 1'!$AE15+'MIS Working 1'!$AL15</f>
        <v>47190</v>
      </c>
    </row>
    <row r="16" spans="1:43" x14ac:dyDescent="0.3">
      <c r="A16" s="272" t="s">
        <v>479</v>
      </c>
      <c r="B16" s="273">
        <v>45989</v>
      </c>
      <c r="C16" s="274" t="s">
        <v>1935</v>
      </c>
      <c r="D16" s="274" t="s">
        <v>40</v>
      </c>
      <c r="E16" s="274" t="s">
        <v>41</v>
      </c>
      <c r="F16" s="274" t="s">
        <v>18</v>
      </c>
      <c r="G16" s="274" t="s">
        <v>34</v>
      </c>
      <c r="H16" s="274" t="s">
        <v>772</v>
      </c>
      <c r="I16" s="275">
        <v>6384</v>
      </c>
      <c r="J16" s="276">
        <v>942725.28</v>
      </c>
      <c r="K16" s="275">
        <v>6384</v>
      </c>
      <c r="L16" s="275">
        <v>6384</v>
      </c>
      <c r="M16" s="273">
        <v>45989</v>
      </c>
      <c r="N16" s="276">
        <v>1040208.96</v>
      </c>
      <c r="O16" s="274" t="s">
        <v>21</v>
      </c>
      <c r="P16" s="274" t="s">
        <v>22</v>
      </c>
      <c r="Q16" s="274" t="s">
        <v>660</v>
      </c>
      <c r="R16" s="274" t="str">
        <f>VLOOKUP('MIS Working 1'!$G16,Master!$H$3:$I$8,2,0)</f>
        <v>Semi-Finished Goods</v>
      </c>
      <c r="S16" s="274" t="str">
        <f>VLOOKUP('MIS Working 1'!$H16,Master!B:C,2,0)</f>
        <v>SFG-GV5 Stator</v>
      </c>
      <c r="T16" s="274" t="str">
        <f>VLOOKUP('MIS Working 1'!$S16,Master!E:F,2,0)</f>
        <v>Sub Ass.-Mech Stator</v>
      </c>
      <c r="U16" s="277">
        <f>'MIS Working 1'!$N16-'MIS Working 1'!$AF16</f>
        <v>97483.680000000051</v>
      </c>
      <c r="V16" s="278">
        <f>'MIS Working 1'!$U16/'MIS Working 1'!$N16</f>
        <v>9.3715478090094562E-2</v>
      </c>
      <c r="W16" s="274">
        <f>'MIS Working 1'!$N16/'MIS Working 1'!$L16</f>
        <v>162.94</v>
      </c>
      <c r="X16" s="279">
        <f>SUM('MIS Working 1'!$Y16:$AE16)</f>
        <v>149.61999999999998</v>
      </c>
      <c r="Y16" s="279">
        <f>SUMIFS('COGS Break up'!$E:$E,'COGS Break up'!$A:$A,'MIS Working 1'!$D16,'COGS Break up'!$D:$D,'MIS Working 1'!$Y$1)</f>
        <v>144.21999999999997</v>
      </c>
      <c r="Z16" s="279">
        <f>SUMIFS('COGS Break up'!$E:$E,'COGS Break up'!$A:$A,'MIS Working 1'!$D16,'COGS Break up'!$D:$D,'MIS Working 1'!$Z$1)</f>
        <v>1.5</v>
      </c>
      <c r="AA16" s="279">
        <f>SUMIFS('COGS Break up'!E:E,'COGS Break up'!A:A,'MIS Working 1'!$D:$D,'COGS Break up'!C:C,'MIS Working 1'!$AA$1)</f>
        <v>0.05</v>
      </c>
      <c r="AB16" s="279">
        <f>SUMIFS('COGS Break up'!E:E,'COGS Break up'!A:A,'MIS Working 1'!$D:$D,'COGS Break up'!C:C,$AB$1)</f>
        <v>0.4</v>
      </c>
      <c r="AC16" s="279">
        <f>SUMIFS('COGS Break up'!E:E,'COGS Break up'!A:A,'MIS Working 1'!$D:$D,'COGS Break up'!C:C,$AC$1)</f>
        <v>1.5</v>
      </c>
      <c r="AD16" s="279">
        <f>SUMIFS('COGS Break up'!$E:$E,'COGS Break up'!$A:$A,'MIS Working 1'!$D16,'COGS Break up'!$D:$D,'MIS Working 1'!$AD$1)</f>
        <v>0</v>
      </c>
      <c r="AE16" s="279">
        <f>SUMIFS('COGS Break up'!$E:$E,'COGS Break up'!$A:$A,'MIS Working 1'!$D16,'COGS Break up'!$D:$D,'MIS Working 1'!$AE$1)</f>
        <v>1.95</v>
      </c>
      <c r="AF16" s="280">
        <f>'MIS Working 1'!$AG16+'MIS Working 1'!$AH16+'MIS Working 1'!$AM16+'MIS Working 1'!$AL16</f>
        <v>942725.27999999991</v>
      </c>
      <c r="AG16" s="279">
        <f>'MIS Working 1'!$L16*'MIS Working 1'!$Y16</f>
        <v>920700.47999999986</v>
      </c>
      <c r="AH16" s="279">
        <f>'MIS Working 1'!$L16*'MIS Working 1'!$Z16</f>
        <v>9576</v>
      </c>
      <c r="AI16" s="279">
        <f t="shared" si="0"/>
        <v>319.20000000000005</v>
      </c>
      <c r="AJ16" s="279">
        <f t="shared" si="1"/>
        <v>2553.6000000000004</v>
      </c>
      <c r="AK16" s="279">
        <f t="shared" si="2"/>
        <v>9576</v>
      </c>
      <c r="AL16" s="279">
        <f>'MIS Working 1'!$AD16*'MIS Working 1'!$L16</f>
        <v>0</v>
      </c>
      <c r="AM16" s="279">
        <f>'MIS Working 1'!$L16*'MIS Working 1'!$AE16+'MIS Working 1'!$AL16</f>
        <v>12448.8</v>
      </c>
    </row>
    <row r="17" spans="1:39" x14ac:dyDescent="0.3">
      <c r="A17" s="263" t="s">
        <v>479</v>
      </c>
      <c r="B17" s="264">
        <v>45989</v>
      </c>
      <c r="C17" s="265" t="s">
        <v>1936</v>
      </c>
      <c r="D17" s="265" t="s">
        <v>40</v>
      </c>
      <c r="E17" s="265" t="s">
        <v>41</v>
      </c>
      <c r="F17" s="265" t="s">
        <v>18</v>
      </c>
      <c r="G17" s="265" t="s">
        <v>34</v>
      </c>
      <c r="H17" s="265" t="s">
        <v>772</v>
      </c>
      <c r="I17" s="266">
        <v>2240</v>
      </c>
      <c r="J17" s="267">
        <v>330780.79999999999</v>
      </c>
      <c r="K17" s="266">
        <v>2240</v>
      </c>
      <c r="L17" s="266">
        <v>2240</v>
      </c>
      <c r="M17" s="264">
        <v>45989</v>
      </c>
      <c r="N17" s="267">
        <v>364985.59999999998</v>
      </c>
      <c r="O17" s="265" t="s">
        <v>21</v>
      </c>
      <c r="P17" s="265" t="s">
        <v>22</v>
      </c>
      <c r="Q17" s="265" t="s">
        <v>660</v>
      </c>
      <c r="R17" s="265" t="str">
        <f>VLOOKUP('MIS Working 1'!$G17,Master!$H$3:$I$8,2,0)</f>
        <v>Semi-Finished Goods</v>
      </c>
      <c r="S17" s="265" t="str">
        <f>VLOOKUP('MIS Working 1'!$H17,Master!B:C,2,0)</f>
        <v>SFG-GV5 Stator</v>
      </c>
      <c r="T17" s="265" t="str">
        <f>VLOOKUP('MIS Working 1'!$S17,Master!E:F,2,0)</f>
        <v>Sub Ass.-Mech Stator</v>
      </c>
      <c r="U17" s="268">
        <f>'MIS Working 1'!$N17-'MIS Working 1'!$AF17</f>
        <v>34204.800000000047</v>
      </c>
      <c r="V17" s="269">
        <f>'MIS Working 1'!$U17/'MIS Working 1'!$N17</f>
        <v>9.3715478090094645E-2</v>
      </c>
      <c r="W17" s="265">
        <f>'MIS Working 1'!$N17/'MIS Working 1'!$L17</f>
        <v>162.94</v>
      </c>
      <c r="X17" s="270">
        <f>SUM('MIS Working 1'!$Y17:$AE17)</f>
        <v>149.61999999999998</v>
      </c>
      <c r="Y17" s="270">
        <f>SUMIFS('COGS Break up'!$E:$E,'COGS Break up'!$A:$A,'MIS Working 1'!$D17,'COGS Break up'!$D:$D,'MIS Working 1'!$Y$1)</f>
        <v>144.21999999999997</v>
      </c>
      <c r="Z17" s="270">
        <f>SUMIFS('COGS Break up'!$E:$E,'COGS Break up'!$A:$A,'MIS Working 1'!$D17,'COGS Break up'!$D:$D,'MIS Working 1'!$Z$1)</f>
        <v>1.5</v>
      </c>
      <c r="AA17" s="270">
        <f>SUMIFS('COGS Break up'!E:E,'COGS Break up'!A:A,'MIS Working 1'!$D:$D,'COGS Break up'!C:C,'MIS Working 1'!$AA$1)</f>
        <v>0.05</v>
      </c>
      <c r="AB17" s="270">
        <f>SUMIFS('COGS Break up'!E:E,'COGS Break up'!A:A,'MIS Working 1'!$D:$D,'COGS Break up'!C:C,$AB$1)</f>
        <v>0.4</v>
      </c>
      <c r="AC17" s="270">
        <f>SUMIFS('COGS Break up'!E:E,'COGS Break up'!A:A,'MIS Working 1'!$D:$D,'COGS Break up'!C:C,$AC$1)</f>
        <v>1.5</v>
      </c>
      <c r="AD17" s="270">
        <f>SUMIFS('COGS Break up'!$E:$E,'COGS Break up'!$A:$A,'MIS Working 1'!$D17,'COGS Break up'!$D:$D,'MIS Working 1'!$AD$1)</f>
        <v>0</v>
      </c>
      <c r="AE17" s="270">
        <f>SUMIFS('COGS Break up'!$E:$E,'COGS Break up'!$A:$A,'MIS Working 1'!$D17,'COGS Break up'!$D:$D,'MIS Working 1'!$AE$1)</f>
        <v>1.95</v>
      </c>
      <c r="AF17" s="271">
        <f>'MIS Working 1'!$AG17+'MIS Working 1'!$AH17+'MIS Working 1'!$AM17+'MIS Working 1'!$AL17</f>
        <v>330780.79999999993</v>
      </c>
      <c r="AG17" s="270">
        <f>'MIS Working 1'!$L17*'MIS Working 1'!$Y17</f>
        <v>323052.79999999993</v>
      </c>
      <c r="AH17" s="270">
        <f>'MIS Working 1'!$L17*'MIS Working 1'!$Z17</f>
        <v>3360</v>
      </c>
      <c r="AI17" s="270">
        <f t="shared" si="0"/>
        <v>112</v>
      </c>
      <c r="AJ17" s="270">
        <f t="shared" si="1"/>
        <v>896</v>
      </c>
      <c r="AK17" s="270">
        <f t="shared" si="2"/>
        <v>3360</v>
      </c>
      <c r="AL17" s="270">
        <f>'MIS Working 1'!$AD17*'MIS Working 1'!$L17</f>
        <v>0</v>
      </c>
      <c r="AM17" s="270">
        <f>'MIS Working 1'!$L17*'MIS Working 1'!$AE17+'MIS Working 1'!$AL17</f>
        <v>4368</v>
      </c>
    </row>
    <row r="18" spans="1:39" x14ac:dyDescent="0.3">
      <c r="A18" s="272" t="s">
        <v>479</v>
      </c>
      <c r="B18" s="273">
        <v>45989</v>
      </c>
      <c r="C18" s="274" t="s">
        <v>1937</v>
      </c>
      <c r="D18" s="274" t="s">
        <v>40</v>
      </c>
      <c r="E18" s="274" t="s">
        <v>41</v>
      </c>
      <c r="F18" s="274" t="s">
        <v>18</v>
      </c>
      <c r="G18" s="274" t="s">
        <v>34</v>
      </c>
      <c r="H18" s="274" t="s">
        <v>772</v>
      </c>
      <c r="I18" s="275">
        <v>3596</v>
      </c>
      <c r="J18" s="276">
        <v>531021.31999999995</v>
      </c>
      <c r="K18" s="275">
        <v>3596</v>
      </c>
      <c r="L18" s="275">
        <v>3596</v>
      </c>
      <c r="M18" s="273">
        <v>45989</v>
      </c>
      <c r="N18" s="276">
        <v>585932.24</v>
      </c>
      <c r="O18" s="274" t="s">
        <v>21</v>
      </c>
      <c r="P18" s="274" t="s">
        <v>22</v>
      </c>
      <c r="Q18" s="274" t="s">
        <v>660</v>
      </c>
      <c r="R18" s="274" t="str">
        <f>VLOOKUP('MIS Working 1'!$G18,Master!$H$3:$I$8,2,0)</f>
        <v>Semi-Finished Goods</v>
      </c>
      <c r="S18" s="274" t="str">
        <f>VLOOKUP('MIS Working 1'!$H18,Master!B:C,2,0)</f>
        <v>SFG-GV5 Stator</v>
      </c>
      <c r="T18" s="274" t="str">
        <f>VLOOKUP('MIS Working 1'!$S18,Master!E:F,2,0)</f>
        <v>Sub Ass.-Mech Stator</v>
      </c>
      <c r="U18" s="277">
        <f>'MIS Working 1'!$N18-'MIS Working 1'!$AF18</f>
        <v>54910.920000000158</v>
      </c>
      <c r="V18" s="278">
        <f>'MIS Working 1'!$U18/'MIS Working 1'!$N18</f>
        <v>9.3715478090094784E-2</v>
      </c>
      <c r="W18" s="274">
        <f>'MIS Working 1'!$N18/'MIS Working 1'!$L18</f>
        <v>162.94</v>
      </c>
      <c r="X18" s="279">
        <f>SUM('MIS Working 1'!$Y18:$AE18)</f>
        <v>149.61999999999998</v>
      </c>
      <c r="Y18" s="279">
        <f>SUMIFS('COGS Break up'!$E:$E,'COGS Break up'!$A:$A,'MIS Working 1'!$D18,'COGS Break up'!$D:$D,'MIS Working 1'!$Y$1)</f>
        <v>144.21999999999997</v>
      </c>
      <c r="Z18" s="279">
        <f>SUMIFS('COGS Break up'!$E:$E,'COGS Break up'!$A:$A,'MIS Working 1'!$D18,'COGS Break up'!$D:$D,'MIS Working 1'!$Z$1)</f>
        <v>1.5</v>
      </c>
      <c r="AA18" s="279">
        <f>SUMIFS('COGS Break up'!E:E,'COGS Break up'!A:A,'MIS Working 1'!$D:$D,'COGS Break up'!C:C,'MIS Working 1'!$AA$1)</f>
        <v>0.05</v>
      </c>
      <c r="AB18" s="279">
        <f>SUMIFS('COGS Break up'!E:E,'COGS Break up'!A:A,'MIS Working 1'!$D:$D,'COGS Break up'!C:C,$AB$1)</f>
        <v>0.4</v>
      </c>
      <c r="AC18" s="279">
        <f>SUMIFS('COGS Break up'!E:E,'COGS Break up'!A:A,'MIS Working 1'!$D:$D,'COGS Break up'!C:C,$AC$1)</f>
        <v>1.5</v>
      </c>
      <c r="AD18" s="279">
        <f>SUMIFS('COGS Break up'!$E:$E,'COGS Break up'!$A:$A,'MIS Working 1'!$D18,'COGS Break up'!$D:$D,'MIS Working 1'!$AD$1)</f>
        <v>0</v>
      </c>
      <c r="AE18" s="279">
        <f>SUMIFS('COGS Break up'!$E:$E,'COGS Break up'!$A:$A,'MIS Working 1'!$D18,'COGS Break up'!$D:$D,'MIS Working 1'!$AE$1)</f>
        <v>1.95</v>
      </c>
      <c r="AF18" s="280">
        <f>'MIS Working 1'!$AG18+'MIS Working 1'!$AH18+'MIS Working 1'!$AM18+'MIS Working 1'!$AL18</f>
        <v>531021.31999999983</v>
      </c>
      <c r="AG18" s="279">
        <f>'MIS Working 1'!$L18*'MIS Working 1'!$Y18</f>
        <v>518615.11999999988</v>
      </c>
      <c r="AH18" s="279">
        <f>'MIS Working 1'!$L18*'MIS Working 1'!$Z18</f>
        <v>5394</v>
      </c>
      <c r="AI18" s="279">
        <f t="shared" si="0"/>
        <v>179.8</v>
      </c>
      <c r="AJ18" s="279">
        <f t="shared" si="1"/>
        <v>1438.4</v>
      </c>
      <c r="AK18" s="279">
        <f t="shared" si="2"/>
        <v>5394</v>
      </c>
      <c r="AL18" s="279">
        <f>'MIS Working 1'!$AD18*'MIS Working 1'!$L18</f>
        <v>0</v>
      </c>
      <c r="AM18" s="279">
        <f>'MIS Working 1'!$L18*'MIS Working 1'!$AE18+'MIS Working 1'!$AL18</f>
        <v>7012.2</v>
      </c>
    </row>
    <row r="19" spans="1:39" x14ac:dyDescent="0.3">
      <c r="A19" s="263" t="s">
        <v>479</v>
      </c>
      <c r="B19" s="264">
        <v>45989</v>
      </c>
      <c r="C19" s="265" t="s">
        <v>1938</v>
      </c>
      <c r="D19" s="265" t="s">
        <v>639</v>
      </c>
      <c r="E19" s="265" t="s">
        <v>640</v>
      </c>
      <c r="F19" s="265" t="s">
        <v>18</v>
      </c>
      <c r="G19" s="265" t="s">
        <v>19</v>
      </c>
      <c r="H19" s="265" t="s">
        <v>27</v>
      </c>
      <c r="I19" s="266">
        <v>60</v>
      </c>
      <c r="J19" s="267">
        <v>38701.800000000003</v>
      </c>
      <c r="K19" s="266">
        <v>60</v>
      </c>
      <c r="L19" s="266">
        <v>60</v>
      </c>
      <c r="M19" s="264">
        <v>45989</v>
      </c>
      <c r="N19" s="267">
        <v>43713.599999999999</v>
      </c>
      <c r="O19" s="265" t="s">
        <v>21</v>
      </c>
      <c r="P19" s="265" t="s">
        <v>22</v>
      </c>
      <c r="Q19" s="265" t="s">
        <v>660</v>
      </c>
      <c r="R19" s="265" t="str">
        <f>VLOOKUP('MIS Working 1'!$G19,Master!$H$3:$I$8,2,0)</f>
        <v>Finished Goods</v>
      </c>
      <c r="S19" s="265" t="str">
        <f>VLOOKUP('MIS Working 1'!$H19,Master!B:C,2,0)</f>
        <v>FG-PCB-CF</v>
      </c>
      <c r="T19" s="265" t="str">
        <f>VLOOKUP('MIS Working 1'!$S19,Master!E:F,2,0)</f>
        <v>FG-PCB-CF</v>
      </c>
      <c r="U19" s="268">
        <f>'MIS Working 1'!$N19-'MIS Working 1'!$AF19</f>
        <v>4986.0000000000146</v>
      </c>
      <c r="V19" s="269">
        <f>'MIS Working 1'!$U19/'MIS Working 1'!$N19</f>
        <v>0.11406061271549392</v>
      </c>
      <c r="W19" s="265">
        <f>'MIS Working 1'!$N19/'MIS Working 1'!$L19</f>
        <v>728.56</v>
      </c>
      <c r="X19" s="270">
        <f>SUM('MIS Working 1'!$Y19:$AE19)</f>
        <v>677.50999999999965</v>
      </c>
      <c r="Y19" s="270">
        <f>SUMIFS('COGS Break up'!$E:$E,'COGS Break up'!$A:$A,'MIS Working 1'!$D19,'COGS Break up'!$D:$D,'MIS Working 1'!$Y$1)</f>
        <v>582.23999999999967</v>
      </c>
      <c r="Z19" s="270">
        <f>SUMIFS('COGS Break up'!$E:$E,'COGS Break up'!$A:$A,'MIS Working 1'!$D19,'COGS Break up'!$D:$D,'MIS Working 1'!$Z$1)</f>
        <v>29.88</v>
      </c>
      <c r="AA19" s="270">
        <f>SUMIFS('COGS Break up'!E:E,'COGS Break up'!A:A,'MIS Working 1'!$D:$D,'COGS Break up'!C:C,'MIS Working 1'!$AA$1)</f>
        <v>2.4500000000000002</v>
      </c>
      <c r="AB19" s="270">
        <f>SUMIFS('COGS Break up'!E:E,'COGS Break up'!A:A,'MIS Working 1'!$D:$D,'COGS Break up'!C:C,$AB$1)</f>
        <v>21.72</v>
      </c>
      <c r="AC19" s="270">
        <f>SUMIFS('COGS Break up'!E:E,'COGS Break up'!A:A,'MIS Working 1'!$D:$D,'COGS Break up'!C:C,$AC$1)</f>
        <v>8.31</v>
      </c>
      <c r="AD19" s="270">
        <f>SUMIFS('COGS Break up'!$E:$E,'COGS Break up'!$A:$A,'MIS Working 1'!$D19,'COGS Break up'!$D:$D,'MIS Working 1'!$AD$1)</f>
        <v>0.43</v>
      </c>
      <c r="AE19" s="270">
        <f>SUMIFS('COGS Break up'!$E:$E,'COGS Break up'!$A:$A,'MIS Working 1'!$D19,'COGS Break up'!$D:$D,'MIS Working 1'!$AE$1)</f>
        <v>32.480000000000004</v>
      </c>
      <c r="AF19" s="271">
        <f>'MIS Working 1'!$AG19+'MIS Working 1'!$AH19+'MIS Working 1'!$AM19+'MIS Working 1'!$AL19</f>
        <v>38727.599999999984</v>
      </c>
      <c r="AG19" s="270">
        <f>'MIS Working 1'!$L19*'MIS Working 1'!$Y19</f>
        <v>34934.39999999998</v>
      </c>
      <c r="AH19" s="270">
        <f>'MIS Working 1'!$L19*'MIS Working 1'!$Z19</f>
        <v>1792.8</v>
      </c>
      <c r="AI19" s="270">
        <f t="shared" si="0"/>
        <v>147</v>
      </c>
      <c r="AJ19" s="270">
        <f t="shared" si="1"/>
        <v>1303.1999999999998</v>
      </c>
      <c r="AK19" s="270">
        <f t="shared" si="2"/>
        <v>498.6</v>
      </c>
      <c r="AL19" s="270">
        <f>'MIS Working 1'!$AD19*'MIS Working 1'!$L19</f>
        <v>25.8</v>
      </c>
      <c r="AM19" s="270">
        <f>'MIS Working 1'!$L19*'MIS Working 1'!$AE19+'MIS Working 1'!$AL19</f>
        <v>1974.6000000000001</v>
      </c>
    </row>
    <row r="20" spans="1:39" x14ac:dyDescent="0.3">
      <c r="A20" s="272" t="s">
        <v>479</v>
      </c>
      <c r="B20" s="273">
        <v>45989</v>
      </c>
      <c r="C20" s="274" t="s">
        <v>1939</v>
      </c>
      <c r="D20" s="274" t="s">
        <v>42</v>
      </c>
      <c r="E20" s="274" t="s">
        <v>43</v>
      </c>
      <c r="F20" s="274" t="s">
        <v>18</v>
      </c>
      <c r="G20" s="274" t="s">
        <v>19</v>
      </c>
      <c r="H20" s="274" t="s">
        <v>27</v>
      </c>
      <c r="I20" s="275">
        <v>935</v>
      </c>
      <c r="J20" s="276">
        <v>305866.55</v>
      </c>
      <c r="K20" s="275">
        <v>935</v>
      </c>
      <c r="L20" s="275">
        <v>935</v>
      </c>
      <c r="M20" s="273">
        <v>45989</v>
      </c>
      <c r="N20" s="276">
        <v>318900.45</v>
      </c>
      <c r="O20" s="274" t="s">
        <v>21</v>
      </c>
      <c r="P20" s="274" t="s">
        <v>22</v>
      </c>
      <c r="Q20" s="274" t="s">
        <v>660</v>
      </c>
      <c r="R20" s="274" t="str">
        <f>VLOOKUP('MIS Working 1'!$G20,Master!$H$3:$I$8,2,0)</f>
        <v>Finished Goods</v>
      </c>
      <c r="S20" s="274" t="str">
        <f>VLOOKUP('MIS Working 1'!$H20,Master!B:C,2,0)</f>
        <v>FG-PCB-CF</v>
      </c>
      <c r="T20" s="274" t="str">
        <f>VLOOKUP('MIS Working 1'!$S20,Master!E:F,2,0)</f>
        <v>FG-PCB-CF</v>
      </c>
      <c r="U20" s="277">
        <f>'MIS Working 1'!$N20-'MIS Working 1'!$AF20</f>
        <v>12874.949999999895</v>
      </c>
      <c r="V20" s="278">
        <f>'MIS Working 1'!$U20/'MIS Working 1'!$N20</f>
        <v>4.0372943970445621E-2</v>
      </c>
      <c r="W20" s="274">
        <f>'MIS Working 1'!$N20/'MIS Working 1'!$L20</f>
        <v>341.07</v>
      </c>
      <c r="X20" s="279">
        <f>SUM('MIS Working 1'!$Y20:$AE20)</f>
        <v>353.55</v>
      </c>
      <c r="Y20" s="279">
        <f>SUMIFS('COGS Break up'!$E:$E,'COGS Break up'!$A:$A,'MIS Working 1'!$D20,'COGS Break up'!$D:$D,'MIS Working 1'!$Y$1)</f>
        <v>278.14000000000004</v>
      </c>
      <c r="Z20" s="279">
        <f>SUMIFS('COGS Break up'!$E:$E,'COGS Break up'!$A:$A,'MIS Working 1'!$D20,'COGS Break up'!$D:$D,'MIS Working 1'!$Z$1)</f>
        <v>22.400000000000002</v>
      </c>
      <c r="AA20" s="279">
        <f>SUMIFS('COGS Break up'!E:E,'COGS Break up'!A:A,'MIS Working 1'!$D:$D,'COGS Break up'!C:C,'MIS Working 1'!$AA$1)</f>
        <v>1.8299999999999998</v>
      </c>
      <c r="AB20" s="279">
        <f>SUMIFS('COGS Break up'!E:E,'COGS Break up'!A:A,'MIS Working 1'!$D:$D,'COGS Break up'!C:C,$AB$1)</f>
        <v>16.28</v>
      </c>
      <c r="AC20" s="279">
        <f>SUMIFS('COGS Break up'!E:E,'COGS Break up'!A:A,'MIS Working 1'!$D:$D,'COGS Break up'!C:C,$AC$1)</f>
        <v>8.31</v>
      </c>
      <c r="AD20" s="279">
        <f>SUMIFS('COGS Break up'!$E:$E,'COGS Break up'!$A:$A,'MIS Working 1'!$D20,'COGS Break up'!$D:$D,'MIS Working 1'!$AD$1)</f>
        <v>0.17</v>
      </c>
      <c r="AE20" s="279">
        <f>SUMIFS('COGS Break up'!$E:$E,'COGS Break up'!$A:$A,'MIS Working 1'!$D20,'COGS Break up'!$D:$D,'MIS Working 1'!$AE$1)</f>
        <v>26.42</v>
      </c>
      <c r="AF20" s="280">
        <f>'MIS Working 1'!$AG20+'MIS Working 1'!$AH20+'MIS Working 1'!$AM20+'MIS Working 1'!$AL20</f>
        <v>306025.50000000012</v>
      </c>
      <c r="AG20" s="279">
        <f>'MIS Working 1'!$L20*'MIS Working 1'!$Y20</f>
        <v>260060.90000000005</v>
      </c>
      <c r="AH20" s="279">
        <f>'MIS Working 1'!$L20*'MIS Working 1'!$Z20</f>
        <v>20944.000000000004</v>
      </c>
      <c r="AI20" s="279">
        <f t="shared" si="0"/>
        <v>1711.05</v>
      </c>
      <c r="AJ20" s="279">
        <f t="shared" si="1"/>
        <v>15221.800000000001</v>
      </c>
      <c r="AK20" s="279">
        <f t="shared" si="2"/>
        <v>7769.85</v>
      </c>
      <c r="AL20" s="279">
        <f>'MIS Working 1'!$AD20*'MIS Working 1'!$L20</f>
        <v>158.95000000000002</v>
      </c>
      <c r="AM20" s="279">
        <f>'MIS Working 1'!$L20*'MIS Working 1'!$AE20+'MIS Working 1'!$AL20</f>
        <v>24861.65</v>
      </c>
    </row>
    <row r="21" spans="1:39" x14ac:dyDescent="0.3">
      <c r="A21" s="263" t="s">
        <v>479</v>
      </c>
      <c r="B21" s="264">
        <v>45989</v>
      </c>
      <c r="C21" s="265" t="s">
        <v>1938</v>
      </c>
      <c r="D21" s="265" t="s">
        <v>23</v>
      </c>
      <c r="E21" s="265" t="s">
        <v>24</v>
      </c>
      <c r="F21" s="265" t="s">
        <v>18</v>
      </c>
      <c r="G21" s="265" t="s">
        <v>19</v>
      </c>
      <c r="H21" s="265" t="s">
        <v>27</v>
      </c>
      <c r="I21" s="266">
        <v>930</v>
      </c>
      <c r="J21" s="267">
        <v>391911.3</v>
      </c>
      <c r="K21" s="266">
        <v>930</v>
      </c>
      <c r="L21" s="266">
        <v>930</v>
      </c>
      <c r="M21" s="264">
        <v>45989</v>
      </c>
      <c r="N21" s="267">
        <v>449338.8</v>
      </c>
      <c r="O21" s="265" t="s">
        <v>21</v>
      </c>
      <c r="P21" s="265" t="s">
        <v>22</v>
      </c>
      <c r="Q21" s="265" t="s">
        <v>660</v>
      </c>
      <c r="R21" s="265" t="str">
        <f>VLOOKUP('MIS Working 1'!$G21,Master!$H$3:$I$8,2,0)</f>
        <v>Finished Goods</v>
      </c>
      <c r="S21" s="265" t="str">
        <f>VLOOKUP('MIS Working 1'!$H21,Master!B:C,2,0)</f>
        <v>FG-PCB-CF</v>
      </c>
      <c r="T21" s="265" t="str">
        <f>VLOOKUP('MIS Working 1'!$S21,Master!E:F,2,0)</f>
        <v>FG-PCB-CF</v>
      </c>
      <c r="U21" s="268">
        <f>'MIS Working 1'!$N21-'MIS Working 1'!$AF21</f>
        <v>57185.700000000186</v>
      </c>
      <c r="V21" s="269">
        <f>'MIS Working 1'!$U21/'MIS Working 1'!$N21</f>
        <v>0.12726632999420523</v>
      </c>
      <c r="W21" s="265">
        <f>'MIS Working 1'!$N21/'MIS Working 1'!$L21</f>
        <v>483.15999999999997</v>
      </c>
      <c r="X21" s="270">
        <f>SUM('MIS Working 1'!$Y21:$AE21)</f>
        <v>447.50999999999988</v>
      </c>
      <c r="Y21" s="270">
        <f>SUMIFS('COGS Break up'!$E:$E,'COGS Break up'!$A:$A,'MIS Working 1'!$D21,'COGS Break up'!$D:$D,'MIS Working 1'!$Y$1)</f>
        <v>373.04999999999984</v>
      </c>
      <c r="Z21" s="270">
        <f>SUMIFS('COGS Break up'!$E:$E,'COGS Break up'!$A:$A,'MIS Working 1'!$D21,'COGS Break up'!$D:$D,'MIS Working 1'!$Z$1)</f>
        <v>22</v>
      </c>
      <c r="AA21" s="270">
        <f>SUMIFS('COGS Break up'!E:E,'COGS Break up'!A:A,'MIS Working 1'!$D:$D,'COGS Break up'!C:C,'MIS Working 1'!$AA$1)</f>
        <v>1.8</v>
      </c>
      <c r="AB21" s="270">
        <f>SUMIFS('COGS Break up'!E:E,'COGS Break up'!A:A,'MIS Working 1'!$D:$D,'COGS Break up'!C:C,$AB$1)</f>
        <v>15.99</v>
      </c>
      <c r="AC21" s="270">
        <f>SUMIFS('COGS Break up'!E:E,'COGS Break up'!A:A,'MIS Working 1'!$D:$D,'COGS Break up'!C:C,$AC$1)</f>
        <v>8.31</v>
      </c>
      <c r="AD21" s="270">
        <f>SUMIFS('COGS Break up'!$E:$E,'COGS Break up'!$A:$A,'MIS Working 1'!$D21,'COGS Break up'!$D:$D,'MIS Working 1'!$AD$1)</f>
        <v>0.26</v>
      </c>
      <c r="AE21" s="270">
        <f>SUMIFS('COGS Break up'!$E:$E,'COGS Break up'!$A:$A,'MIS Working 1'!$D21,'COGS Break up'!$D:$D,'MIS Working 1'!$AE$1)</f>
        <v>26.1</v>
      </c>
      <c r="AF21" s="271">
        <f>'MIS Working 1'!$AG21+'MIS Working 1'!$AH21+'MIS Working 1'!$AM21+'MIS Working 1'!$AL21</f>
        <v>392153.0999999998</v>
      </c>
      <c r="AG21" s="270">
        <f>'MIS Working 1'!$L21*'MIS Working 1'!$Y21</f>
        <v>346936.49999999983</v>
      </c>
      <c r="AH21" s="270">
        <f>'MIS Working 1'!$L21*'MIS Working 1'!$Z21</f>
        <v>20460</v>
      </c>
      <c r="AI21" s="270">
        <f t="shared" si="0"/>
        <v>1674</v>
      </c>
      <c r="AJ21" s="270">
        <f t="shared" si="1"/>
        <v>14870.7</v>
      </c>
      <c r="AK21" s="270">
        <f t="shared" si="2"/>
        <v>7728.3</v>
      </c>
      <c r="AL21" s="270">
        <f>'MIS Working 1'!$AD21*'MIS Working 1'!$L21</f>
        <v>241.8</v>
      </c>
      <c r="AM21" s="270">
        <f>'MIS Working 1'!$L21*'MIS Working 1'!$AE21+'MIS Working 1'!$AL21</f>
        <v>24514.799999999999</v>
      </c>
    </row>
    <row r="22" spans="1:39" x14ac:dyDescent="0.3">
      <c r="A22" s="272" t="s">
        <v>479</v>
      </c>
      <c r="B22" s="273">
        <v>45989</v>
      </c>
      <c r="C22" s="274" t="s">
        <v>1939</v>
      </c>
      <c r="D22" s="274" t="s">
        <v>38</v>
      </c>
      <c r="E22" s="274" t="s">
        <v>39</v>
      </c>
      <c r="F22" s="274" t="s">
        <v>18</v>
      </c>
      <c r="G22" s="274" t="s">
        <v>19</v>
      </c>
      <c r="H22" s="274" t="s">
        <v>27</v>
      </c>
      <c r="I22" s="275">
        <v>2740</v>
      </c>
      <c r="J22" s="276">
        <v>896336.2</v>
      </c>
      <c r="K22" s="275">
        <v>2740</v>
      </c>
      <c r="L22" s="275">
        <v>2740</v>
      </c>
      <c r="M22" s="273">
        <v>45989</v>
      </c>
      <c r="N22" s="276">
        <v>934531.8</v>
      </c>
      <c r="O22" s="274" t="s">
        <v>21</v>
      </c>
      <c r="P22" s="274" t="s">
        <v>22</v>
      </c>
      <c r="Q22" s="274" t="s">
        <v>660</v>
      </c>
      <c r="R22" s="274" t="str">
        <f>VLOOKUP('MIS Working 1'!$G22,Master!$H$3:$I$8,2,0)</f>
        <v>Finished Goods</v>
      </c>
      <c r="S22" s="274" t="str">
        <f>VLOOKUP('MIS Working 1'!$H22,Master!B:C,2,0)</f>
        <v>FG-PCB-CF</v>
      </c>
      <c r="T22" s="274" t="str">
        <f>VLOOKUP('MIS Working 1'!$S22,Master!E:F,2,0)</f>
        <v>FG-PCB-CF</v>
      </c>
      <c r="U22" s="277">
        <f>'MIS Working 1'!$N22-'MIS Working 1'!$AF22</f>
        <v>37729.800000000047</v>
      </c>
      <c r="V22" s="278">
        <f>'MIS Working 1'!$U22/'MIS Working 1'!$N22</f>
        <v>4.0372943970445996E-2</v>
      </c>
      <c r="W22" s="274">
        <f>'MIS Working 1'!$N22/'MIS Working 1'!$L22</f>
        <v>341.07</v>
      </c>
      <c r="X22" s="279">
        <f>SUM('MIS Working 1'!$Y22:$AE22)</f>
        <v>353.55</v>
      </c>
      <c r="Y22" s="279">
        <f>SUMIFS('COGS Break up'!$E:$E,'COGS Break up'!$A:$A,'MIS Working 1'!$D22,'COGS Break up'!$D:$D,'MIS Working 1'!$Y$1)</f>
        <v>278.14</v>
      </c>
      <c r="Z22" s="279">
        <f>SUMIFS('COGS Break up'!$E:$E,'COGS Break up'!$A:$A,'MIS Working 1'!$D22,'COGS Break up'!$D:$D,'MIS Working 1'!$Z$1)</f>
        <v>22.400000000000002</v>
      </c>
      <c r="AA22" s="279">
        <f>SUMIFS('COGS Break up'!E:E,'COGS Break up'!A:A,'MIS Working 1'!$D:$D,'COGS Break up'!C:C,'MIS Working 1'!$AA$1)</f>
        <v>1.8299999999999998</v>
      </c>
      <c r="AB22" s="279">
        <f>SUMIFS('COGS Break up'!E:E,'COGS Break up'!A:A,'MIS Working 1'!$D:$D,'COGS Break up'!C:C,$AB$1)</f>
        <v>16.28</v>
      </c>
      <c r="AC22" s="279">
        <f>SUMIFS('COGS Break up'!E:E,'COGS Break up'!A:A,'MIS Working 1'!$D:$D,'COGS Break up'!C:C,$AC$1)</f>
        <v>8.31</v>
      </c>
      <c r="AD22" s="279">
        <f>SUMIFS('COGS Break up'!$E:$E,'COGS Break up'!$A:$A,'MIS Working 1'!$D22,'COGS Break up'!$D:$D,'MIS Working 1'!$AD$1)</f>
        <v>0.17</v>
      </c>
      <c r="AE22" s="279">
        <f>SUMIFS('COGS Break up'!$E:$E,'COGS Break up'!$A:$A,'MIS Working 1'!$D22,'COGS Break up'!$D:$D,'MIS Working 1'!$AE$1)</f>
        <v>26.42</v>
      </c>
      <c r="AF22" s="280">
        <f>'MIS Working 1'!$AG22+'MIS Working 1'!$AH22+'MIS Working 1'!$AM22+'MIS Working 1'!$AL22</f>
        <v>896802</v>
      </c>
      <c r="AG22" s="279">
        <f>'MIS Working 1'!$L22*'MIS Working 1'!$Y22</f>
        <v>762103.6</v>
      </c>
      <c r="AH22" s="279">
        <f>'MIS Working 1'!$L22*'MIS Working 1'!$Z22</f>
        <v>61376.000000000007</v>
      </c>
      <c r="AI22" s="279">
        <f t="shared" si="0"/>
        <v>5014.2</v>
      </c>
      <c r="AJ22" s="279">
        <f t="shared" si="1"/>
        <v>44607.200000000004</v>
      </c>
      <c r="AK22" s="279">
        <f t="shared" si="2"/>
        <v>22769.4</v>
      </c>
      <c r="AL22" s="279">
        <f>'MIS Working 1'!$AD22*'MIS Working 1'!$L22</f>
        <v>465.8</v>
      </c>
      <c r="AM22" s="279">
        <f>'MIS Working 1'!$L22*'MIS Working 1'!$AE22+'MIS Working 1'!$AL22</f>
        <v>72856.600000000006</v>
      </c>
    </row>
    <row r="23" spans="1:39" x14ac:dyDescent="0.3">
      <c r="A23" s="263" t="s">
        <v>479</v>
      </c>
      <c r="B23" s="264">
        <v>45989</v>
      </c>
      <c r="C23" s="265" t="s">
        <v>1940</v>
      </c>
      <c r="D23" s="265" t="s">
        <v>38</v>
      </c>
      <c r="E23" s="265" t="s">
        <v>39</v>
      </c>
      <c r="F23" s="265" t="s">
        <v>18</v>
      </c>
      <c r="G23" s="265" t="s">
        <v>19</v>
      </c>
      <c r="H23" s="265" t="s">
        <v>27</v>
      </c>
      <c r="I23" s="266">
        <v>2520</v>
      </c>
      <c r="J23" s="267">
        <v>824367.6</v>
      </c>
      <c r="K23" s="266">
        <v>2520</v>
      </c>
      <c r="L23" s="266">
        <v>2520</v>
      </c>
      <c r="M23" s="264">
        <v>45989</v>
      </c>
      <c r="N23" s="267">
        <v>859496.4</v>
      </c>
      <c r="O23" s="265" t="s">
        <v>21</v>
      </c>
      <c r="P23" s="265" t="s">
        <v>22</v>
      </c>
      <c r="Q23" s="265" t="s">
        <v>660</v>
      </c>
      <c r="R23" s="265" t="str">
        <f>VLOOKUP('MIS Working 1'!$G23,Master!$H$3:$I$8,2,0)</f>
        <v>Finished Goods</v>
      </c>
      <c r="S23" s="265" t="str">
        <f>VLOOKUP('MIS Working 1'!$H23,Master!B:C,2,0)</f>
        <v>FG-PCB-CF</v>
      </c>
      <c r="T23" s="265" t="str">
        <f>VLOOKUP('MIS Working 1'!$S23,Master!E:F,2,0)</f>
        <v>FG-PCB-CF</v>
      </c>
      <c r="U23" s="268">
        <f>'MIS Working 1'!$N23-'MIS Working 1'!$AF23</f>
        <v>34700.400000000023</v>
      </c>
      <c r="V23" s="269">
        <f>'MIS Working 1'!$U23/'MIS Working 1'!$N23</f>
        <v>4.0372943970445975E-2</v>
      </c>
      <c r="W23" s="265">
        <f>'MIS Working 1'!$N23/'MIS Working 1'!$L23</f>
        <v>341.07</v>
      </c>
      <c r="X23" s="270">
        <f>SUM('MIS Working 1'!$Y23:$AE23)</f>
        <v>353.55</v>
      </c>
      <c r="Y23" s="270">
        <f>SUMIFS('COGS Break up'!$E:$E,'COGS Break up'!$A:$A,'MIS Working 1'!$D23,'COGS Break up'!$D:$D,'MIS Working 1'!$Y$1)</f>
        <v>278.14</v>
      </c>
      <c r="Z23" s="270">
        <f>SUMIFS('COGS Break up'!$E:$E,'COGS Break up'!$A:$A,'MIS Working 1'!$D23,'COGS Break up'!$D:$D,'MIS Working 1'!$Z$1)</f>
        <v>22.400000000000002</v>
      </c>
      <c r="AA23" s="270">
        <f>SUMIFS('COGS Break up'!E:E,'COGS Break up'!A:A,'MIS Working 1'!$D:$D,'COGS Break up'!C:C,'MIS Working 1'!$AA$1)</f>
        <v>1.8299999999999998</v>
      </c>
      <c r="AB23" s="270">
        <f>SUMIFS('COGS Break up'!E:E,'COGS Break up'!A:A,'MIS Working 1'!$D:$D,'COGS Break up'!C:C,$AB$1)</f>
        <v>16.28</v>
      </c>
      <c r="AC23" s="270">
        <f>SUMIFS('COGS Break up'!E:E,'COGS Break up'!A:A,'MIS Working 1'!$D:$D,'COGS Break up'!C:C,$AC$1)</f>
        <v>8.31</v>
      </c>
      <c r="AD23" s="270">
        <f>SUMIFS('COGS Break up'!$E:$E,'COGS Break up'!$A:$A,'MIS Working 1'!$D23,'COGS Break up'!$D:$D,'MIS Working 1'!$AD$1)</f>
        <v>0.17</v>
      </c>
      <c r="AE23" s="270">
        <f>SUMIFS('COGS Break up'!$E:$E,'COGS Break up'!$A:$A,'MIS Working 1'!$D23,'COGS Break up'!$D:$D,'MIS Working 1'!$AE$1)</f>
        <v>26.42</v>
      </c>
      <c r="AF23" s="271">
        <f>'MIS Working 1'!$AG23+'MIS Working 1'!$AH23+'MIS Working 1'!$AM23+'MIS Working 1'!$AL23</f>
        <v>824796</v>
      </c>
      <c r="AG23" s="270">
        <f>'MIS Working 1'!$L23*'MIS Working 1'!$Y23</f>
        <v>700912.79999999993</v>
      </c>
      <c r="AH23" s="270">
        <f>'MIS Working 1'!$L23*'MIS Working 1'!$Z23</f>
        <v>56448.000000000007</v>
      </c>
      <c r="AI23" s="270">
        <f t="shared" si="0"/>
        <v>4611.5999999999995</v>
      </c>
      <c r="AJ23" s="270">
        <f t="shared" si="1"/>
        <v>41025.600000000006</v>
      </c>
      <c r="AK23" s="270">
        <f t="shared" si="2"/>
        <v>20941.2</v>
      </c>
      <c r="AL23" s="270">
        <f>'MIS Working 1'!$AD23*'MIS Working 1'!$L23</f>
        <v>428.40000000000003</v>
      </c>
      <c r="AM23" s="270">
        <f>'MIS Working 1'!$L23*'MIS Working 1'!$AE23+'MIS Working 1'!$AL23</f>
        <v>67006.8</v>
      </c>
    </row>
    <row r="24" spans="1:39" x14ac:dyDescent="0.3">
      <c r="A24" s="272" t="s">
        <v>479</v>
      </c>
      <c r="B24" s="273">
        <v>45989</v>
      </c>
      <c r="C24" s="274" t="s">
        <v>1938</v>
      </c>
      <c r="D24" s="274" t="s">
        <v>378</v>
      </c>
      <c r="E24" s="274" t="s">
        <v>379</v>
      </c>
      <c r="F24" s="274" t="s">
        <v>18</v>
      </c>
      <c r="G24" s="274" t="s">
        <v>19</v>
      </c>
      <c r="H24" s="274" t="s">
        <v>27</v>
      </c>
      <c r="I24" s="275">
        <v>420</v>
      </c>
      <c r="J24" s="276">
        <v>136584</v>
      </c>
      <c r="K24" s="275">
        <v>420</v>
      </c>
      <c r="L24" s="275">
        <v>420</v>
      </c>
      <c r="M24" s="273">
        <v>45989</v>
      </c>
      <c r="N24" s="276">
        <v>149108.4</v>
      </c>
      <c r="O24" s="274" t="s">
        <v>21</v>
      </c>
      <c r="P24" s="274" t="s">
        <v>22</v>
      </c>
      <c r="Q24" s="274" t="s">
        <v>660</v>
      </c>
      <c r="R24" s="274" t="str">
        <f>VLOOKUP('MIS Working 1'!$G24,Master!$H$3:$I$8,2,0)</f>
        <v>Finished Goods</v>
      </c>
      <c r="S24" s="274" t="str">
        <f>VLOOKUP('MIS Working 1'!$H24,Master!B:C,2,0)</f>
        <v>FG-PCB-CF</v>
      </c>
      <c r="T24" s="274" t="str">
        <f>VLOOKUP('MIS Working 1'!$S24,Master!E:F,2,0)</f>
        <v>FG-PCB-CF</v>
      </c>
      <c r="U24" s="277">
        <f>'MIS Working 1'!$N24-'MIS Working 1'!$AF24</f>
        <v>12415.199999999983</v>
      </c>
      <c r="V24" s="278">
        <f>'MIS Working 1'!$U24/'MIS Working 1'!$N24</f>
        <v>8.3262914765365223E-2</v>
      </c>
      <c r="W24" s="274">
        <f>'MIS Working 1'!$N24/'MIS Working 1'!$L24</f>
        <v>355.02</v>
      </c>
      <c r="X24" s="279">
        <f>SUM('MIS Working 1'!$Y24:$AE24)</f>
        <v>354.76999999999992</v>
      </c>
      <c r="Y24" s="279">
        <f>SUMIFS('COGS Break up'!$E:$E,'COGS Break up'!$A:$A,'MIS Working 1'!$D24,'COGS Break up'!$D:$D,'MIS Working 1'!$Y$1)</f>
        <v>271.52999999999997</v>
      </c>
      <c r="Z24" s="279">
        <f>SUMIFS('COGS Break up'!$E:$E,'COGS Break up'!$A:$A,'MIS Working 1'!$D24,'COGS Break up'!$D:$D,'MIS Working 1'!$Z$1)</f>
        <v>23.84</v>
      </c>
      <c r="AA24" s="279">
        <f>SUMIFS('COGS Break up'!E:E,'COGS Break up'!A:A,'MIS Working 1'!$D:$D,'COGS Break up'!C:C,'MIS Working 1'!$AA$1)</f>
        <v>1.9500000000000002</v>
      </c>
      <c r="AB24" s="279">
        <f>SUMIFS('COGS Break up'!E:E,'COGS Break up'!A:A,'MIS Working 1'!$D:$D,'COGS Break up'!C:C,$AB$1)</f>
        <v>17.329999999999998</v>
      </c>
      <c r="AC24" s="279">
        <f>SUMIFS('COGS Break up'!E:E,'COGS Break up'!A:A,'MIS Working 1'!$D:$D,'COGS Break up'!C:C,$AC$1)</f>
        <v>10.29</v>
      </c>
      <c r="AD24" s="279">
        <f>SUMIFS('COGS Break up'!$E:$E,'COGS Break up'!$A:$A,'MIS Working 1'!$D24,'COGS Break up'!$D:$D,'MIS Working 1'!$AD$1)</f>
        <v>0.26</v>
      </c>
      <c r="AE24" s="279">
        <f>SUMIFS('COGS Break up'!$E:$E,'COGS Break up'!$A:$A,'MIS Working 1'!$D24,'COGS Break up'!$D:$D,'MIS Working 1'!$AE$1)</f>
        <v>29.569999999999997</v>
      </c>
      <c r="AF24" s="280">
        <f>'MIS Working 1'!$AG24+'MIS Working 1'!$AH24+'MIS Working 1'!$AM24+'MIS Working 1'!$AL24</f>
        <v>136693.20000000001</v>
      </c>
      <c r="AG24" s="279">
        <f>'MIS Working 1'!$L24*'MIS Working 1'!$Y24</f>
        <v>114042.59999999999</v>
      </c>
      <c r="AH24" s="279">
        <f>'MIS Working 1'!$L24*'MIS Working 1'!$Z24</f>
        <v>10012.799999999999</v>
      </c>
      <c r="AI24" s="279">
        <f t="shared" si="0"/>
        <v>819.00000000000011</v>
      </c>
      <c r="AJ24" s="279">
        <f t="shared" si="1"/>
        <v>7278.5999999999995</v>
      </c>
      <c r="AK24" s="279">
        <f t="shared" si="2"/>
        <v>4321.7999999999993</v>
      </c>
      <c r="AL24" s="279">
        <f>'MIS Working 1'!$AD24*'MIS Working 1'!$L24</f>
        <v>109.2</v>
      </c>
      <c r="AM24" s="279">
        <f>'MIS Working 1'!$L24*'MIS Working 1'!$AE24+'MIS Working 1'!$AL24</f>
        <v>12528.599999999999</v>
      </c>
    </row>
    <row r="25" spans="1:39" x14ac:dyDescent="0.3">
      <c r="A25" s="263" t="s">
        <v>479</v>
      </c>
      <c r="B25" s="264">
        <v>45989</v>
      </c>
      <c r="C25" s="265" t="s">
        <v>1939</v>
      </c>
      <c r="D25" s="265" t="s">
        <v>378</v>
      </c>
      <c r="E25" s="265" t="s">
        <v>379</v>
      </c>
      <c r="F25" s="265" t="s">
        <v>18</v>
      </c>
      <c r="G25" s="265" t="s">
        <v>19</v>
      </c>
      <c r="H25" s="265" t="s">
        <v>27</v>
      </c>
      <c r="I25" s="266">
        <v>120</v>
      </c>
      <c r="J25" s="267">
        <v>39024</v>
      </c>
      <c r="K25" s="266">
        <v>120</v>
      </c>
      <c r="L25" s="266">
        <v>120</v>
      </c>
      <c r="M25" s="264">
        <v>45989</v>
      </c>
      <c r="N25" s="267">
        <v>42602.400000000001</v>
      </c>
      <c r="O25" s="265" t="s">
        <v>21</v>
      </c>
      <c r="P25" s="265" t="s">
        <v>22</v>
      </c>
      <c r="Q25" s="265" t="s">
        <v>660</v>
      </c>
      <c r="R25" s="265" t="str">
        <f>VLOOKUP('MIS Working 1'!$G25,Master!$H$3:$I$8,2,0)</f>
        <v>Finished Goods</v>
      </c>
      <c r="S25" s="265" t="str">
        <f>VLOOKUP('MIS Working 1'!$H25,Master!B:C,2,0)</f>
        <v>FG-PCB-CF</v>
      </c>
      <c r="T25" s="265" t="str">
        <f>VLOOKUP('MIS Working 1'!$S25,Master!E:F,2,0)</f>
        <v>FG-PCB-CF</v>
      </c>
      <c r="U25" s="268">
        <f>'MIS Working 1'!$N25-'MIS Working 1'!$AF25</f>
        <v>3547.2000000000044</v>
      </c>
      <c r="V25" s="269">
        <f>'MIS Working 1'!$U25/'MIS Working 1'!$N25</f>
        <v>8.3262914765365431E-2</v>
      </c>
      <c r="W25" s="265">
        <f>'MIS Working 1'!$N25/'MIS Working 1'!$L25</f>
        <v>355.02000000000004</v>
      </c>
      <c r="X25" s="270">
        <f>SUM('MIS Working 1'!$Y25:$AE25)</f>
        <v>354.76999999999992</v>
      </c>
      <c r="Y25" s="270">
        <f>SUMIFS('COGS Break up'!$E:$E,'COGS Break up'!$A:$A,'MIS Working 1'!$D25,'COGS Break up'!$D:$D,'MIS Working 1'!$Y$1)</f>
        <v>271.52999999999997</v>
      </c>
      <c r="Z25" s="270">
        <f>SUMIFS('COGS Break up'!$E:$E,'COGS Break up'!$A:$A,'MIS Working 1'!$D25,'COGS Break up'!$D:$D,'MIS Working 1'!$Z$1)</f>
        <v>23.84</v>
      </c>
      <c r="AA25" s="270">
        <f>SUMIFS('COGS Break up'!E:E,'COGS Break up'!A:A,'MIS Working 1'!$D:$D,'COGS Break up'!C:C,'MIS Working 1'!$AA$1)</f>
        <v>1.9500000000000002</v>
      </c>
      <c r="AB25" s="270">
        <f>SUMIFS('COGS Break up'!E:E,'COGS Break up'!A:A,'MIS Working 1'!$D:$D,'COGS Break up'!C:C,$AB$1)</f>
        <v>17.329999999999998</v>
      </c>
      <c r="AC25" s="270">
        <f>SUMIFS('COGS Break up'!E:E,'COGS Break up'!A:A,'MIS Working 1'!$D:$D,'COGS Break up'!C:C,$AC$1)</f>
        <v>10.29</v>
      </c>
      <c r="AD25" s="270">
        <f>SUMIFS('COGS Break up'!$E:$E,'COGS Break up'!$A:$A,'MIS Working 1'!$D25,'COGS Break up'!$D:$D,'MIS Working 1'!$AD$1)</f>
        <v>0.26</v>
      </c>
      <c r="AE25" s="270">
        <f>SUMIFS('COGS Break up'!$E:$E,'COGS Break up'!$A:$A,'MIS Working 1'!$D25,'COGS Break up'!$D:$D,'MIS Working 1'!$AE$1)</f>
        <v>29.569999999999997</v>
      </c>
      <c r="AF25" s="271">
        <f>'MIS Working 1'!$AG25+'MIS Working 1'!$AH25+'MIS Working 1'!$AM25+'MIS Working 1'!$AL25</f>
        <v>39055.199999999997</v>
      </c>
      <c r="AG25" s="270">
        <f>'MIS Working 1'!$L25*'MIS Working 1'!$Y25</f>
        <v>32583.599999999999</v>
      </c>
      <c r="AH25" s="270">
        <f>'MIS Working 1'!$L25*'MIS Working 1'!$Z25</f>
        <v>2860.8</v>
      </c>
      <c r="AI25" s="270">
        <f t="shared" si="0"/>
        <v>234.00000000000003</v>
      </c>
      <c r="AJ25" s="270">
        <f t="shared" si="1"/>
        <v>2079.6</v>
      </c>
      <c r="AK25" s="270">
        <f t="shared" si="2"/>
        <v>1234.8</v>
      </c>
      <c r="AL25" s="270">
        <f>'MIS Working 1'!$AD25*'MIS Working 1'!$L25</f>
        <v>31.200000000000003</v>
      </c>
      <c r="AM25" s="270">
        <f>'MIS Working 1'!$L25*'MIS Working 1'!$AE25+'MIS Working 1'!$AL25</f>
        <v>3579.5999999999995</v>
      </c>
    </row>
    <row r="26" spans="1:39" x14ac:dyDescent="0.3">
      <c r="A26" s="272" t="s">
        <v>479</v>
      </c>
      <c r="B26" s="273">
        <v>45989</v>
      </c>
      <c r="C26" s="274" t="s">
        <v>1938</v>
      </c>
      <c r="D26" s="274" t="s">
        <v>380</v>
      </c>
      <c r="E26" s="274" t="s">
        <v>381</v>
      </c>
      <c r="F26" s="274" t="s">
        <v>18</v>
      </c>
      <c r="G26" s="274" t="s">
        <v>19</v>
      </c>
      <c r="H26" s="274" t="s">
        <v>27</v>
      </c>
      <c r="I26" s="275">
        <v>299</v>
      </c>
      <c r="J26" s="276">
        <v>64763.4</v>
      </c>
      <c r="K26" s="275">
        <v>299</v>
      </c>
      <c r="L26" s="275">
        <v>299</v>
      </c>
      <c r="M26" s="273">
        <v>45989</v>
      </c>
      <c r="N26" s="276">
        <v>66333.149999999994</v>
      </c>
      <c r="O26" s="274" t="s">
        <v>21</v>
      </c>
      <c r="P26" s="274" t="s">
        <v>22</v>
      </c>
      <c r="Q26" s="274" t="s">
        <v>660</v>
      </c>
      <c r="R26" s="274" t="str">
        <f>VLOOKUP('MIS Working 1'!$G26,Master!$H$3:$I$8,2,0)</f>
        <v>Finished Goods</v>
      </c>
      <c r="S26" s="274" t="str">
        <f>VLOOKUP('MIS Working 1'!$H26,Master!B:C,2,0)</f>
        <v>FG-PCB-CF</v>
      </c>
      <c r="T26" s="274" t="str">
        <f>VLOOKUP('MIS Working 1'!$S26,Master!E:F,2,0)</f>
        <v>FG-PCB-CF</v>
      </c>
      <c r="U26" s="277">
        <f>'MIS Working 1'!$N26-'MIS Working 1'!$AF26</f>
        <v>1557.7900000000081</v>
      </c>
      <c r="V26" s="278">
        <f>'MIS Working 1'!$U26/'MIS Working 1'!$N26</f>
        <v>2.3484336263241052E-2</v>
      </c>
      <c r="W26" s="274">
        <f>'MIS Working 1'!$N26/'MIS Working 1'!$L26</f>
        <v>221.85</v>
      </c>
      <c r="X26" s="279">
        <f>SUM('MIS Working 1'!$Y26:$AE26)</f>
        <v>239.77999999999994</v>
      </c>
      <c r="Y26" s="279">
        <f>SUMIFS('COGS Break up'!$E:$E,'COGS Break up'!$A:$A,'MIS Working 1'!$D26,'COGS Break up'!$D:$D,'MIS Working 1'!$Y$1)</f>
        <v>174.98999999999995</v>
      </c>
      <c r="Z26" s="279">
        <f>SUMIFS('COGS Break up'!$E:$E,'COGS Break up'!$A:$A,'MIS Working 1'!$D26,'COGS Break up'!$D:$D,'MIS Working 1'!$Z$1)</f>
        <v>18.389999999999997</v>
      </c>
      <c r="AA26" s="279">
        <f>SUMIFS('COGS Break up'!E:E,'COGS Break up'!A:A,'MIS Working 1'!$D:$D,'COGS Break up'!C:C,'MIS Working 1'!$AA$1)</f>
        <v>1.5</v>
      </c>
      <c r="AB26" s="279">
        <f>SUMIFS('COGS Break up'!E:E,'COGS Break up'!A:A,'MIS Working 1'!$D:$D,'COGS Break up'!C:C,$AB$1)</f>
        <v>13.37</v>
      </c>
      <c r="AC26" s="279">
        <f>SUMIFS('COGS Break up'!E:E,'COGS Break up'!A:A,'MIS Working 1'!$D:$D,'COGS Break up'!C:C,$AC$1)</f>
        <v>8.31</v>
      </c>
      <c r="AD26" s="279">
        <f>SUMIFS('COGS Break up'!$E:$E,'COGS Break up'!$A:$A,'MIS Working 1'!$D26,'COGS Break up'!$D:$D,'MIS Working 1'!$AD$1)</f>
        <v>0.04</v>
      </c>
      <c r="AE26" s="279">
        <f>SUMIFS('COGS Break up'!$E:$E,'COGS Break up'!$A:$A,'MIS Working 1'!$D26,'COGS Break up'!$D:$D,'MIS Working 1'!$AE$1)</f>
        <v>23.18</v>
      </c>
      <c r="AF26" s="280">
        <f>'MIS Working 1'!$AG26+'MIS Working 1'!$AH26+'MIS Working 1'!$AM26+'MIS Working 1'!$AL26</f>
        <v>64775.359999999986</v>
      </c>
      <c r="AG26" s="279">
        <f>'MIS Working 1'!$L26*'MIS Working 1'!$Y26</f>
        <v>52322.009999999987</v>
      </c>
      <c r="AH26" s="279">
        <f>'MIS Working 1'!$L26*'MIS Working 1'!$Z26</f>
        <v>5498.6099999999988</v>
      </c>
      <c r="AI26" s="279">
        <f t="shared" si="0"/>
        <v>448.5</v>
      </c>
      <c r="AJ26" s="279">
        <f t="shared" si="1"/>
        <v>3997.6299999999997</v>
      </c>
      <c r="AK26" s="279">
        <f t="shared" si="2"/>
        <v>2484.69</v>
      </c>
      <c r="AL26" s="279">
        <f>'MIS Working 1'!$AD26*'MIS Working 1'!$L26</f>
        <v>11.96</v>
      </c>
      <c r="AM26" s="279">
        <f>'MIS Working 1'!$L26*'MIS Working 1'!$AE26+'MIS Working 1'!$AL26</f>
        <v>6942.78</v>
      </c>
    </row>
    <row r="27" spans="1:39" x14ac:dyDescent="0.3">
      <c r="A27" s="263" t="s">
        <v>479</v>
      </c>
      <c r="B27" s="264">
        <v>45989</v>
      </c>
      <c r="C27" s="265" t="s">
        <v>1941</v>
      </c>
      <c r="D27" s="265" t="s">
        <v>1903</v>
      </c>
      <c r="E27" s="265" t="s">
        <v>1904</v>
      </c>
      <c r="F27" s="265" t="s">
        <v>18</v>
      </c>
      <c r="G27" s="265" t="s">
        <v>19</v>
      </c>
      <c r="H27" s="265" t="s">
        <v>27</v>
      </c>
      <c r="I27" s="266">
        <v>1260</v>
      </c>
      <c r="J27" s="267">
        <v>412435.8</v>
      </c>
      <c r="K27" s="266">
        <v>1260</v>
      </c>
      <c r="L27" s="266">
        <v>1260</v>
      </c>
      <c r="M27" s="264">
        <v>45989</v>
      </c>
      <c r="N27" s="267">
        <v>429748.2</v>
      </c>
      <c r="O27" s="265" t="s">
        <v>21</v>
      </c>
      <c r="P27" s="265" t="s">
        <v>22</v>
      </c>
      <c r="Q27" s="265" t="s">
        <v>660</v>
      </c>
      <c r="R27" s="265" t="str">
        <f>VLOOKUP('MIS Working 1'!$G27,Master!$H$3:$I$8,2,0)</f>
        <v>Finished Goods</v>
      </c>
      <c r="S27" s="265" t="str">
        <f>VLOOKUP('MIS Working 1'!$H27,Master!B:C,2,0)</f>
        <v>FG-PCB-CF</v>
      </c>
      <c r="T27" s="265" t="str">
        <f>VLOOKUP('MIS Working 1'!$S27,Master!E:F,2,0)</f>
        <v>FG-PCB-CF</v>
      </c>
      <c r="U27" s="268">
        <f>'MIS Working 1'!$N27-'MIS Working 1'!$AF27</f>
        <v>17110.79999999993</v>
      </c>
      <c r="V27" s="269">
        <f>'MIS Working 1'!$U27/'MIS Working 1'!$N27</f>
        <v>3.9815873574339418E-2</v>
      </c>
      <c r="W27" s="265">
        <f>'MIS Working 1'!$N27/'MIS Working 1'!$L27</f>
        <v>341.07</v>
      </c>
      <c r="X27" s="270">
        <f>SUM('MIS Working 1'!$Y27:$AE27)</f>
        <v>355.74000000000007</v>
      </c>
      <c r="Y27" s="270">
        <f>SUMIFS('COGS Break up'!$E:$E,'COGS Break up'!$A:$A,'MIS Working 1'!$D27,'COGS Break up'!$D:$D,'MIS Working 1'!$Y$1)</f>
        <v>278.11</v>
      </c>
      <c r="Z27" s="270">
        <f>SUMIFS('COGS Break up'!$E:$E,'COGS Break up'!$A:$A,'MIS Working 1'!$D27,'COGS Break up'!$D:$D,'MIS Working 1'!$Z$1)</f>
        <v>20.62</v>
      </c>
      <c r="AA27" s="270">
        <f>SUMIFS('COGS Break up'!E:E,'COGS Break up'!A:A,'MIS Working 1'!$D:$D,'COGS Break up'!C:C,'MIS Working 1'!$AA$1)</f>
        <v>2.21</v>
      </c>
      <c r="AB27" s="270">
        <f>SUMIFS('COGS Break up'!E:E,'COGS Break up'!A:A,'MIS Working 1'!$D:$D,'COGS Break up'!C:C,$AB$1)</f>
        <v>17.73</v>
      </c>
      <c r="AC27" s="270">
        <f>SUMIFS('COGS Break up'!E:E,'COGS Break up'!A:A,'MIS Working 1'!$D:$D,'COGS Break up'!C:C,$AC$1)</f>
        <v>8.48</v>
      </c>
      <c r="AD27" s="270">
        <f>SUMIFS('COGS Break up'!$E:$E,'COGS Break up'!$A:$A,'MIS Working 1'!$D27,'COGS Break up'!$D:$D,'MIS Working 1'!$AD$1)</f>
        <v>0.17</v>
      </c>
      <c r="AE27" s="270">
        <f>SUMIFS('COGS Break up'!$E:$E,'COGS Break up'!$A:$A,'MIS Working 1'!$D27,'COGS Break up'!$D:$D,'MIS Working 1'!$AE$1)</f>
        <v>28.42</v>
      </c>
      <c r="AF27" s="271">
        <f>'MIS Working 1'!$AG27+'MIS Working 1'!$AH27+'MIS Working 1'!$AM27+'MIS Working 1'!$AL27</f>
        <v>412637.40000000008</v>
      </c>
      <c r="AG27" s="270">
        <f>'MIS Working 1'!$L27*'MIS Working 1'!$Y27</f>
        <v>350418.60000000003</v>
      </c>
      <c r="AH27" s="270">
        <f>'MIS Working 1'!$L27*'MIS Working 1'!$Z27</f>
        <v>25981.200000000001</v>
      </c>
      <c r="AI27" s="270">
        <f t="shared" si="0"/>
        <v>2784.6</v>
      </c>
      <c r="AJ27" s="270">
        <f t="shared" si="1"/>
        <v>22339.8</v>
      </c>
      <c r="AK27" s="270">
        <f t="shared" si="2"/>
        <v>10684.800000000001</v>
      </c>
      <c r="AL27" s="270">
        <f>'MIS Working 1'!$AD27*'MIS Working 1'!$L27</f>
        <v>214.20000000000002</v>
      </c>
      <c r="AM27" s="270">
        <f>'MIS Working 1'!$L27*'MIS Working 1'!$AE27+'MIS Working 1'!$AL27</f>
        <v>36023.4</v>
      </c>
    </row>
    <row r="28" spans="1:39" x14ac:dyDescent="0.3">
      <c r="A28" s="272" t="s">
        <v>479</v>
      </c>
      <c r="B28" s="273">
        <v>45989</v>
      </c>
      <c r="C28" s="274" t="s">
        <v>1942</v>
      </c>
      <c r="D28" s="274" t="s">
        <v>1943</v>
      </c>
      <c r="E28" s="274" t="s">
        <v>1944</v>
      </c>
      <c r="F28" s="274" t="s">
        <v>18</v>
      </c>
      <c r="G28" s="274" t="s">
        <v>48</v>
      </c>
      <c r="H28" s="274" t="s">
        <v>202</v>
      </c>
      <c r="I28" s="275">
        <v>4000</v>
      </c>
      <c r="J28" s="276">
        <v>254844.77</v>
      </c>
      <c r="K28" s="275">
        <v>4000</v>
      </c>
      <c r="L28" s="275">
        <v>4000</v>
      </c>
      <c r="M28" s="273">
        <v>45989</v>
      </c>
      <c r="N28" s="276">
        <v>260880</v>
      </c>
      <c r="O28" s="274" t="s">
        <v>21</v>
      </c>
      <c r="P28" s="274" t="s">
        <v>22</v>
      </c>
      <c r="Q28" s="274" t="s">
        <v>660</v>
      </c>
      <c r="R28" s="274" t="str">
        <f>VLOOKUP('MIS Working 1'!$G28,Master!$H$3:$I$8,2,0)</f>
        <v>Raw Material</v>
      </c>
      <c r="S28" s="274" t="str">
        <f>VLOOKUP('MIS Working 1'!$H28,Master!B:C,2,0)</f>
        <v>RM-Eletro-IC</v>
      </c>
      <c r="T28" s="274" t="str">
        <f>VLOOKUP('MIS Working 1'!$S28,Master!E:F,2,0)</f>
        <v>Raw Material</v>
      </c>
      <c r="U28" s="277">
        <f>'MIS Working 1'!$N28-'MIS Working 1'!$AF28</f>
        <v>260880</v>
      </c>
      <c r="V28" s="278">
        <f>'MIS Working 1'!$U28/'MIS Working 1'!$N28</f>
        <v>1</v>
      </c>
      <c r="W28" s="274">
        <f>'MIS Working 1'!$N28/'MIS Working 1'!$L28</f>
        <v>65.22</v>
      </c>
      <c r="X28" s="279">
        <f>SUM('MIS Working 1'!$Y28:$AE28)</f>
        <v>0</v>
      </c>
      <c r="Y28" s="279">
        <f>SUMIFS('COGS Break up'!$E:$E,'COGS Break up'!$A:$A,'MIS Working 1'!$D28,'COGS Break up'!$D:$D,'MIS Working 1'!$Y$1)</f>
        <v>0</v>
      </c>
      <c r="Z28" s="279">
        <f>SUMIFS('COGS Break up'!$E:$E,'COGS Break up'!$A:$A,'MIS Working 1'!$D28,'COGS Break up'!$D:$D,'MIS Working 1'!$Z$1)</f>
        <v>0</v>
      </c>
      <c r="AA28" s="279">
        <f>SUMIFS('COGS Break up'!E:E,'COGS Break up'!A:A,'MIS Working 1'!$D:$D,'COGS Break up'!C:C,'MIS Working 1'!$AA$1)</f>
        <v>0</v>
      </c>
      <c r="AB28" s="279">
        <f>SUMIFS('COGS Break up'!E:E,'COGS Break up'!A:A,'MIS Working 1'!$D:$D,'COGS Break up'!C:C,$AB$1)</f>
        <v>0</v>
      </c>
      <c r="AC28" s="279">
        <f>SUMIFS('COGS Break up'!E:E,'COGS Break up'!A:A,'MIS Working 1'!$D:$D,'COGS Break up'!C:C,$AC$1)</f>
        <v>0</v>
      </c>
      <c r="AD28" s="279">
        <f>SUMIFS('COGS Break up'!$E:$E,'COGS Break up'!$A:$A,'MIS Working 1'!$D28,'COGS Break up'!$D:$D,'MIS Working 1'!$AD$1)</f>
        <v>0</v>
      </c>
      <c r="AE28" s="279">
        <f>SUMIFS('COGS Break up'!$E:$E,'COGS Break up'!$A:$A,'MIS Working 1'!$D28,'COGS Break up'!$D:$D,'MIS Working 1'!$AE$1)</f>
        <v>0</v>
      </c>
      <c r="AF28" s="280">
        <f>'MIS Working 1'!$AG28+'MIS Working 1'!$AH28+'MIS Working 1'!$AM28+'MIS Working 1'!$AL28</f>
        <v>0</v>
      </c>
      <c r="AG28" s="279">
        <f>'MIS Working 1'!$L28*'MIS Working 1'!$Y28</f>
        <v>0</v>
      </c>
      <c r="AH28" s="279">
        <f>'MIS Working 1'!$L28*'MIS Working 1'!$Z28</f>
        <v>0</v>
      </c>
      <c r="AI28" s="279">
        <f t="shared" si="0"/>
        <v>0</v>
      </c>
      <c r="AJ28" s="279">
        <f t="shared" si="1"/>
        <v>0</v>
      </c>
      <c r="AK28" s="279">
        <f t="shared" si="2"/>
        <v>0</v>
      </c>
      <c r="AL28" s="279">
        <f>'MIS Working 1'!$AD28*'MIS Working 1'!$L28</f>
        <v>0</v>
      </c>
      <c r="AM28" s="279">
        <f>'MIS Working 1'!$L28*'MIS Working 1'!$AE28+'MIS Working 1'!$AL28</f>
        <v>0</v>
      </c>
    </row>
    <row r="29" spans="1:39" x14ac:dyDescent="0.3">
      <c r="A29" s="263" t="s">
        <v>1294</v>
      </c>
      <c r="B29" s="264">
        <v>45988</v>
      </c>
      <c r="C29" s="265" t="s">
        <v>1906</v>
      </c>
      <c r="D29" s="265" t="s">
        <v>568</v>
      </c>
      <c r="E29" s="265" t="s">
        <v>594</v>
      </c>
      <c r="F29" s="265" t="s">
        <v>18</v>
      </c>
      <c r="G29" s="265" t="s">
        <v>19</v>
      </c>
      <c r="H29" s="265" t="s">
        <v>27</v>
      </c>
      <c r="I29" s="266">
        <v>3000</v>
      </c>
      <c r="J29" s="267">
        <v>62430</v>
      </c>
      <c r="K29" s="266">
        <v>3000</v>
      </c>
      <c r="L29" s="266">
        <v>3000</v>
      </c>
      <c r="M29" s="264">
        <v>45988</v>
      </c>
      <c r="N29" s="267">
        <v>43020</v>
      </c>
      <c r="O29" s="265" t="s">
        <v>21</v>
      </c>
      <c r="P29" s="265" t="s">
        <v>22</v>
      </c>
      <c r="Q29" s="265" t="s">
        <v>660</v>
      </c>
      <c r="R29" s="265" t="str">
        <f>VLOOKUP('MIS Working 1'!$G29,Master!$H$3:$I$8,2,0)</f>
        <v>Finished Goods</v>
      </c>
      <c r="S29" s="265" t="str">
        <f>VLOOKUP('MIS Working 1'!$H29,Master!B:C,2,0)</f>
        <v>FG-PCB-CF</v>
      </c>
      <c r="T29" s="265" t="str">
        <f>VLOOKUP('MIS Working 1'!$S29,Master!E:F,2,0)</f>
        <v>FG-PCB-CF</v>
      </c>
      <c r="U29" s="268">
        <f>'MIS Working 1'!$N29-'MIS Working 1'!$AF29</f>
        <v>-19410</v>
      </c>
      <c r="V29" s="269">
        <f>'MIS Working 1'!$U29/'MIS Working 1'!$N29</f>
        <v>-0.4511854951185495</v>
      </c>
      <c r="W29" s="265">
        <f>'MIS Working 1'!$N29/'MIS Working 1'!$L29</f>
        <v>14.34</v>
      </c>
      <c r="X29" s="270">
        <f>SUM('MIS Working 1'!$Y29:$AE29)</f>
        <v>21.750000000000004</v>
      </c>
      <c r="Y29" s="270">
        <f>SUMIFS('COGS Break up'!$E:$E,'COGS Break up'!$A:$A,'MIS Working 1'!$D29,'COGS Break up'!$D:$D,'MIS Working 1'!$Y$1)</f>
        <v>8.3800000000000008</v>
      </c>
      <c r="Z29" s="270">
        <f>SUMIFS('COGS Break up'!$E:$E,'COGS Break up'!$A:$A,'MIS Working 1'!$D29,'COGS Break up'!$D:$D,'MIS Working 1'!$Z$1)</f>
        <v>11.49</v>
      </c>
      <c r="AA29" s="270">
        <f>SUMIFS('COGS Break up'!E:E,'COGS Break up'!A:A,'MIS Working 1'!$D:$D,'COGS Break up'!C:C,'MIS Working 1'!$AA$1)</f>
        <v>0.94</v>
      </c>
      <c r="AB29" s="270">
        <f>SUMIFS('COGS Break up'!E:E,'COGS Break up'!A:A,'MIS Working 1'!$D:$D,'COGS Break up'!C:C,$AB$1)</f>
        <v>0</v>
      </c>
      <c r="AC29" s="270">
        <f>SUMIFS('COGS Break up'!E:E,'COGS Break up'!A:A,'MIS Working 1'!$D:$D,'COGS Break up'!C:C,$AC$1)</f>
        <v>0</v>
      </c>
      <c r="AD29" s="270">
        <f>SUMIFS('COGS Break up'!$E:$E,'COGS Break up'!$A:$A,'MIS Working 1'!$D29,'COGS Break up'!$D:$D,'MIS Working 1'!$AD$1)</f>
        <v>0</v>
      </c>
      <c r="AE29" s="270">
        <f>SUMIFS('COGS Break up'!$E:$E,'COGS Break up'!$A:$A,'MIS Working 1'!$D29,'COGS Break up'!$D:$D,'MIS Working 1'!$AE$1)</f>
        <v>0.94</v>
      </c>
      <c r="AF29" s="271">
        <f>'MIS Working 1'!$AG29+'MIS Working 1'!$AH29+'MIS Working 1'!$AM29+'MIS Working 1'!$AL29</f>
        <v>62430</v>
      </c>
      <c r="AG29" s="270">
        <f>'MIS Working 1'!$L29*'MIS Working 1'!$Y29</f>
        <v>25140.000000000004</v>
      </c>
      <c r="AH29" s="270">
        <f>'MIS Working 1'!$L29*'MIS Working 1'!$Z29</f>
        <v>34470</v>
      </c>
      <c r="AI29" s="270">
        <f t="shared" si="0"/>
        <v>2820</v>
      </c>
      <c r="AJ29" s="270">
        <f t="shared" si="1"/>
        <v>0</v>
      </c>
      <c r="AK29" s="270">
        <f t="shared" si="2"/>
        <v>0</v>
      </c>
      <c r="AL29" s="270">
        <f>'MIS Working 1'!$AD29*'MIS Working 1'!$L29</f>
        <v>0</v>
      </c>
      <c r="AM29" s="270">
        <f>'MIS Working 1'!$L29*'MIS Working 1'!$AE29+'MIS Working 1'!$AL29</f>
        <v>2820</v>
      </c>
    </row>
    <row r="30" spans="1:39" x14ac:dyDescent="0.3">
      <c r="A30" s="272" t="s">
        <v>479</v>
      </c>
      <c r="B30" s="273">
        <v>45988</v>
      </c>
      <c r="C30" s="274" t="s">
        <v>1907</v>
      </c>
      <c r="D30" s="274" t="s">
        <v>40</v>
      </c>
      <c r="E30" s="274" t="s">
        <v>41</v>
      </c>
      <c r="F30" s="274" t="s">
        <v>18</v>
      </c>
      <c r="G30" s="274" t="s">
        <v>34</v>
      </c>
      <c r="H30" s="274" t="s">
        <v>772</v>
      </c>
      <c r="I30" s="275">
        <v>2240</v>
      </c>
      <c r="J30" s="276">
        <v>330780.79999999999</v>
      </c>
      <c r="K30" s="275">
        <v>2240</v>
      </c>
      <c r="L30" s="275">
        <v>2240</v>
      </c>
      <c r="M30" s="273">
        <v>45988</v>
      </c>
      <c r="N30" s="276">
        <v>364985.59999999998</v>
      </c>
      <c r="O30" s="274" t="s">
        <v>21</v>
      </c>
      <c r="P30" s="274" t="s">
        <v>22</v>
      </c>
      <c r="Q30" s="274" t="s">
        <v>660</v>
      </c>
      <c r="R30" s="274" t="str">
        <f>VLOOKUP('MIS Working 1'!$G30,Master!$H$3:$I$8,2,0)</f>
        <v>Semi-Finished Goods</v>
      </c>
      <c r="S30" s="274" t="str">
        <f>VLOOKUP('MIS Working 1'!$H30,Master!B:C,2,0)</f>
        <v>SFG-GV5 Stator</v>
      </c>
      <c r="T30" s="274" t="str">
        <f>VLOOKUP('MIS Working 1'!$S30,Master!E:F,2,0)</f>
        <v>Sub Ass.-Mech Stator</v>
      </c>
      <c r="U30" s="277">
        <f>'MIS Working 1'!$N30-'MIS Working 1'!$AF30</f>
        <v>34204.800000000047</v>
      </c>
      <c r="V30" s="278">
        <f>'MIS Working 1'!$U30/'MIS Working 1'!$N30</f>
        <v>9.3715478090094645E-2</v>
      </c>
      <c r="W30" s="274">
        <f>'MIS Working 1'!$N30/'MIS Working 1'!$L30</f>
        <v>162.94</v>
      </c>
      <c r="X30" s="279">
        <f>SUM('MIS Working 1'!$Y30:$AE30)</f>
        <v>149.61999999999998</v>
      </c>
      <c r="Y30" s="279">
        <f>SUMIFS('COGS Break up'!$E:$E,'COGS Break up'!$A:$A,'MIS Working 1'!$D30,'COGS Break up'!$D:$D,'MIS Working 1'!$Y$1)</f>
        <v>144.21999999999997</v>
      </c>
      <c r="Z30" s="279">
        <f>SUMIFS('COGS Break up'!$E:$E,'COGS Break up'!$A:$A,'MIS Working 1'!$D30,'COGS Break up'!$D:$D,'MIS Working 1'!$Z$1)</f>
        <v>1.5</v>
      </c>
      <c r="AA30" s="279">
        <f>SUMIFS('COGS Break up'!E:E,'COGS Break up'!A:A,'MIS Working 1'!$D:$D,'COGS Break up'!C:C,'MIS Working 1'!$AA$1)</f>
        <v>0.05</v>
      </c>
      <c r="AB30" s="279">
        <f>SUMIFS('COGS Break up'!E:E,'COGS Break up'!A:A,'MIS Working 1'!$D:$D,'COGS Break up'!C:C,$AB$1)</f>
        <v>0.4</v>
      </c>
      <c r="AC30" s="279">
        <f>SUMIFS('COGS Break up'!E:E,'COGS Break up'!A:A,'MIS Working 1'!$D:$D,'COGS Break up'!C:C,$AC$1)</f>
        <v>1.5</v>
      </c>
      <c r="AD30" s="279">
        <f>SUMIFS('COGS Break up'!$E:$E,'COGS Break up'!$A:$A,'MIS Working 1'!$D30,'COGS Break up'!$D:$D,'MIS Working 1'!$AD$1)</f>
        <v>0</v>
      </c>
      <c r="AE30" s="279">
        <f>SUMIFS('COGS Break up'!$E:$E,'COGS Break up'!$A:$A,'MIS Working 1'!$D30,'COGS Break up'!$D:$D,'MIS Working 1'!$AE$1)</f>
        <v>1.95</v>
      </c>
      <c r="AF30" s="280">
        <f>'MIS Working 1'!$AG30+'MIS Working 1'!$AH30+'MIS Working 1'!$AM30+'MIS Working 1'!$AL30</f>
        <v>330780.79999999993</v>
      </c>
      <c r="AG30" s="279">
        <f>'MIS Working 1'!$L30*'MIS Working 1'!$Y30</f>
        <v>323052.79999999993</v>
      </c>
      <c r="AH30" s="279">
        <f>'MIS Working 1'!$L30*'MIS Working 1'!$Z30</f>
        <v>3360</v>
      </c>
      <c r="AI30" s="279">
        <f t="shared" si="0"/>
        <v>112</v>
      </c>
      <c r="AJ30" s="279">
        <f t="shared" si="1"/>
        <v>896</v>
      </c>
      <c r="AK30" s="279">
        <f t="shared" si="2"/>
        <v>3360</v>
      </c>
      <c r="AL30" s="279">
        <f>'MIS Working 1'!$AD30*'MIS Working 1'!$L30</f>
        <v>0</v>
      </c>
      <c r="AM30" s="279">
        <f>'MIS Working 1'!$L30*'MIS Working 1'!$AE30+'MIS Working 1'!$AL30</f>
        <v>4368</v>
      </c>
    </row>
    <row r="31" spans="1:39" x14ac:dyDescent="0.3">
      <c r="A31" s="263" t="s">
        <v>479</v>
      </c>
      <c r="B31" s="264">
        <v>45988</v>
      </c>
      <c r="C31" s="265" t="s">
        <v>1908</v>
      </c>
      <c r="D31" s="265" t="s">
        <v>40</v>
      </c>
      <c r="E31" s="265" t="s">
        <v>41</v>
      </c>
      <c r="F31" s="265" t="s">
        <v>18</v>
      </c>
      <c r="G31" s="265" t="s">
        <v>34</v>
      </c>
      <c r="H31" s="265" t="s">
        <v>772</v>
      </c>
      <c r="I31" s="266">
        <v>8812</v>
      </c>
      <c r="J31" s="267">
        <v>1301268.04</v>
      </c>
      <c r="K31" s="266">
        <v>8812</v>
      </c>
      <c r="L31" s="266">
        <v>8812</v>
      </c>
      <c r="M31" s="264">
        <v>45988</v>
      </c>
      <c r="N31" s="267">
        <v>1435827.28</v>
      </c>
      <c r="O31" s="265" t="s">
        <v>21</v>
      </c>
      <c r="P31" s="265" t="s">
        <v>22</v>
      </c>
      <c r="Q31" s="265" t="s">
        <v>660</v>
      </c>
      <c r="R31" s="265" t="str">
        <f>VLOOKUP('MIS Working 1'!$G31,Master!$H$3:$I$8,2,0)</f>
        <v>Semi-Finished Goods</v>
      </c>
      <c r="S31" s="265" t="str">
        <f>VLOOKUP('MIS Working 1'!$H31,Master!B:C,2,0)</f>
        <v>SFG-GV5 Stator</v>
      </c>
      <c r="T31" s="265" t="str">
        <f>VLOOKUP('MIS Working 1'!$S31,Master!E:F,2,0)</f>
        <v>Sub Ass.-Mech Stator</v>
      </c>
      <c r="U31" s="268">
        <f>'MIS Working 1'!$N31-'MIS Working 1'!$AF31</f>
        <v>134559.24000000046</v>
      </c>
      <c r="V31" s="269">
        <f>'MIS Working 1'!$U31/'MIS Working 1'!$N31</f>
        <v>9.3715478090094825E-2</v>
      </c>
      <c r="W31" s="265">
        <f>'MIS Working 1'!$N31/'MIS Working 1'!$L31</f>
        <v>162.94</v>
      </c>
      <c r="X31" s="270">
        <f>SUM('MIS Working 1'!$Y31:$AE31)</f>
        <v>149.61999999999998</v>
      </c>
      <c r="Y31" s="270">
        <f>SUMIFS('COGS Break up'!$E:$E,'COGS Break up'!$A:$A,'MIS Working 1'!$D31,'COGS Break up'!$D:$D,'MIS Working 1'!$Y$1)</f>
        <v>144.21999999999997</v>
      </c>
      <c r="Z31" s="270">
        <f>SUMIFS('COGS Break up'!$E:$E,'COGS Break up'!$A:$A,'MIS Working 1'!$D31,'COGS Break up'!$D:$D,'MIS Working 1'!$Z$1)</f>
        <v>1.5</v>
      </c>
      <c r="AA31" s="270">
        <f>SUMIFS('COGS Break up'!E:E,'COGS Break up'!A:A,'MIS Working 1'!$D:$D,'COGS Break up'!C:C,'MIS Working 1'!$AA$1)</f>
        <v>0.05</v>
      </c>
      <c r="AB31" s="270">
        <f>SUMIFS('COGS Break up'!E:E,'COGS Break up'!A:A,'MIS Working 1'!$D:$D,'COGS Break up'!C:C,$AB$1)</f>
        <v>0.4</v>
      </c>
      <c r="AC31" s="270">
        <f>SUMIFS('COGS Break up'!E:E,'COGS Break up'!A:A,'MIS Working 1'!$D:$D,'COGS Break up'!C:C,$AC$1)</f>
        <v>1.5</v>
      </c>
      <c r="AD31" s="270">
        <f>SUMIFS('COGS Break up'!$E:$E,'COGS Break up'!$A:$A,'MIS Working 1'!$D31,'COGS Break up'!$D:$D,'MIS Working 1'!$AD$1)</f>
        <v>0</v>
      </c>
      <c r="AE31" s="270">
        <f>SUMIFS('COGS Break up'!$E:$E,'COGS Break up'!$A:$A,'MIS Working 1'!$D31,'COGS Break up'!$D:$D,'MIS Working 1'!$AE$1)</f>
        <v>1.95</v>
      </c>
      <c r="AF31" s="271">
        <f>'MIS Working 1'!$AG31+'MIS Working 1'!$AH31+'MIS Working 1'!$AM31+'MIS Working 1'!$AL31</f>
        <v>1301268.0399999996</v>
      </c>
      <c r="AG31" s="270">
        <f>'MIS Working 1'!$L31*'MIS Working 1'!$Y31</f>
        <v>1270866.6399999997</v>
      </c>
      <c r="AH31" s="270">
        <f>'MIS Working 1'!$L31*'MIS Working 1'!$Z31</f>
        <v>13218</v>
      </c>
      <c r="AI31" s="270">
        <f t="shared" si="0"/>
        <v>440.6</v>
      </c>
      <c r="AJ31" s="270">
        <f t="shared" si="1"/>
        <v>3524.8</v>
      </c>
      <c r="AK31" s="270">
        <f t="shared" si="2"/>
        <v>13218</v>
      </c>
      <c r="AL31" s="270">
        <f>'MIS Working 1'!$AD31*'MIS Working 1'!$L31</f>
        <v>0</v>
      </c>
      <c r="AM31" s="270">
        <f>'MIS Working 1'!$L31*'MIS Working 1'!$AE31+'MIS Working 1'!$AL31</f>
        <v>17183.399999999998</v>
      </c>
    </row>
    <row r="32" spans="1:39" x14ac:dyDescent="0.3">
      <c r="A32" s="272" t="s">
        <v>479</v>
      </c>
      <c r="B32" s="273">
        <v>45988</v>
      </c>
      <c r="C32" s="274" t="s">
        <v>1909</v>
      </c>
      <c r="D32" s="274" t="s">
        <v>639</v>
      </c>
      <c r="E32" s="274" t="s">
        <v>640</v>
      </c>
      <c r="F32" s="274" t="s">
        <v>18</v>
      </c>
      <c r="G32" s="274" t="s">
        <v>19</v>
      </c>
      <c r="H32" s="274" t="s">
        <v>27</v>
      </c>
      <c r="I32" s="275">
        <v>36</v>
      </c>
      <c r="J32" s="276">
        <v>23221.08</v>
      </c>
      <c r="K32" s="275">
        <v>36</v>
      </c>
      <c r="L32" s="275">
        <v>36</v>
      </c>
      <c r="M32" s="273">
        <v>45988</v>
      </c>
      <c r="N32" s="276">
        <v>26228.16</v>
      </c>
      <c r="O32" s="274" t="s">
        <v>21</v>
      </c>
      <c r="P32" s="274" t="s">
        <v>22</v>
      </c>
      <c r="Q32" s="274" t="s">
        <v>660</v>
      </c>
      <c r="R32" s="274" t="str">
        <f>VLOOKUP('MIS Working 1'!$G32,Master!$H$3:$I$8,2,0)</f>
        <v>Finished Goods</v>
      </c>
      <c r="S32" s="274" t="str">
        <f>VLOOKUP('MIS Working 1'!$H32,Master!B:C,2,0)</f>
        <v>FG-PCB-CF</v>
      </c>
      <c r="T32" s="274" t="str">
        <f>VLOOKUP('MIS Working 1'!$S32,Master!E:F,2,0)</f>
        <v>FG-PCB-CF</v>
      </c>
      <c r="U32" s="277">
        <f>'MIS Working 1'!$N32-'MIS Working 1'!$AF32</f>
        <v>2991.6000000000131</v>
      </c>
      <c r="V32" s="278">
        <f>'MIS Working 1'!$U32/'MIS Working 1'!$N32</f>
        <v>0.11406061271549407</v>
      </c>
      <c r="W32" s="274">
        <f>'MIS Working 1'!$N32/'MIS Working 1'!$L32</f>
        <v>728.56</v>
      </c>
      <c r="X32" s="279">
        <f>SUM('MIS Working 1'!$Y32:$AE32)</f>
        <v>677.50999999999965</v>
      </c>
      <c r="Y32" s="279">
        <f>SUMIFS('COGS Break up'!$E:$E,'COGS Break up'!$A:$A,'MIS Working 1'!$D32,'COGS Break up'!$D:$D,'MIS Working 1'!$Y$1)</f>
        <v>582.23999999999967</v>
      </c>
      <c r="Z32" s="279">
        <f>SUMIFS('COGS Break up'!$E:$E,'COGS Break up'!$A:$A,'MIS Working 1'!$D32,'COGS Break up'!$D:$D,'MIS Working 1'!$Z$1)</f>
        <v>29.88</v>
      </c>
      <c r="AA32" s="279">
        <f>SUMIFS('COGS Break up'!E:E,'COGS Break up'!A:A,'MIS Working 1'!$D:$D,'COGS Break up'!C:C,'MIS Working 1'!$AA$1)</f>
        <v>2.4500000000000002</v>
      </c>
      <c r="AB32" s="279">
        <f>SUMIFS('COGS Break up'!E:E,'COGS Break up'!A:A,'MIS Working 1'!$D:$D,'COGS Break up'!C:C,$AB$1)</f>
        <v>21.72</v>
      </c>
      <c r="AC32" s="279">
        <f>SUMIFS('COGS Break up'!E:E,'COGS Break up'!A:A,'MIS Working 1'!$D:$D,'COGS Break up'!C:C,$AC$1)</f>
        <v>8.31</v>
      </c>
      <c r="AD32" s="279">
        <f>SUMIFS('COGS Break up'!$E:$E,'COGS Break up'!$A:$A,'MIS Working 1'!$D32,'COGS Break up'!$D:$D,'MIS Working 1'!$AD$1)</f>
        <v>0.43</v>
      </c>
      <c r="AE32" s="279">
        <f>SUMIFS('COGS Break up'!$E:$E,'COGS Break up'!$A:$A,'MIS Working 1'!$D32,'COGS Break up'!$D:$D,'MIS Working 1'!$AE$1)</f>
        <v>32.480000000000004</v>
      </c>
      <c r="AF32" s="280">
        <f>'MIS Working 1'!$AG32+'MIS Working 1'!$AH32+'MIS Working 1'!$AM32+'MIS Working 1'!$AL32</f>
        <v>23236.559999999987</v>
      </c>
      <c r="AG32" s="279">
        <f>'MIS Working 1'!$L32*'MIS Working 1'!$Y32</f>
        <v>20960.639999999989</v>
      </c>
      <c r="AH32" s="279">
        <f>'MIS Working 1'!$L32*'MIS Working 1'!$Z32</f>
        <v>1075.68</v>
      </c>
      <c r="AI32" s="279">
        <f t="shared" si="0"/>
        <v>88.2</v>
      </c>
      <c r="AJ32" s="279">
        <f t="shared" si="1"/>
        <v>781.92</v>
      </c>
      <c r="AK32" s="279">
        <f t="shared" si="2"/>
        <v>299.16000000000003</v>
      </c>
      <c r="AL32" s="279">
        <f>'MIS Working 1'!$AD32*'MIS Working 1'!$L32</f>
        <v>15.48</v>
      </c>
      <c r="AM32" s="279">
        <f>'MIS Working 1'!$L32*'MIS Working 1'!$AE32+'MIS Working 1'!$AL32</f>
        <v>1184.7600000000002</v>
      </c>
    </row>
    <row r="33" spans="1:39" x14ac:dyDescent="0.3">
      <c r="A33" s="263" t="s">
        <v>479</v>
      </c>
      <c r="B33" s="264">
        <v>45988</v>
      </c>
      <c r="C33" s="265" t="s">
        <v>1910</v>
      </c>
      <c r="D33" s="265" t="s">
        <v>639</v>
      </c>
      <c r="E33" s="265" t="s">
        <v>640</v>
      </c>
      <c r="F33" s="265" t="s">
        <v>18</v>
      </c>
      <c r="G33" s="265" t="s">
        <v>19</v>
      </c>
      <c r="H33" s="265" t="s">
        <v>27</v>
      </c>
      <c r="I33" s="266">
        <v>140</v>
      </c>
      <c r="J33" s="267">
        <v>90304.2</v>
      </c>
      <c r="K33" s="266">
        <v>140</v>
      </c>
      <c r="L33" s="266">
        <v>140</v>
      </c>
      <c r="M33" s="264">
        <v>45988</v>
      </c>
      <c r="N33" s="267">
        <v>101998.39999999999</v>
      </c>
      <c r="O33" s="265" t="s">
        <v>21</v>
      </c>
      <c r="P33" s="265" t="s">
        <v>22</v>
      </c>
      <c r="Q33" s="265" t="s">
        <v>660</v>
      </c>
      <c r="R33" s="265" t="str">
        <f>VLOOKUP('MIS Working 1'!$G33,Master!$H$3:$I$8,2,0)</f>
        <v>Finished Goods</v>
      </c>
      <c r="S33" s="265" t="str">
        <f>VLOOKUP('MIS Working 1'!$H33,Master!B:C,2,0)</f>
        <v>FG-PCB-CF</v>
      </c>
      <c r="T33" s="265" t="str">
        <f>VLOOKUP('MIS Working 1'!$S33,Master!E:F,2,0)</f>
        <v>FG-PCB-CF</v>
      </c>
      <c r="U33" s="268">
        <f>'MIS Working 1'!$N33-'MIS Working 1'!$AF33</f>
        <v>11634.000000000058</v>
      </c>
      <c r="V33" s="269">
        <f>'MIS Working 1'!$U33/'MIS Working 1'!$N33</f>
        <v>0.11406061271549416</v>
      </c>
      <c r="W33" s="265">
        <f>'MIS Working 1'!$N33/'MIS Working 1'!$L33</f>
        <v>728.56</v>
      </c>
      <c r="X33" s="270">
        <f>SUM('MIS Working 1'!$Y33:$AE33)</f>
        <v>677.50999999999965</v>
      </c>
      <c r="Y33" s="270">
        <f>SUMIFS('COGS Break up'!$E:$E,'COGS Break up'!$A:$A,'MIS Working 1'!$D33,'COGS Break up'!$D:$D,'MIS Working 1'!$Y$1)</f>
        <v>582.23999999999967</v>
      </c>
      <c r="Z33" s="270">
        <f>SUMIFS('COGS Break up'!$E:$E,'COGS Break up'!$A:$A,'MIS Working 1'!$D33,'COGS Break up'!$D:$D,'MIS Working 1'!$Z$1)</f>
        <v>29.88</v>
      </c>
      <c r="AA33" s="270">
        <f>SUMIFS('COGS Break up'!E:E,'COGS Break up'!A:A,'MIS Working 1'!$D:$D,'COGS Break up'!C:C,'MIS Working 1'!$AA$1)</f>
        <v>2.4500000000000002</v>
      </c>
      <c r="AB33" s="270">
        <f>SUMIFS('COGS Break up'!E:E,'COGS Break up'!A:A,'MIS Working 1'!$D:$D,'COGS Break up'!C:C,$AB$1)</f>
        <v>21.72</v>
      </c>
      <c r="AC33" s="270">
        <f>SUMIFS('COGS Break up'!E:E,'COGS Break up'!A:A,'MIS Working 1'!$D:$D,'COGS Break up'!C:C,$AC$1)</f>
        <v>8.31</v>
      </c>
      <c r="AD33" s="270">
        <f>SUMIFS('COGS Break up'!$E:$E,'COGS Break up'!$A:$A,'MIS Working 1'!$D33,'COGS Break up'!$D:$D,'MIS Working 1'!$AD$1)</f>
        <v>0.43</v>
      </c>
      <c r="AE33" s="270">
        <f>SUMIFS('COGS Break up'!$E:$E,'COGS Break up'!$A:$A,'MIS Working 1'!$D33,'COGS Break up'!$D:$D,'MIS Working 1'!$AE$1)</f>
        <v>32.480000000000004</v>
      </c>
      <c r="AF33" s="271">
        <f>'MIS Working 1'!$AG33+'MIS Working 1'!$AH33+'MIS Working 1'!$AM33+'MIS Working 1'!$AL33</f>
        <v>90364.399999999936</v>
      </c>
      <c r="AG33" s="270">
        <f>'MIS Working 1'!$L33*'MIS Working 1'!$Y33</f>
        <v>81513.599999999948</v>
      </c>
      <c r="AH33" s="270">
        <f>'MIS Working 1'!$L33*'MIS Working 1'!$Z33</f>
        <v>4183.2</v>
      </c>
      <c r="AI33" s="270">
        <f t="shared" si="0"/>
        <v>343</v>
      </c>
      <c r="AJ33" s="270">
        <f t="shared" si="1"/>
        <v>3040.7999999999997</v>
      </c>
      <c r="AK33" s="270">
        <f t="shared" si="2"/>
        <v>1163.4000000000001</v>
      </c>
      <c r="AL33" s="270">
        <f>'MIS Working 1'!$AD33*'MIS Working 1'!$L33</f>
        <v>60.199999999999996</v>
      </c>
      <c r="AM33" s="270">
        <f>'MIS Working 1'!$L33*'MIS Working 1'!$AE33+'MIS Working 1'!$AL33</f>
        <v>4607.4000000000005</v>
      </c>
    </row>
    <row r="34" spans="1:39" x14ac:dyDescent="0.3">
      <c r="A34" s="272" t="s">
        <v>479</v>
      </c>
      <c r="B34" s="273">
        <v>45988</v>
      </c>
      <c r="C34" s="274" t="s">
        <v>1909</v>
      </c>
      <c r="D34" s="274" t="s">
        <v>42</v>
      </c>
      <c r="E34" s="274" t="s">
        <v>43</v>
      </c>
      <c r="F34" s="274" t="s">
        <v>18</v>
      </c>
      <c r="G34" s="274" t="s">
        <v>19</v>
      </c>
      <c r="H34" s="274" t="s">
        <v>27</v>
      </c>
      <c r="I34" s="275">
        <v>1045</v>
      </c>
      <c r="J34" s="276">
        <v>341850.85</v>
      </c>
      <c r="K34" s="275">
        <v>1045</v>
      </c>
      <c r="L34" s="275">
        <v>1045</v>
      </c>
      <c r="M34" s="273">
        <v>45988</v>
      </c>
      <c r="N34" s="276">
        <v>356418.15</v>
      </c>
      <c r="O34" s="274" t="s">
        <v>21</v>
      </c>
      <c r="P34" s="274" t="s">
        <v>22</v>
      </c>
      <c r="Q34" s="274" t="s">
        <v>660</v>
      </c>
      <c r="R34" s="274" t="str">
        <f>VLOOKUP('MIS Working 1'!$G34,Master!$H$3:$I$8,2,0)</f>
        <v>Finished Goods</v>
      </c>
      <c r="S34" s="274" t="str">
        <f>VLOOKUP('MIS Working 1'!$H34,Master!B:C,2,0)</f>
        <v>FG-PCB-CF</v>
      </c>
      <c r="T34" s="274" t="str">
        <f>VLOOKUP('MIS Working 1'!$S34,Master!E:F,2,0)</f>
        <v>FG-PCB-CF</v>
      </c>
      <c r="U34" s="277">
        <f>'MIS Working 1'!$N34-'MIS Working 1'!$AF34</f>
        <v>14389.649999999965</v>
      </c>
      <c r="V34" s="278">
        <f>'MIS Working 1'!$U34/'MIS Working 1'!$N34</f>
        <v>4.037294397044585E-2</v>
      </c>
      <c r="W34" s="274">
        <f>'MIS Working 1'!$N34/'MIS Working 1'!$L34</f>
        <v>341.07000000000005</v>
      </c>
      <c r="X34" s="279">
        <f>SUM('MIS Working 1'!$Y34:$AE34)</f>
        <v>353.55</v>
      </c>
      <c r="Y34" s="279">
        <f>SUMIFS('COGS Break up'!$E:$E,'COGS Break up'!$A:$A,'MIS Working 1'!$D34,'COGS Break up'!$D:$D,'MIS Working 1'!$Y$1)</f>
        <v>278.14000000000004</v>
      </c>
      <c r="Z34" s="279">
        <f>SUMIFS('COGS Break up'!$E:$E,'COGS Break up'!$A:$A,'MIS Working 1'!$D34,'COGS Break up'!$D:$D,'MIS Working 1'!$Z$1)</f>
        <v>22.400000000000002</v>
      </c>
      <c r="AA34" s="279">
        <f>SUMIFS('COGS Break up'!E:E,'COGS Break up'!A:A,'MIS Working 1'!$D:$D,'COGS Break up'!C:C,'MIS Working 1'!$AA$1)</f>
        <v>1.8299999999999998</v>
      </c>
      <c r="AB34" s="279">
        <f>SUMIFS('COGS Break up'!E:E,'COGS Break up'!A:A,'MIS Working 1'!$D:$D,'COGS Break up'!C:C,$AB$1)</f>
        <v>16.28</v>
      </c>
      <c r="AC34" s="279">
        <f>SUMIFS('COGS Break up'!E:E,'COGS Break up'!A:A,'MIS Working 1'!$D:$D,'COGS Break up'!C:C,$AC$1)</f>
        <v>8.31</v>
      </c>
      <c r="AD34" s="279">
        <f>SUMIFS('COGS Break up'!$E:$E,'COGS Break up'!$A:$A,'MIS Working 1'!$D34,'COGS Break up'!$D:$D,'MIS Working 1'!$AD$1)</f>
        <v>0.17</v>
      </c>
      <c r="AE34" s="279">
        <f>SUMIFS('COGS Break up'!$E:$E,'COGS Break up'!$A:$A,'MIS Working 1'!$D34,'COGS Break up'!$D:$D,'MIS Working 1'!$AE$1)</f>
        <v>26.42</v>
      </c>
      <c r="AF34" s="280">
        <f>'MIS Working 1'!$AG34+'MIS Working 1'!$AH34+'MIS Working 1'!$AM34+'MIS Working 1'!$AL34</f>
        <v>342028.50000000006</v>
      </c>
      <c r="AG34" s="279">
        <f>'MIS Working 1'!$L34*'MIS Working 1'!$Y34</f>
        <v>290656.30000000005</v>
      </c>
      <c r="AH34" s="279">
        <f>'MIS Working 1'!$L34*'MIS Working 1'!$Z34</f>
        <v>23408.000000000004</v>
      </c>
      <c r="AI34" s="279">
        <f t="shared" si="0"/>
        <v>1912.35</v>
      </c>
      <c r="AJ34" s="279">
        <f t="shared" si="1"/>
        <v>17012.600000000002</v>
      </c>
      <c r="AK34" s="279">
        <f t="shared" si="2"/>
        <v>8683.9500000000007</v>
      </c>
      <c r="AL34" s="279">
        <f>'MIS Working 1'!$AD34*'MIS Working 1'!$L34</f>
        <v>177.65</v>
      </c>
      <c r="AM34" s="279">
        <f>'MIS Working 1'!$L34*'MIS Working 1'!$AE34+'MIS Working 1'!$AL34</f>
        <v>27786.550000000003</v>
      </c>
    </row>
    <row r="35" spans="1:39" x14ac:dyDescent="0.3">
      <c r="A35" s="263" t="s">
        <v>479</v>
      </c>
      <c r="B35" s="264">
        <v>45988</v>
      </c>
      <c r="C35" s="265" t="s">
        <v>1910</v>
      </c>
      <c r="D35" s="265" t="s">
        <v>23</v>
      </c>
      <c r="E35" s="265" t="s">
        <v>24</v>
      </c>
      <c r="F35" s="265" t="s">
        <v>18</v>
      </c>
      <c r="G35" s="265" t="s">
        <v>19</v>
      </c>
      <c r="H35" s="265" t="s">
        <v>27</v>
      </c>
      <c r="I35" s="266">
        <v>1205</v>
      </c>
      <c r="J35" s="267">
        <v>507799.05</v>
      </c>
      <c r="K35" s="266">
        <v>1205</v>
      </c>
      <c r="L35" s="266">
        <v>1205</v>
      </c>
      <c r="M35" s="264">
        <v>45988</v>
      </c>
      <c r="N35" s="267">
        <v>582207.80000000005</v>
      </c>
      <c r="O35" s="265" t="s">
        <v>21</v>
      </c>
      <c r="P35" s="265" t="s">
        <v>22</v>
      </c>
      <c r="Q35" s="265" t="s">
        <v>660</v>
      </c>
      <c r="R35" s="265" t="str">
        <f>VLOOKUP('MIS Working 1'!$G35,Master!$H$3:$I$8,2,0)</f>
        <v>Finished Goods</v>
      </c>
      <c r="S35" s="265" t="str">
        <f>VLOOKUP('MIS Working 1'!$H35,Master!B:C,2,0)</f>
        <v>FG-PCB-CF</v>
      </c>
      <c r="T35" s="265" t="str">
        <f>VLOOKUP('MIS Working 1'!$S35,Master!E:F,2,0)</f>
        <v>FG-PCB-CF</v>
      </c>
      <c r="U35" s="268">
        <f>'MIS Working 1'!$N35-'MIS Working 1'!$AF35</f>
        <v>74095.450000000244</v>
      </c>
      <c r="V35" s="269">
        <f>'MIS Working 1'!$U35/'MIS Working 1'!$N35</f>
        <v>0.12726632999420523</v>
      </c>
      <c r="W35" s="265">
        <f>'MIS Working 1'!$N35/'MIS Working 1'!$L35</f>
        <v>483.16</v>
      </c>
      <c r="X35" s="270">
        <f>SUM('MIS Working 1'!$Y35:$AE35)</f>
        <v>447.50999999999988</v>
      </c>
      <c r="Y35" s="270">
        <f>SUMIFS('COGS Break up'!$E:$E,'COGS Break up'!$A:$A,'MIS Working 1'!$D35,'COGS Break up'!$D:$D,'MIS Working 1'!$Y$1)</f>
        <v>373.04999999999984</v>
      </c>
      <c r="Z35" s="270">
        <f>SUMIFS('COGS Break up'!$E:$E,'COGS Break up'!$A:$A,'MIS Working 1'!$D35,'COGS Break up'!$D:$D,'MIS Working 1'!$Z$1)</f>
        <v>22</v>
      </c>
      <c r="AA35" s="270">
        <f>SUMIFS('COGS Break up'!E:E,'COGS Break up'!A:A,'MIS Working 1'!$D:$D,'COGS Break up'!C:C,'MIS Working 1'!$AA$1)</f>
        <v>1.8</v>
      </c>
      <c r="AB35" s="270">
        <f>SUMIFS('COGS Break up'!E:E,'COGS Break up'!A:A,'MIS Working 1'!$D:$D,'COGS Break up'!C:C,$AB$1)</f>
        <v>15.99</v>
      </c>
      <c r="AC35" s="270">
        <f>SUMIFS('COGS Break up'!E:E,'COGS Break up'!A:A,'MIS Working 1'!$D:$D,'COGS Break up'!C:C,$AC$1)</f>
        <v>8.31</v>
      </c>
      <c r="AD35" s="270">
        <f>SUMIFS('COGS Break up'!$E:$E,'COGS Break up'!$A:$A,'MIS Working 1'!$D35,'COGS Break up'!$D:$D,'MIS Working 1'!$AD$1)</f>
        <v>0.26</v>
      </c>
      <c r="AE35" s="270">
        <f>SUMIFS('COGS Break up'!$E:$E,'COGS Break up'!$A:$A,'MIS Working 1'!$D35,'COGS Break up'!$D:$D,'MIS Working 1'!$AE$1)</f>
        <v>26.1</v>
      </c>
      <c r="AF35" s="271">
        <f>'MIS Working 1'!$AG35+'MIS Working 1'!$AH35+'MIS Working 1'!$AM35+'MIS Working 1'!$AL35</f>
        <v>508112.3499999998</v>
      </c>
      <c r="AG35" s="270">
        <f>'MIS Working 1'!$L35*'MIS Working 1'!$Y35</f>
        <v>449525.24999999983</v>
      </c>
      <c r="AH35" s="270">
        <f>'MIS Working 1'!$L35*'MIS Working 1'!$Z35</f>
        <v>26510</v>
      </c>
      <c r="AI35" s="270">
        <f t="shared" si="0"/>
        <v>2169</v>
      </c>
      <c r="AJ35" s="270">
        <f t="shared" si="1"/>
        <v>19267.95</v>
      </c>
      <c r="AK35" s="270">
        <f t="shared" si="2"/>
        <v>10013.550000000001</v>
      </c>
      <c r="AL35" s="270">
        <f>'MIS Working 1'!$AD35*'MIS Working 1'!$L35</f>
        <v>313.3</v>
      </c>
      <c r="AM35" s="270">
        <f>'MIS Working 1'!$L35*'MIS Working 1'!$AE35+'MIS Working 1'!$AL35</f>
        <v>31763.8</v>
      </c>
    </row>
    <row r="36" spans="1:39" x14ac:dyDescent="0.3">
      <c r="A36" s="272" t="s">
        <v>479</v>
      </c>
      <c r="B36" s="273">
        <v>45988</v>
      </c>
      <c r="C36" s="274" t="s">
        <v>1909</v>
      </c>
      <c r="D36" s="274" t="s">
        <v>38</v>
      </c>
      <c r="E36" s="274" t="s">
        <v>39</v>
      </c>
      <c r="F36" s="274" t="s">
        <v>18</v>
      </c>
      <c r="G36" s="274" t="s">
        <v>19</v>
      </c>
      <c r="H36" s="274" t="s">
        <v>27</v>
      </c>
      <c r="I36" s="275">
        <v>4750</v>
      </c>
      <c r="J36" s="276">
        <v>1553867.5</v>
      </c>
      <c r="K36" s="275">
        <v>4750</v>
      </c>
      <c r="L36" s="275">
        <v>4750</v>
      </c>
      <c r="M36" s="273">
        <v>45988</v>
      </c>
      <c r="N36" s="276">
        <v>1620082.5</v>
      </c>
      <c r="O36" s="274" t="s">
        <v>21</v>
      </c>
      <c r="P36" s="274" t="s">
        <v>22</v>
      </c>
      <c r="Q36" s="274" t="s">
        <v>660</v>
      </c>
      <c r="R36" s="274" t="str">
        <f>VLOOKUP('MIS Working 1'!$G36,Master!$H$3:$I$8,2,0)</f>
        <v>Finished Goods</v>
      </c>
      <c r="S36" s="274" t="str">
        <f>VLOOKUP('MIS Working 1'!$H36,Master!B:C,2,0)</f>
        <v>FG-PCB-CF</v>
      </c>
      <c r="T36" s="274" t="str">
        <f>VLOOKUP('MIS Working 1'!$S36,Master!E:F,2,0)</f>
        <v>FG-PCB-CF</v>
      </c>
      <c r="U36" s="277">
        <f>'MIS Working 1'!$N36-'MIS Working 1'!$AF36</f>
        <v>65407.5</v>
      </c>
      <c r="V36" s="278">
        <f>'MIS Working 1'!$U36/'MIS Working 1'!$N36</f>
        <v>4.0372943970445947E-2</v>
      </c>
      <c r="W36" s="274">
        <f>'MIS Working 1'!$N36/'MIS Working 1'!$L36</f>
        <v>341.07</v>
      </c>
      <c r="X36" s="279">
        <f>SUM('MIS Working 1'!$Y36:$AE36)</f>
        <v>353.55</v>
      </c>
      <c r="Y36" s="279">
        <f>SUMIFS('COGS Break up'!$E:$E,'COGS Break up'!$A:$A,'MIS Working 1'!$D36,'COGS Break up'!$D:$D,'MIS Working 1'!$Y$1)</f>
        <v>278.14</v>
      </c>
      <c r="Z36" s="279">
        <f>SUMIFS('COGS Break up'!$E:$E,'COGS Break up'!$A:$A,'MIS Working 1'!$D36,'COGS Break up'!$D:$D,'MIS Working 1'!$Z$1)</f>
        <v>22.400000000000002</v>
      </c>
      <c r="AA36" s="279">
        <f>SUMIFS('COGS Break up'!E:E,'COGS Break up'!A:A,'MIS Working 1'!$D:$D,'COGS Break up'!C:C,'MIS Working 1'!$AA$1)</f>
        <v>1.8299999999999998</v>
      </c>
      <c r="AB36" s="279">
        <f>SUMIFS('COGS Break up'!E:E,'COGS Break up'!A:A,'MIS Working 1'!$D:$D,'COGS Break up'!C:C,$AB$1)</f>
        <v>16.28</v>
      </c>
      <c r="AC36" s="279">
        <f>SUMIFS('COGS Break up'!E:E,'COGS Break up'!A:A,'MIS Working 1'!$D:$D,'COGS Break up'!C:C,$AC$1)</f>
        <v>8.31</v>
      </c>
      <c r="AD36" s="279">
        <f>SUMIFS('COGS Break up'!$E:$E,'COGS Break up'!$A:$A,'MIS Working 1'!$D36,'COGS Break up'!$D:$D,'MIS Working 1'!$AD$1)</f>
        <v>0.17</v>
      </c>
      <c r="AE36" s="279">
        <f>SUMIFS('COGS Break up'!$E:$E,'COGS Break up'!$A:$A,'MIS Working 1'!$D36,'COGS Break up'!$D:$D,'MIS Working 1'!$AE$1)</f>
        <v>26.42</v>
      </c>
      <c r="AF36" s="280">
        <f>'MIS Working 1'!$AG36+'MIS Working 1'!$AH36+'MIS Working 1'!$AM36+'MIS Working 1'!$AL36</f>
        <v>1554675</v>
      </c>
      <c r="AG36" s="279">
        <f>'MIS Working 1'!$L36*'MIS Working 1'!$Y36</f>
        <v>1321165</v>
      </c>
      <c r="AH36" s="279">
        <f>'MIS Working 1'!$L36*'MIS Working 1'!$Z36</f>
        <v>106400.00000000001</v>
      </c>
      <c r="AI36" s="279">
        <f t="shared" si="0"/>
        <v>8692.5</v>
      </c>
      <c r="AJ36" s="279">
        <f t="shared" si="1"/>
        <v>77330</v>
      </c>
      <c r="AK36" s="279">
        <f t="shared" si="2"/>
        <v>39472.5</v>
      </c>
      <c r="AL36" s="279">
        <f>'MIS Working 1'!$AD36*'MIS Working 1'!$L36</f>
        <v>807.50000000000011</v>
      </c>
      <c r="AM36" s="279">
        <f>'MIS Working 1'!$L36*'MIS Working 1'!$AE36+'MIS Working 1'!$AL36</f>
        <v>126302.50000000001</v>
      </c>
    </row>
    <row r="37" spans="1:39" x14ac:dyDescent="0.3">
      <c r="A37" s="263" t="s">
        <v>479</v>
      </c>
      <c r="B37" s="264">
        <v>45988</v>
      </c>
      <c r="C37" s="265" t="s">
        <v>1910</v>
      </c>
      <c r="D37" s="265" t="s">
        <v>378</v>
      </c>
      <c r="E37" s="265" t="s">
        <v>379</v>
      </c>
      <c r="F37" s="265" t="s">
        <v>18</v>
      </c>
      <c r="G37" s="265" t="s">
        <v>19</v>
      </c>
      <c r="H37" s="265" t="s">
        <v>27</v>
      </c>
      <c r="I37" s="266">
        <v>471</v>
      </c>
      <c r="J37" s="267">
        <v>153169.20000000001</v>
      </c>
      <c r="K37" s="266">
        <v>471</v>
      </c>
      <c r="L37" s="266">
        <v>471</v>
      </c>
      <c r="M37" s="264">
        <v>45988</v>
      </c>
      <c r="N37" s="267">
        <v>167214.42000000001</v>
      </c>
      <c r="O37" s="265" t="s">
        <v>21</v>
      </c>
      <c r="P37" s="265" t="s">
        <v>22</v>
      </c>
      <c r="Q37" s="265" t="s">
        <v>660</v>
      </c>
      <c r="R37" s="265" t="str">
        <f>VLOOKUP('MIS Working 1'!$G37,Master!$H$3:$I$8,2,0)</f>
        <v>Finished Goods</v>
      </c>
      <c r="S37" s="265" t="str">
        <f>VLOOKUP('MIS Working 1'!$H37,Master!B:C,2,0)</f>
        <v>FG-PCB-CF</v>
      </c>
      <c r="T37" s="265" t="str">
        <f>VLOOKUP('MIS Working 1'!$S37,Master!E:F,2,0)</f>
        <v>FG-PCB-CF</v>
      </c>
      <c r="U37" s="268">
        <f>'MIS Working 1'!$N37-'MIS Working 1'!$AF37</f>
        <v>13922.760000000038</v>
      </c>
      <c r="V37" s="269">
        <f>'MIS Working 1'!$U37/'MIS Working 1'!$N37</f>
        <v>8.3262914765365556E-2</v>
      </c>
      <c r="W37" s="265">
        <f>'MIS Working 1'!$N37/'MIS Working 1'!$L37</f>
        <v>355.02000000000004</v>
      </c>
      <c r="X37" s="270">
        <f>SUM('MIS Working 1'!$Y37:$AE37)</f>
        <v>354.76999999999992</v>
      </c>
      <c r="Y37" s="270">
        <f>SUMIFS('COGS Break up'!$E:$E,'COGS Break up'!$A:$A,'MIS Working 1'!$D37,'COGS Break up'!$D:$D,'MIS Working 1'!$Y$1)</f>
        <v>271.52999999999997</v>
      </c>
      <c r="Z37" s="270">
        <f>SUMIFS('COGS Break up'!$E:$E,'COGS Break up'!$A:$A,'MIS Working 1'!$D37,'COGS Break up'!$D:$D,'MIS Working 1'!$Z$1)</f>
        <v>23.84</v>
      </c>
      <c r="AA37" s="270">
        <f>SUMIFS('COGS Break up'!E:E,'COGS Break up'!A:A,'MIS Working 1'!$D:$D,'COGS Break up'!C:C,'MIS Working 1'!$AA$1)</f>
        <v>1.9500000000000002</v>
      </c>
      <c r="AB37" s="270">
        <f>SUMIFS('COGS Break up'!E:E,'COGS Break up'!A:A,'MIS Working 1'!$D:$D,'COGS Break up'!C:C,$AB$1)</f>
        <v>17.329999999999998</v>
      </c>
      <c r="AC37" s="270">
        <f>SUMIFS('COGS Break up'!E:E,'COGS Break up'!A:A,'MIS Working 1'!$D:$D,'COGS Break up'!C:C,$AC$1)</f>
        <v>10.29</v>
      </c>
      <c r="AD37" s="270">
        <f>SUMIFS('COGS Break up'!$E:$E,'COGS Break up'!$A:$A,'MIS Working 1'!$D37,'COGS Break up'!$D:$D,'MIS Working 1'!$AD$1)</f>
        <v>0.26</v>
      </c>
      <c r="AE37" s="270">
        <f>SUMIFS('COGS Break up'!$E:$E,'COGS Break up'!$A:$A,'MIS Working 1'!$D37,'COGS Break up'!$D:$D,'MIS Working 1'!$AE$1)</f>
        <v>29.569999999999997</v>
      </c>
      <c r="AF37" s="271">
        <f>'MIS Working 1'!$AG37+'MIS Working 1'!$AH37+'MIS Working 1'!$AM37+'MIS Working 1'!$AL37</f>
        <v>153291.65999999997</v>
      </c>
      <c r="AG37" s="270">
        <f>'MIS Working 1'!$L37*'MIS Working 1'!$Y37</f>
        <v>127890.62999999999</v>
      </c>
      <c r="AH37" s="270">
        <f>'MIS Working 1'!$L37*'MIS Working 1'!$Z37</f>
        <v>11228.64</v>
      </c>
      <c r="AI37" s="270">
        <f t="shared" si="0"/>
        <v>918.45</v>
      </c>
      <c r="AJ37" s="270">
        <f t="shared" si="1"/>
        <v>8162.4299999999994</v>
      </c>
      <c r="AK37" s="270">
        <f t="shared" si="2"/>
        <v>4846.5899999999992</v>
      </c>
      <c r="AL37" s="270">
        <f>'MIS Working 1'!$AD37*'MIS Working 1'!$L37</f>
        <v>122.46000000000001</v>
      </c>
      <c r="AM37" s="270">
        <f>'MIS Working 1'!$L37*'MIS Working 1'!$AE37+'MIS Working 1'!$AL37</f>
        <v>14049.929999999998</v>
      </c>
    </row>
    <row r="38" spans="1:39" x14ac:dyDescent="0.3">
      <c r="A38" s="272" t="s">
        <v>479</v>
      </c>
      <c r="B38" s="273">
        <v>45988</v>
      </c>
      <c r="C38" s="274" t="s">
        <v>1909</v>
      </c>
      <c r="D38" s="274" t="s">
        <v>378</v>
      </c>
      <c r="E38" s="274" t="s">
        <v>379</v>
      </c>
      <c r="F38" s="274" t="s">
        <v>18</v>
      </c>
      <c r="G38" s="274" t="s">
        <v>19</v>
      </c>
      <c r="H38" s="274" t="s">
        <v>27</v>
      </c>
      <c r="I38" s="275">
        <v>320</v>
      </c>
      <c r="J38" s="276">
        <v>104064</v>
      </c>
      <c r="K38" s="275">
        <v>320</v>
      </c>
      <c r="L38" s="275">
        <v>320</v>
      </c>
      <c r="M38" s="273">
        <v>45988</v>
      </c>
      <c r="N38" s="276">
        <v>113606.39999999999</v>
      </c>
      <c r="O38" s="274" t="s">
        <v>21</v>
      </c>
      <c r="P38" s="274" t="s">
        <v>22</v>
      </c>
      <c r="Q38" s="274" t="s">
        <v>660</v>
      </c>
      <c r="R38" s="274" t="str">
        <f>VLOOKUP('MIS Working 1'!$G38,Master!$H$3:$I$8,2,0)</f>
        <v>Finished Goods</v>
      </c>
      <c r="S38" s="274" t="str">
        <f>VLOOKUP('MIS Working 1'!$H38,Master!B:C,2,0)</f>
        <v>FG-PCB-CF</v>
      </c>
      <c r="T38" s="274" t="str">
        <f>VLOOKUP('MIS Working 1'!$S38,Master!E:F,2,0)</f>
        <v>FG-PCB-CF</v>
      </c>
      <c r="U38" s="277">
        <f>'MIS Working 1'!$N38-'MIS Working 1'!$AF38</f>
        <v>9459.1999999999971</v>
      </c>
      <c r="V38" s="278">
        <f>'MIS Working 1'!$U38/'MIS Working 1'!$N38</f>
        <v>8.3262914765365306E-2</v>
      </c>
      <c r="W38" s="274">
        <f>'MIS Working 1'!$N38/'MIS Working 1'!$L38</f>
        <v>355.02</v>
      </c>
      <c r="X38" s="279">
        <f>SUM('MIS Working 1'!$Y38:$AE38)</f>
        <v>354.76999999999992</v>
      </c>
      <c r="Y38" s="279">
        <f>SUMIFS('COGS Break up'!$E:$E,'COGS Break up'!$A:$A,'MIS Working 1'!$D38,'COGS Break up'!$D:$D,'MIS Working 1'!$Y$1)</f>
        <v>271.52999999999997</v>
      </c>
      <c r="Z38" s="279">
        <f>SUMIFS('COGS Break up'!$E:$E,'COGS Break up'!$A:$A,'MIS Working 1'!$D38,'COGS Break up'!$D:$D,'MIS Working 1'!$Z$1)</f>
        <v>23.84</v>
      </c>
      <c r="AA38" s="279">
        <f>SUMIFS('COGS Break up'!E:E,'COGS Break up'!A:A,'MIS Working 1'!$D:$D,'COGS Break up'!C:C,'MIS Working 1'!$AA$1)</f>
        <v>1.9500000000000002</v>
      </c>
      <c r="AB38" s="279">
        <f>SUMIFS('COGS Break up'!E:E,'COGS Break up'!A:A,'MIS Working 1'!$D:$D,'COGS Break up'!C:C,$AB$1)</f>
        <v>17.329999999999998</v>
      </c>
      <c r="AC38" s="279">
        <f>SUMIFS('COGS Break up'!E:E,'COGS Break up'!A:A,'MIS Working 1'!$D:$D,'COGS Break up'!C:C,$AC$1)</f>
        <v>10.29</v>
      </c>
      <c r="AD38" s="279">
        <f>SUMIFS('COGS Break up'!$E:$E,'COGS Break up'!$A:$A,'MIS Working 1'!$D38,'COGS Break up'!$D:$D,'MIS Working 1'!$AD$1)</f>
        <v>0.26</v>
      </c>
      <c r="AE38" s="279">
        <f>SUMIFS('COGS Break up'!$E:$E,'COGS Break up'!$A:$A,'MIS Working 1'!$D38,'COGS Break up'!$D:$D,'MIS Working 1'!$AE$1)</f>
        <v>29.569999999999997</v>
      </c>
      <c r="AF38" s="280">
        <f>'MIS Working 1'!$AG38+'MIS Working 1'!$AH38+'MIS Working 1'!$AM38+'MIS Working 1'!$AL38</f>
        <v>104147.2</v>
      </c>
      <c r="AG38" s="279">
        <f>'MIS Working 1'!$L38*'MIS Working 1'!$Y38</f>
        <v>86889.599999999991</v>
      </c>
      <c r="AH38" s="279">
        <f>'MIS Working 1'!$L38*'MIS Working 1'!$Z38</f>
        <v>7628.8</v>
      </c>
      <c r="AI38" s="279">
        <f t="shared" si="0"/>
        <v>624</v>
      </c>
      <c r="AJ38" s="279">
        <f t="shared" si="1"/>
        <v>5545.5999999999995</v>
      </c>
      <c r="AK38" s="279">
        <f t="shared" si="2"/>
        <v>3292.7999999999997</v>
      </c>
      <c r="AL38" s="279">
        <f>'MIS Working 1'!$AD38*'MIS Working 1'!$L38</f>
        <v>83.2</v>
      </c>
      <c r="AM38" s="279">
        <f>'MIS Working 1'!$L38*'MIS Working 1'!$AE38+'MIS Working 1'!$AL38</f>
        <v>9545.6</v>
      </c>
    </row>
    <row r="39" spans="1:39" x14ac:dyDescent="0.3">
      <c r="A39" s="263" t="s">
        <v>479</v>
      </c>
      <c r="B39" s="264">
        <v>45988</v>
      </c>
      <c r="C39" s="265" t="s">
        <v>1911</v>
      </c>
      <c r="D39" s="265" t="s">
        <v>378</v>
      </c>
      <c r="E39" s="265" t="s">
        <v>379</v>
      </c>
      <c r="F39" s="265" t="s">
        <v>18</v>
      </c>
      <c r="G39" s="265" t="s">
        <v>19</v>
      </c>
      <c r="H39" s="265" t="s">
        <v>27</v>
      </c>
      <c r="I39" s="266">
        <v>380</v>
      </c>
      <c r="J39" s="267">
        <v>123576</v>
      </c>
      <c r="K39" s="266">
        <v>380</v>
      </c>
      <c r="L39" s="266">
        <v>380</v>
      </c>
      <c r="M39" s="264">
        <v>45988</v>
      </c>
      <c r="N39" s="267">
        <v>134907.6</v>
      </c>
      <c r="O39" s="265" t="s">
        <v>21</v>
      </c>
      <c r="P39" s="265" t="s">
        <v>22</v>
      </c>
      <c r="Q39" s="265" t="s">
        <v>660</v>
      </c>
      <c r="R39" s="265" t="str">
        <f>VLOOKUP('MIS Working 1'!$G39,Master!$H$3:$I$8,2,0)</f>
        <v>Finished Goods</v>
      </c>
      <c r="S39" s="265" t="str">
        <f>VLOOKUP('MIS Working 1'!$H39,Master!B:C,2,0)</f>
        <v>FG-PCB-CF</v>
      </c>
      <c r="T39" s="265" t="str">
        <f>VLOOKUP('MIS Working 1'!$S39,Master!E:F,2,0)</f>
        <v>FG-PCB-CF</v>
      </c>
      <c r="U39" s="268">
        <f>'MIS Working 1'!$N39-'MIS Working 1'!$AF39</f>
        <v>11232.800000000017</v>
      </c>
      <c r="V39" s="269">
        <f>'MIS Working 1'!$U39/'MIS Working 1'!$N39</f>
        <v>8.3262914765365459E-2</v>
      </c>
      <c r="W39" s="265">
        <f>'MIS Working 1'!$N39/'MIS Working 1'!$L39</f>
        <v>355.02000000000004</v>
      </c>
      <c r="X39" s="270">
        <f>SUM('MIS Working 1'!$Y39:$AE39)</f>
        <v>354.76999999999992</v>
      </c>
      <c r="Y39" s="270">
        <f>SUMIFS('COGS Break up'!$E:$E,'COGS Break up'!$A:$A,'MIS Working 1'!$D39,'COGS Break up'!$D:$D,'MIS Working 1'!$Y$1)</f>
        <v>271.52999999999997</v>
      </c>
      <c r="Z39" s="270">
        <f>SUMIFS('COGS Break up'!$E:$E,'COGS Break up'!$A:$A,'MIS Working 1'!$D39,'COGS Break up'!$D:$D,'MIS Working 1'!$Z$1)</f>
        <v>23.84</v>
      </c>
      <c r="AA39" s="270">
        <f>SUMIFS('COGS Break up'!E:E,'COGS Break up'!A:A,'MIS Working 1'!$D:$D,'COGS Break up'!C:C,'MIS Working 1'!$AA$1)</f>
        <v>1.9500000000000002</v>
      </c>
      <c r="AB39" s="270">
        <f>SUMIFS('COGS Break up'!E:E,'COGS Break up'!A:A,'MIS Working 1'!$D:$D,'COGS Break up'!C:C,$AB$1)</f>
        <v>17.329999999999998</v>
      </c>
      <c r="AC39" s="270">
        <f>SUMIFS('COGS Break up'!E:E,'COGS Break up'!A:A,'MIS Working 1'!$D:$D,'COGS Break up'!C:C,$AC$1)</f>
        <v>10.29</v>
      </c>
      <c r="AD39" s="270">
        <f>SUMIFS('COGS Break up'!$E:$E,'COGS Break up'!$A:$A,'MIS Working 1'!$D39,'COGS Break up'!$D:$D,'MIS Working 1'!$AD$1)</f>
        <v>0.26</v>
      </c>
      <c r="AE39" s="270">
        <f>SUMIFS('COGS Break up'!$E:$E,'COGS Break up'!$A:$A,'MIS Working 1'!$D39,'COGS Break up'!$D:$D,'MIS Working 1'!$AE$1)</f>
        <v>29.569999999999997</v>
      </c>
      <c r="AF39" s="271">
        <f>'MIS Working 1'!$AG39+'MIS Working 1'!$AH39+'MIS Working 1'!$AM39+'MIS Working 1'!$AL39</f>
        <v>123674.79999999999</v>
      </c>
      <c r="AG39" s="270">
        <f>'MIS Working 1'!$L39*'MIS Working 1'!$Y39</f>
        <v>103181.4</v>
      </c>
      <c r="AH39" s="270">
        <f>'MIS Working 1'!$L39*'MIS Working 1'!$Z39</f>
        <v>9059.2000000000007</v>
      </c>
      <c r="AI39" s="270">
        <f t="shared" si="0"/>
        <v>741.00000000000011</v>
      </c>
      <c r="AJ39" s="270">
        <f t="shared" si="1"/>
        <v>6585.4</v>
      </c>
      <c r="AK39" s="270">
        <f t="shared" si="2"/>
        <v>3910.2</v>
      </c>
      <c r="AL39" s="270">
        <f>'MIS Working 1'!$AD39*'MIS Working 1'!$L39</f>
        <v>98.8</v>
      </c>
      <c r="AM39" s="270">
        <f>'MIS Working 1'!$L39*'MIS Working 1'!$AE39+'MIS Working 1'!$AL39</f>
        <v>11335.399999999998</v>
      </c>
    </row>
    <row r="40" spans="1:39" x14ac:dyDescent="0.3">
      <c r="A40" s="272" t="s">
        <v>479</v>
      </c>
      <c r="B40" s="273">
        <v>45988</v>
      </c>
      <c r="C40" s="274" t="s">
        <v>1911</v>
      </c>
      <c r="D40" s="274" t="s">
        <v>380</v>
      </c>
      <c r="E40" s="274" t="s">
        <v>381</v>
      </c>
      <c r="F40" s="274" t="s">
        <v>18</v>
      </c>
      <c r="G40" s="274" t="s">
        <v>19</v>
      </c>
      <c r="H40" s="274" t="s">
        <v>27</v>
      </c>
      <c r="I40" s="275">
        <v>120</v>
      </c>
      <c r="J40" s="276">
        <v>25992</v>
      </c>
      <c r="K40" s="275">
        <v>120</v>
      </c>
      <c r="L40" s="275">
        <v>120</v>
      </c>
      <c r="M40" s="273">
        <v>45988</v>
      </c>
      <c r="N40" s="276">
        <v>26622</v>
      </c>
      <c r="O40" s="274" t="s">
        <v>21</v>
      </c>
      <c r="P40" s="274" t="s">
        <v>22</v>
      </c>
      <c r="Q40" s="274" t="s">
        <v>660</v>
      </c>
      <c r="R40" s="274" t="str">
        <f>VLOOKUP('MIS Working 1'!$G40,Master!$H$3:$I$8,2,0)</f>
        <v>Finished Goods</v>
      </c>
      <c r="S40" s="274" t="str">
        <f>VLOOKUP('MIS Working 1'!$H40,Master!B:C,2,0)</f>
        <v>FG-PCB-CF</v>
      </c>
      <c r="T40" s="274" t="str">
        <f>VLOOKUP('MIS Working 1'!$S40,Master!E:F,2,0)</f>
        <v>FG-PCB-CF</v>
      </c>
      <c r="U40" s="277">
        <f>'MIS Working 1'!$N40-'MIS Working 1'!$AF40</f>
        <v>625.20000000000437</v>
      </c>
      <c r="V40" s="278">
        <f>'MIS Working 1'!$U40/'MIS Working 1'!$N40</f>
        <v>2.3484336263241094E-2</v>
      </c>
      <c r="W40" s="274">
        <f>'MIS Working 1'!$N40/'MIS Working 1'!$L40</f>
        <v>221.85</v>
      </c>
      <c r="X40" s="279">
        <f>SUM('MIS Working 1'!$Y40:$AE40)</f>
        <v>239.77999999999994</v>
      </c>
      <c r="Y40" s="279">
        <f>SUMIFS('COGS Break up'!$E:$E,'COGS Break up'!$A:$A,'MIS Working 1'!$D40,'COGS Break up'!$D:$D,'MIS Working 1'!$Y$1)</f>
        <v>174.98999999999995</v>
      </c>
      <c r="Z40" s="279">
        <f>SUMIFS('COGS Break up'!$E:$E,'COGS Break up'!$A:$A,'MIS Working 1'!$D40,'COGS Break up'!$D:$D,'MIS Working 1'!$Z$1)</f>
        <v>18.389999999999997</v>
      </c>
      <c r="AA40" s="279">
        <f>SUMIFS('COGS Break up'!E:E,'COGS Break up'!A:A,'MIS Working 1'!$D:$D,'COGS Break up'!C:C,'MIS Working 1'!$AA$1)</f>
        <v>1.5</v>
      </c>
      <c r="AB40" s="279">
        <f>SUMIFS('COGS Break up'!E:E,'COGS Break up'!A:A,'MIS Working 1'!$D:$D,'COGS Break up'!C:C,$AB$1)</f>
        <v>13.37</v>
      </c>
      <c r="AC40" s="279">
        <f>SUMIFS('COGS Break up'!E:E,'COGS Break up'!A:A,'MIS Working 1'!$D:$D,'COGS Break up'!C:C,$AC$1)</f>
        <v>8.31</v>
      </c>
      <c r="AD40" s="279">
        <f>SUMIFS('COGS Break up'!$E:$E,'COGS Break up'!$A:$A,'MIS Working 1'!$D40,'COGS Break up'!$D:$D,'MIS Working 1'!$AD$1)</f>
        <v>0.04</v>
      </c>
      <c r="AE40" s="279">
        <f>SUMIFS('COGS Break up'!$E:$E,'COGS Break up'!$A:$A,'MIS Working 1'!$D40,'COGS Break up'!$D:$D,'MIS Working 1'!$AE$1)</f>
        <v>23.18</v>
      </c>
      <c r="AF40" s="280">
        <f>'MIS Working 1'!$AG40+'MIS Working 1'!$AH40+'MIS Working 1'!$AM40+'MIS Working 1'!$AL40</f>
        <v>25996.799999999996</v>
      </c>
      <c r="AG40" s="279">
        <f>'MIS Working 1'!$L40*'MIS Working 1'!$Y40</f>
        <v>20998.799999999996</v>
      </c>
      <c r="AH40" s="279">
        <f>'MIS Working 1'!$L40*'MIS Working 1'!$Z40</f>
        <v>2206.7999999999997</v>
      </c>
      <c r="AI40" s="279">
        <f t="shared" si="0"/>
        <v>180</v>
      </c>
      <c r="AJ40" s="279">
        <f t="shared" si="1"/>
        <v>1604.3999999999999</v>
      </c>
      <c r="AK40" s="279">
        <f t="shared" si="2"/>
        <v>997.2</v>
      </c>
      <c r="AL40" s="279">
        <f>'MIS Working 1'!$AD40*'MIS Working 1'!$L40</f>
        <v>4.8</v>
      </c>
      <c r="AM40" s="279">
        <f>'MIS Working 1'!$L40*'MIS Working 1'!$AE40+'MIS Working 1'!$AL40</f>
        <v>2786.4</v>
      </c>
    </row>
    <row r="41" spans="1:39" x14ac:dyDescent="0.3">
      <c r="A41" s="263" t="s">
        <v>479</v>
      </c>
      <c r="B41" s="264">
        <v>45988</v>
      </c>
      <c r="C41" s="265" t="s">
        <v>1910</v>
      </c>
      <c r="D41" s="265" t="s">
        <v>380</v>
      </c>
      <c r="E41" s="265" t="s">
        <v>381</v>
      </c>
      <c r="F41" s="265" t="s">
        <v>18</v>
      </c>
      <c r="G41" s="265" t="s">
        <v>19</v>
      </c>
      <c r="H41" s="265" t="s">
        <v>27</v>
      </c>
      <c r="I41" s="266">
        <v>276</v>
      </c>
      <c r="J41" s="267">
        <v>59781.599999999999</v>
      </c>
      <c r="K41" s="266">
        <v>276</v>
      </c>
      <c r="L41" s="266">
        <v>276</v>
      </c>
      <c r="M41" s="264">
        <v>45988</v>
      </c>
      <c r="N41" s="267">
        <v>61230.6</v>
      </c>
      <c r="O41" s="265" t="s">
        <v>21</v>
      </c>
      <c r="P41" s="265" t="s">
        <v>22</v>
      </c>
      <c r="Q41" s="265" t="s">
        <v>660</v>
      </c>
      <c r="R41" s="265" t="str">
        <f>VLOOKUP('MIS Working 1'!$G41,Master!$H$3:$I$8,2,0)</f>
        <v>Finished Goods</v>
      </c>
      <c r="S41" s="265" t="str">
        <f>VLOOKUP('MIS Working 1'!$H41,Master!B:C,2,0)</f>
        <v>FG-PCB-CF</v>
      </c>
      <c r="T41" s="265" t="str">
        <f>VLOOKUP('MIS Working 1'!$S41,Master!E:F,2,0)</f>
        <v>FG-PCB-CF</v>
      </c>
      <c r="U41" s="268">
        <f>'MIS Working 1'!$N41-'MIS Working 1'!$AF41</f>
        <v>1437.9600000000137</v>
      </c>
      <c r="V41" s="269">
        <f>'MIS Working 1'!$U41/'MIS Working 1'!$N41</f>
        <v>2.3484336263241153E-2</v>
      </c>
      <c r="W41" s="265">
        <f>'MIS Working 1'!$N41/'MIS Working 1'!$L41</f>
        <v>221.85</v>
      </c>
      <c r="X41" s="270">
        <f>SUM('MIS Working 1'!$Y41:$AE41)</f>
        <v>239.77999999999994</v>
      </c>
      <c r="Y41" s="270">
        <f>SUMIFS('COGS Break up'!$E:$E,'COGS Break up'!$A:$A,'MIS Working 1'!$D41,'COGS Break up'!$D:$D,'MIS Working 1'!$Y$1)</f>
        <v>174.98999999999995</v>
      </c>
      <c r="Z41" s="270">
        <f>SUMIFS('COGS Break up'!$E:$E,'COGS Break up'!$A:$A,'MIS Working 1'!$D41,'COGS Break up'!$D:$D,'MIS Working 1'!$Z$1)</f>
        <v>18.389999999999997</v>
      </c>
      <c r="AA41" s="270">
        <f>SUMIFS('COGS Break up'!E:E,'COGS Break up'!A:A,'MIS Working 1'!$D:$D,'COGS Break up'!C:C,'MIS Working 1'!$AA$1)</f>
        <v>1.5</v>
      </c>
      <c r="AB41" s="270">
        <f>SUMIFS('COGS Break up'!E:E,'COGS Break up'!A:A,'MIS Working 1'!$D:$D,'COGS Break up'!C:C,$AB$1)</f>
        <v>13.37</v>
      </c>
      <c r="AC41" s="270">
        <f>SUMIFS('COGS Break up'!E:E,'COGS Break up'!A:A,'MIS Working 1'!$D:$D,'COGS Break up'!C:C,$AC$1)</f>
        <v>8.31</v>
      </c>
      <c r="AD41" s="270">
        <f>SUMIFS('COGS Break up'!$E:$E,'COGS Break up'!$A:$A,'MIS Working 1'!$D41,'COGS Break up'!$D:$D,'MIS Working 1'!$AD$1)</f>
        <v>0.04</v>
      </c>
      <c r="AE41" s="270">
        <f>SUMIFS('COGS Break up'!$E:$E,'COGS Break up'!$A:$A,'MIS Working 1'!$D41,'COGS Break up'!$D:$D,'MIS Working 1'!$AE$1)</f>
        <v>23.18</v>
      </c>
      <c r="AF41" s="271">
        <f>'MIS Working 1'!$AG41+'MIS Working 1'!$AH41+'MIS Working 1'!$AM41+'MIS Working 1'!$AL41</f>
        <v>59792.639999999985</v>
      </c>
      <c r="AG41" s="270">
        <f>'MIS Working 1'!$L41*'MIS Working 1'!$Y41</f>
        <v>48297.239999999983</v>
      </c>
      <c r="AH41" s="270">
        <f>'MIS Working 1'!$L41*'MIS Working 1'!$Z41</f>
        <v>5075.6399999999994</v>
      </c>
      <c r="AI41" s="270">
        <f t="shared" si="0"/>
        <v>414</v>
      </c>
      <c r="AJ41" s="270">
        <f t="shared" si="1"/>
        <v>3690.12</v>
      </c>
      <c r="AK41" s="270">
        <f t="shared" si="2"/>
        <v>2293.56</v>
      </c>
      <c r="AL41" s="270">
        <f>'MIS Working 1'!$AD41*'MIS Working 1'!$L41</f>
        <v>11.040000000000001</v>
      </c>
      <c r="AM41" s="270">
        <f>'MIS Working 1'!$L41*'MIS Working 1'!$AE41+'MIS Working 1'!$AL41</f>
        <v>6408.72</v>
      </c>
    </row>
    <row r="42" spans="1:39" x14ac:dyDescent="0.3">
      <c r="A42" s="272" t="s">
        <v>479</v>
      </c>
      <c r="B42" s="273">
        <v>45988</v>
      </c>
      <c r="C42" s="274" t="s">
        <v>1912</v>
      </c>
      <c r="D42" s="274" t="s">
        <v>42</v>
      </c>
      <c r="E42" s="274" t="s">
        <v>43</v>
      </c>
      <c r="F42" s="274" t="s">
        <v>18</v>
      </c>
      <c r="G42" s="274" t="s">
        <v>19</v>
      </c>
      <c r="H42" s="274" t="s">
        <v>27</v>
      </c>
      <c r="I42" s="275">
        <v>-4</v>
      </c>
      <c r="J42" s="276">
        <v>-1308.52</v>
      </c>
      <c r="K42" s="275">
        <v>-4</v>
      </c>
      <c r="L42" s="275">
        <v>-4</v>
      </c>
      <c r="M42" s="273">
        <v>45988</v>
      </c>
      <c r="N42" s="276">
        <v>-1364.28</v>
      </c>
      <c r="O42" s="274" t="s">
        <v>21</v>
      </c>
      <c r="P42" s="274" t="s">
        <v>22</v>
      </c>
      <c r="Q42" s="274" t="s">
        <v>660</v>
      </c>
      <c r="R42" s="274" t="str">
        <f>VLOOKUP('MIS Working 1'!$G42,Master!$H$3:$I$8,2,0)</f>
        <v>Finished Goods</v>
      </c>
      <c r="S42" s="274" t="str">
        <f>VLOOKUP('MIS Working 1'!$H42,Master!B:C,2,0)</f>
        <v>FG-PCB-CF</v>
      </c>
      <c r="T42" s="274" t="str">
        <f>VLOOKUP('MIS Working 1'!$S42,Master!E:F,2,0)</f>
        <v>FG-PCB-CF</v>
      </c>
      <c r="U42" s="277">
        <f>'MIS Working 1'!$N42-'MIS Working 1'!$AF42</f>
        <v>-55.079999999999927</v>
      </c>
      <c r="V42" s="278">
        <f>'MIS Working 1'!$U42/'MIS Working 1'!$N42</f>
        <v>4.0372943970445899E-2</v>
      </c>
      <c r="W42" s="274">
        <f>'MIS Working 1'!$N42/'MIS Working 1'!$L42</f>
        <v>341.07</v>
      </c>
      <c r="X42" s="279">
        <f>SUM('MIS Working 1'!$Y42:$AE42)</f>
        <v>353.55</v>
      </c>
      <c r="Y42" s="279">
        <f>SUMIFS('COGS Break up'!$E:$E,'COGS Break up'!$A:$A,'MIS Working 1'!$D42,'COGS Break up'!$D:$D,'MIS Working 1'!$Y$1)</f>
        <v>278.14000000000004</v>
      </c>
      <c r="Z42" s="279">
        <f>SUMIFS('COGS Break up'!$E:$E,'COGS Break up'!$A:$A,'MIS Working 1'!$D42,'COGS Break up'!$D:$D,'MIS Working 1'!$Z$1)</f>
        <v>22.400000000000002</v>
      </c>
      <c r="AA42" s="279">
        <f>SUMIFS('COGS Break up'!E:E,'COGS Break up'!A:A,'MIS Working 1'!$D:$D,'COGS Break up'!C:C,'MIS Working 1'!$AA$1)</f>
        <v>1.8299999999999998</v>
      </c>
      <c r="AB42" s="279">
        <f>SUMIFS('COGS Break up'!E:E,'COGS Break up'!A:A,'MIS Working 1'!$D:$D,'COGS Break up'!C:C,$AB$1)</f>
        <v>16.28</v>
      </c>
      <c r="AC42" s="279">
        <f>SUMIFS('COGS Break up'!E:E,'COGS Break up'!A:A,'MIS Working 1'!$D:$D,'COGS Break up'!C:C,$AC$1)</f>
        <v>8.31</v>
      </c>
      <c r="AD42" s="279">
        <f>SUMIFS('COGS Break up'!$E:$E,'COGS Break up'!$A:$A,'MIS Working 1'!$D42,'COGS Break up'!$D:$D,'MIS Working 1'!$AD$1)</f>
        <v>0.17</v>
      </c>
      <c r="AE42" s="279">
        <f>SUMIFS('COGS Break up'!$E:$E,'COGS Break up'!$A:$A,'MIS Working 1'!$D42,'COGS Break up'!$D:$D,'MIS Working 1'!$AE$1)</f>
        <v>26.42</v>
      </c>
      <c r="AF42" s="280">
        <f>'MIS Working 1'!$AG42+'MIS Working 1'!$AH42+'MIS Working 1'!$AM42+'MIS Working 1'!$AL42</f>
        <v>-1309.2</v>
      </c>
      <c r="AG42" s="279">
        <f>'MIS Working 1'!$L42*'MIS Working 1'!$Y42</f>
        <v>-1112.5600000000002</v>
      </c>
      <c r="AH42" s="279">
        <f>'MIS Working 1'!$L42*'MIS Working 1'!$Z42</f>
        <v>-89.600000000000009</v>
      </c>
      <c r="AI42" s="279">
        <f t="shared" si="0"/>
        <v>-7.3199999999999994</v>
      </c>
      <c r="AJ42" s="279">
        <f t="shared" si="1"/>
        <v>-65.12</v>
      </c>
      <c r="AK42" s="279">
        <f t="shared" si="2"/>
        <v>-33.24</v>
      </c>
      <c r="AL42" s="279">
        <f>'MIS Working 1'!$AD42*'MIS Working 1'!$L42</f>
        <v>-0.68</v>
      </c>
      <c r="AM42" s="279">
        <f>'MIS Working 1'!$L42*'MIS Working 1'!$AE42+'MIS Working 1'!$AL42</f>
        <v>-106.36000000000001</v>
      </c>
    </row>
    <row r="43" spans="1:39" x14ac:dyDescent="0.3">
      <c r="A43" s="263" t="s">
        <v>479</v>
      </c>
      <c r="B43" s="264">
        <v>45988</v>
      </c>
      <c r="C43" s="265" t="s">
        <v>1912</v>
      </c>
      <c r="D43" s="265" t="s">
        <v>46</v>
      </c>
      <c r="E43" s="265" t="s">
        <v>47</v>
      </c>
      <c r="F43" s="265" t="s">
        <v>18</v>
      </c>
      <c r="G43" s="265" t="s">
        <v>19</v>
      </c>
      <c r="H43" s="265" t="s">
        <v>27</v>
      </c>
      <c r="I43" s="266">
        <v>-8</v>
      </c>
      <c r="J43" s="281">
        <v>-2616.8000000000002</v>
      </c>
      <c r="K43" s="266">
        <v>-8</v>
      </c>
      <c r="L43" s="266">
        <v>-8</v>
      </c>
      <c r="M43" s="264">
        <v>45988</v>
      </c>
      <c r="N43" s="267">
        <v>-2728.56</v>
      </c>
      <c r="O43" s="265" t="s">
        <v>21</v>
      </c>
      <c r="P43" s="265" t="s">
        <v>22</v>
      </c>
      <c r="Q43" s="265" t="s">
        <v>660</v>
      </c>
      <c r="R43" s="265" t="str">
        <f>VLOOKUP('MIS Working 1'!$G43,Master!$H$3:$I$8,2,0)</f>
        <v>Finished Goods</v>
      </c>
      <c r="S43" s="265" t="str">
        <f>VLOOKUP('MIS Working 1'!$H43,Master!B:C,2,0)</f>
        <v>FG-PCB-CF</v>
      </c>
      <c r="T43" s="265" t="str">
        <f>VLOOKUP('MIS Working 1'!$S43,Master!E:F,2,0)</f>
        <v>FG-PCB-CF</v>
      </c>
      <c r="U43" s="268">
        <f>'MIS Working 1'!$N43-'MIS Working 1'!$AF43</f>
        <v>-110.40000000000055</v>
      </c>
      <c r="V43" s="269">
        <f>'MIS Working 1'!$U43/'MIS Working 1'!$N43</f>
        <v>4.0460902454041894E-2</v>
      </c>
      <c r="W43" s="265">
        <f>'MIS Working 1'!$N43/'MIS Working 1'!$L43</f>
        <v>341.07</v>
      </c>
      <c r="X43" s="270">
        <f>SUM('MIS Working 1'!$Y43:$AE43)</f>
        <v>353.51999999999992</v>
      </c>
      <c r="Y43" s="270">
        <f>SUMIFS('COGS Break up'!$E:$E,'COGS Break up'!$A:$A,'MIS Working 1'!$D43,'COGS Break up'!$D:$D,'MIS Working 1'!$Y$1)</f>
        <v>278.1099999999999</v>
      </c>
      <c r="Z43" s="270">
        <f>SUMIFS('COGS Break up'!$E:$E,'COGS Break up'!$A:$A,'MIS Working 1'!$D43,'COGS Break up'!$D:$D,'MIS Working 1'!$Z$1)</f>
        <v>22.400000000000002</v>
      </c>
      <c r="AA43" s="270">
        <f>SUMIFS('COGS Break up'!E:E,'COGS Break up'!A:A,'MIS Working 1'!$D:$D,'COGS Break up'!C:C,'MIS Working 1'!$AA$1)</f>
        <v>1.8299999999999998</v>
      </c>
      <c r="AB43" s="270">
        <f>SUMIFS('COGS Break up'!E:E,'COGS Break up'!A:A,'MIS Working 1'!$D:$D,'COGS Break up'!C:C,$AB$1)</f>
        <v>16.28</v>
      </c>
      <c r="AC43" s="270">
        <f>SUMIFS('COGS Break up'!E:E,'COGS Break up'!A:A,'MIS Working 1'!$D:$D,'COGS Break up'!C:C,$AC$1)</f>
        <v>8.31</v>
      </c>
      <c r="AD43" s="270">
        <f>SUMIFS('COGS Break up'!$E:$E,'COGS Break up'!$A:$A,'MIS Working 1'!$D43,'COGS Break up'!$D:$D,'MIS Working 1'!$AD$1)</f>
        <v>0.17</v>
      </c>
      <c r="AE43" s="270">
        <f>SUMIFS('COGS Break up'!$E:$E,'COGS Break up'!$A:$A,'MIS Working 1'!$D43,'COGS Break up'!$D:$D,'MIS Working 1'!$AE$1)</f>
        <v>26.42</v>
      </c>
      <c r="AF43" s="271">
        <f>'MIS Working 1'!$AG43+'MIS Working 1'!$AH43+'MIS Working 1'!$AM43+'MIS Working 1'!$AL43</f>
        <v>-2618.1599999999994</v>
      </c>
      <c r="AG43" s="270">
        <f>'MIS Working 1'!$L43*'MIS Working 1'!$Y43</f>
        <v>-2224.8799999999992</v>
      </c>
      <c r="AH43" s="270">
        <f>'MIS Working 1'!$L43*'MIS Working 1'!$Z43</f>
        <v>-179.20000000000002</v>
      </c>
      <c r="AI43" s="270">
        <f t="shared" si="0"/>
        <v>-14.639999999999999</v>
      </c>
      <c r="AJ43" s="270">
        <f t="shared" si="1"/>
        <v>-130.24</v>
      </c>
      <c r="AK43" s="270">
        <f t="shared" si="2"/>
        <v>-66.48</v>
      </c>
      <c r="AL43" s="270">
        <f>'MIS Working 1'!$AD43*'MIS Working 1'!$L43</f>
        <v>-1.36</v>
      </c>
      <c r="AM43" s="270">
        <f>'MIS Working 1'!$L43*'MIS Working 1'!$AE43+'MIS Working 1'!$AL43</f>
        <v>-212.72000000000003</v>
      </c>
    </row>
    <row r="44" spans="1:39" x14ac:dyDescent="0.3">
      <c r="A44" s="272" t="s">
        <v>479</v>
      </c>
      <c r="B44" s="273">
        <v>45988</v>
      </c>
      <c r="C44" s="274" t="s">
        <v>1913</v>
      </c>
      <c r="D44" s="274" t="s">
        <v>1182</v>
      </c>
      <c r="E44" s="274" t="s">
        <v>1183</v>
      </c>
      <c r="F44" s="274" t="s">
        <v>18</v>
      </c>
      <c r="G44" s="274" t="s">
        <v>19</v>
      </c>
      <c r="H44" s="274" t="s">
        <v>27</v>
      </c>
      <c r="I44" s="275">
        <v>-1135</v>
      </c>
      <c r="J44" s="282">
        <v>-478266.3</v>
      </c>
      <c r="K44" s="275">
        <v>-1135</v>
      </c>
      <c r="L44" s="275">
        <v>-1135</v>
      </c>
      <c r="M44" s="273">
        <v>45988</v>
      </c>
      <c r="N44" s="282">
        <v>-548386.6</v>
      </c>
      <c r="O44" s="274" t="s">
        <v>21</v>
      </c>
      <c r="P44" s="274" t="s">
        <v>22</v>
      </c>
      <c r="Q44" s="274" t="s">
        <v>660</v>
      </c>
      <c r="R44" s="274" t="str">
        <f>VLOOKUP('MIS Working 1'!$G44,Master!$H$3:$I$8,2,0)</f>
        <v>Finished Goods</v>
      </c>
      <c r="S44" s="274" t="str">
        <f>VLOOKUP('MIS Working 1'!$H44,Master!B:C,2,0)</f>
        <v>FG-PCB-CF</v>
      </c>
      <c r="T44" s="274" t="str">
        <f>VLOOKUP('MIS Working 1'!$S44,Master!E:F,2,0)</f>
        <v>FG-PCB-CF</v>
      </c>
      <c r="U44" s="277">
        <f>'MIS Working 1'!$N44-'MIS Working 1'!$AF44</f>
        <v>-69825.200000000244</v>
      </c>
      <c r="V44" s="278">
        <f>'MIS Working 1'!$U44/'MIS Working 1'!$N44</f>
        <v>0.1273284212269232</v>
      </c>
      <c r="W44" s="274">
        <f>'MIS Working 1'!$N44/'MIS Working 1'!$L44</f>
        <v>483.15999999999997</v>
      </c>
      <c r="X44" s="279">
        <f>SUM('MIS Working 1'!$Y44:$AE44)</f>
        <v>447.47999999999985</v>
      </c>
      <c r="Y44" s="279">
        <f>SUMIFS('COGS Break up'!$E:$E,'COGS Break up'!$A:$A,'MIS Working 1'!$D44,'COGS Break up'!$D:$D,'MIS Working 1'!$Y$1)</f>
        <v>373.01999999999981</v>
      </c>
      <c r="Z44" s="279">
        <f>SUMIFS('COGS Break up'!$E:$E,'COGS Break up'!$A:$A,'MIS Working 1'!$D44,'COGS Break up'!$D:$D,'MIS Working 1'!$Z$1)</f>
        <v>22</v>
      </c>
      <c r="AA44" s="279">
        <f>SUMIFS('COGS Break up'!E:E,'COGS Break up'!A:A,'MIS Working 1'!$D:$D,'COGS Break up'!C:C,'MIS Working 1'!$AA$1)</f>
        <v>1.8</v>
      </c>
      <c r="AB44" s="279">
        <f>SUMIFS('COGS Break up'!E:E,'COGS Break up'!A:A,'MIS Working 1'!$D:$D,'COGS Break up'!C:C,$AB$1)</f>
        <v>15.99</v>
      </c>
      <c r="AC44" s="279">
        <f>SUMIFS('COGS Break up'!E:E,'COGS Break up'!A:A,'MIS Working 1'!$D:$D,'COGS Break up'!C:C,$AC$1)</f>
        <v>8.31</v>
      </c>
      <c r="AD44" s="279">
        <f>SUMIFS('COGS Break up'!$E:$E,'COGS Break up'!$A:$A,'MIS Working 1'!$D44,'COGS Break up'!$D:$D,'MIS Working 1'!$AD$1)</f>
        <v>0.26</v>
      </c>
      <c r="AE44" s="279">
        <f>SUMIFS('COGS Break up'!$E:$E,'COGS Break up'!$A:$A,'MIS Working 1'!$D44,'COGS Break up'!$D:$D,'MIS Working 1'!$AE$1)</f>
        <v>26.1</v>
      </c>
      <c r="AF44" s="280">
        <f>'MIS Working 1'!$AG44+'MIS Working 1'!$AH44+'MIS Working 1'!$AM44+'MIS Working 1'!$AL44</f>
        <v>-478561.39999999973</v>
      </c>
      <c r="AG44" s="279">
        <f>'MIS Working 1'!$L44*'MIS Working 1'!$Y44</f>
        <v>-423377.69999999978</v>
      </c>
      <c r="AH44" s="279">
        <f>'MIS Working 1'!$L44*'MIS Working 1'!$Z44</f>
        <v>-24970</v>
      </c>
      <c r="AI44" s="279">
        <f t="shared" si="0"/>
        <v>-2043</v>
      </c>
      <c r="AJ44" s="279">
        <f t="shared" si="1"/>
        <v>-18148.650000000001</v>
      </c>
      <c r="AK44" s="279">
        <f t="shared" si="2"/>
        <v>-9431.85</v>
      </c>
      <c r="AL44" s="279">
        <f>'MIS Working 1'!$AD44*'MIS Working 1'!$L44</f>
        <v>-295.10000000000002</v>
      </c>
      <c r="AM44" s="279">
        <f>'MIS Working 1'!$L44*'MIS Working 1'!$AE44+'MIS Working 1'!$AL44</f>
        <v>-29918.6</v>
      </c>
    </row>
    <row r="45" spans="1:39" x14ac:dyDescent="0.3">
      <c r="A45" s="263" t="s">
        <v>479</v>
      </c>
      <c r="B45" s="264">
        <v>45988</v>
      </c>
      <c r="C45" s="265" t="s">
        <v>1914</v>
      </c>
      <c r="D45" s="265" t="s">
        <v>1182</v>
      </c>
      <c r="E45" s="265" t="s">
        <v>1183</v>
      </c>
      <c r="F45" s="265" t="s">
        <v>18</v>
      </c>
      <c r="G45" s="265" t="s">
        <v>19</v>
      </c>
      <c r="H45" s="265" t="s">
        <v>27</v>
      </c>
      <c r="I45" s="266">
        <v>-895</v>
      </c>
      <c r="J45" s="281">
        <v>-377135.1</v>
      </c>
      <c r="K45" s="266">
        <v>-895</v>
      </c>
      <c r="L45" s="266">
        <v>-895</v>
      </c>
      <c r="M45" s="264">
        <v>45988</v>
      </c>
      <c r="N45" s="281">
        <v>-432428.2</v>
      </c>
      <c r="O45" s="265" t="s">
        <v>21</v>
      </c>
      <c r="P45" s="265" t="s">
        <v>22</v>
      </c>
      <c r="Q45" s="265" t="s">
        <v>660</v>
      </c>
      <c r="R45" s="265" t="str">
        <f>VLOOKUP('MIS Working 1'!$G45,Master!$H$3:$I$8,2,0)</f>
        <v>Finished Goods</v>
      </c>
      <c r="S45" s="265" t="str">
        <f>VLOOKUP('MIS Working 1'!$H45,Master!B:C,2,0)</f>
        <v>FG-PCB-CF</v>
      </c>
      <c r="T45" s="265" t="str">
        <f>VLOOKUP('MIS Working 1'!$S45,Master!E:F,2,0)</f>
        <v>FG-PCB-CF</v>
      </c>
      <c r="U45" s="268">
        <f>'MIS Working 1'!$N45-'MIS Working 1'!$AF45</f>
        <v>-55060.40000000014</v>
      </c>
      <c r="V45" s="269">
        <f>'MIS Working 1'!$U45/'MIS Working 1'!$N45</f>
        <v>0.12732842122692309</v>
      </c>
      <c r="W45" s="265">
        <f>'MIS Working 1'!$N45/'MIS Working 1'!$L45</f>
        <v>483.16</v>
      </c>
      <c r="X45" s="270">
        <f>SUM('MIS Working 1'!$Y45:$AE45)</f>
        <v>447.47999999999985</v>
      </c>
      <c r="Y45" s="270">
        <f>SUMIFS('COGS Break up'!$E:$E,'COGS Break up'!$A:$A,'MIS Working 1'!$D45,'COGS Break up'!$D:$D,'MIS Working 1'!$Y$1)</f>
        <v>373.01999999999981</v>
      </c>
      <c r="Z45" s="270">
        <f>SUMIFS('COGS Break up'!$E:$E,'COGS Break up'!$A:$A,'MIS Working 1'!$D45,'COGS Break up'!$D:$D,'MIS Working 1'!$Z$1)</f>
        <v>22</v>
      </c>
      <c r="AA45" s="270">
        <f>SUMIFS('COGS Break up'!E:E,'COGS Break up'!A:A,'MIS Working 1'!$D:$D,'COGS Break up'!C:C,'MIS Working 1'!$AA$1)</f>
        <v>1.8</v>
      </c>
      <c r="AB45" s="270">
        <f>SUMIFS('COGS Break up'!E:E,'COGS Break up'!A:A,'MIS Working 1'!$D:$D,'COGS Break up'!C:C,$AB$1)</f>
        <v>15.99</v>
      </c>
      <c r="AC45" s="270">
        <f>SUMIFS('COGS Break up'!E:E,'COGS Break up'!A:A,'MIS Working 1'!$D:$D,'COGS Break up'!C:C,$AC$1)</f>
        <v>8.31</v>
      </c>
      <c r="AD45" s="270">
        <f>SUMIFS('COGS Break up'!$E:$E,'COGS Break up'!$A:$A,'MIS Working 1'!$D45,'COGS Break up'!$D:$D,'MIS Working 1'!$AD$1)</f>
        <v>0.26</v>
      </c>
      <c r="AE45" s="270">
        <f>SUMIFS('COGS Break up'!$E:$E,'COGS Break up'!$A:$A,'MIS Working 1'!$D45,'COGS Break up'!$D:$D,'MIS Working 1'!$AE$1)</f>
        <v>26.1</v>
      </c>
      <c r="AF45" s="271">
        <f>'MIS Working 1'!$AG45+'MIS Working 1'!$AH45+'MIS Working 1'!$AM45+'MIS Working 1'!$AL45</f>
        <v>-377367.79999999987</v>
      </c>
      <c r="AG45" s="270">
        <f>'MIS Working 1'!$L45*'MIS Working 1'!$Y45</f>
        <v>-333852.89999999985</v>
      </c>
      <c r="AH45" s="270">
        <f>'MIS Working 1'!$L45*'MIS Working 1'!$Z45</f>
        <v>-19690</v>
      </c>
      <c r="AI45" s="270">
        <f t="shared" si="0"/>
        <v>-1611</v>
      </c>
      <c r="AJ45" s="270">
        <f t="shared" si="1"/>
        <v>-14311.050000000001</v>
      </c>
      <c r="AK45" s="270">
        <f t="shared" si="2"/>
        <v>-7437.4500000000007</v>
      </c>
      <c r="AL45" s="270">
        <f>'MIS Working 1'!$AD45*'MIS Working 1'!$L45</f>
        <v>-232.70000000000002</v>
      </c>
      <c r="AM45" s="270">
        <f>'MIS Working 1'!$L45*'MIS Working 1'!$AE45+'MIS Working 1'!$AL45</f>
        <v>-23592.2</v>
      </c>
    </row>
    <row r="46" spans="1:39" x14ac:dyDescent="0.3">
      <c r="A46" s="272" t="s">
        <v>479</v>
      </c>
      <c r="B46" s="273">
        <v>45988</v>
      </c>
      <c r="C46" s="274" t="s">
        <v>1915</v>
      </c>
      <c r="D46" s="274" t="s">
        <v>1182</v>
      </c>
      <c r="E46" s="274" t="s">
        <v>1183</v>
      </c>
      <c r="F46" s="274" t="s">
        <v>18</v>
      </c>
      <c r="G46" s="274" t="s">
        <v>19</v>
      </c>
      <c r="H46" s="274" t="s">
        <v>27</v>
      </c>
      <c r="I46" s="275">
        <v>-580</v>
      </c>
      <c r="J46" s="282">
        <v>-244400.4</v>
      </c>
      <c r="K46" s="275">
        <v>-580</v>
      </c>
      <c r="L46" s="275">
        <v>-580</v>
      </c>
      <c r="M46" s="273">
        <v>45988</v>
      </c>
      <c r="N46" s="282">
        <v>-280232.8</v>
      </c>
      <c r="O46" s="274" t="s">
        <v>21</v>
      </c>
      <c r="P46" s="274" t="s">
        <v>22</v>
      </c>
      <c r="Q46" s="274" t="s">
        <v>660</v>
      </c>
      <c r="R46" s="274" t="str">
        <f>VLOOKUP('MIS Working 1'!$G46,Master!$H$3:$I$8,2,0)</f>
        <v>Finished Goods</v>
      </c>
      <c r="S46" s="274" t="str">
        <f>VLOOKUP('MIS Working 1'!$H46,Master!B:C,2,0)</f>
        <v>FG-PCB-CF</v>
      </c>
      <c r="T46" s="274" t="str">
        <f>VLOOKUP('MIS Working 1'!$S46,Master!E:F,2,0)</f>
        <v>FG-PCB-CF</v>
      </c>
      <c r="U46" s="277">
        <f>'MIS Working 1'!$N46-'MIS Working 1'!$AF46</f>
        <v>-35681.600000000122</v>
      </c>
      <c r="V46" s="278">
        <f>'MIS Working 1'!$U46/'MIS Working 1'!$N46</f>
        <v>0.1273284212269232</v>
      </c>
      <c r="W46" s="274">
        <f>'MIS Working 1'!$N46/'MIS Working 1'!$L46</f>
        <v>483.15999999999997</v>
      </c>
      <c r="X46" s="279">
        <f>SUM('MIS Working 1'!$Y46:$AE46)</f>
        <v>447.47999999999985</v>
      </c>
      <c r="Y46" s="279">
        <f>SUMIFS('COGS Break up'!$E:$E,'COGS Break up'!$A:$A,'MIS Working 1'!$D46,'COGS Break up'!$D:$D,'MIS Working 1'!$Y$1)</f>
        <v>373.01999999999981</v>
      </c>
      <c r="Z46" s="279">
        <f>SUMIFS('COGS Break up'!$E:$E,'COGS Break up'!$A:$A,'MIS Working 1'!$D46,'COGS Break up'!$D:$D,'MIS Working 1'!$Z$1)</f>
        <v>22</v>
      </c>
      <c r="AA46" s="279">
        <f>SUMIFS('COGS Break up'!E:E,'COGS Break up'!A:A,'MIS Working 1'!$D:$D,'COGS Break up'!C:C,'MIS Working 1'!$AA$1)</f>
        <v>1.8</v>
      </c>
      <c r="AB46" s="279">
        <f>SUMIFS('COGS Break up'!E:E,'COGS Break up'!A:A,'MIS Working 1'!$D:$D,'COGS Break up'!C:C,$AB$1)</f>
        <v>15.99</v>
      </c>
      <c r="AC46" s="279">
        <f>SUMIFS('COGS Break up'!E:E,'COGS Break up'!A:A,'MIS Working 1'!$D:$D,'COGS Break up'!C:C,$AC$1)</f>
        <v>8.31</v>
      </c>
      <c r="AD46" s="279">
        <f>SUMIFS('COGS Break up'!$E:$E,'COGS Break up'!$A:$A,'MIS Working 1'!$D46,'COGS Break up'!$D:$D,'MIS Working 1'!$AD$1)</f>
        <v>0.26</v>
      </c>
      <c r="AE46" s="279">
        <f>SUMIFS('COGS Break up'!$E:$E,'COGS Break up'!$A:$A,'MIS Working 1'!$D46,'COGS Break up'!$D:$D,'MIS Working 1'!$AE$1)</f>
        <v>26.1</v>
      </c>
      <c r="AF46" s="280">
        <f>'MIS Working 1'!$AG46+'MIS Working 1'!$AH46+'MIS Working 1'!$AM46+'MIS Working 1'!$AL46</f>
        <v>-244551.19999999987</v>
      </c>
      <c r="AG46" s="279">
        <f>'MIS Working 1'!$L46*'MIS Working 1'!$Y46</f>
        <v>-216351.59999999989</v>
      </c>
      <c r="AH46" s="279">
        <f>'MIS Working 1'!$L46*'MIS Working 1'!$Z46</f>
        <v>-12760</v>
      </c>
      <c r="AI46" s="279">
        <f t="shared" si="0"/>
        <v>-1044</v>
      </c>
      <c r="AJ46" s="279">
        <f t="shared" si="1"/>
        <v>-9274.2000000000007</v>
      </c>
      <c r="AK46" s="279">
        <f t="shared" si="2"/>
        <v>-4819.8</v>
      </c>
      <c r="AL46" s="279">
        <f>'MIS Working 1'!$AD46*'MIS Working 1'!$L46</f>
        <v>-150.80000000000001</v>
      </c>
      <c r="AM46" s="279">
        <f>'MIS Working 1'!$L46*'MIS Working 1'!$AE46+'MIS Working 1'!$AL46</f>
        <v>-15288.8</v>
      </c>
    </row>
    <row r="47" spans="1:39" x14ac:dyDescent="0.3">
      <c r="A47" s="263" t="s">
        <v>479</v>
      </c>
      <c r="B47" s="264">
        <v>45988</v>
      </c>
      <c r="C47" s="265" t="s">
        <v>1916</v>
      </c>
      <c r="D47" s="265" t="s">
        <v>1182</v>
      </c>
      <c r="E47" s="265" t="s">
        <v>1183</v>
      </c>
      <c r="F47" s="265" t="s">
        <v>18</v>
      </c>
      <c r="G47" s="265" t="s">
        <v>19</v>
      </c>
      <c r="H47" s="265" t="s">
        <v>27</v>
      </c>
      <c r="I47" s="266">
        <v>-350</v>
      </c>
      <c r="J47" s="266">
        <v>-147483</v>
      </c>
      <c r="K47" s="266">
        <v>-350</v>
      </c>
      <c r="L47" s="266">
        <v>-350</v>
      </c>
      <c r="M47" s="264">
        <v>45988</v>
      </c>
      <c r="N47" s="266">
        <v>-169106</v>
      </c>
      <c r="O47" s="265" t="s">
        <v>21</v>
      </c>
      <c r="P47" s="265" t="s">
        <v>22</v>
      </c>
      <c r="Q47" s="265" t="s">
        <v>660</v>
      </c>
      <c r="R47" s="265" t="str">
        <f>VLOOKUP('MIS Working 1'!$G47,Master!$H$3:$I$8,2,0)</f>
        <v>Finished Goods</v>
      </c>
      <c r="S47" s="265" t="str">
        <f>VLOOKUP('MIS Working 1'!$H47,Master!B:C,2,0)</f>
        <v>FG-PCB-CF</v>
      </c>
      <c r="T47" s="265" t="str">
        <f>VLOOKUP('MIS Working 1'!$S47,Master!E:F,2,0)</f>
        <v>FG-PCB-CF</v>
      </c>
      <c r="U47" s="268">
        <f>'MIS Working 1'!$N47-'MIS Working 1'!$AF47</f>
        <v>-21532.000000000058</v>
      </c>
      <c r="V47" s="269">
        <f>'MIS Working 1'!$U47/'MIS Working 1'!$N47</f>
        <v>0.12732842122692312</v>
      </c>
      <c r="W47" s="265">
        <f>'MIS Working 1'!$N47/'MIS Working 1'!$L47</f>
        <v>483.16</v>
      </c>
      <c r="X47" s="270">
        <f>SUM('MIS Working 1'!$Y47:$AE47)</f>
        <v>447.47999999999985</v>
      </c>
      <c r="Y47" s="270">
        <f>SUMIFS('COGS Break up'!$E:$E,'COGS Break up'!$A:$A,'MIS Working 1'!$D47,'COGS Break up'!$D:$D,'MIS Working 1'!$Y$1)</f>
        <v>373.01999999999981</v>
      </c>
      <c r="Z47" s="270">
        <f>SUMIFS('COGS Break up'!$E:$E,'COGS Break up'!$A:$A,'MIS Working 1'!$D47,'COGS Break up'!$D:$D,'MIS Working 1'!$Z$1)</f>
        <v>22</v>
      </c>
      <c r="AA47" s="270">
        <f>SUMIFS('COGS Break up'!E:E,'COGS Break up'!A:A,'MIS Working 1'!$D:$D,'COGS Break up'!C:C,'MIS Working 1'!$AA$1)</f>
        <v>1.8</v>
      </c>
      <c r="AB47" s="270">
        <f>SUMIFS('COGS Break up'!E:E,'COGS Break up'!A:A,'MIS Working 1'!$D:$D,'COGS Break up'!C:C,$AB$1)</f>
        <v>15.99</v>
      </c>
      <c r="AC47" s="270">
        <f>SUMIFS('COGS Break up'!E:E,'COGS Break up'!A:A,'MIS Working 1'!$D:$D,'COGS Break up'!C:C,$AC$1)</f>
        <v>8.31</v>
      </c>
      <c r="AD47" s="270">
        <f>SUMIFS('COGS Break up'!$E:$E,'COGS Break up'!$A:$A,'MIS Working 1'!$D47,'COGS Break up'!$D:$D,'MIS Working 1'!$AD$1)</f>
        <v>0.26</v>
      </c>
      <c r="AE47" s="270">
        <f>SUMIFS('COGS Break up'!$E:$E,'COGS Break up'!$A:$A,'MIS Working 1'!$D47,'COGS Break up'!$D:$D,'MIS Working 1'!$AE$1)</f>
        <v>26.1</v>
      </c>
      <c r="AF47" s="271">
        <f>'MIS Working 1'!$AG47+'MIS Working 1'!$AH47+'MIS Working 1'!$AM47+'MIS Working 1'!$AL47</f>
        <v>-147573.99999999994</v>
      </c>
      <c r="AG47" s="270">
        <f>'MIS Working 1'!$L47*'MIS Working 1'!$Y47</f>
        <v>-130556.99999999993</v>
      </c>
      <c r="AH47" s="270">
        <f>'MIS Working 1'!$L47*'MIS Working 1'!$Z47</f>
        <v>-7700</v>
      </c>
      <c r="AI47" s="270">
        <f t="shared" si="0"/>
        <v>-630</v>
      </c>
      <c r="AJ47" s="270">
        <f t="shared" si="1"/>
        <v>-5596.5</v>
      </c>
      <c r="AK47" s="270">
        <f t="shared" si="2"/>
        <v>-2908.5</v>
      </c>
      <c r="AL47" s="270">
        <f>'MIS Working 1'!$AD47*'MIS Working 1'!$L47</f>
        <v>-91</v>
      </c>
      <c r="AM47" s="270">
        <f>'MIS Working 1'!$L47*'MIS Working 1'!$AE47+'MIS Working 1'!$AL47</f>
        <v>-9226</v>
      </c>
    </row>
    <row r="48" spans="1:39" x14ac:dyDescent="0.3">
      <c r="A48" s="272" t="s">
        <v>479</v>
      </c>
      <c r="B48" s="273">
        <v>45988</v>
      </c>
      <c r="C48" s="274" t="s">
        <v>1917</v>
      </c>
      <c r="D48" s="274" t="s">
        <v>380</v>
      </c>
      <c r="E48" s="274" t="s">
        <v>381</v>
      </c>
      <c r="F48" s="274" t="s">
        <v>18</v>
      </c>
      <c r="G48" s="274" t="s">
        <v>19</v>
      </c>
      <c r="H48" s="274" t="s">
        <v>27</v>
      </c>
      <c r="I48" s="275">
        <v>-1</v>
      </c>
      <c r="J48" s="282">
        <v>-216.6</v>
      </c>
      <c r="K48" s="275">
        <v>-1</v>
      </c>
      <c r="L48" s="275">
        <v>-1</v>
      </c>
      <c r="M48" s="273">
        <v>45988</v>
      </c>
      <c r="N48" s="276">
        <v>-230.41</v>
      </c>
      <c r="O48" s="274" t="s">
        <v>21</v>
      </c>
      <c r="P48" s="274" t="s">
        <v>22</v>
      </c>
      <c r="Q48" s="274" t="s">
        <v>660</v>
      </c>
      <c r="R48" s="274" t="str">
        <f>VLOOKUP('MIS Working 1'!$G48,Master!$H$3:$I$8,2,0)</f>
        <v>Finished Goods</v>
      </c>
      <c r="S48" s="274" t="str">
        <f>VLOOKUP('MIS Working 1'!$H48,Master!B:C,2,0)</f>
        <v>FG-PCB-CF</v>
      </c>
      <c r="T48" s="274" t="str">
        <f>VLOOKUP('MIS Working 1'!$S48,Master!E:F,2,0)</f>
        <v>FG-PCB-CF</v>
      </c>
      <c r="U48" s="277">
        <f>'MIS Working 1'!$N48-'MIS Working 1'!$AF48</f>
        <v>-13.770000000000067</v>
      </c>
      <c r="V48" s="278">
        <f>'MIS Working 1'!$U48/'MIS Working 1'!$N48</f>
        <v>5.9763031118441334E-2</v>
      </c>
      <c r="W48" s="274">
        <f>'MIS Working 1'!$N48/'MIS Working 1'!$L48</f>
        <v>230.41</v>
      </c>
      <c r="X48" s="279">
        <f>SUM('MIS Working 1'!$Y48:$AE48)</f>
        <v>239.77999999999994</v>
      </c>
      <c r="Y48" s="279">
        <f>SUMIFS('COGS Break up'!$E:$E,'COGS Break up'!$A:$A,'MIS Working 1'!$D48,'COGS Break up'!$D:$D,'MIS Working 1'!$Y$1)</f>
        <v>174.98999999999995</v>
      </c>
      <c r="Z48" s="279">
        <f>SUMIFS('COGS Break up'!$E:$E,'COGS Break up'!$A:$A,'MIS Working 1'!$D48,'COGS Break up'!$D:$D,'MIS Working 1'!$Z$1)</f>
        <v>18.389999999999997</v>
      </c>
      <c r="AA48" s="279">
        <f>SUMIFS('COGS Break up'!E:E,'COGS Break up'!A:A,'MIS Working 1'!$D:$D,'COGS Break up'!C:C,'MIS Working 1'!$AA$1)</f>
        <v>1.5</v>
      </c>
      <c r="AB48" s="279">
        <f>SUMIFS('COGS Break up'!E:E,'COGS Break up'!A:A,'MIS Working 1'!$D:$D,'COGS Break up'!C:C,$AB$1)</f>
        <v>13.37</v>
      </c>
      <c r="AC48" s="279">
        <f>SUMIFS('COGS Break up'!E:E,'COGS Break up'!A:A,'MIS Working 1'!$D:$D,'COGS Break up'!C:C,$AC$1)</f>
        <v>8.31</v>
      </c>
      <c r="AD48" s="279">
        <f>SUMIFS('COGS Break up'!$E:$E,'COGS Break up'!$A:$A,'MIS Working 1'!$D48,'COGS Break up'!$D:$D,'MIS Working 1'!$AD$1)</f>
        <v>0.04</v>
      </c>
      <c r="AE48" s="279">
        <f>SUMIFS('COGS Break up'!$E:$E,'COGS Break up'!$A:$A,'MIS Working 1'!$D48,'COGS Break up'!$D:$D,'MIS Working 1'!$AE$1)</f>
        <v>23.18</v>
      </c>
      <c r="AF48" s="280">
        <f>'MIS Working 1'!$AG48+'MIS Working 1'!$AH48+'MIS Working 1'!$AM48+'MIS Working 1'!$AL48</f>
        <v>-216.63999999999993</v>
      </c>
      <c r="AG48" s="279">
        <f>'MIS Working 1'!$L48*'MIS Working 1'!$Y48</f>
        <v>-174.98999999999995</v>
      </c>
      <c r="AH48" s="279">
        <f>'MIS Working 1'!$L48*'MIS Working 1'!$Z48</f>
        <v>-18.389999999999997</v>
      </c>
      <c r="AI48" s="279">
        <f t="shared" si="0"/>
        <v>-1.5</v>
      </c>
      <c r="AJ48" s="279">
        <f t="shared" si="1"/>
        <v>-13.37</v>
      </c>
      <c r="AK48" s="279">
        <f t="shared" si="2"/>
        <v>-8.31</v>
      </c>
      <c r="AL48" s="279">
        <f>'MIS Working 1'!$AD48*'MIS Working 1'!$L48</f>
        <v>-0.04</v>
      </c>
      <c r="AM48" s="279">
        <f>'MIS Working 1'!$L48*'MIS Working 1'!$AE48+'MIS Working 1'!$AL48</f>
        <v>-23.22</v>
      </c>
    </row>
    <row r="49" spans="1:39" x14ac:dyDescent="0.3">
      <c r="A49" s="263" t="s">
        <v>479</v>
      </c>
      <c r="B49" s="264">
        <v>45988</v>
      </c>
      <c r="C49" s="265" t="s">
        <v>1918</v>
      </c>
      <c r="D49" s="265" t="s">
        <v>1182</v>
      </c>
      <c r="E49" s="265" t="s">
        <v>1183</v>
      </c>
      <c r="F49" s="265" t="s">
        <v>18</v>
      </c>
      <c r="G49" s="265" t="s">
        <v>19</v>
      </c>
      <c r="H49" s="265" t="s">
        <v>27</v>
      </c>
      <c r="I49" s="266">
        <v>-1</v>
      </c>
      <c r="J49" s="267">
        <v>-421.38</v>
      </c>
      <c r="K49" s="266">
        <v>-1</v>
      </c>
      <c r="L49" s="266">
        <v>-1</v>
      </c>
      <c r="M49" s="264">
        <v>45988</v>
      </c>
      <c r="N49" s="267">
        <v>-483.16</v>
      </c>
      <c r="O49" s="265" t="s">
        <v>21</v>
      </c>
      <c r="P49" s="265" t="s">
        <v>22</v>
      </c>
      <c r="Q49" s="265" t="s">
        <v>660</v>
      </c>
      <c r="R49" s="265" t="str">
        <f>VLOOKUP('MIS Working 1'!$G49,Master!$H$3:$I$8,2,0)</f>
        <v>Finished Goods</v>
      </c>
      <c r="S49" s="265" t="str">
        <f>VLOOKUP('MIS Working 1'!$H49,Master!B:C,2,0)</f>
        <v>FG-PCB-CF</v>
      </c>
      <c r="T49" s="265" t="str">
        <f>VLOOKUP('MIS Working 1'!$S49,Master!E:F,2,0)</f>
        <v>FG-PCB-CF</v>
      </c>
      <c r="U49" s="268">
        <f>'MIS Working 1'!$N49-'MIS Working 1'!$AF49</f>
        <v>-61.520000000000209</v>
      </c>
      <c r="V49" s="269">
        <f>'MIS Working 1'!$U49/'MIS Working 1'!$N49</f>
        <v>0.12732842122692317</v>
      </c>
      <c r="W49" s="265">
        <f>'MIS Working 1'!$N49/'MIS Working 1'!$L49</f>
        <v>483.16</v>
      </c>
      <c r="X49" s="270">
        <f>SUM('MIS Working 1'!$Y49:$AE49)</f>
        <v>447.47999999999985</v>
      </c>
      <c r="Y49" s="270">
        <f>SUMIFS('COGS Break up'!$E:$E,'COGS Break up'!$A:$A,'MIS Working 1'!$D49,'COGS Break up'!$D:$D,'MIS Working 1'!$Y$1)</f>
        <v>373.01999999999981</v>
      </c>
      <c r="Z49" s="270">
        <f>SUMIFS('COGS Break up'!$E:$E,'COGS Break up'!$A:$A,'MIS Working 1'!$D49,'COGS Break up'!$D:$D,'MIS Working 1'!$Z$1)</f>
        <v>22</v>
      </c>
      <c r="AA49" s="270">
        <f>SUMIFS('COGS Break up'!E:E,'COGS Break up'!A:A,'MIS Working 1'!$D:$D,'COGS Break up'!C:C,'MIS Working 1'!$AA$1)</f>
        <v>1.8</v>
      </c>
      <c r="AB49" s="270">
        <f>SUMIFS('COGS Break up'!E:E,'COGS Break up'!A:A,'MIS Working 1'!$D:$D,'COGS Break up'!C:C,$AB$1)</f>
        <v>15.99</v>
      </c>
      <c r="AC49" s="270">
        <f>SUMIFS('COGS Break up'!E:E,'COGS Break up'!A:A,'MIS Working 1'!$D:$D,'COGS Break up'!C:C,$AC$1)</f>
        <v>8.31</v>
      </c>
      <c r="AD49" s="270">
        <f>SUMIFS('COGS Break up'!$E:$E,'COGS Break up'!$A:$A,'MIS Working 1'!$D49,'COGS Break up'!$D:$D,'MIS Working 1'!$AD$1)</f>
        <v>0.26</v>
      </c>
      <c r="AE49" s="270">
        <f>SUMIFS('COGS Break up'!$E:$E,'COGS Break up'!$A:$A,'MIS Working 1'!$D49,'COGS Break up'!$D:$D,'MIS Working 1'!$AE$1)</f>
        <v>26.1</v>
      </c>
      <c r="AF49" s="271">
        <f>'MIS Working 1'!$AG49+'MIS Working 1'!$AH49+'MIS Working 1'!$AM49+'MIS Working 1'!$AL49</f>
        <v>-421.63999999999982</v>
      </c>
      <c r="AG49" s="270">
        <f>'MIS Working 1'!$L49*'MIS Working 1'!$Y49</f>
        <v>-373.01999999999981</v>
      </c>
      <c r="AH49" s="270">
        <f>'MIS Working 1'!$L49*'MIS Working 1'!$Z49</f>
        <v>-22</v>
      </c>
      <c r="AI49" s="270">
        <f t="shared" si="0"/>
        <v>-1.8</v>
      </c>
      <c r="AJ49" s="270">
        <f t="shared" si="1"/>
        <v>-15.99</v>
      </c>
      <c r="AK49" s="270">
        <f t="shared" si="2"/>
        <v>-8.31</v>
      </c>
      <c r="AL49" s="270">
        <f>'MIS Working 1'!$AD49*'MIS Working 1'!$L49</f>
        <v>-0.26</v>
      </c>
      <c r="AM49" s="270">
        <f>'MIS Working 1'!$L49*'MIS Working 1'!$AE49+'MIS Working 1'!$AL49</f>
        <v>-26.360000000000003</v>
      </c>
    </row>
    <row r="50" spans="1:39" x14ac:dyDescent="0.3">
      <c r="A50" s="272" t="s">
        <v>479</v>
      </c>
      <c r="B50" s="273">
        <v>45988</v>
      </c>
      <c r="C50" s="274" t="s">
        <v>1919</v>
      </c>
      <c r="D50" s="274" t="s">
        <v>46</v>
      </c>
      <c r="E50" s="274" t="s">
        <v>47</v>
      </c>
      <c r="F50" s="274" t="s">
        <v>18</v>
      </c>
      <c r="G50" s="274" t="s">
        <v>19</v>
      </c>
      <c r="H50" s="274" t="s">
        <v>27</v>
      </c>
      <c r="I50" s="275">
        <v>-3</v>
      </c>
      <c r="J50" s="282">
        <v>-981.3</v>
      </c>
      <c r="K50" s="275">
        <v>-3</v>
      </c>
      <c r="L50" s="275">
        <v>-3</v>
      </c>
      <c r="M50" s="273">
        <v>45988</v>
      </c>
      <c r="N50" s="276">
        <v>-1074.8699999999999</v>
      </c>
      <c r="O50" s="274" t="s">
        <v>21</v>
      </c>
      <c r="P50" s="274" t="s">
        <v>22</v>
      </c>
      <c r="Q50" s="274" t="s">
        <v>660</v>
      </c>
      <c r="R50" s="274" t="str">
        <f>VLOOKUP('MIS Working 1'!$G50,Master!$H$3:$I$8,2,0)</f>
        <v>Finished Goods</v>
      </c>
      <c r="S50" s="274" t="str">
        <f>VLOOKUP('MIS Working 1'!$H50,Master!B:C,2,0)</f>
        <v>FG-PCB-CF</v>
      </c>
      <c r="T50" s="274" t="str">
        <f>VLOOKUP('MIS Working 1'!$S50,Master!E:F,2,0)</f>
        <v>FG-PCB-CF</v>
      </c>
      <c r="U50" s="277">
        <f>'MIS Working 1'!$N50-'MIS Working 1'!$AF50</f>
        <v>-93.060000000000173</v>
      </c>
      <c r="V50" s="278">
        <f>'MIS Working 1'!$U50/'MIS Working 1'!$N50</f>
        <v>8.6577911747467304E-2</v>
      </c>
      <c r="W50" s="274">
        <f>'MIS Working 1'!$N50/'MIS Working 1'!$L50</f>
        <v>358.28999999999996</v>
      </c>
      <c r="X50" s="279">
        <f>SUM('MIS Working 1'!$Y50:$AE50)</f>
        <v>353.51999999999992</v>
      </c>
      <c r="Y50" s="279">
        <f>SUMIFS('COGS Break up'!$E:$E,'COGS Break up'!$A:$A,'MIS Working 1'!$D50,'COGS Break up'!$D:$D,'MIS Working 1'!$Y$1)</f>
        <v>278.1099999999999</v>
      </c>
      <c r="Z50" s="279">
        <f>SUMIFS('COGS Break up'!$E:$E,'COGS Break up'!$A:$A,'MIS Working 1'!$D50,'COGS Break up'!$D:$D,'MIS Working 1'!$Z$1)</f>
        <v>22.400000000000002</v>
      </c>
      <c r="AA50" s="279">
        <f>SUMIFS('COGS Break up'!E:E,'COGS Break up'!A:A,'MIS Working 1'!$D:$D,'COGS Break up'!C:C,'MIS Working 1'!$AA$1)</f>
        <v>1.8299999999999998</v>
      </c>
      <c r="AB50" s="279">
        <f>SUMIFS('COGS Break up'!E:E,'COGS Break up'!A:A,'MIS Working 1'!$D:$D,'COGS Break up'!C:C,$AB$1)</f>
        <v>16.28</v>
      </c>
      <c r="AC50" s="279">
        <f>SUMIFS('COGS Break up'!E:E,'COGS Break up'!A:A,'MIS Working 1'!$D:$D,'COGS Break up'!C:C,$AC$1)</f>
        <v>8.31</v>
      </c>
      <c r="AD50" s="279">
        <f>SUMIFS('COGS Break up'!$E:$E,'COGS Break up'!$A:$A,'MIS Working 1'!$D50,'COGS Break up'!$D:$D,'MIS Working 1'!$AD$1)</f>
        <v>0.17</v>
      </c>
      <c r="AE50" s="279">
        <f>SUMIFS('COGS Break up'!$E:$E,'COGS Break up'!$A:$A,'MIS Working 1'!$D50,'COGS Break up'!$D:$D,'MIS Working 1'!$AE$1)</f>
        <v>26.42</v>
      </c>
      <c r="AF50" s="280">
        <f>'MIS Working 1'!$AG50+'MIS Working 1'!$AH50+'MIS Working 1'!$AM50+'MIS Working 1'!$AL50</f>
        <v>-981.80999999999972</v>
      </c>
      <c r="AG50" s="279">
        <f>'MIS Working 1'!$L50*'MIS Working 1'!$Y50</f>
        <v>-834.3299999999997</v>
      </c>
      <c r="AH50" s="279">
        <f>'MIS Working 1'!$L50*'MIS Working 1'!$Z50</f>
        <v>-67.2</v>
      </c>
      <c r="AI50" s="279">
        <f t="shared" si="0"/>
        <v>-5.4899999999999993</v>
      </c>
      <c r="AJ50" s="279">
        <f t="shared" si="1"/>
        <v>-48.84</v>
      </c>
      <c r="AK50" s="279">
        <f t="shared" si="2"/>
        <v>-24.93</v>
      </c>
      <c r="AL50" s="279">
        <f>'MIS Working 1'!$AD50*'MIS Working 1'!$L50</f>
        <v>-0.51</v>
      </c>
      <c r="AM50" s="279">
        <f>'MIS Working 1'!$L50*'MIS Working 1'!$AE50+'MIS Working 1'!$AL50</f>
        <v>-79.77000000000001</v>
      </c>
    </row>
    <row r="51" spans="1:39" x14ac:dyDescent="0.3">
      <c r="A51" s="263" t="s">
        <v>479</v>
      </c>
      <c r="B51" s="264">
        <v>45988</v>
      </c>
      <c r="C51" s="265" t="s">
        <v>1919</v>
      </c>
      <c r="D51" s="265" t="s">
        <v>42</v>
      </c>
      <c r="E51" s="265" t="s">
        <v>43</v>
      </c>
      <c r="F51" s="265" t="s">
        <v>18</v>
      </c>
      <c r="G51" s="265" t="s">
        <v>19</v>
      </c>
      <c r="H51" s="265" t="s">
        <v>27</v>
      </c>
      <c r="I51" s="266">
        <v>-3</v>
      </c>
      <c r="J51" s="267">
        <v>-981.39</v>
      </c>
      <c r="K51" s="266">
        <v>-3</v>
      </c>
      <c r="L51" s="266">
        <v>-3</v>
      </c>
      <c r="M51" s="264">
        <v>45988</v>
      </c>
      <c r="N51" s="267">
        <v>-1074.8699999999999</v>
      </c>
      <c r="O51" s="265" t="s">
        <v>21</v>
      </c>
      <c r="P51" s="265" t="s">
        <v>22</v>
      </c>
      <c r="Q51" s="265" t="s">
        <v>660</v>
      </c>
      <c r="R51" s="265" t="str">
        <f>VLOOKUP('MIS Working 1'!$G51,Master!$H$3:$I$8,2,0)</f>
        <v>Finished Goods</v>
      </c>
      <c r="S51" s="265" t="str">
        <f>VLOOKUP('MIS Working 1'!$H51,Master!B:C,2,0)</f>
        <v>FG-PCB-CF</v>
      </c>
      <c r="T51" s="265" t="str">
        <f>VLOOKUP('MIS Working 1'!$S51,Master!E:F,2,0)</f>
        <v>FG-PCB-CF</v>
      </c>
      <c r="U51" s="268">
        <f>'MIS Working 1'!$N51-'MIS Working 1'!$AF51</f>
        <v>-92.9699999999998</v>
      </c>
      <c r="V51" s="269">
        <f>'MIS Working 1'!$U51/'MIS Working 1'!$N51</f>
        <v>8.649418069161835E-2</v>
      </c>
      <c r="W51" s="265">
        <f>'MIS Working 1'!$N51/'MIS Working 1'!$L51</f>
        <v>358.28999999999996</v>
      </c>
      <c r="X51" s="270">
        <f>SUM('MIS Working 1'!$Y51:$AE51)</f>
        <v>353.55</v>
      </c>
      <c r="Y51" s="270">
        <f>SUMIFS('COGS Break up'!$E:$E,'COGS Break up'!$A:$A,'MIS Working 1'!$D51,'COGS Break up'!$D:$D,'MIS Working 1'!$Y$1)</f>
        <v>278.14000000000004</v>
      </c>
      <c r="Z51" s="270">
        <f>SUMIFS('COGS Break up'!$E:$E,'COGS Break up'!$A:$A,'MIS Working 1'!$D51,'COGS Break up'!$D:$D,'MIS Working 1'!$Z$1)</f>
        <v>22.400000000000002</v>
      </c>
      <c r="AA51" s="270">
        <f>SUMIFS('COGS Break up'!E:E,'COGS Break up'!A:A,'MIS Working 1'!$D:$D,'COGS Break up'!C:C,'MIS Working 1'!$AA$1)</f>
        <v>1.8299999999999998</v>
      </c>
      <c r="AB51" s="270">
        <f>SUMIFS('COGS Break up'!E:E,'COGS Break up'!A:A,'MIS Working 1'!$D:$D,'COGS Break up'!C:C,$AB$1)</f>
        <v>16.28</v>
      </c>
      <c r="AC51" s="270">
        <f>SUMIFS('COGS Break up'!E:E,'COGS Break up'!A:A,'MIS Working 1'!$D:$D,'COGS Break up'!C:C,$AC$1)</f>
        <v>8.31</v>
      </c>
      <c r="AD51" s="270">
        <f>SUMIFS('COGS Break up'!$E:$E,'COGS Break up'!$A:$A,'MIS Working 1'!$D51,'COGS Break up'!$D:$D,'MIS Working 1'!$AD$1)</f>
        <v>0.17</v>
      </c>
      <c r="AE51" s="270">
        <f>SUMIFS('COGS Break up'!$E:$E,'COGS Break up'!$A:$A,'MIS Working 1'!$D51,'COGS Break up'!$D:$D,'MIS Working 1'!$AE$1)</f>
        <v>26.42</v>
      </c>
      <c r="AF51" s="271">
        <f>'MIS Working 1'!$AG51+'MIS Working 1'!$AH51+'MIS Working 1'!$AM51+'MIS Working 1'!$AL51</f>
        <v>-981.90000000000009</v>
      </c>
      <c r="AG51" s="270">
        <f>'MIS Working 1'!$L51*'MIS Working 1'!$Y51</f>
        <v>-834.42000000000007</v>
      </c>
      <c r="AH51" s="270">
        <f>'MIS Working 1'!$L51*'MIS Working 1'!$Z51</f>
        <v>-67.2</v>
      </c>
      <c r="AI51" s="270">
        <f t="shared" si="0"/>
        <v>-5.4899999999999993</v>
      </c>
      <c r="AJ51" s="270">
        <f t="shared" si="1"/>
        <v>-48.84</v>
      </c>
      <c r="AK51" s="270">
        <f t="shared" si="2"/>
        <v>-24.93</v>
      </c>
      <c r="AL51" s="270">
        <f>'MIS Working 1'!$AD51*'MIS Working 1'!$L51</f>
        <v>-0.51</v>
      </c>
      <c r="AM51" s="270">
        <f>'MIS Working 1'!$L51*'MIS Working 1'!$AE51+'MIS Working 1'!$AL51</f>
        <v>-79.77000000000001</v>
      </c>
    </row>
    <row r="52" spans="1:39" x14ac:dyDescent="0.3">
      <c r="A52" s="272" t="s">
        <v>479</v>
      </c>
      <c r="B52" s="273">
        <v>45988</v>
      </c>
      <c r="C52" s="274" t="s">
        <v>1920</v>
      </c>
      <c r="D52" s="274" t="s">
        <v>637</v>
      </c>
      <c r="E52" s="274" t="s">
        <v>638</v>
      </c>
      <c r="F52" s="274" t="s">
        <v>18</v>
      </c>
      <c r="G52" s="274" t="s">
        <v>19</v>
      </c>
      <c r="H52" s="274" t="s">
        <v>27</v>
      </c>
      <c r="I52" s="275">
        <v>-4</v>
      </c>
      <c r="J52" s="276">
        <v>-1305.08</v>
      </c>
      <c r="K52" s="275">
        <v>-4</v>
      </c>
      <c r="L52" s="275">
        <v>-4</v>
      </c>
      <c r="M52" s="273">
        <v>45988</v>
      </c>
      <c r="N52" s="276">
        <v>-1463.52</v>
      </c>
      <c r="O52" s="274" t="s">
        <v>21</v>
      </c>
      <c r="P52" s="274" t="s">
        <v>22</v>
      </c>
      <c r="Q52" s="274" t="s">
        <v>660</v>
      </c>
      <c r="R52" s="274" t="str">
        <f>VLOOKUP('MIS Working 1'!$G52,Master!$H$3:$I$8,2,0)</f>
        <v>Finished Goods</v>
      </c>
      <c r="S52" s="274" t="str">
        <f>VLOOKUP('MIS Working 1'!$H52,Master!B:C,2,0)</f>
        <v>FG-PCB-CF</v>
      </c>
      <c r="T52" s="274" t="str">
        <f>VLOOKUP('MIS Working 1'!$S52,Master!E:F,2,0)</f>
        <v>FG-PCB-CF</v>
      </c>
      <c r="U52" s="277">
        <f>'MIS Working 1'!$N52-'MIS Working 1'!$AF52</f>
        <v>-157.44000000000005</v>
      </c>
      <c r="V52" s="278">
        <f>'MIS Working 1'!$U52/'MIS Working 1'!$N52</f>
        <v>0.10757625450967534</v>
      </c>
      <c r="W52" s="274">
        <f>'MIS Working 1'!$N52/'MIS Working 1'!$L52</f>
        <v>365.88</v>
      </c>
      <c r="X52" s="279">
        <f>SUM('MIS Working 1'!$Y52:$AE52)</f>
        <v>359.82</v>
      </c>
      <c r="Y52" s="279">
        <f>SUMIFS('COGS Break up'!$E:$E,'COGS Break up'!$A:$A,'MIS Working 1'!$D52,'COGS Break up'!$D:$D,'MIS Working 1'!$Y$1)</f>
        <v>271.52999999999997</v>
      </c>
      <c r="Z52" s="279">
        <f>SUMIFS('COGS Break up'!$E:$E,'COGS Break up'!$A:$A,'MIS Working 1'!$D52,'COGS Break up'!$D:$D,'MIS Working 1'!$Z$1)</f>
        <v>20.94</v>
      </c>
      <c r="AA52" s="279">
        <f>SUMIFS('COGS Break up'!E:E,'COGS Break up'!A:A,'MIS Working 1'!$D:$D,'COGS Break up'!C:C,'MIS Working 1'!$AA$1)</f>
        <v>1.7100000000000002</v>
      </c>
      <c r="AB52" s="279">
        <f>SUMIFS('COGS Break up'!E:E,'COGS Break up'!A:A,'MIS Working 1'!$D:$D,'COGS Break up'!C:C,$AB$1)</f>
        <v>15.22</v>
      </c>
      <c r="AC52" s="279">
        <f>SUMIFS('COGS Break up'!E:E,'COGS Break up'!A:A,'MIS Working 1'!$D:$D,'COGS Break up'!C:C,$AC$1)</f>
        <v>16.62</v>
      </c>
      <c r="AD52" s="279">
        <f>SUMIFS('COGS Break up'!$E:$E,'COGS Break up'!$A:$A,'MIS Working 1'!$D52,'COGS Break up'!$D:$D,'MIS Working 1'!$AD$1)</f>
        <v>0.25</v>
      </c>
      <c r="AE52" s="279">
        <f>SUMIFS('COGS Break up'!$E:$E,'COGS Break up'!$A:$A,'MIS Working 1'!$D52,'COGS Break up'!$D:$D,'MIS Working 1'!$AE$1)</f>
        <v>33.550000000000004</v>
      </c>
      <c r="AF52" s="280">
        <f>'MIS Working 1'!$AG52+'MIS Working 1'!$AH52+'MIS Working 1'!$AM52+'MIS Working 1'!$AL52</f>
        <v>-1306.08</v>
      </c>
      <c r="AG52" s="279">
        <f>'MIS Working 1'!$L52*'MIS Working 1'!$Y52</f>
        <v>-1086.1199999999999</v>
      </c>
      <c r="AH52" s="279">
        <f>'MIS Working 1'!$L52*'MIS Working 1'!$Z52</f>
        <v>-83.76</v>
      </c>
      <c r="AI52" s="279">
        <f t="shared" si="0"/>
        <v>-6.8400000000000007</v>
      </c>
      <c r="AJ52" s="279">
        <f t="shared" si="1"/>
        <v>-60.88</v>
      </c>
      <c r="AK52" s="279">
        <f t="shared" si="2"/>
        <v>-66.48</v>
      </c>
      <c r="AL52" s="279">
        <f>'MIS Working 1'!$AD52*'MIS Working 1'!$L52</f>
        <v>-1</v>
      </c>
      <c r="AM52" s="279">
        <f>'MIS Working 1'!$L52*'MIS Working 1'!$AE52+'MIS Working 1'!$AL52</f>
        <v>-135.20000000000002</v>
      </c>
    </row>
    <row r="53" spans="1:39" x14ac:dyDescent="0.3">
      <c r="A53" s="263" t="s">
        <v>479</v>
      </c>
      <c r="B53" s="264">
        <v>45988</v>
      </c>
      <c r="C53" s="265" t="s">
        <v>1921</v>
      </c>
      <c r="D53" s="265" t="s">
        <v>38</v>
      </c>
      <c r="E53" s="265" t="s">
        <v>39</v>
      </c>
      <c r="F53" s="265" t="s">
        <v>18</v>
      </c>
      <c r="G53" s="265" t="s">
        <v>19</v>
      </c>
      <c r="H53" s="265" t="s">
        <v>27</v>
      </c>
      <c r="I53" s="266">
        <v>-14</v>
      </c>
      <c r="J53" s="267">
        <v>-4579.82</v>
      </c>
      <c r="K53" s="266">
        <v>-14</v>
      </c>
      <c r="L53" s="266">
        <v>-14</v>
      </c>
      <c r="M53" s="264">
        <v>45988</v>
      </c>
      <c r="N53" s="267">
        <v>-5016.0600000000004</v>
      </c>
      <c r="O53" s="265" t="s">
        <v>21</v>
      </c>
      <c r="P53" s="265" t="s">
        <v>22</v>
      </c>
      <c r="Q53" s="265" t="s">
        <v>660</v>
      </c>
      <c r="R53" s="265" t="str">
        <f>VLOOKUP('MIS Working 1'!$G53,Master!$H$3:$I$8,2,0)</f>
        <v>Finished Goods</v>
      </c>
      <c r="S53" s="265" t="str">
        <f>VLOOKUP('MIS Working 1'!$H53,Master!B:C,2,0)</f>
        <v>FG-PCB-CF</v>
      </c>
      <c r="T53" s="265" t="str">
        <f>VLOOKUP('MIS Working 1'!$S53,Master!E:F,2,0)</f>
        <v>FG-PCB-CF</v>
      </c>
      <c r="U53" s="268">
        <f>'MIS Working 1'!$N53-'MIS Working 1'!$AF53</f>
        <v>-433.85999999999967</v>
      </c>
      <c r="V53" s="269">
        <f>'MIS Working 1'!$U53/'MIS Working 1'!$N53</f>
        <v>8.6494180691618447E-2</v>
      </c>
      <c r="W53" s="265">
        <f>'MIS Working 1'!$N53/'MIS Working 1'!$L53</f>
        <v>358.29</v>
      </c>
      <c r="X53" s="270">
        <f>SUM('MIS Working 1'!$Y53:$AE53)</f>
        <v>353.55</v>
      </c>
      <c r="Y53" s="270">
        <f>SUMIFS('COGS Break up'!$E:$E,'COGS Break up'!$A:$A,'MIS Working 1'!$D53,'COGS Break up'!$D:$D,'MIS Working 1'!$Y$1)</f>
        <v>278.14</v>
      </c>
      <c r="Z53" s="270">
        <f>SUMIFS('COGS Break up'!$E:$E,'COGS Break up'!$A:$A,'MIS Working 1'!$D53,'COGS Break up'!$D:$D,'MIS Working 1'!$Z$1)</f>
        <v>22.400000000000002</v>
      </c>
      <c r="AA53" s="270">
        <f>SUMIFS('COGS Break up'!E:E,'COGS Break up'!A:A,'MIS Working 1'!$D:$D,'COGS Break up'!C:C,'MIS Working 1'!$AA$1)</f>
        <v>1.8299999999999998</v>
      </c>
      <c r="AB53" s="270">
        <f>SUMIFS('COGS Break up'!E:E,'COGS Break up'!A:A,'MIS Working 1'!$D:$D,'COGS Break up'!C:C,$AB$1)</f>
        <v>16.28</v>
      </c>
      <c r="AC53" s="270">
        <f>SUMIFS('COGS Break up'!E:E,'COGS Break up'!A:A,'MIS Working 1'!$D:$D,'COGS Break up'!C:C,$AC$1)</f>
        <v>8.31</v>
      </c>
      <c r="AD53" s="270">
        <f>SUMIFS('COGS Break up'!$E:$E,'COGS Break up'!$A:$A,'MIS Working 1'!$D53,'COGS Break up'!$D:$D,'MIS Working 1'!$AD$1)</f>
        <v>0.17</v>
      </c>
      <c r="AE53" s="270">
        <f>SUMIFS('COGS Break up'!$E:$E,'COGS Break up'!$A:$A,'MIS Working 1'!$D53,'COGS Break up'!$D:$D,'MIS Working 1'!$AE$1)</f>
        <v>26.42</v>
      </c>
      <c r="AF53" s="271">
        <f>'MIS Working 1'!$AG53+'MIS Working 1'!$AH53+'MIS Working 1'!$AM53+'MIS Working 1'!$AL53</f>
        <v>-4582.2000000000007</v>
      </c>
      <c r="AG53" s="270">
        <f>'MIS Working 1'!$L53*'MIS Working 1'!$Y53</f>
        <v>-3893.96</v>
      </c>
      <c r="AH53" s="270">
        <f>'MIS Working 1'!$L53*'MIS Working 1'!$Z53</f>
        <v>-313.60000000000002</v>
      </c>
      <c r="AI53" s="270">
        <f t="shared" si="0"/>
        <v>-25.619999999999997</v>
      </c>
      <c r="AJ53" s="270">
        <f t="shared" si="1"/>
        <v>-227.92000000000002</v>
      </c>
      <c r="AK53" s="270">
        <f t="shared" si="2"/>
        <v>-116.34</v>
      </c>
      <c r="AL53" s="270">
        <f>'MIS Working 1'!$AD53*'MIS Working 1'!$L53</f>
        <v>-2.3800000000000003</v>
      </c>
      <c r="AM53" s="270">
        <f>'MIS Working 1'!$L53*'MIS Working 1'!$AE53+'MIS Working 1'!$AL53</f>
        <v>-372.26</v>
      </c>
    </row>
    <row r="54" spans="1:39" x14ac:dyDescent="0.3">
      <c r="A54" s="272" t="s">
        <v>479</v>
      </c>
      <c r="B54" s="273">
        <v>45988</v>
      </c>
      <c r="C54" s="274" t="s">
        <v>1921</v>
      </c>
      <c r="D54" s="274" t="s">
        <v>23</v>
      </c>
      <c r="E54" s="274" t="s">
        <v>24</v>
      </c>
      <c r="F54" s="274" t="s">
        <v>18</v>
      </c>
      <c r="G54" s="274" t="s">
        <v>19</v>
      </c>
      <c r="H54" s="274" t="s">
        <v>27</v>
      </c>
      <c r="I54" s="275">
        <v>-6</v>
      </c>
      <c r="J54" s="276">
        <v>-2528.46</v>
      </c>
      <c r="K54" s="275">
        <v>-6</v>
      </c>
      <c r="L54" s="275">
        <v>-6</v>
      </c>
      <c r="M54" s="273">
        <v>45988</v>
      </c>
      <c r="N54" s="276">
        <v>-2898.96</v>
      </c>
      <c r="O54" s="274" t="s">
        <v>21</v>
      </c>
      <c r="P54" s="274" t="s">
        <v>22</v>
      </c>
      <c r="Q54" s="274" t="s">
        <v>660</v>
      </c>
      <c r="R54" s="274" t="str">
        <f>VLOOKUP('MIS Working 1'!$G54,Master!$H$3:$I$8,2,0)</f>
        <v>Finished Goods</v>
      </c>
      <c r="S54" s="274" t="str">
        <f>VLOOKUP('MIS Working 1'!$H54,Master!B:C,2,0)</f>
        <v>FG-PCB-CF</v>
      </c>
      <c r="T54" s="274" t="str">
        <f>VLOOKUP('MIS Working 1'!$S54,Master!E:F,2,0)</f>
        <v>FG-PCB-CF</v>
      </c>
      <c r="U54" s="277">
        <f>'MIS Working 1'!$N54-'MIS Working 1'!$AF54</f>
        <v>-368.94000000000096</v>
      </c>
      <c r="V54" s="278">
        <f>'MIS Working 1'!$U54/'MIS Working 1'!$N54</f>
        <v>0.12726632999420515</v>
      </c>
      <c r="W54" s="274">
        <f>'MIS Working 1'!$N54/'MIS Working 1'!$L54</f>
        <v>483.16</v>
      </c>
      <c r="X54" s="279">
        <f>SUM('MIS Working 1'!$Y54:$AE54)</f>
        <v>447.50999999999988</v>
      </c>
      <c r="Y54" s="279">
        <f>SUMIFS('COGS Break up'!$E:$E,'COGS Break up'!$A:$A,'MIS Working 1'!$D54,'COGS Break up'!$D:$D,'MIS Working 1'!$Y$1)</f>
        <v>373.04999999999984</v>
      </c>
      <c r="Z54" s="279">
        <f>SUMIFS('COGS Break up'!$E:$E,'COGS Break up'!$A:$A,'MIS Working 1'!$D54,'COGS Break up'!$D:$D,'MIS Working 1'!$Z$1)</f>
        <v>22</v>
      </c>
      <c r="AA54" s="279">
        <f>SUMIFS('COGS Break up'!E:E,'COGS Break up'!A:A,'MIS Working 1'!$D:$D,'COGS Break up'!C:C,'MIS Working 1'!$AA$1)</f>
        <v>1.8</v>
      </c>
      <c r="AB54" s="279">
        <f>SUMIFS('COGS Break up'!E:E,'COGS Break up'!A:A,'MIS Working 1'!$D:$D,'COGS Break up'!C:C,$AB$1)</f>
        <v>15.99</v>
      </c>
      <c r="AC54" s="279">
        <f>SUMIFS('COGS Break up'!E:E,'COGS Break up'!A:A,'MIS Working 1'!$D:$D,'COGS Break up'!C:C,$AC$1)</f>
        <v>8.31</v>
      </c>
      <c r="AD54" s="279">
        <f>SUMIFS('COGS Break up'!$E:$E,'COGS Break up'!$A:$A,'MIS Working 1'!$D54,'COGS Break up'!$D:$D,'MIS Working 1'!$AD$1)</f>
        <v>0.26</v>
      </c>
      <c r="AE54" s="279">
        <f>SUMIFS('COGS Break up'!$E:$E,'COGS Break up'!$A:$A,'MIS Working 1'!$D54,'COGS Break up'!$D:$D,'MIS Working 1'!$AE$1)</f>
        <v>26.1</v>
      </c>
      <c r="AF54" s="280">
        <f>'MIS Working 1'!$AG54+'MIS Working 1'!$AH54+'MIS Working 1'!$AM54+'MIS Working 1'!$AL54</f>
        <v>-2530.0199999999991</v>
      </c>
      <c r="AG54" s="279">
        <f>'MIS Working 1'!$L54*'MIS Working 1'!$Y54</f>
        <v>-2238.2999999999993</v>
      </c>
      <c r="AH54" s="279">
        <f>'MIS Working 1'!$L54*'MIS Working 1'!$Z54</f>
        <v>-132</v>
      </c>
      <c r="AI54" s="279">
        <f t="shared" si="0"/>
        <v>-10.8</v>
      </c>
      <c r="AJ54" s="279">
        <f t="shared" si="1"/>
        <v>-95.94</v>
      </c>
      <c r="AK54" s="279">
        <f t="shared" si="2"/>
        <v>-49.86</v>
      </c>
      <c r="AL54" s="279">
        <f>'MIS Working 1'!$AD54*'MIS Working 1'!$L54</f>
        <v>-1.56</v>
      </c>
      <c r="AM54" s="279">
        <f>'MIS Working 1'!$L54*'MIS Working 1'!$AE54+'MIS Working 1'!$AL54</f>
        <v>-158.16000000000003</v>
      </c>
    </row>
    <row r="55" spans="1:39" x14ac:dyDescent="0.3">
      <c r="A55" s="263" t="s">
        <v>479</v>
      </c>
      <c r="B55" s="264">
        <v>45988</v>
      </c>
      <c r="C55" s="265" t="s">
        <v>1921</v>
      </c>
      <c r="D55" s="265" t="s">
        <v>637</v>
      </c>
      <c r="E55" s="265" t="s">
        <v>638</v>
      </c>
      <c r="F55" s="265" t="s">
        <v>18</v>
      </c>
      <c r="G55" s="265" t="s">
        <v>19</v>
      </c>
      <c r="H55" s="265" t="s">
        <v>27</v>
      </c>
      <c r="I55" s="266">
        <v>-20</v>
      </c>
      <c r="J55" s="281">
        <v>-6525.4</v>
      </c>
      <c r="K55" s="266">
        <v>-20</v>
      </c>
      <c r="L55" s="266">
        <v>-20</v>
      </c>
      <c r="M55" s="264">
        <v>45988</v>
      </c>
      <c r="N55" s="281">
        <v>-7317.6</v>
      </c>
      <c r="O55" s="265" t="s">
        <v>21</v>
      </c>
      <c r="P55" s="265" t="s">
        <v>22</v>
      </c>
      <c r="Q55" s="265" t="s">
        <v>660</v>
      </c>
      <c r="R55" s="265" t="str">
        <f>VLOOKUP('MIS Working 1'!$G55,Master!$H$3:$I$8,2,0)</f>
        <v>Finished Goods</v>
      </c>
      <c r="S55" s="265" t="str">
        <f>VLOOKUP('MIS Working 1'!$H55,Master!B:C,2,0)</f>
        <v>FG-PCB-CF</v>
      </c>
      <c r="T55" s="265" t="str">
        <f>VLOOKUP('MIS Working 1'!$S55,Master!E:F,2,0)</f>
        <v>FG-PCB-CF</v>
      </c>
      <c r="U55" s="268">
        <f>'MIS Working 1'!$N55-'MIS Working 1'!$AF55</f>
        <v>-787.20000000000073</v>
      </c>
      <c r="V55" s="269">
        <f>'MIS Working 1'!$U55/'MIS Working 1'!$N55</f>
        <v>0.1075762545096754</v>
      </c>
      <c r="W55" s="265">
        <f>'MIS Working 1'!$N55/'MIS Working 1'!$L55</f>
        <v>365.88</v>
      </c>
      <c r="X55" s="270">
        <f>SUM('MIS Working 1'!$Y55:$AE55)</f>
        <v>359.82</v>
      </c>
      <c r="Y55" s="270">
        <f>SUMIFS('COGS Break up'!$E:$E,'COGS Break up'!$A:$A,'MIS Working 1'!$D55,'COGS Break up'!$D:$D,'MIS Working 1'!$Y$1)</f>
        <v>271.52999999999997</v>
      </c>
      <c r="Z55" s="270">
        <f>SUMIFS('COGS Break up'!$E:$E,'COGS Break up'!$A:$A,'MIS Working 1'!$D55,'COGS Break up'!$D:$D,'MIS Working 1'!$Z$1)</f>
        <v>20.94</v>
      </c>
      <c r="AA55" s="270">
        <f>SUMIFS('COGS Break up'!E:E,'COGS Break up'!A:A,'MIS Working 1'!$D:$D,'COGS Break up'!C:C,'MIS Working 1'!$AA$1)</f>
        <v>1.7100000000000002</v>
      </c>
      <c r="AB55" s="270">
        <f>SUMIFS('COGS Break up'!E:E,'COGS Break up'!A:A,'MIS Working 1'!$D:$D,'COGS Break up'!C:C,$AB$1)</f>
        <v>15.22</v>
      </c>
      <c r="AC55" s="270">
        <f>SUMIFS('COGS Break up'!E:E,'COGS Break up'!A:A,'MIS Working 1'!$D:$D,'COGS Break up'!C:C,$AC$1)</f>
        <v>16.62</v>
      </c>
      <c r="AD55" s="270">
        <f>SUMIFS('COGS Break up'!$E:$E,'COGS Break up'!$A:$A,'MIS Working 1'!$D55,'COGS Break up'!$D:$D,'MIS Working 1'!$AD$1)</f>
        <v>0.25</v>
      </c>
      <c r="AE55" s="270">
        <f>SUMIFS('COGS Break up'!$E:$E,'COGS Break up'!$A:$A,'MIS Working 1'!$D55,'COGS Break up'!$D:$D,'MIS Working 1'!$AE$1)</f>
        <v>33.550000000000004</v>
      </c>
      <c r="AF55" s="271">
        <f>'MIS Working 1'!$AG55+'MIS Working 1'!$AH55+'MIS Working 1'!$AM55+'MIS Working 1'!$AL55</f>
        <v>-6530.4</v>
      </c>
      <c r="AG55" s="270">
        <f>'MIS Working 1'!$L55*'MIS Working 1'!$Y55</f>
        <v>-5430.5999999999995</v>
      </c>
      <c r="AH55" s="270">
        <f>'MIS Working 1'!$L55*'MIS Working 1'!$Z55</f>
        <v>-418.8</v>
      </c>
      <c r="AI55" s="270">
        <f t="shared" si="0"/>
        <v>-34.200000000000003</v>
      </c>
      <c r="AJ55" s="270">
        <f t="shared" si="1"/>
        <v>-304.40000000000003</v>
      </c>
      <c r="AK55" s="270">
        <f t="shared" si="2"/>
        <v>-332.40000000000003</v>
      </c>
      <c r="AL55" s="270">
        <f>'MIS Working 1'!$AD55*'MIS Working 1'!$L55</f>
        <v>-5</v>
      </c>
      <c r="AM55" s="270">
        <f>'MIS Working 1'!$L55*'MIS Working 1'!$AE55+'MIS Working 1'!$AL55</f>
        <v>-676.00000000000011</v>
      </c>
    </row>
    <row r="56" spans="1:39" x14ac:dyDescent="0.3">
      <c r="A56" s="272" t="s">
        <v>479</v>
      </c>
      <c r="B56" s="273">
        <v>45988</v>
      </c>
      <c r="C56" s="274" t="s">
        <v>1922</v>
      </c>
      <c r="D56" s="274" t="s">
        <v>641</v>
      </c>
      <c r="E56" s="274" t="s">
        <v>642</v>
      </c>
      <c r="F56" s="274" t="s">
        <v>18</v>
      </c>
      <c r="G56" s="274" t="s">
        <v>19</v>
      </c>
      <c r="H56" s="274" t="s">
        <v>27</v>
      </c>
      <c r="I56" s="275">
        <v>-2</v>
      </c>
      <c r="J56" s="282">
        <v>-931.8</v>
      </c>
      <c r="K56" s="275">
        <v>-2</v>
      </c>
      <c r="L56" s="275">
        <v>-2</v>
      </c>
      <c r="M56" s="273">
        <v>45988</v>
      </c>
      <c r="N56" s="275">
        <v>-990</v>
      </c>
      <c r="O56" s="274" t="s">
        <v>21</v>
      </c>
      <c r="P56" s="274" t="s">
        <v>22</v>
      </c>
      <c r="Q56" s="274" t="s">
        <v>660</v>
      </c>
      <c r="R56" s="274" t="str">
        <f>VLOOKUP('MIS Working 1'!$G56,Master!$H$3:$I$8,2,0)</f>
        <v>Finished Goods</v>
      </c>
      <c r="S56" s="274" t="str">
        <f>VLOOKUP('MIS Working 1'!$H56,Master!B:C,2,0)</f>
        <v>FG-PCB-CF</v>
      </c>
      <c r="T56" s="274" t="str">
        <f>VLOOKUP('MIS Working 1'!$S56,Master!E:F,2,0)</f>
        <v>FG-PCB-CF</v>
      </c>
      <c r="U56" s="277">
        <f>'MIS Working 1'!$N56-'MIS Working 1'!$AF56</f>
        <v>-57.660000000000423</v>
      </c>
      <c r="V56" s="278">
        <f>'MIS Working 1'!$U56/'MIS Working 1'!$N56</f>
        <v>5.8242424242424672E-2</v>
      </c>
      <c r="W56" s="274">
        <f>'MIS Working 1'!$N56/'MIS Working 1'!$L56</f>
        <v>495</v>
      </c>
      <c r="X56" s="279">
        <f>SUM('MIS Working 1'!$Y56:$AE56)</f>
        <v>502.95999999999981</v>
      </c>
      <c r="Y56" s="279">
        <f>SUMIFS('COGS Break up'!$E:$E,'COGS Break up'!$A:$A,'MIS Working 1'!$D56,'COGS Break up'!$D:$D,'MIS Working 1'!$Y$1)</f>
        <v>393.01999999999981</v>
      </c>
      <c r="Z56" s="279">
        <f>SUMIFS('COGS Break up'!$E:$E,'COGS Break up'!$A:$A,'MIS Working 1'!$D56,'COGS Break up'!$D:$D,'MIS Working 1'!$Z$1)</f>
        <v>35.550000000000004</v>
      </c>
      <c r="AA56" s="279">
        <f>SUMIFS('COGS Break up'!E:E,'COGS Break up'!A:A,'MIS Working 1'!$D:$D,'COGS Break up'!C:C,'MIS Working 1'!$AA$1)</f>
        <v>2.91</v>
      </c>
      <c r="AB56" s="279">
        <f>SUMIFS('COGS Break up'!E:E,'COGS Break up'!A:A,'MIS Working 1'!$D:$D,'COGS Break up'!C:C,$AB$1)</f>
        <v>25.840000000000003</v>
      </c>
      <c r="AC56" s="279">
        <f>SUMIFS('COGS Break up'!E:E,'COGS Break up'!A:A,'MIS Working 1'!$D:$D,'COGS Break up'!C:C,$AC$1)</f>
        <v>8.31</v>
      </c>
      <c r="AD56" s="279">
        <f>SUMIFS('COGS Break up'!$E:$E,'COGS Break up'!$A:$A,'MIS Working 1'!$D56,'COGS Break up'!$D:$D,'MIS Working 1'!$AD$1)</f>
        <v>0.27</v>
      </c>
      <c r="AE56" s="279">
        <f>SUMIFS('COGS Break up'!$E:$E,'COGS Break up'!$A:$A,'MIS Working 1'!$D56,'COGS Break up'!$D:$D,'MIS Working 1'!$AE$1)</f>
        <v>37.06</v>
      </c>
      <c r="AF56" s="280">
        <f>'MIS Working 1'!$AG56+'MIS Working 1'!$AH56+'MIS Working 1'!$AM56+'MIS Working 1'!$AL56</f>
        <v>-932.33999999999958</v>
      </c>
      <c r="AG56" s="279">
        <f>'MIS Working 1'!$L56*'MIS Working 1'!$Y56</f>
        <v>-786.03999999999962</v>
      </c>
      <c r="AH56" s="279">
        <f>'MIS Working 1'!$L56*'MIS Working 1'!$Z56</f>
        <v>-71.100000000000009</v>
      </c>
      <c r="AI56" s="279">
        <f t="shared" si="0"/>
        <v>-5.82</v>
      </c>
      <c r="AJ56" s="279">
        <f t="shared" si="1"/>
        <v>-51.680000000000007</v>
      </c>
      <c r="AK56" s="279">
        <f t="shared" si="2"/>
        <v>-16.62</v>
      </c>
      <c r="AL56" s="279">
        <f>'MIS Working 1'!$AD56*'MIS Working 1'!$L56</f>
        <v>-0.54</v>
      </c>
      <c r="AM56" s="279">
        <f>'MIS Working 1'!$L56*'MIS Working 1'!$AE56+'MIS Working 1'!$AL56</f>
        <v>-74.660000000000011</v>
      </c>
    </row>
    <row r="57" spans="1:39" x14ac:dyDescent="0.3">
      <c r="A57" s="263" t="s">
        <v>479</v>
      </c>
      <c r="B57" s="264">
        <v>45988</v>
      </c>
      <c r="C57" s="265" t="s">
        <v>1923</v>
      </c>
      <c r="D57" s="265" t="s">
        <v>639</v>
      </c>
      <c r="E57" s="265" t="s">
        <v>640</v>
      </c>
      <c r="F57" s="265" t="s">
        <v>18</v>
      </c>
      <c r="G57" s="265" t="s">
        <v>19</v>
      </c>
      <c r="H57" s="265" t="s">
        <v>27</v>
      </c>
      <c r="I57" s="266">
        <v>-188</v>
      </c>
      <c r="J57" s="267">
        <v>-121265.64</v>
      </c>
      <c r="K57" s="266">
        <v>-188</v>
      </c>
      <c r="L57" s="266">
        <v>-188</v>
      </c>
      <c r="M57" s="264">
        <v>45988</v>
      </c>
      <c r="N57" s="267">
        <v>-136969.28</v>
      </c>
      <c r="O57" s="265" t="s">
        <v>21</v>
      </c>
      <c r="P57" s="265" t="s">
        <v>22</v>
      </c>
      <c r="Q57" s="265" t="s">
        <v>660</v>
      </c>
      <c r="R57" s="265" t="str">
        <f>VLOOKUP('MIS Working 1'!$G57,Master!$H$3:$I$8,2,0)</f>
        <v>Finished Goods</v>
      </c>
      <c r="S57" s="265" t="str">
        <f>VLOOKUP('MIS Working 1'!$H57,Master!B:C,2,0)</f>
        <v>FG-PCB-CF</v>
      </c>
      <c r="T57" s="265" t="str">
        <f>VLOOKUP('MIS Working 1'!$S57,Master!E:F,2,0)</f>
        <v>FG-PCB-CF</v>
      </c>
      <c r="U57" s="268">
        <f>'MIS Working 1'!$N57-'MIS Working 1'!$AF57</f>
        <v>-15622.800000000061</v>
      </c>
      <c r="V57" s="269">
        <f>'MIS Working 1'!$U57/'MIS Working 1'!$N57</f>
        <v>0.11406061271549402</v>
      </c>
      <c r="W57" s="265">
        <f>'MIS Working 1'!$N57/'MIS Working 1'!$L57</f>
        <v>728.56</v>
      </c>
      <c r="X57" s="270">
        <f>SUM('MIS Working 1'!$Y57:$AE57)</f>
        <v>677.50999999999965</v>
      </c>
      <c r="Y57" s="270">
        <f>SUMIFS('COGS Break up'!$E:$E,'COGS Break up'!$A:$A,'MIS Working 1'!$D57,'COGS Break up'!$D:$D,'MIS Working 1'!$Y$1)</f>
        <v>582.23999999999967</v>
      </c>
      <c r="Z57" s="270">
        <f>SUMIFS('COGS Break up'!$E:$E,'COGS Break up'!$A:$A,'MIS Working 1'!$D57,'COGS Break up'!$D:$D,'MIS Working 1'!$Z$1)</f>
        <v>29.88</v>
      </c>
      <c r="AA57" s="270">
        <f>SUMIFS('COGS Break up'!E:E,'COGS Break up'!A:A,'MIS Working 1'!$D:$D,'COGS Break up'!C:C,'MIS Working 1'!$AA$1)</f>
        <v>2.4500000000000002</v>
      </c>
      <c r="AB57" s="270">
        <f>SUMIFS('COGS Break up'!E:E,'COGS Break up'!A:A,'MIS Working 1'!$D:$D,'COGS Break up'!C:C,$AB$1)</f>
        <v>21.72</v>
      </c>
      <c r="AC57" s="270">
        <f>SUMIFS('COGS Break up'!E:E,'COGS Break up'!A:A,'MIS Working 1'!$D:$D,'COGS Break up'!C:C,$AC$1)</f>
        <v>8.31</v>
      </c>
      <c r="AD57" s="270">
        <f>SUMIFS('COGS Break up'!$E:$E,'COGS Break up'!$A:$A,'MIS Working 1'!$D57,'COGS Break up'!$D:$D,'MIS Working 1'!$AD$1)</f>
        <v>0.43</v>
      </c>
      <c r="AE57" s="270">
        <f>SUMIFS('COGS Break up'!$E:$E,'COGS Break up'!$A:$A,'MIS Working 1'!$D57,'COGS Break up'!$D:$D,'MIS Working 1'!$AE$1)</f>
        <v>32.480000000000004</v>
      </c>
      <c r="AF57" s="271">
        <f>'MIS Working 1'!$AG57+'MIS Working 1'!$AH57+'MIS Working 1'!$AM57+'MIS Working 1'!$AL57</f>
        <v>-121346.47999999994</v>
      </c>
      <c r="AG57" s="270">
        <f>'MIS Working 1'!$L57*'MIS Working 1'!$Y57</f>
        <v>-109461.11999999994</v>
      </c>
      <c r="AH57" s="270">
        <f>'MIS Working 1'!$L57*'MIS Working 1'!$Z57</f>
        <v>-5617.44</v>
      </c>
      <c r="AI57" s="270">
        <f t="shared" si="0"/>
        <v>-460.6</v>
      </c>
      <c r="AJ57" s="270">
        <f t="shared" si="1"/>
        <v>-4083.3599999999997</v>
      </c>
      <c r="AK57" s="270">
        <f t="shared" si="2"/>
        <v>-1562.2800000000002</v>
      </c>
      <c r="AL57" s="270">
        <f>'MIS Working 1'!$AD57*'MIS Working 1'!$L57</f>
        <v>-80.84</v>
      </c>
      <c r="AM57" s="270">
        <f>'MIS Working 1'!$L57*'MIS Working 1'!$AE57+'MIS Working 1'!$AL57</f>
        <v>-6187.0800000000008</v>
      </c>
    </row>
    <row r="58" spans="1:39" x14ac:dyDescent="0.3">
      <c r="A58" s="272" t="s">
        <v>479</v>
      </c>
      <c r="B58" s="273">
        <v>45988</v>
      </c>
      <c r="C58" s="274" t="s">
        <v>1924</v>
      </c>
      <c r="D58" s="274" t="s">
        <v>639</v>
      </c>
      <c r="E58" s="274" t="s">
        <v>640</v>
      </c>
      <c r="F58" s="274" t="s">
        <v>18</v>
      </c>
      <c r="G58" s="274" t="s">
        <v>19</v>
      </c>
      <c r="H58" s="274" t="s">
        <v>27</v>
      </c>
      <c r="I58" s="275">
        <v>-70</v>
      </c>
      <c r="J58" s="282">
        <v>-45152.1</v>
      </c>
      <c r="K58" s="275">
        <v>-70</v>
      </c>
      <c r="L58" s="275">
        <v>-70</v>
      </c>
      <c r="M58" s="273">
        <v>45988</v>
      </c>
      <c r="N58" s="282">
        <v>-50999.199999999997</v>
      </c>
      <c r="O58" s="274" t="s">
        <v>21</v>
      </c>
      <c r="P58" s="274" t="s">
        <v>22</v>
      </c>
      <c r="Q58" s="274" t="s">
        <v>660</v>
      </c>
      <c r="R58" s="274" t="str">
        <f>VLOOKUP('MIS Working 1'!$G58,Master!$H$3:$I$8,2,0)</f>
        <v>Finished Goods</v>
      </c>
      <c r="S58" s="274" t="str">
        <f>VLOOKUP('MIS Working 1'!$H58,Master!B:C,2,0)</f>
        <v>FG-PCB-CF</v>
      </c>
      <c r="T58" s="274" t="str">
        <f>VLOOKUP('MIS Working 1'!$S58,Master!E:F,2,0)</f>
        <v>FG-PCB-CF</v>
      </c>
      <c r="U58" s="277">
        <f>'MIS Working 1'!$N58-'MIS Working 1'!$AF58</f>
        <v>-5817.0000000000291</v>
      </c>
      <c r="V58" s="278">
        <f>'MIS Working 1'!$U58/'MIS Working 1'!$N58</f>
        <v>0.11406061271549416</v>
      </c>
      <c r="W58" s="274">
        <f>'MIS Working 1'!$N58/'MIS Working 1'!$L58</f>
        <v>728.56</v>
      </c>
      <c r="X58" s="279">
        <f>SUM('MIS Working 1'!$Y58:$AE58)</f>
        <v>677.50999999999965</v>
      </c>
      <c r="Y58" s="279">
        <f>SUMIFS('COGS Break up'!$E:$E,'COGS Break up'!$A:$A,'MIS Working 1'!$D58,'COGS Break up'!$D:$D,'MIS Working 1'!$Y$1)</f>
        <v>582.23999999999967</v>
      </c>
      <c r="Z58" s="279">
        <f>SUMIFS('COGS Break up'!$E:$E,'COGS Break up'!$A:$A,'MIS Working 1'!$D58,'COGS Break up'!$D:$D,'MIS Working 1'!$Z$1)</f>
        <v>29.88</v>
      </c>
      <c r="AA58" s="279">
        <f>SUMIFS('COGS Break up'!E:E,'COGS Break up'!A:A,'MIS Working 1'!$D:$D,'COGS Break up'!C:C,'MIS Working 1'!$AA$1)</f>
        <v>2.4500000000000002</v>
      </c>
      <c r="AB58" s="279">
        <f>SUMIFS('COGS Break up'!E:E,'COGS Break up'!A:A,'MIS Working 1'!$D:$D,'COGS Break up'!C:C,$AB$1)</f>
        <v>21.72</v>
      </c>
      <c r="AC58" s="279">
        <f>SUMIFS('COGS Break up'!E:E,'COGS Break up'!A:A,'MIS Working 1'!$D:$D,'COGS Break up'!C:C,$AC$1)</f>
        <v>8.31</v>
      </c>
      <c r="AD58" s="279">
        <f>SUMIFS('COGS Break up'!$E:$E,'COGS Break up'!$A:$A,'MIS Working 1'!$D58,'COGS Break up'!$D:$D,'MIS Working 1'!$AD$1)</f>
        <v>0.43</v>
      </c>
      <c r="AE58" s="279">
        <f>SUMIFS('COGS Break up'!$E:$E,'COGS Break up'!$A:$A,'MIS Working 1'!$D58,'COGS Break up'!$D:$D,'MIS Working 1'!$AE$1)</f>
        <v>32.480000000000004</v>
      </c>
      <c r="AF58" s="280">
        <f>'MIS Working 1'!$AG58+'MIS Working 1'!$AH58+'MIS Working 1'!$AM58+'MIS Working 1'!$AL58</f>
        <v>-45182.199999999968</v>
      </c>
      <c r="AG58" s="279">
        <f>'MIS Working 1'!$L58*'MIS Working 1'!$Y58</f>
        <v>-40756.799999999974</v>
      </c>
      <c r="AH58" s="279">
        <f>'MIS Working 1'!$L58*'MIS Working 1'!$Z58</f>
        <v>-2091.6</v>
      </c>
      <c r="AI58" s="279">
        <f t="shared" si="0"/>
        <v>-171.5</v>
      </c>
      <c r="AJ58" s="279">
        <f t="shared" si="1"/>
        <v>-1520.3999999999999</v>
      </c>
      <c r="AK58" s="279">
        <f t="shared" si="2"/>
        <v>-581.70000000000005</v>
      </c>
      <c r="AL58" s="279">
        <f>'MIS Working 1'!$AD58*'MIS Working 1'!$L58</f>
        <v>-30.099999999999998</v>
      </c>
      <c r="AM58" s="279">
        <f>'MIS Working 1'!$L58*'MIS Working 1'!$AE58+'MIS Working 1'!$AL58</f>
        <v>-2303.7000000000003</v>
      </c>
    </row>
    <row r="59" spans="1:39" x14ac:dyDescent="0.3">
      <c r="A59" s="263" t="s">
        <v>479</v>
      </c>
      <c r="B59" s="264">
        <v>45988</v>
      </c>
      <c r="C59" s="265" t="s">
        <v>1925</v>
      </c>
      <c r="D59" s="265" t="s">
        <v>639</v>
      </c>
      <c r="E59" s="265" t="s">
        <v>640</v>
      </c>
      <c r="F59" s="265" t="s">
        <v>18</v>
      </c>
      <c r="G59" s="265" t="s">
        <v>19</v>
      </c>
      <c r="H59" s="265" t="s">
        <v>27</v>
      </c>
      <c r="I59" s="266">
        <v>-105</v>
      </c>
      <c r="J59" s="267">
        <v>-67728.149999999994</v>
      </c>
      <c r="K59" s="266">
        <v>-105</v>
      </c>
      <c r="L59" s="266">
        <v>-105</v>
      </c>
      <c r="M59" s="264">
        <v>45988</v>
      </c>
      <c r="N59" s="281">
        <v>-76498.8</v>
      </c>
      <c r="O59" s="265" t="s">
        <v>21</v>
      </c>
      <c r="P59" s="265" t="s">
        <v>22</v>
      </c>
      <c r="Q59" s="265" t="s">
        <v>660</v>
      </c>
      <c r="R59" s="265" t="str">
        <f>VLOOKUP('MIS Working 1'!$G59,Master!$H$3:$I$8,2,0)</f>
        <v>Finished Goods</v>
      </c>
      <c r="S59" s="265" t="str">
        <f>VLOOKUP('MIS Working 1'!$H59,Master!B:C,2,0)</f>
        <v>FG-PCB-CF</v>
      </c>
      <c r="T59" s="265" t="str">
        <f>VLOOKUP('MIS Working 1'!$S59,Master!E:F,2,0)</f>
        <v>FG-PCB-CF</v>
      </c>
      <c r="U59" s="268">
        <f>'MIS Working 1'!$N59-'MIS Working 1'!$AF59</f>
        <v>-8725.5000000000437</v>
      </c>
      <c r="V59" s="269">
        <f>'MIS Working 1'!$U59/'MIS Working 1'!$N59</f>
        <v>0.11406061271549414</v>
      </c>
      <c r="W59" s="265">
        <f>'MIS Working 1'!$N59/'MIS Working 1'!$L59</f>
        <v>728.56000000000006</v>
      </c>
      <c r="X59" s="270">
        <f>SUM('MIS Working 1'!$Y59:$AE59)</f>
        <v>677.50999999999965</v>
      </c>
      <c r="Y59" s="270">
        <f>SUMIFS('COGS Break up'!$E:$E,'COGS Break up'!$A:$A,'MIS Working 1'!$D59,'COGS Break up'!$D:$D,'MIS Working 1'!$Y$1)</f>
        <v>582.23999999999967</v>
      </c>
      <c r="Z59" s="270">
        <f>SUMIFS('COGS Break up'!$E:$E,'COGS Break up'!$A:$A,'MIS Working 1'!$D59,'COGS Break up'!$D:$D,'MIS Working 1'!$Z$1)</f>
        <v>29.88</v>
      </c>
      <c r="AA59" s="270">
        <f>SUMIFS('COGS Break up'!E:E,'COGS Break up'!A:A,'MIS Working 1'!$D:$D,'COGS Break up'!C:C,'MIS Working 1'!$AA$1)</f>
        <v>2.4500000000000002</v>
      </c>
      <c r="AB59" s="270">
        <f>SUMIFS('COGS Break up'!E:E,'COGS Break up'!A:A,'MIS Working 1'!$D:$D,'COGS Break up'!C:C,$AB$1)</f>
        <v>21.72</v>
      </c>
      <c r="AC59" s="270">
        <f>SUMIFS('COGS Break up'!E:E,'COGS Break up'!A:A,'MIS Working 1'!$D:$D,'COGS Break up'!C:C,$AC$1)</f>
        <v>8.31</v>
      </c>
      <c r="AD59" s="270">
        <f>SUMIFS('COGS Break up'!$E:$E,'COGS Break up'!$A:$A,'MIS Working 1'!$D59,'COGS Break up'!$D:$D,'MIS Working 1'!$AD$1)</f>
        <v>0.43</v>
      </c>
      <c r="AE59" s="270">
        <f>SUMIFS('COGS Break up'!$E:$E,'COGS Break up'!$A:$A,'MIS Working 1'!$D59,'COGS Break up'!$D:$D,'MIS Working 1'!$AE$1)</f>
        <v>32.480000000000004</v>
      </c>
      <c r="AF59" s="271">
        <f>'MIS Working 1'!$AG59+'MIS Working 1'!$AH59+'MIS Working 1'!$AM59+'MIS Working 1'!$AL59</f>
        <v>-67773.299999999959</v>
      </c>
      <c r="AG59" s="270">
        <f>'MIS Working 1'!$L59*'MIS Working 1'!$Y59</f>
        <v>-61135.199999999968</v>
      </c>
      <c r="AH59" s="270">
        <f>'MIS Working 1'!$L59*'MIS Working 1'!$Z59</f>
        <v>-3137.4</v>
      </c>
      <c r="AI59" s="270">
        <f t="shared" si="0"/>
        <v>-257.25</v>
      </c>
      <c r="AJ59" s="270">
        <f t="shared" si="1"/>
        <v>-2280.6</v>
      </c>
      <c r="AK59" s="270">
        <f t="shared" si="2"/>
        <v>-872.55000000000007</v>
      </c>
      <c r="AL59" s="270">
        <f>'MIS Working 1'!$AD59*'MIS Working 1'!$L59</f>
        <v>-45.15</v>
      </c>
      <c r="AM59" s="270">
        <f>'MIS Working 1'!$L59*'MIS Working 1'!$AE59+'MIS Working 1'!$AL59</f>
        <v>-3455.5500000000006</v>
      </c>
    </row>
    <row r="60" spans="1:39" x14ac:dyDescent="0.3">
      <c r="A60" s="272" t="s">
        <v>479</v>
      </c>
      <c r="B60" s="273">
        <v>45988</v>
      </c>
      <c r="C60" s="274" t="s">
        <v>1926</v>
      </c>
      <c r="D60" s="274" t="s">
        <v>1182</v>
      </c>
      <c r="E60" s="274" t="s">
        <v>1183</v>
      </c>
      <c r="F60" s="274" t="s">
        <v>18</v>
      </c>
      <c r="G60" s="274" t="s">
        <v>19</v>
      </c>
      <c r="H60" s="274" t="s">
        <v>27</v>
      </c>
      <c r="I60" s="275">
        <v>-3</v>
      </c>
      <c r="J60" s="276">
        <v>-1264.1400000000001</v>
      </c>
      <c r="K60" s="275">
        <v>-3</v>
      </c>
      <c r="L60" s="275">
        <v>-3</v>
      </c>
      <c r="M60" s="273">
        <v>45988</v>
      </c>
      <c r="N60" s="276">
        <v>-1449.48</v>
      </c>
      <c r="O60" s="274" t="s">
        <v>21</v>
      </c>
      <c r="P60" s="274" t="s">
        <v>22</v>
      </c>
      <c r="Q60" s="274" t="s">
        <v>660</v>
      </c>
      <c r="R60" s="274" t="str">
        <f>VLOOKUP('MIS Working 1'!$G60,Master!$H$3:$I$8,2,0)</f>
        <v>Finished Goods</v>
      </c>
      <c r="S60" s="274" t="str">
        <f>VLOOKUP('MIS Working 1'!$H60,Master!B:C,2,0)</f>
        <v>FG-PCB-CF</v>
      </c>
      <c r="T60" s="274" t="str">
        <f>VLOOKUP('MIS Working 1'!$S60,Master!E:F,2,0)</f>
        <v>FG-PCB-CF</v>
      </c>
      <c r="U60" s="277">
        <f>'MIS Working 1'!$N60-'MIS Working 1'!$AF60</f>
        <v>-184.56000000000063</v>
      </c>
      <c r="V60" s="278">
        <f>'MIS Working 1'!$U60/'MIS Working 1'!$N60</f>
        <v>0.1273284212269232</v>
      </c>
      <c r="W60" s="274">
        <f>'MIS Working 1'!$N60/'MIS Working 1'!$L60</f>
        <v>483.16</v>
      </c>
      <c r="X60" s="279">
        <f>SUM('MIS Working 1'!$Y60:$AE60)</f>
        <v>447.47999999999985</v>
      </c>
      <c r="Y60" s="279">
        <f>SUMIFS('COGS Break up'!$E:$E,'COGS Break up'!$A:$A,'MIS Working 1'!$D60,'COGS Break up'!$D:$D,'MIS Working 1'!$Y$1)</f>
        <v>373.01999999999981</v>
      </c>
      <c r="Z60" s="279">
        <f>SUMIFS('COGS Break up'!$E:$E,'COGS Break up'!$A:$A,'MIS Working 1'!$D60,'COGS Break up'!$D:$D,'MIS Working 1'!$Z$1)</f>
        <v>22</v>
      </c>
      <c r="AA60" s="279">
        <f>SUMIFS('COGS Break up'!E:E,'COGS Break up'!A:A,'MIS Working 1'!$D:$D,'COGS Break up'!C:C,'MIS Working 1'!$AA$1)</f>
        <v>1.8</v>
      </c>
      <c r="AB60" s="279">
        <f>SUMIFS('COGS Break up'!E:E,'COGS Break up'!A:A,'MIS Working 1'!$D:$D,'COGS Break up'!C:C,$AB$1)</f>
        <v>15.99</v>
      </c>
      <c r="AC60" s="279">
        <f>SUMIFS('COGS Break up'!E:E,'COGS Break up'!A:A,'MIS Working 1'!$D:$D,'COGS Break up'!C:C,$AC$1)</f>
        <v>8.31</v>
      </c>
      <c r="AD60" s="279">
        <f>SUMIFS('COGS Break up'!$E:$E,'COGS Break up'!$A:$A,'MIS Working 1'!$D60,'COGS Break up'!$D:$D,'MIS Working 1'!$AD$1)</f>
        <v>0.26</v>
      </c>
      <c r="AE60" s="279">
        <f>SUMIFS('COGS Break up'!$E:$E,'COGS Break up'!$A:$A,'MIS Working 1'!$D60,'COGS Break up'!$D:$D,'MIS Working 1'!$AE$1)</f>
        <v>26.1</v>
      </c>
      <c r="AF60" s="280">
        <f>'MIS Working 1'!$AG60+'MIS Working 1'!$AH60+'MIS Working 1'!$AM60+'MIS Working 1'!$AL60</f>
        <v>-1264.9199999999994</v>
      </c>
      <c r="AG60" s="279">
        <f>'MIS Working 1'!$L60*'MIS Working 1'!$Y60</f>
        <v>-1119.0599999999995</v>
      </c>
      <c r="AH60" s="279">
        <f>'MIS Working 1'!$L60*'MIS Working 1'!$Z60</f>
        <v>-66</v>
      </c>
      <c r="AI60" s="279">
        <f t="shared" si="0"/>
        <v>-5.4</v>
      </c>
      <c r="AJ60" s="279">
        <f t="shared" si="1"/>
        <v>-47.97</v>
      </c>
      <c r="AK60" s="279">
        <f t="shared" si="2"/>
        <v>-24.93</v>
      </c>
      <c r="AL60" s="279">
        <f>'MIS Working 1'!$AD60*'MIS Working 1'!$L60</f>
        <v>-0.78</v>
      </c>
      <c r="AM60" s="279">
        <f>'MIS Working 1'!$L60*'MIS Working 1'!$AE60+'MIS Working 1'!$AL60</f>
        <v>-79.080000000000013</v>
      </c>
    </row>
    <row r="61" spans="1:39" x14ac:dyDescent="0.3">
      <c r="A61" s="263" t="s">
        <v>479</v>
      </c>
      <c r="B61" s="264">
        <v>45988</v>
      </c>
      <c r="C61" s="265" t="s">
        <v>1927</v>
      </c>
      <c r="D61" s="265" t="s">
        <v>32</v>
      </c>
      <c r="E61" s="265" t="s">
        <v>33</v>
      </c>
      <c r="F61" s="265" t="s">
        <v>18</v>
      </c>
      <c r="G61" s="265" t="s">
        <v>34</v>
      </c>
      <c r="H61" s="265" t="s">
        <v>772</v>
      </c>
      <c r="I61" s="266">
        <v>-76</v>
      </c>
      <c r="J61" s="267">
        <v>-14513.72</v>
      </c>
      <c r="K61" s="266">
        <v>-76</v>
      </c>
      <c r="L61" s="266">
        <v>-76</v>
      </c>
      <c r="M61" s="264">
        <v>45988</v>
      </c>
      <c r="N61" s="267">
        <v>-15789.76</v>
      </c>
      <c r="O61" s="265" t="s">
        <v>21</v>
      </c>
      <c r="P61" s="265" t="s">
        <v>22</v>
      </c>
      <c r="Q61" s="265" t="s">
        <v>660</v>
      </c>
      <c r="R61" s="265" t="str">
        <f>VLOOKUP('MIS Working 1'!$G61,Master!$H$3:$I$8,2,0)</f>
        <v>Semi-Finished Goods</v>
      </c>
      <c r="S61" s="265" t="str">
        <f>VLOOKUP('MIS Working 1'!$H61,Master!B:C,2,0)</f>
        <v>SFG-GV5 Stator</v>
      </c>
      <c r="T61" s="265" t="str">
        <f>VLOOKUP('MIS Working 1'!$S61,Master!E:F,2,0)</f>
        <v>Sub Ass.-Mech Stator</v>
      </c>
      <c r="U61" s="268">
        <f>'MIS Working 1'!$N61-'MIS Working 1'!$AF61</f>
        <v>-1276.0400000000009</v>
      </c>
      <c r="V61" s="269">
        <f>'MIS Working 1'!$U61/'MIS Working 1'!$N61</f>
        <v>8.0814401232191038E-2</v>
      </c>
      <c r="W61" s="265">
        <f>'MIS Working 1'!$N61/'MIS Working 1'!$L61</f>
        <v>207.76</v>
      </c>
      <c r="X61" s="270">
        <f>SUM('MIS Working 1'!$Y61:$AE61)</f>
        <v>192.92</v>
      </c>
      <c r="Y61" s="270">
        <f>SUMIFS('COGS Break up'!$E:$E,'COGS Break up'!$A:$A,'MIS Working 1'!$D61,'COGS Break up'!$D:$D,'MIS Working 1'!$Y$1)</f>
        <v>187.51999999999998</v>
      </c>
      <c r="Z61" s="270">
        <f>SUMIFS('COGS Break up'!$E:$E,'COGS Break up'!$A:$A,'MIS Working 1'!$D61,'COGS Break up'!$D:$D,'MIS Working 1'!$Z$1)</f>
        <v>1.5</v>
      </c>
      <c r="AA61" s="270">
        <f>SUMIFS('COGS Break up'!E:E,'COGS Break up'!A:A,'MIS Working 1'!$D:$D,'COGS Break up'!C:C,'MIS Working 1'!$AA$1)</f>
        <v>0.05</v>
      </c>
      <c r="AB61" s="270">
        <f>SUMIFS('COGS Break up'!E:E,'COGS Break up'!A:A,'MIS Working 1'!$D:$D,'COGS Break up'!C:C,$AB$1)</f>
        <v>0.4</v>
      </c>
      <c r="AC61" s="270">
        <f>SUMIFS('COGS Break up'!E:E,'COGS Break up'!A:A,'MIS Working 1'!$D:$D,'COGS Break up'!C:C,$AC$1)</f>
        <v>1.5</v>
      </c>
      <c r="AD61" s="270">
        <f>SUMIFS('COGS Break up'!$E:$E,'COGS Break up'!$A:$A,'MIS Working 1'!$D61,'COGS Break up'!$D:$D,'MIS Working 1'!$AD$1)</f>
        <v>0</v>
      </c>
      <c r="AE61" s="270">
        <f>SUMIFS('COGS Break up'!$E:$E,'COGS Break up'!$A:$A,'MIS Working 1'!$D61,'COGS Break up'!$D:$D,'MIS Working 1'!$AE$1)</f>
        <v>1.95</v>
      </c>
      <c r="AF61" s="271">
        <f>'MIS Working 1'!$AG61+'MIS Working 1'!$AH61+'MIS Working 1'!$AM61+'MIS Working 1'!$AL61</f>
        <v>-14513.72</v>
      </c>
      <c r="AG61" s="270">
        <f>'MIS Working 1'!$L61*'MIS Working 1'!$Y61</f>
        <v>-14251.519999999999</v>
      </c>
      <c r="AH61" s="270">
        <f>'MIS Working 1'!$L61*'MIS Working 1'!$Z61</f>
        <v>-114</v>
      </c>
      <c r="AI61" s="270">
        <f t="shared" si="0"/>
        <v>-3.8000000000000003</v>
      </c>
      <c r="AJ61" s="270">
        <f t="shared" si="1"/>
        <v>-30.400000000000002</v>
      </c>
      <c r="AK61" s="270">
        <f t="shared" si="2"/>
        <v>-114</v>
      </c>
      <c r="AL61" s="270">
        <f>'MIS Working 1'!$AD61*'MIS Working 1'!$L61</f>
        <v>0</v>
      </c>
      <c r="AM61" s="270">
        <f>'MIS Working 1'!$L61*'MIS Working 1'!$AE61+'MIS Working 1'!$AL61</f>
        <v>-148.19999999999999</v>
      </c>
    </row>
    <row r="62" spans="1:39" x14ac:dyDescent="0.3">
      <c r="A62" s="272" t="s">
        <v>1291</v>
      </c>
      <c r="B62" s="273">
        <v>45987</v>
      </c>
      <c r="C62" s="274" t="s">
        <v>1897</v>
      </c>
      <c r="D62" s="274" t="s">
        <v>36</v>
      </c>
      <c r="E62" s="274" t="s">
        <v>37</v>
      </c>
      <c r="F62" s="274" t="s">
        <v>18</v>
      </c>
      <c r="G62" s="274" t="s">
        <v>19</v>
      </c>
      <c r="H62" s="274" t="s">
        <v>20</v>
      </c>
      <c r="I62" s="275">
        <v>4100</v>
      </c>
      <c r="J62" s="276">
        <v>1891617</v>
      </c>
      <c r="K62" s="275">
        <v>4100</v>
      </c>
      <c r="L62" s="275">
        <v>4100</v>
      </c>
      <c r="M62" s="273">
        <v>45987</v>
      </c>
      <c r="N62" s="276">
        <v>2703171</v>
      </c>
      <c r="O62" s="274" t="s">
        <v>21</v>
      </c>
      <c r="P62" s="274" t="s">
        <v>22</v>
      </c>
      <c r="Q62" s="274" t="s">
        <v>660</v>
      </c>
      <c r="R62" s="274" t="str">
        <f>VLOOKUP('MIS Working 1'!$G62,Master!$H$3:$I$8,2,0)</f>
        <v>Finished Goods</v>
      </c>
      <c r="S62" s="274" t="str">
        <f>VLOOKUP('MIS Working 1'!$H62,Master!B:C,2,0)</f>
        <v>FG-PCB-Ref</v>
      </c>
      <c r="T62" s="274" t="str">
        <f>VLOOKUP('MIS Working 1'!$S62,Master!E:F,2,0)</f>
        <v>FG-PCB-Ref</v>
      </c>
      <c r="U62" s="277">
        <f>'MIS Working 1'!$N62-'MIS Working 1'!$AF62</f>
        <v>810569.99999999977</v>
      </c>
      <c r="V62" s="278">
        <f>'MIS Working 1'!$U62/'MIS Working 1'!$N62</f>
        <v>0.29985894344086994</v>
      </c>
      <c r="W62" s="274">
        <f>'MIS Working 1'!$N62/'MIS Working 1'!$L62</f>
        <v>659.31</v>
      </c>
      <c r="X62" s="279">
        <f>SUM('MIS Working 1'!$Y62:$AE62)</f>
        <v>492.59000000000003</v>
      </c>
      <c r="Y62" s="279">
        <f>SUMIFS('COGS Break up'!$E:$E,'COGS Break up'!$A:$A,'MIS Working 1'!$D62,'COGS Break up'!$D:$D,'MIS Working 1'!$Y$1)</f>
        <v>401.59000000000003</v>
      </c>
      <c r="Z62" s="279">
        <f>SUMIFS('COGS Break up'!$E:$E,'COGS Break up'!$A:$A,'MIS Working 1'!$D62,'COGS Break up'!$D:$D,'MIS Working 1'!$Z$1)</f>
        <v>28.32</v>
      </c>
      <c r="AA62" s="279">
        <f>SUMIFS('COGS Break up'!E:E,'COGS Break up'!A:A,'MIS Working 1'!$D:$D,'COGS Break up'!C:C,'MIS Working 1'!$AA$1)</f>
        <v>2.3199999999999998</v>
      </c>
      <c r="AB62" s="279">
        <f>SUMIFS('COGS Break up'!E:E,'COGS Break up'!A:A,'MIS Working 1'!$D:$D,'COGS Break up'!C:C,$AB$1)</f>
        <v>20.59</v>
      </c>
      <c r="AC62" s="279">
        <f>SUMIFS('COGS Break up'!E:E,'COGS Break up'!A:A,'MIS Working 1'!$D:$D,'COGS Break up'!C:C,$AC$1)</f>
        <v>8.31</v>
      </c>
      <c r="AD62" s="279">
        <f>SUMIFS('COGS Break up'!$E:$E,'COGS Break up'!$A:$A,'MIS Working 1'!$D62,'COGS Break up'!$D:$D,'MIS Working 1'!$AD$1)</f>
        <v>0.24</v>
      </c>
      <c r="AE62" s="279">
        <f>SUMIFS('COGS Break up'!$E:$E,'COGS Break up'!$A:$A,'MIS Working 1'!$D62,'COGS Break up'!$D:$D,'MIS Working 1'!$AE$1)</f>
        <v>31.22</v>
      </c>
      <c r="AF62" s="280">
        <f>'MIS Working 1'!$AG62+'MIS Working 1'!$AH62+'MIS Working 1'!$AM62+'MIS Working 1'!$AL62</f>
        <v>1892601.0000000002</v>
      </c>
      <c r="AG62" s="279">
        <f>'MIS Working 1'!$L62*'MIS Working 1'!$Y62</f>
        <v>1646519.0000000002</v>
      </c>
      <c r="AH62" s="279">
        <f>'MIS Working 1'!$L62*'MIS Working 1'!$Z62</f>
        <v>116112</v>
      </c>
      <c r="AI62" s="279">
        <f t="shared" si="0"/>
        <v>9512</v>
      </c>
      <c r="AJ62" s="279">
        <f t="shared" si="1"/>
        <v>84419</v>
      </c>
      <c r="AK62" s="279">
        <f t="shared" si="2"/>
        <v>34071</v>
      </c>
      <c r="AL62" s="279">
        <f>'MIS Working 1'!$AD62*'MIS Working 1'!$L62</f>
        <v>984</v>
      </c>
      <c r="AM62" s="279">
        <f>'MIS Working 1'!$L62*'MIS Working 1'!$AE62+'MIS Working 1'!$AL62</f>
        <v>128986</v>
      </c>
    </row>
    <row r="63" spans="1:39" x14ac:dyDescent="0.3">
      <c r="A63" s="263" t="s">
        <v>479</v>
      </c>
      <c r="B63" s="264">
        <v>45987</v>
      </c>
      <c r="C63" s="265" t="s">
        <v>1898</v>
      </c>
      <c r="D63" s="265" t="s">
        <v>637</v>
      </c>
      <c r="E63" s="265" t="s">
        <v>638</v>
      </c>
      <c r="F63" s="265" t="s">
        <v>18</v>
      </c>
      <c r="G63" s="265" t="s">
        <v>19</v>
      </c>
      <c r="H63" s="265" t="s">
        <v>27</v>
      </c>
      <c r="I63" s="266">
        <v>1080</v>
      </c>
      <c r="J63" s="267">
        <v>352371.6</v>
      </c>
      <c r="K63" s="266">
        <v>1080</v>
      </c>
      <c r="L63" s="266">
        <v>1080</v>
      </c>
      <c r="M63" s="264">
        <v>45987</v>
      </c>
      <c r="N63" s="267">
        <v>392644.8</v>
      </c>
      <c r="O63" s="265" t="s">
        <v>21</v>
      </c>
      <c r="P63" s="265" t="s">
        <v>22</v>
      </c>
      <c r="Q63" s="265" t="s">
        <v>660</v>
      </c>
      <c r="R63" s="265" t="str">
        <f>VLOOKUP('MIS Working 1'!$G63,Master!$H$3:$I$8,2,0)</f>
        <v>Finished Goods</v>
      </c>
      <c r="S63" s="265" t="str">
        <f>VLOOKUP('MIS Working 1'!$H63,Master!B:C,2,0)</f>
        <v>FG-PCB-CF</v>
      </c>
      <c r="T63" s="265" t="str">
        <f>VLOOKUP('MIS Working 1'!$S63,Master!E:F,2,0)</f>
        <v>FG-PCB-CF</v>
      </c>
      <c r="U63" s="268">
        <f>'MIS Working 1'!$N63-'MIS Working 1'!$AF63</f>
        <v>40003.200000000012</v>
      </c>
      <c r="V63" s="269">
        <f>'MIS Working 1'!$U63/'MIS Working 1'!$N63</f>
        <v>0.10188139509296956</v>
      </c>
      <c r="W63" s="265">
        <f>'MIS Working 1'!$N63/'MIS Working 1'!$L63</f>
        <v>363.56</v>
      </c>
      <c r="X63" s="270">
        <f>SUM('MIS Working 1'!$Y63:$AE63)</f>
        <v>359.82</v>
      </c>
      <c r="Y63" s="270">
        <f>SUMIFS('COGS Break up'!$E:$E,'COGS Break up'!$A:$A,'MIS Working 1'!$D63,'COGS Break up'!$D:$D,'MIS Working 1'!$Y$1)</f>
        <v>271.52999999999997</v>
      </c>
      <c r="Z63" s="270">
        <f>SUMIFS('COGS Break up'!$E:$E,'COGS Break up'!$A:$A,'MIS Working 1'!$D63,'COGS Break up'!$D:$D,'MIS Working 1'!$Z$1)</f>
        <v>20.94</v>
      </c>
      <c r="AA63" s="270">
        <f>SUMIFS('COGS Break up'!E:E,'COGS Break up'!A:A,'MIS Working 1'!$D:$D,'COGS Break up'!C:C,'MIS Working 1'!$AA$1)</f>
        <v>1.7100000000000002</v>
      </c>
      <c r="AB63" s="270">
        <f>SUMIFS('COGS Break up'!E:E,'COGS Break up'!A:A,'MIS Working 1'!$D:$D,'COGS Break up'!C:C,$AB$1)</f>
        <v>15.22</v>
      </c>
      <c r="AC63" s="270">
        <f>SUMIFS('COGS Break up'!E:E,'COGS Break up'!A:A,'MIS Working 1'!$D:$D,'COGS Break up'!C:C,$AC$1)</f>
        <v>16.62</v>
      </c>
      <c r="AD63" s="270">
        <f>SUMIFS('COGS Break up'!$E:$E,'COGS Break up'!$A:$A,'MIS Working 1'!$D63,'COGS Break up'!$D:$D,'MIS Working 1'!$AD$1)</f>
        <v>0.25</v>
      </c>
      <c r="AE63" s="270">
        <f>SUMIFS('COGS Break up'!$E:$E,'COGS Break up'!$A:$A,'MIS Working 1'!$D63,'COGS Break up'!$D:$D,'MIS Working 1'!$AE$1)</f>
        <v>33.550000000000004</v>
      </c>
      <c r="AF63" s="271">
        <f>'MIS Working 1'!$AG63+'MIS Working 1'!$AH63+'MIS Working 1'!$AM63+'MIS Working 1'!$AL63</f>
        <v>352641.6</v>
      </c>
      <c r="AG63" s="270">
        <f>'MIS Working 1'!$L63*'MIS Working 1'!$Y63</f>
        <v>293252.39999999997</v>
      </c>
      <c r="AH63" s="270">
        <f>'MIS Working 1'!$L63*'MIS Working 1'!$Z63</f>
        <v>22615.200000000001</v>
      </c>
      <c r="AI63" s="270">
        <f t="shared" si="0"/>
        <v>1846.8000000000002</v>
      </c>
      <c r="AJ63" s="270">
        <f t="shared" si="1"/>
        <v>16437.600000000002</v>
      </c>
      <c r="AK63" s="270">
        <f t="shared" si="2"/>
        <v>17949.600000000002</v>
      </c>
      <c r="AL63" s="270">
        <f>'MIS Working 1'!$AD63*'MIS Working 1'!$L63</f>
        <v>270</v>
      </c>
      <c r="AM63" s="270">
        <f>'MIS Working 1'!$L63*'MIS Working 1'!$AE63+'MIS Working 1'!$AL63</f>
        <v>36504.000000000007</v>
      </c>
    </row>
    <row r="64" spans="1:39" x14ac:dyDescent="0.3">
      <c r="A64" s="272" t="s">
        <v>479</v>
      </c>
      <c r="B64" s="273">
        <v>45987</v>
      </c>
      <c r="C64" s="274" t="s">
        <v>1899</v>
      </c>
      <c r="D64" s="274" t="s">
        <v>42</v>
      </c>
      <c r="E64" s="274" t="s">
        <v>43</v>
      </c>
      <c r="F64" s="274" t="s">
        <v>18</v>
      </c>
      <c r="G64" s="274" t="s">
        <v>19</v>
      </c>
      <c r="H64" s="274" t="s">
        <v>27</v>
      </c>
      <c r="I64" s="275">
        <v>1154</v>
      </c>
      <c r="J64" s="276">
        <v>377508.02</v>
      </c>
      <c r="K64" s="275">
        <v>1154</v>
      </c>
      <c r="L64" s="275">
        <v>1154</v>
      </c>
      <c r="M64" s="273">
        <v>45987</v>
      </c>
      <c r="N64" s="276">
        <v>393594.78</v>
      </c>
      <c r="O64" s="274" t="s">
        <v>21</v>
      </c>
      <c r="P64" s="274" t="s">
        <v>22</v>
      </c>
      <c r="Q64" s="274" t="s">
        <v>660</v>
      </c>
      <c r="R64" s="274" t="str">
        <f>VLOOKUP('MIS Working 1'!$G64,Master!$H$3:$I$8,2,0)</f>
        <v>Finished Goods</v>
      </c>
      <c r="S64" s="274" t="str">
        <f>VLOOKUP('MIS Working 1'!$H64,Master!B:C,2,0)</f>
        <v>FG-PCB-CF</v>
      </c>
      <c r="T64" s="274" t="str">
        <f>VLOOKUP('MIS Working 1'!$S64,Master!E:F,2,0)</f>
        <v>FG-PCB-CF</v>
      </c>
      <c r="U64" s="277">
        <f>'MIS Working 1'!$N64-'MIS Working 1'!$AF64</f>
        <v>15890.580000000016</v>
      </c>
      <c r="V64" s="278">
        <f>'MIS Working 1'!$U64/'MIS Working 1'!$N64</f>
        <v>4.0372943970445989E-2</v>
      </c>
      <c r="W64" s="274">
        <f>'MIS Working 1'!$N64/'MIS Working 1'!$L64</f>
        <v>341.07000000000005</v>
      </c>
      <c r="X64" s="279">
        <f>SUM('MIS Working 1'!$Y64:$AE64)</f>
        <v>353.55</v>
      </c>
      <c r="Y64" s="279">
        <f>SUMIFS('COGS Break up'!$E:$E,'COGS Break up'!$A:$A,'MIS Working 1'!$D64,'COGS Break up'!$D:$D,'MIS Working 1'!$Y$1)</f>
        <v>278.14000000000004</v>
      </c>
      <c r="Z64" s="279">
        <f>SUMIFS('COGS Break up'!$E:$E,'COGS Break up'!$A:$A,'MIS Working 1'!$D64,'COGS Break up'!$D:$D,'MIS Working 1'!$Z$1)</f>
        <v>22.400000000000002</v>
      </c>
      <c r="AA64" s="279">
        <f>SUMIFS('COGS Break up'!E:E,'COGS Break up'!A:A,'MIS Working 1'!$D:$D,'COGS Break up'!C:C,'MIS Working 1'!$AA$1)</f>
        <v>1.8299999999999998</v>
      </c>
      <c r="AB64" s="279">
        <f>SUMIFS('COGS Break up'!E:E,'COGS Break up'!A:A,'MIS Working 1'!$D:$D,'COGS Break up'!C:C,$AB$1)</f>
        <v>16.28</v>
      </c>
      <c r="AC64" s="279">
        <f>SUMIFS('COGS Break up'!E:E,'COGS Break up'!A:A,'MIS Working 1'!$D:$D,'COGS Break up'!C:C,$AC$1)</f>
        <v>8.31</v>
      </c>
      <c r="AD64" s="279">
        <f>SUMIFS('COGS Break up'!$E:$E,'COGS Break up'!$A:$A,'MIS Working 1'!$D64,'COGS Break up'!$D:$D,'MIS Working 1'!$AD$1)</f>
        <v>0.17</v>
      </c>
      <c r="AE64" s="279">
        <f>SUMIFS('COGS Break up'!$E:$E,'COGS Break up'!$A:$A,'MIS Working 1'!$D64,'COGS Break up'!$D:$D,'MIS Working 1'!$AE$1)</f>
        <v>26.42</v>
      </c>
      <c r="AF64" s="280">
        <f>'MIS Working 1'!$AG64+'MIS Working 1'!$AH64+'MIS Working 1'!$AM64+'MIS Working 1'!$AL64</f>
        <v>377704.2</v>
      </c>
      <c r="AG64" s="279">
        <f>'MIS Working 1'!$L64*'MIS Working 1'!$Y64</f>
        <v>320973.56000000006</v>
      </c>
      <c r="AH64" s="279">
        <f>'MIS Working 1'!$L64*'MIS Working 1'!$Z64</f>
        <v>25849.600000000002</v>
      </c>
      <c r="AI64" s="279">
        <f t="shared" si="0"/>
        <v>2111.8199999999997</v>
      </c>
      <c r="AJ64" s="279">
        <f t="shared" si="1"/>
        <v>18787.120000000003</v>
      </c>
      <c r="AK64" s="279">
        <f t="shared" si="2"/>
        <v>9589.74</v>
      </c>
      <c r="AL64" s="279">
        <f>'MIS Working 1'!$AD64*'MIS Working 1'!$L64</f>
        <v>196.18</v>
      </c>
      <c r="AM64" s="279">
        <f>'MIS Working 1'!$L64*'MIS Working 1'!$AE64+'MIS Working 1'!$AL64</f>
        <v>30684.86</v>
      </c>
    </row>
    <row r="65" spans="1:39" x14ac:dyDescent="0.3">
      <c r="A65" s="263" t="s">
        <v>479</v>
      </c>
      <c r="B65" s="264">
        <v>45987</v>
      </c>
      <c r="C65" s="265" t="s">
        <v>1899</v>
      </c>
      <c r="D65" s="265" t="s">
        <v>23</v>
      </c>
      <c r="E65" s="265" t="s">
        <v>24</v>
      </c>
      <c r="F65" s="265" t="s">
        <v>18</v>
      </c>
      <c r="G65" s="265" t="s">
        <v>19</v>
      </c>
      <c r="H65" s="265" t="s">
        <v>27</v>
      </c>
      <c r="I65" s="266">
        <v>1100</v>
      </c>
      <c r="J65" s="267">
        <v>463551</v>
      </c>
      <c r="K65" s="266">
        <v>1100</v>
      </c>
      <c r="L65" s="266">
        <v>1100</v>
      </c>
      <c r="M65" s="264">
        <v>45987</v>
      </c>
      <c r="N65" s="267">
        <v>531476</v>
      </c>
      <c r="O65" s="265" t="s">
        <v>21</v>
      </c>
      <c r="P65" s="265" t="s">
        <v>22</v>
      </c>
      <c r="Q65" s="265" t="s">
        <v>660</v>
      </c>
      <c r="R65" s="265" t="str">
        <f>VLOOKUP('MIS Working 1'!$G65,Master!$H$3:$I$8,2,0)</f>
        <v>Finished Goods</v>
      </c>
      <c r="S65" s="265" t="str">
        <f>VLOOKUP('MIS Working 1'!$H65,Master!B:C,2,0)</f>
        <v>FG-PCB-CF</v>
      </c>
      <c r="T65" s="265" t="str">
        <f>VLOOKUP('MIS Working 1'!$S65,Master!E:F,2,0)</f>
        <v>FG-PCB-CF</v>
      </c>
      <c r="U65" s="268">
        <f>'MIS Working 1'!$N65-'MIS Working 1'!$AF65</f>
        <v>67639.000000000175</v>
      </c>
      <c r="V65" s="269">
        <f>'MIS Working 1'!$U65/'MIS Working 1'!$N65</f>
        <v>0.12726632999420515</v>
      </c>
      <c r="W65" s="265">
        <f>'MIS Working 1'!$N65/'MIS Working 1'!$L65</f>
        <v>483.16</v>
      </c>
      <c r="X65" s="270">
        <f>SUM('MIS Working 1'!$Y65:$AE65)</f>
        <v>447.50999999999988</v>
      </c>
      <c r="Y65" s="270">
        <f>SUMIFS('COGS Break up'!$E:$E,'COGS Break up'!$A:$A,'MIS Working 1'!$D65,'COGS Break up'!$D:$D,'MIS Working 1'!$Y$1)</f>
        <v>373.04999999999984</v>
      </c>
      <c r="Z65" s="270">
        <f>SUMIFS('COGS Break up'!$E:$E,'COGS Break up'!$A:$A,'MIS Working 1'!$D65,'COGS Break up'!$D:$D,'MIS Working 1'!$Z$1)</f>
        <v>22</v>
      </c>
      <c r="AA65" s="270">
        <f>SUMIFS('COGS Break up'!E:E,'COGS Break up'!A:A,'MIS Working 1'!$D:$D,'COGS Break up'!C:C,'MIS Working 1'!$AA$1)</f>
        <v>1.8</v>
      </c>
      <c r="AB65" s="270">
        <f>SUMIFS('COGS Break up'!E:E,'COGS Break up'!A:A,'MIS Working 1'!$D:$D,'COGS Break up'!C:C,$AB$1)</f>
        <v>15.99</v>
      </c>
      <c r="AC65" s="270">
        <f>SUMIFS('COGS Break up'!E:E,'COGS Break up'!A:A,'MIS Working 1'!$D:$D,'COGS Break up'!C:C,$AC$1)</f>
        <v>8.31</v>
      </c>
      <c r="AD65" s="270">
        <f>SUMIFS('COGS Break up'!$E:$E,'COGS Break up'!$A:$A,'MIS Working 1'!$D65,'COGS Break up'!$D:$D,'MIS Working 1'!$AD$1)</f>
        <v>0.26</v>
      </c>
      <c r="AE65" s="270">
        <f>SUMIFS('COGS Break up'!$E:$E,'COGS Break up'!$A:$A,'MIS Working 1'!$D65,'COGS Break up'!$D:$D,'MIS Working 1'!$AE$1)</f>
        <v>26.1</v>
      </c>
      <c r="AF65" s="271">
        <f>'MIS Working 1'!$AG65+'MIS Working 1'!$AH65+'MIS Working 1'!$AM65+'MIS Working 1'!$AL65</f>
        <v>463836.99999999983</v>
      </c>
      <c r="AG65" s="270">
        <f>'MIS Working 1'!$L65*'MIS Working 1'!$Y65</f>
        <v>410354.99999999983</v>
      </c>
      <c r="AH65" s="270">
        <f>'MIS Working 1'!$L65*'MIS Working 1'!$Z65</f>
        <v>24200</v>
      </c>
      <c r="AI65" s="270">
        <f t="shared" si="0"/>
        <v>1980</v>
      </c>
      <c r="AJ65" s="270">
        <f t="shared" si="1"/>
        <v>17589</v>
      </c>
      <c r="AK65" s="270">
        <f t="shared" si="2"/>
        <v>9141</v>
      </c>
      <c r="AL65" s="270">
        <f>'MIS Working 1'!$AD65*'MIS Working 1'!$L65</f>
        <v>286</v>
      </c>
      <c r="AM65" s="270">
        <f>'MIS Working 1'!$L65*'MIS Working 1'!$AE65+'MIS Working 1'!$AL65</f>
        <v>28996</v>
      </c>
    </row>
    <row r="66" spans="1:39" x14ac:dyDescent="0.3">
      <c r="A66" s="272" t="s">
        <v>479</v>
      </c>
      <c r="B66" s="273">
        <v>45987</v>
      </c>
      <c r="C66" s="274" t="s">
        <v>1900</v>
      </c>
      <c r="D66" s="274" t="s">
        <v>38</v>
      </c>
      <c r="E66" s="274" t="s">
        <v>39</v>
      </c>
      <c r="F66" s="274" t="s">
        <v>18</v>
      </c>
      <c r="G66" s="274" t="s">
        <v>19</v>
      </c>
      <c r="H66" s="274" t="s">
        <v>27</v>
      </c>
      <c r="I66" s="275">
        <v>1120</v>
      </c>
      <c r="J66" s="276">
        <v>366385.6</v>
      </c>
      <c r="K66" s="275">
        <v>1120</v>
      </c>
      <c r="L66" s="275">
        <v>1120</v>
      </c>
      <c r="M66" s="273">
        <v>45987</v>
      </c>
      <c r="N66" s="276">
        <v>381998.4</v>
      </c>
      <c r="O66" s="274" t="s">
        <v>21</v>
      </c>
      <c r="P66" s="274" t="s">
        <v>22</v>
      </c>
      <c r="Q66" s="274" t="s">
        <v>660</v>
      </c>
      <c r="R66" s="274" t="str">
        <f>VLOOKUP('MIS Working 1'!$G66,Master!$H$3:$I$8,2,0)</f>
        <v>Finished Goods</v>
      </c>
      <c r="S66" s="274" t="str">
        <f>VLOOKUP('MIS Working 1'!$H66,Master!B:C,2,0)</f>
        <v>FG-PCB-CF</v>
      </c>
      <c r="T66" s="274" t="str">
        <f>VLOOKUP('MIS Working 1'!$S66,Master!E:F,2,0)</f>
        <v>FG-PCB-CF</v>
      </c>
      <c r="U66" s="277">
        <f>'MIS Working 1'!$N66-'MIS Working 1'!$AF66</f>
        <v>15422.400000000023</v>
      </c>
      <c r="V66" s="278">
        <f>'MIS Working 1'!$U66/'MIS Working 1'!$N66</f>
        <v>4.037294397044601E-2</v>
      </c>
      <c r="W66" s="274">
        <f>'MIS Working 1'!$N66/'MIS Working 1'!$L66</f>
        <v>341.07</v>
      </c>
      <c r="X66" s="279">
        <f>SUM('MIS Working 1'!$Y66:$AE66)</f>
        <v>353.55</v>
      </c>
      <c r="Y66" s="279">
        <f>SUMIFS('COGS Break up'!$E:$E,'COGS Break up'!$A:$A,'MIS Working 1'!$D66,'COGS Break up'!$D:$D,'MIS Working 1'!$Y$1)</f>
        <v>278.14</v>
      </c>
      <c r="Z66" s="279">
        <f>SUMIFS('COGS Break up'!$E:$E,'COGS Break up'!$A:$A,'MIS Working 1'!$D66,'COGS Break up'!$D:$D,'MIS Working 1'!$Z$1)</f>
        <v>22.400000000000002</v>
      </c>
      <c r="AA66" s="279">
        <f>SUMIFS('COGS Break up'!E:E,'COGS Break up'!A:A,'MIS Working 1'!$D:$D,'COGS Break up'!C:C,'MIS Working 1'!$AA$1)</f>
        <v>1.8299999999999998</v>
      </c>
      <c r="AB66" s="279">
        <f>SUMIFS('COGS Break up'!E:E,'COGS Break up'!A:A,'MIS Working 1'!$D:$D,'COGS Break up'!C:C,$AB$1)</f>
        <v>16.28</v>
      </c>
      <c r="AC66" s="279">
        <f>SUMIFS('COGS Break up'!E:E,'COGS Break up'!A:A,'MIS Working 1'!$D:$D,'COGS Break up'!C:C,$AC$1)</f>
        <v>8.31</v>
      </c>
      <c r="AD66" s="279">
        <f>SUMIFS('COGS Break up'!$E:$E,'COGS Break up'!$A:$A,'MIS Working 1'!$D66,'COGS Break up'!$D:$D,'MIS Working 1'!$AD$1)</f>
        <v>0.17</v>
      </c>
      <c r="AE66" s="279">
        <f>SUMIFS('COGS Break up'!$E:$E,'COGS Break up'!$A:$A,'MIS Working 1'!$D66,'COGS Break up'!$D:$D,'MIS Working 1'!$AE$1)</f>
        <v>26.42</v>
      </c>
      <c r="AF66" s="280">
        <f>'MIS Working 1'!$AG66+'MIS Working 1'!$AH66+'MIS Working 1'!$AM66+'MIS Working 1'!$AL66</f>
        <v>366576</v>
      </c>
      <c r="AG66" s="279">
        <f>'MIS Working 1'!$L66*'MIS Working 1'!$Y66</f>
        <v>311516.79999999999</v>
      </c>
      <c r="AH66" s="279">
        <f>'MIS Working 1'!$L66*'MIS Working 1'!$Z66</f>
        <v>25088.000000000004</v>
      </c>
      <c r="AI66" s="279">
        <f t="shared" ref="AI66:AI129" si="3">AA66*$L66</f>
        <v>2049.6</v>
      </c>
      <c r="AJ66" s="279">
        <f t="shared" ref="AJ66:AJ129" si="4">AB66*$L66</f>
        <v>18233.600000000002</v>
      </c>
      <c r="AK66" s="279">
        <f t="shared" ref="AK66:AK129" si="5">AC66*$L66</f>
        <v>9307.2000000000007</v>
      </c>
      <c r="AL66" s="279">
        <f>'MIS Working 1'!$AD66*'MIS Working 1'!$L66</f>
        <v>190.4</v>
      </c>
      <c r="AM66" s="279">
        <f>'MIS Working 1'!$L66*'MIS Working 1'!$AE66+'MIS Working 1'!$AL66</f>
        <v>29780.800000000003</v>
      </c>
    </row>
    <row r="67" spans="1:39" x14ac:dyDescent="0.3">
      <c r="A67" s="263" t="s">
        <v>479</v>
      </c>
      <c r="B67" s="264">
        <v>45987</v>
      </c>
      <c r="C67" s="265" t="s">
        <v>1899</v>
      </c>
      <c r="D67" s="265" t="s">
        <v>38</v>
      </c>
      <c r="E67" s="265" t="s">
        <v>39</v>
      </c>
      <c r="F67" s="265" t="s">
        <v>18</v>
      </c>
      <c r="G67" s="265" t="s">
        <v>19</v>
      </c>
      <c r="H67" s="265" t="s">
        <v>27</v>
      </c>
      <c r="I67" s="266">
        <v>4200</v>
      </c>
      <c r="J67" s="267">
        <v>1373946</v>
      </c>
      <c r="K67" s="266">
        <v>4200</v>
      </c>
      <c r="L67" s="266">
        <v>4200</v>
      </c>
      <c r="M67" s="264">
        <v>45987</v>
      </c>
      <c r="N67" s="267">
        <v>1432494</v>
      </c>
      <c r="O67" s="265" t="s">
        <v>21</v>
      </c>
      <c r="P67" s="265" t="s">
        <v>22</v>
      </c>
      <c r="Q67" s="265" t="s">
        <v>660</v>
      </c>
      <c r="R67" s="265" t="str">
        <f>VLOOKUP('MIS Working 1'!$G67,Master!$H$3:$I$8,2,0)</f>
        <v>Finished Goods</v>
      </c>
      <c r="S67" s="265" t="str">
        <f>VLOOKUP('MIS Working 1'!$H67,Master!B:C,2,0)</f>
        <v>FG-PCB-CF</v>
      </c>
      <c r="T67" s="265" t="str">
        <f>VLOOKUP('MIS Working 1'!$S67,Master!E:F,2,0)</f>
        <v>FG-PCB-CF</v>
      </c>
      <c r="U67" s="268">
        <f>'MIS Working 1'!$N67-'MIS Working 1'!$AF67</f>
        <v>57834</v>
      </c>
      <c r="V67" s="269">
        <f>'MIS Working 1'!$U67/'MIS Working 1'!$N67</f>
        <v>4.0372943970445947E-2</v>
      </c>
      <c r="W67" s="265">
        <f>'MIS Working 1'!$N67/'MIS Working 1'!$L67</f>
        <v>341.07</v>
      </c>
      <c r="X67" s="270">
        <f>SUM('MIS Working 1'!$Y67:$AE67)</f>
        <v>353.55</v>
      </c>
      <c r="Y67" s="270">
        <f>SUMIFS('COGS Break up'!$E:$E,'COGS Break up'!$A:$A,'MIS Working 1'!$D67,'COGS Break up'!$D:$D,'MIS Working 1'!$Y$1)</f>
        <v>278.14</v>
      </c>
      <c r="Z67" s="270">
        <f>SUMIFS('COGS Break up'!$E:$E,'COGS Break up'!$A:$A,'MIS Working 1'!$D67,'COGS Break up'!$D:$D,'MIS Working 1'!$Z$1)</f>
        <v>22.400000000000002</v>
      </c>
      <c r="AA67" s="270">
        <f>SUMIFS('COGS Break up'!E:E,'COGS Break up'!A:A,'MIS Working 1'!$D:$D,'COGS Break up'!C:C,'MIS Working 1'!$AA$1)</f>
        <v>1.8299999999999998</v>
      </c>
      <c r="AB67" s="270">
        <f>SUMIFS('COGS Break up'!E:E,'COGS Break up'!A:A,'MIS Working 1'!$D:$D,'COGS Break up'!C:C,$AB$1)</f>
        <v>16.28</v>
      </c>
      <c r="AC67" s="270">
        <f>SUMIFS('COGS Break up'!E:E,'COGS Break up'!A:A,'MIS Working 1'!$D:$D,'COGS Break up'!C:C,$AC$1)</f>
        <v>8.31</v>
      </c>
      <c r="AD67" s="270">
        <f>SUMIFS('COGS Break up'!$E:$E,'COGS Break up'!$A:$A,'MIS Working 1'!$D67,'COGS Break up'!$D:$D,'MIS Working 1'!$AD$1)</f>
        <v>0.17</v>
      </c>
      <c r="AE67" s="270">
        <f>SUMIFS('COGS Break up'!$E:$E,'COGS Break up'!$A:$A,'MIS Working 1'!$D67,'COGS Break up'!$D:$D,'MIS Working 1'!$AE$1)</f>
        <v>26.42</v>
      </c>
      <c r="AF67" s="271">
        <f>'MIS Working 1'!$AG67+'MIS Working 1'!$AH67+'MIS Working 1'!$AM67+'MIS Working 1'!$AL67</f>
        <v>1374660</v>
      </c>
      <c r="AG67" s="270">
        <f>'MIS Working 1'!$L67*'MIS Working 1'!$Y67</f>
        <v>1168188</v>
      </c>
      <c r="AH67" s="270">
        <f>'MIS Working 1'!$L67*'MIS Working 1'!$Z67</f>
        <v>94080.000000000015</v>
      </c>
      <c r="AI67" s="270">
        <f t="shared" si="3"/>
        <v>7685.9999999999991</v>
      </c>
      <c r="AJ67" s="270">
        <f t="shared" si="4"/>
        <v>68376</v>
      </c>
      <c r="AK67" s="270">
        <f t="shared" si="5"/>
        <v>34902</v>
      </c>
      <c r="AL67" s="270">
        <f>'MIS Working 1'!$AD67*'MIS Working 1'!$L67</f>
        <v>714</v>
      </c>
      <c r="AM67" s="270">
        <f>'MIS Working 1'!$L67*'MIS Working 1'!$AE67+'MIS Working 1'!$AL67</f>
        <v>111678</v>
      </c>
    </row>
    <row r="68" spans="1:39" x14ac:dyDescent="0.3">
      <c r="A68" s="272" t="s">
        <v>479</v>
      </c>
      <c r="B68" s="273">
        <v>45987</v>
      </c>
      <c r="C68" s="274" t="s">
        <v>1901</v>
      </c>
      <c r="D68" s="274" t="s">
        <v>38</v>
      </c>
      <c r="E68" s="274" t="s">
        <v>39</v>
      </c>
      <c r="F68" s="274" t="s">
        <v>18</v>
      </c>
      <c r="G68" s="274" t="s">
        <v>19</v>
      </c>
      <c r="H68" s="274" t="s">
        <v>27</v>
      </c>
      <c r="I68" s="275">
        <v>840</v>
      </c>
      <c r="J68" s="276">
        <v>274789.2</v>
      </c>
      <c r="K68" s="275">
        <v>840</v>
      </c>
      <c r="L68" s="275">
        <v>840</v>
      </c>
      <c r="M68" s="273">
        <v>45987</v>
      </c>
      <c r="N68" s="276">
        <v>286498.8</v>
      </c>
      <c r="O68" s="274" t="s">
        <v>21</v>
      </c>
      <c r="P68" s="274" t="s">
        <v>22</v>
      </c>
      <c r="Q68" s="274" t="s">
        <v>660</v>
      </c>
      <c r="R68" s="274" t="str">
        <f>VLOOKUP('MIS Working 1'!$G68,Master!$H$3:$I$8,2,0)</f>
        <v>Finished Goods</v>
      </c>
      <c r="S68" s="274" t="str">
        <f>VLOOKUP('MIS Working 1'!$H68,Master!B:C,2,0)</f>
        <v>FG-PCB-CF</v>
      </c>
      <c r="T68" s="274" t="str">
        <f>VLOOKUP('MIS Working 1'!$S68,Master!E:F,2,0)</f>
        <v>FG-PCB-CF</v>
      </c>
      <c r="U68" s="277">
        <f>'MIS Working 1'!$N68-'MIS Working 1'!$AF68</f>
        <v>11566.800000000047</v>
      </c>
      <c r="V68" s="278">
        <f>'MIS Working 1'!$U68/'MIS Working 1'!$N68</f>
        <v>4.0372943970446114E-2</v>
      </c>
      <c r="W68" s="274">
        <f>'MIS Working 1'!$N68/'MIS Working 1'!$L68</f>
        <v>341.07</v>
      </c>
      <c r="X68" s="279">
        <f>SUM('MIS Working 1'!$Y68:$AE68)</f>
        <v>353.55</v>
      </c>
      <c r="Y68" s="279">
        <f>SUMIFS('COGS Break up'!$E:$E,'COGS Break up'!$A:$A,'MIS Working 1'!$D68,'COGS Break up'!$D:$D,'MIS Working 1'!$Y$1)</f>
        <v>278.14</v>
      </c>
      <c r="Z68" s="279">
        <f>SUMIFS('COGS Break up'!$E:$E,'COGS Break up'!$A:$A,'MIS Working 1'!$D68,'COGS Break up'!$D:$D,'MIS Working 1'!$Z$1)</f>
        <v>22.400000000000002</v>
      </c>
      <c r="AA68" s="279">
        <f>SUMIFS('COGS Break up'!E:E,'COGS Break up'!A:A,'MIS Working 1'!$D:$D,'COGS Break up'!C:C,'MIS Working 1'!$AA$1)</f>
        <v>1.8299999999999998</v>
      </c>
      <c r="AB68" s="279">
        <f>SUMIFS('COGS Break up'!E:E,'COGS Break up'!A:A,'MIS Working 1'!$D:$D,'COGS Break up'!C:C,$AB$1)</f>
        <v>16.28</v>
      </c>
      <c r="AC68" s="279">
        <f>SUMIFS('COGS Break up'!E:E,'COGS Break up'!A:A,'MIS Working 1'!$D:$D,'COGS Break up'!C:C,$AC$1)</f>
        <v>8.31</v>
      </c>
      <c r="AD68" s="279">
        <f>SUMIFS('COGS Break up'!$E:$E,'COGS Break up'!$A:$A,'MIS Working 1'!$D68,'COGS Break up'!$D:$D,'MIS Working 1'!$AD$1)</f>
        <v>0.17</v>
      </c>
      <c r="AE68" s="279">
        <f>SUMIFS('COGS Break up'!$E:$E,'COGS Break up'!$A:$A,'MIS Working 1'!$D68,'COGS Break up'!$D:$D,'MIS Working 1'!$AE$1)</f>
        <v>26.42</v>
      </c>
      <c r="AF68" s="280">
        <f>'MIS Working 1'!$AG68+'MIS Working 1'!$AH68+'MIS Working 1'!$AM68+'MIS Working 1'!$AL68</f>
        <v>274931.99999999994</v>
      </c>
      <c r="AG68" s="279">
        <f>'MIS Working 1'!$L68*'MIS Working 1'!$Y68</f>
        <v>233637.59999999998</v>
      </c>
      <c r="AH68" s="279">
        <f>'MIS Working 1'!$L68*'MIS Working 1'!$Z68</f>
        <v>18816</v>
      </c>
      <c r="AI68" s="279">
        <f t="shared" si="3"/>
        <v>1537.1999999999998</v>
      </c>
      <c r="AJ68" s="279">
        <f t="shared" si="4"/>
        <v>13675.2</v>
      </c>
      <c r="AK68" s="279">
        <f t="shared" si="5"/>
        <v>6980.4000000000005</v>
      </c>
      <c r="AL68" s="279">
        <f>'MIS Working 1'!$AD68*'MIS Working 1'!$L68</f>
        <v>142.80000000000001</v>
      </c>
      <c r="AM68" s="279">
        <f>'MIS Working 1'!$L68*'MIS Working 1'!$AE68+'MIS Working 1'!$AL68</f>
        <v>22335.600000000002</v>
      </c>
    </row>
    <row r="69" spans="1:39" x14ac:dyDescent="0.3">
      <c r="A69" s="263" t="s">
        <v>479</v>
      </c>
      <c r="B69" s="264">
        <v>45987</v>
      </c>
      <c r="C69" s="265" t="s">
        <v>1899</v>
      </c>
      <c r="D69" s="265" t="s">
        <v>378</v>
      </c>
      <c r="E69" s="265" t="s">
        <v>379</v>
      </c>
      <c r="F69" s="265" t="s">
        <v>18</v>
      </c>
      <c r="G69" s="265" t="s">
        <v>19</v>
      </c>
      <c r="H69" s="265" t="s">
        <v>27</v>
      </c>
      <c r="I69" s="266">
        <v>580</v>
      </c>
      <c r="J69" s="267">
        <v>188616</v>
      </c>
      <c r="K69" s="266">
        <v>580</v>
      </c>
      <c r="L69" s="266">
        <v>580</v>
      </c>
      <c r="M69" s="264">
        <v>45987</v>
      </c>
      <c r="N69" s="267">
        <v>205911.6</v>
      </c>
      <c r="O69" s="265" t="s">
        <v>21</v>
      </c>
      <c r="P69" s="265" t="s">
        <v>22</v>
      </c>
      <c r="Q69" s="265" t="s">
        <v>660</v>
      </c>
      <c r="R69" s="265" t="str">
        <f>VLOOKUP('MIS Working 1'!$G69,Master!$H$3:$I$8,2,0)</f>
        <v>Finished Goods</v>
      </c>
      <c r="S69" s="265" t="str">
        <f>VLOOKUP('MIS Working 1'!$H69,Master!B:C,2,0)</f>
        <v>FG-PCB-CF</v>
      </c>
      <c r="T69" s="265" t="str">
        <f>VLOOKUP('MIS Working 1'!$S69,Master!E:F,2,0)</f>
        <v>FG-PCB-CF</v>
      </c>
      <c r="U69" s="268">
        <f>'MIS Working 1'!$N69-'MIS Working 1'!$AF69</f>
        <v>17144.800000000017</v>
      </c>
      <c r="V69" s="269">
        <f>'MIS Working 1'!$U69/'MIS Working 1'!$N69</f>
        <v>8.3262914765365417E-2</v>
      </c>
      <c r="W69" s="265">
        <f>'MIS Working 1'!$N69/'MIS Working 1'!$L69</f>
        <v>355.02</v>
      </c>
      <c r="X69" s="270">
        <f>SUM('MIS Working 1'!$Y69:$AE69)</f>
        <v>354.76999999999992</v>
      </c>
      <c r="Y69" s="270">
        <f>SUMIFS('COGS Break up'!$E:$E,'COGS Break up'!$A:$A,'MIS Working 1'!$D69,'COGS Break up'!$D:$D,'MIS Working 1'!$Y$1)</f>
        <v>271.52999999999997</v>
      </c>
      <c r="Z69" s="270">
        <f>SUMIFS('COGS Break up'!$E:$E,'COGS Break up'!$A:$A,'MIS Working 1'!$D69,'COGS Break up'!$D:$D,'MIS Working 1'!$Z$1)</f>
        <v>23.84</v>
      </c>
      <c r="AA69" s="270">
        <f>SUMIFS('COGS Break up'!E:E,'COGS Break up'!A:A,'MIS Working 1'!$D:$D,'COGS Break up'!C:C,'MIS Working 1'!$AA$1)</f>
        <v>1.9500000000000002</v>
      </c>
      <c r="AB69" s="270">
        <f>SUMIFS('COGS Break up'!E:E,'COGS Break up'!A:A,'MIS Working 1'!$D:$D,'COGS Break up'!C:C,$AB$1)</f>
        <v>17.329999999999998</v>
      </c>
      <c r="AC69" s="270">
        <f>SUMIFS('COGS Break up'!E:E,'COGS Break up'!A:A,'MIS Working 1'!$D:$D,'COGS Break up'!C:C,$AC$1)</f>
        <v>10.29</v>
      </c>
      <c r="AD69" s="270">
        <f>SUMIFS('COGS Break up'!$E:$E,'COGS Break up'!$A:$A,'MIS Working 1'!$D69,'COGS Break up'!$D:$D,'MIS Working 1'!$AD$1)</f>
        <v>0.26</v>
      </c>
      <c r="AE69" s="270">
        <f>SUMIFS('COGS Break up'!$E:$E,'COGS Break up'!$A:$A,'MIS Working 1'!$D69,'COGS Break up'!$D:$D,'MIS Working 1'!$AE$1)</f>
        <v>29.569999999999997</v>
      </c>
      <c r="AF69" s="271">
        <f>'MIS Working 1'!$AG69+'MIS Working 1'!$AH69+'MIS Working 1'!$AM69+'MIS Working 1'!$AL69</f>
        <v>188766.8</v>
      </c>
      <c r="AG69" s="270">
        <f>'MIS Working 1'!$L69*'MIS Working 1'!$Y69</f>
        <v>157487.4</v>
      </c>
      <c r="AH69" s="270">
        <f>'MIS Working 1'!$L69*'MIS Working 1'!$Z69</f>
        <v>13827.2</v>
      </c>
      <c r="AI69" s="270">
        <f t="shared" si="3"/>
        <v>1131</v>
      </c>
      <c r="AJ69" s="270">
        <f t="shared" si="4"/>
        <v>10051.4</v>
      </c>
      <c r="AK69" s="270">
        <f t="shared" si="5"/>
        <v>5968.2</v>
      </c>
      <c r="AL69" s="270">
        <f>'MIS Working 1'!$AD69*'MIS Working 1'!$L69</f>
        <v>150.80000000000001</v>
      </c>
      <c r="AM69" s="270">
        <f>'MIS Working 1'!$L69*'MIS Working 1'!$AE69+'MIS Working 1'!$AL69</f>
        <v>17301.399999999998</v>
      </c>
    </row>
    <row r="70" spans="1:39" x14ac:dyDescent="0.3">
      <c r="A70" s="272" t="s">
        <v>479</v>
      </c>
      <c r="B70" s="273">
        <v>45987</v>
      </c>
      <c r="C70" s="274" t="s">
        <v>1900</v>
      </c>
      <c r="D70" s="274" t="s">
        <v>380</v>
      </c>
      <c r="E70" s="274" t="s">
        <v>381</v>
      </c>
      <c r="F70" s="274" t="s">
        <v>18</v>
      </c>
      <c r="G70" s="274" t="s">
        <v>19</v>
      </c>
      <c r="H70" s="274" t="s">
        <v>27</v>
      </c>
      <c r="I70" s="275">
        <v>371</v>
      </c>
      <c r="J70" s="276">
        <v>80358.600000000006</v>
      </c>
      <c r="K70" s="275">
        <v>371</v>
      </c>
      <c r="L70" s="275">
        <v>371</v>
      </c>
      <c r="M70" s="273">
        <v>45987</v>
      </c>
      <c r="N70" s="276">
        <v>82306.350000000006</v>
      </c>
      <c r="O70" s="274" t="s">
        <v>21</v>
      </c>
      <c r="P70" s="274" t="s">
        <v>22</v>
      </c>
      <c r="Q70" s="274" t="s">
        <v>660</v>
      </c>
      <c r="R70" s="274" t="str">
        <f>VLOOKUP('MIS Working 1'!$G70,Master!$H$3:$I$8,2,0)</f>
        <v>Finished Goods</v>
      </c>
      <c r="S70" s="274" t="str">
        <f>VLOOKUP('MIS Working 1'!$H70,Master!B:C,2,0)</f>
        <v>FG-PCB-CF</v>
      </c>
      <c r="T70" s="274" t="str">
        <f>VLOOKUP('MIS Working 1'!$S70,Master!E:F,2,0)</f>
        <v>FG-PCB-CF</v>
      </c>
      <c r="U70" s="277">
        <f>'MIS Working 1'!$N70-'MIS Working 1'!$AF70</f>
        <v>1932.9100000000326</v>
      </c>
      <c r="V70" s="278">
        <f>'MIS Working 1'!$U70/'MIS Working 1'!$N70</f>
        <v>2.3484336263241323E-2</v>
      </c>
      <c r="W70" s="274">
        <f>'MIS Working 1'!$N70/'MIS Working 1'!$L70</f>
        <v>221.85000000000002</v>
      </c>
      <c r="X70" s="279">
        <f>SUM('MIS Working 1'!$Y70:$AE70)</f>
        <v>239.77999999999994</v>
      </c>
      <c r="Y70" s="279">
        <f>SUMIFS('COGS Break up'!$E:$E,'COGS Break up'!$A:$A,'MIS Working 1'!$D70,'COGS Break up'!$D:$D,'MIS Working 1'!$Y$1)</f>
        <v>174.98999999999995</v>
      </c>
      <c r="Z70" s="279">
        <f>SUMIFS('COGS Break up'!$E:$E,'COGS Break up'!$A:$A,'MIS Working 1'!$D70,'COGS Break up'!$D:$D,'MIS Working 1'!$Z$1)</f>
        <v>18.389999999999997</v>
      </c>
      <c r="AA70" s="279">
        <f>SUMIFS('COGS Break up'!E:E,'COGS Break up'!A:A,'MIS Working 1'!$D:$D,'COGS Break up'!C:C,'MIS Working 1'!$AA$1)</f>
        <v>1.5</v>
      </c>
      <c r="AB70" s="279">
        <f>SUMIFS('COGS Break up'!E:E,'COGS Break up'!A:A,'MIS Working 1'!$D:$D,'COGS Break up'!C:C,$AB$1)</f>
        <v>13.37</v>
      </c>
      <c r="AC70" s="279">
        <f>SUMIFS('COGS Break up'!E:E,'COGS Break up'!A:A,'MIS Working 1'!$D:$D,'COGS Break up'!C:C,$AC$1)</f>
        <v>8.31</v>
      </c>
      <c r="AD70" s="279">
        <f>SUMIFS('COGS Break up'!$E:$E,'COGS Break up'!$A:$A,'MIS Working 1'!$D70,'COGS Break up'!$D:$D,'MIS Working 1'!$AD$1)</f>
        <v>0.04</v>
      </c>
      <c r="AE70" s="279">
        <f>SUMIFS('COGS Break up'!$E:$E,'COGS Break up'!$A:$A,'MIS Working 1'!$D70,'COGS Break up'!$D:$D,'MIS Working 1'!$AE$1)</f>
        <v>23.18</v>
      </c>
      <c r="AF70" s="280">
        <f>'MIS Working 1'!$AG70+'MIS Working 1'!$AH70+'MIS Working 1'!$AM70+'MIS Working 1'!$AL70</f>
        <v>80373.439999999973</v>
      </c>
      <c r="AG70" s="279">
        <f>'MIS Working 1'!$L70*'MIS Working 1'!$Y70</f>
        <v>64921.289999999979</v>
      </c>
      <c r="AH70" s="279">
        <f>'MIS Working 1'!$L70*'MIS Working 1'!$Z70</f>
        <v>6822.6899999999987</v>
      </c>
      <c r="AI70" s="279">
        <f t="shared" si="3"/>
        <v>556.5</v>
      </c>
      <c r="AJ70" s="279">
        <f t="shared" si="4"/>
        <v>4960.2699999999995</v>
      </c>
      <c r="AK70" s="279">
        <f t="shared" si="5"/>
        <v>3083.01</v>
      </c>
      <c r="AL70" s="279">
        <f>'MIS Working 1'!$AD70*'MIS Working 1'!$L70</f>
        <v>14.84</v>
      </c>
      <c r="AM70" s="279">
        <f>'MIS Working 1'!$L70*'MIS Working 1'!$AE70+'MIS Working 1'!$AL70</f>
        <v>8614.6200000000008</v>
      </c>
    </row>
    <row r="71" spans="1:39" x14ac:dyDescent="0.3">
      <c r="A71" s="263" t="s">
        <v>479</v>
      </c>
      <c r="B71" s="264">
        <v>45987</v>
      </c>
      <c r="C71" s="265" t="s">
        <v>1902</v>
      </c>
      <c r="D71" s="265" t="s">
        <v>1903</v>
      </c>
      <c r="E71" s="265" t="s">
        <v>1904</v>
      </c>
      <c r="F71" s="265" t="s">
        <v>18</v>
      </c>
      <c r="G71" s="265" t="s">
        <v>19</v>
      </c>
      <c r="H71" s="265" t="s">
        <v>27</v>
      </c>
      <c r="I71" s="266">
        <v>105</v>
      </c>
      <c r="J71" s="267">
        <v>34369.65</v>
      </c>
      <c r="K71" s="266">
        <v>105</v>
      </c>
      <c r="L71" s="266">
        <v>105</v>
      </c>
      <c r="M71" s="264">
        <v>45987</v>
      </c>
      <c r="N71" s="267">
        <v>35812.35</v>
      </c>
      <c r="O71" s="265" t="s">
        <v>21</v>
      </c>
      <c r="P71" s="265" t="s">
        <v>22</v>
      </c>
      <c r="Q71" s="265" t="s">
        <v>660</v>
      </c>
      <c r="R71" s="265" t="str">
        <f>VLOOKUP('MIS Working 1'!$G71,Master!$H$3:$I$8,2,0)</f>
        <v>Finished Goods</v>
      </c>
      <c r="S71" s="265" t="str">
        <f>VLOOKUP('MIS Working 1'!$H71,Master!B:C,2,0)</f>
        <v>FG-PCB-CF</v>
      </c>
      <c r="T71" s="265" t="str">
        <f>VLOOKUP('MIS Working 1'!$S71,Master!E:F,2,0)</f>
        <v>FG-PCB-CF</v>
      </c>
      <c r="U71" s="268">
        <f>'MIS Working 1'!$N71-'MIS Working 1'!$AF71</f>
        <v>1425.9000000000015</v>
      </c>
      <c r="V71" s="269">
        <f>'MIS Working 1'!$U71/'MIS Working 1'!$N71</f>
        <v>3.9815873574339619E-2</v>
      </c>
      <c r="W71" s="265">
        <f>'MIS Working 1'!$N71/'MIS Working 1'!$L71</f>
        <v>341.07</v>
      </c>
      <c r="X71" s="270">
        <f>SUM('MIS Working 1'!$Y71:$AE71)</f>
        <v>355.74000000000007</v>
      </c>
      <c r="Y71" s="270">
        <f>SUMIFS('COGS Break up'!$E:$E,'COGS Break up'!$A:$A,'MIS Working 1'!$D71,'COGS Break up'!$D:$D,'MIS Working 1'!$Y$1)</f>
        <v>278.11</v>
      </c>
      <c r="Z71" s="270">
        <f>SUMIFS('COGS Break up'!$E:$E,'COGS Break up'!$A:$A,'MIS Working 1'!$D71,'COGS Break up'!$D:$D,'MIS Working 1'!$Z$1)</f>
        <v>20.62</v>
      </c>
      <c r="AA71" s="270">
        <f>SUMIFS('COGS Break up'!E:E,'COGS Break up'!A:A,'MIS Working 1'!$D:$D,'COGS Break up'!C:C,'MIS Working 1'!$AA$1)</f>
        <v>2.21</v>
      </c>
      <c r="AB71" s="270">
        <f>SUMIFS('COGS Break up'!E:E,'COGS Break up'!A:A,'MIS Working 1'!$D:$D,'COGS Break up'!C:C,$AB$1)</f>
        <v>17.73</v>
      </c>
      <c r="AC71" s="270">
        <f>SUMIFS('COGS Break up'!E:E,'COGS Break up'!A:A,'MIS Working 1'!$D:$D,'COGS Break up'!C:C,$AC$1)</f>
        <v>8.48</v>
      </c>
      <c r="AD71" s="270">
        <f>SUMIFS('COGS Break up'!$E:$E,'COGS Break up'!$A:$A,'MIS Working 1'!$D71,'COGS Break up'!$D:$D,'MIS Working 1'!$AD$1)</f>
        <v>0.17</v>
      </c>
      <c r="AE71" s="270">
        <f>SUMIFS('COGS Break up'!$E:$E,'COGS Break up'!$A:$A,'MIS Working 1'!$D71,'COGS Break up'!$D:$D,'MIS Working 1'!$AE$1)</f>
        <v>28.42</v>
      </c>
      <c r="AF71" s="271">
        <f>'MIS Working 1'!$AG71+'MIS Working 1'!$AH71+'MIS Working 1'!$AM71+'MIS Working 1'!$AL71</f>
        <v>34386.449999999997</v>
      </c>
      <c r="AG71" s="270">
        <f>'MIS Working 1'!$L71*'MIS Working 1'!$Y71</f>
        <v>29201.550000000003</v>
      </c>
      <c r="AH71" s="270">
        <f>'MIS Working 1'!$L71*'MIS Working 1'!$Z71</f>
        <v>2165.1</v>
      </c>
      <c r="AI71" s="270">
        <f t="shared" si="3"/>
        <v>232.04999999999998</v>
      </c>
      <c r="AJ71" s="270">
        <f t="shared" si="4"/>
        <v>1861.65</v>
      </c>
      <c r="AK71" s="270">
        <f t="shared" si="5"/>
        <v>890.40000000000009</v>
      </c>
      <c r="AL71" s="270">
        <f>'MIS Working 1'!$AD71*'MIS Working 1'!$L71</f>
        <v>17.850000000000001</v>
      </c>
      <c r="AM71" s="270">
        <f>'MIS Working 1'!$L71*'MIS Working 1'!$AE71+'MIS Working 1'!$AL71</f>
        <v>3001.9500000000003</v>
      </c>
    </row>
    <row r="72" spans="1:39" x14ac:dyDescent="0.3">
      <c r="A72" s="272" t="s">
        <v>1374</v>
      </c>
      <c r="B72" s="273">
        <v>45987</v>
      </c>
      <c r="C72" s="274" t="s">
        <v>1905</v>
      </c>
      <c r="D72" s="274" t="s">
        <v>1695</v>
      </c>
      <c r="E72" s="274" t="s">
        <v>1696</v>
      </c>
      <c r="F72" s="274" t="s">
        <v>18</v>
      </c>
      <c r="G72" s="274" t="s">
        <v>48</v>
      </c>
      <c r="H72" s="274" t="s">
        <v>49</v>
      </c>
      <c r="I72" s="275">
        <v>14913</v>
      </c>
      <c r="J72" s="276">
        <v>114079.03</v>
      </c>
      <c r="K72" s="275">
        <v>14913</v>
      </c>
      <c r="L72" s="275">
        <v>14913</v>
      </c>
      <c r="M72" s="273">
        <v>45987</v>
      </c>
      <c r="N72" s="276">
        <v>114084.45</v>
      </c>
      <c r="O72" s="274" t="s">
        <v>21</v>
      </c>
      <c r="P72" s="274" t="s">
        <v>22</v>
      </c>
      <c r="Q72" s="274" t="s">
        <v>660</v>
      </c>
      <c r="R72" s="274" t="str">
        <f>VLOOKUP('MIS Working 1'!$G72,Master!$H$3:$I$8,2,0)</f>
        <v>Raw Material</v>
      </c>
      <c r="S72" s="274" t="str">
        <f>VLOOKUP('MIS Working 1'!$H72,Master!B:C,2,0)</f>
        <v>RM-Eletro-Connecter</v>
      </c>
      <c r="T72" s="274" t="str">
        <f>VLOOKUP('MIS Working 1'!$S72,Master!E:F,2,0)</f>
        <v>Raw Material</v>
      </c>
      <c r="U72" s="277">
        <f>'MIS Working 1'!$N72-'MIS Working 1'!$AF72</f>
        <v>114084.45</v>
      </c>
      <c r="V72" s="278">
        <f>'MIS Working 1'!$U72/'MIS Working 1'!$N72</f>
        <v>1</v>
      </c>
      <c r="W72" s="274">
        <f>'MIS Working 1'!$N72/'MIS Working 1'!$L72</f>
        <v>7.6499999999999995</v>
      </c>
      <c r="X72" s="279">
        <f>SUM('MIS Working 1'!$Y72:$AE72)</f>
        <v>0</v>
      </c>
      <c r="Y72" s="279">
        <f>SUMIFS('COGS Break up'!$E:$E,'COGS Break up'!$A:$A,'MIS Working 1'!$D72,'COGS Break up'!$D:$D,'MIS Working 1'!$Y$1)</f>
        <v>0</v>
      </c>
      <c r="Z72" s="279">
        <f>SUMIFS('COGS Break up'!$E:$E,'COGS Break up'!$A:$A,'MIS Working 1'!$D72,'COGS Break up'!$D:$D,'MIS Working 1'!$Z$1)</f>
        <v>0</v>
      </c>
      <c r="AA72" s="279">
        <f>SUMIFS('COGS Break up'!E:E,'COGS Break up'!A:A,'MIS Working 1'!$D:$D,'COGS Break up'!C:C,'MIS Working 1'!$AA$1)</f>
        <v>0</v>
      </c>
      <c r="AB72" s="279">
        <f>SUMIFS('COGS Break up'!E:E,'COGS Break up'!A:A,'MIS Working 1'!$D:$D,'COGS Break up'!C:C,$AB$1)</f>
        <v>0</v>
      </c>
      <c r="AC72" s="279">
        <f>SUMIFS('COGS Break up'!E:E,'COGS Break up'!A:A,'MIS Working 1'!$D:$D,'COGS Break up'!C:C,$AC$1)</f>
        <v>0</v>
      </c>
      <c r="AD72" s="279">
        <f>SUMIFS('COGS Break up'!$E:$E,'COGS Break up'!$A:$A,'MIS Working 1'!$D72,'COGS Break up'!$D:$D,'MIS Working 1'!$AD$1)</f>
        <v>0</v>
      </c>
      <c r="AE72" s="279">
        <f>SUMIFS('COGS Break up'!$E:$E,'COGS Break up'!$A:$A,'MIS Working 1'!$D72,'COGS Break up'!$D:$D,'MIS Working 1'!$AE$1)</f>
        <v>0</v>
      </c>
      <c r="AF72" s="280">
        <f>'MIS Working 1'!$AG72+'MIS Working 1'!$AH72+'MIS Working 1'!$AM72+'MIS Working 1'!$AL72</f>
        <v>0</v>
      </c>
      <c r="AG72" s="279">
        <f>'MIS Working 1'!$L72*'MIS Working 1'!$Y72</f>
        <v>0</v>
      </c>
      <c r="AH72" s="279">
        <f>'MIS Working 1'!$L72*'MIS Working 1'!$Z72</f>
        <v>0</v>
      </c>
      <c r="AI72" s="279">
        <f t="shared" si="3"/>
        <v>0</v>
      </c>
      <c r="AJ72" s="279">
        <f t="shared" si="4"/>
        <v>0</v>
      </c>
      <c r="AK72" s="279">
        <f t="shared" si="5"/>
        <v>0</v>
      </c>
      <c r="AL72" s="279">
        <f>'MIS Working 1'!$AD72*'MIS Working 1'!$L72</f>
        <v>0</v>
      </c>
      <c r="AM72" s="279">
        <f>'MIS Working 1'!$L72*'MIS Working 1'!$AE72+'MIS Working 1'!$AL72</f>
        <v>0</v>
      </c>
    </row>
    <row r="73" spans="1:39" x14ac:dyDescent="0.3">
      <c r="A73" s="263" t="s">
        <v>479</v>
      </c>
      <c r="B73" s="264">
        <v>45986</v>
      </c>
      <c r="C73" s="265" t="s">
        <v>1887</v>
      </c>
      <c r="D73" s="265" t="s">
        <v>637</v>
      </c>
      <c r="E73" s="265" t="s">
        <v>638</v>
      </c>
      <c r="F73" s="265" t="s">
        <v>18</v>
      </c>
      <c r="G73" s="265" t="s">
        <v>19</v>
      </c>
      <c r="H73" s="265" t="s">
        <v>27</v>
      </c>
      <c r="I73" s="266">
        <v>985</v>
      </c>
      <c r="J73" s="267">
        <v>321375.95</v>
      </c>
      <c r="K73" s="266">
        <v>985</v>
      </c>
      <c r="L73" s="266">
        <v>985</v>
      </c>
      <c r="M73" s="264">
        <v>45986</v>
      </c>
      <c r="N73" s="267">
        <v>358106.6</v>
      </c>
      <c r="O73" s="265" t="s">
        <v>21</v>
      </c>
      <c r="P73" s="265" t="s">
        <v>22</v>
      </c>
      <c r="Q73" s="265" t="s">
        <v>660</v>
      </c>
      <c r="R73" s="265" t="str">
        <f>VLOOKUP('MIS Working 1'!$G73,Master!$H$3:$I$8,2,0)</f>
        <v>Finished Goods</v>
      </c>
      <c r="S73" s="265" t="str">
        <f>VLOOKUP('MIS Working 1'!$H73,Master!B:C,2,0)</f>
        <v>FG-PCB-CF</v>
      </c>
      <c r="T73" s="265" t="str">
        <f>VLOOKUP('MIS Working 1'!$S73,Master!E:F,2,0)</f>
        <v>FG-PCB-CF</v>
      </c>
      <c r="U73" s="268">
        <f>'MIS Working 1'!$N73-'MIS Working 1'!$AF73</f>
        <v>36484.399999999965</v>
      </c>
      <c r="V73" s="269">
        <f>'MIS Working 1'!$U73/'MIS Working 1'!$N73</f>
        <v>0.10188139509296944</v>
      </c>
      <c r="W73" s="265">
        <f>'MIS Working 1'!$N73/'MIS Working 1'!$L73</f>
        <v>363.56</v>
      </c>
      <c r="X73" s="270">
        <f>SUM('MIS Working 1'!$Y73:$AE73)</f>
        <v>359.82</v>
      </c>
      <c r="Y73" s="270">
        <f>SUMIFS('COGS Break up'!$E:$E,'COGS Break up'!$A:$A,'MIS Working 1'!$D73,'COGS Break up'!$D:$D,'MIS Working 1'!$Y$1)</f>
        <v>271.52999999999997</v>
      </c>
      <c r="Z73" s="270">
        <f>SUMIFS('COGS Break up'!$E:$E,'COGS Break up'!$A:$A,'MIS Working 1'!$D73,'COGS Break up'!$D:$D,'MIS Working 1'!$Z$1)</f>
        <v>20.94</v>
      </c>
      <c r="AA73" s="270">
        <f>SUMIFS('COGS Break up'!E:E,'COGS Break up'!A:A,'MIS Working 1'!$D:$D,'COGS Break up'!C:C,'MIS Working 1'!$AA$1)</f>
        <v>1.7100000000000002</v>
      </c>
      <c r="AB73" s="270">
        <f>SUMIFS('COGS Break up'!E:E,'COGS Break up'!A:A,'MIS Working 1'!$D:$D,'COGS Break up'!C:C,$AB$1)</f>
        <v>15.22</v>
      </c>
      <c r="AC73" s="270">
        <f>SUMIFS('COGS Break up'!E:E,'COGS Break up'!A:A,'MIS Working 1'!$D:$D,'COGS Break up'!C:C,$AC$1)</f>
        <v>16.62</v>
      </c>
      <c r="AD73" s="270">
        <f>SUMIFS('COGS Break up'!$E:$E,'COGS Break up'!$A:$A,'MIS Working 1'!$D73,'COGS Break up'!$D:$D,'MIS Working 1'!$AD$1)</f>
        <v>0.25</v>
      </c>
      <c r="AE73" s="270">
        <f>SUMIFS('COGS Break up'!$E:$E,'COGS Break up'!$A:$A,'MIS Working 1'!$D73,'COGS Break up'!$D:$D,'MIS Working 1'!$AE$1)</f>
        <v>33.550000000000004</v>
      </c>
      <c r="AF73" s="271">
        <f>'MIS Working 1'!$AG73+'MIS Working 1'!$AH73+'MIS Working 1'!$AM73+'MIS Working 1'!$AL73</f>
        <v>321622.2</v>
      </c>
      <c r="AG73" s="270">
        <f>'MIS Working 1'!$L73*'MIS Working 1'!$Y73</f>
        <v>267457.05</v>
      </c>
      <c r="AH73" s="270">
        <f>'MIS Working 1'!$L73*'MIS Working 1'!$Z73</f>
        <v>20625.900000000001</v>
      </c>
      <c r="AI73" s="270">
        <f t="shared" si="3"/>
        <v>1684.3500000000001</v>
      </c>
      <c r="AJ73" s="270">
        <f t="shared" si="4"/>
        <v>14991.7</v>
      </c>
      <c r="AK73" s="270">
        <f t="shared" si="5"/>
        <v>16370.7</v>
      </c>
      <c r="AL73" s="270">
        <f>'MIS Working 1'!$AD73*'MIS Working 1'!$L73</f>
        <v>246.25</v>
      </c>
      <c r="AM73" s="270">
        <f>'MIS Working 1'!$L73*'MIS Working 1'!$AE73+'MIS Working 1'!$AL73</f>
        <v>33293.000000000007</v>
      </c>
    </row>
    <row r="74" spans="1:39" x14ac:dyDescent="0.3">
      <c r="A74" s="272" t="s">
        <v>479</v>
      </c>
      <c r="B74" s="273">
        <v>45986</v>
      </c>
      <c r="C74" s="274" t="s">
        <v>1888</v>
      </c>
      <c r="D74" s="274" t="s">
        <v>639</v>
      </c>
      <c r="E74" s="274" t="s">
        <v>640</v>
      </c>
      <c r="F74" s="274" t="s">
        <v>18</v>
      </c>
      <c r="G74" s="274" t="s">
        <v>19</v>
      </c>
      <c r="H74" s="274" t="s">
        <v>27</v>
      </c>
      <c r="I74" s="275">
        <v>70</v>
      </c>
      <c r="J74" s="276">
        <v>45152.1</v>
      </c>
      <c r="K74" s="275">
        <v>70</v>
      </c>
      <c r="L74" s="275">
        <v>70</v>
      </c>
      <c r="M74" s="273">
        <v>45986</v>
      </c>
      <c r="N74" s="276">
        <v>50999.199999999997</v>
      </c>
      <c r="O74" s="274" t="s">
        <v>21</v>
      </c>
      <c r="P74" s="274" t="s">
        <v>22</v>
      </c>
      <c r="Q74" s="274" t="s">
        <v>660</v>
      </c>
      <c r="R74" s="274" t="str">
        <f>VLOOKUP('MIS Working 1'!$G74,Master!$H$3:$I$8,2,0)</f>
        <v>Finished Goods</v>
      </c>
      <c r="S74" s="274" t="str">
        <f>VLOOKUP('MIS Working 1'!$H74,Master!B:C,2,0)</f>
        <v>FG-PCB-CF</v>
      </c>
      <c r="T74" s="274" t="str">
        <f>VLOOKUP('MIS Working 1'!$S74,Master!E:F,2,0)</f>
        <v>FG-PCB-CF</v>
      </c>
      <c r="U74" s="277">
        <f>'MIS Working 1'!$N74-'MIS Working 1'!$AF74</f>
        <v>5817.0000000000291</v>
      </c>
      <c r="V74" s="278">
        <f>'MIS Working 1'!$U74/'MIS Working 1'!$N74</f>
        <v>0.11406061271549416</v>
      </c>
      <c r="W74" s="274">
        <f>'MIS Working 1'!$N74/'MIS Working 1'!$L74</f>
        <v>728.56</v>
      </c>
      <c r="X74" s="279">
        <f>SUM('MIS Working 1'!$Y74:$AE74)</f>
        <v>677.50999999999965</v>
      </c>
      <c r="Y74" s="279">
        <f>SUMIFS('COGS Break up'!$E:$E,'COGS Break up'!$A:$A,'MIS Working 1'!$D74,'COGS Break up'!$D:$D,'MIS Working 1'!$Y$1)</f>
        <v>582.23999999999967</v>
      </c>
      <c r="Z74" s="279">
        <f>SUMIFS('COGS Break up'!$E:$E,'COGS Break up'!$A:$A,'MIS Working 1'!$D74,'COGS Break up'!$D:$D,'MIS Working 1'!$Z$1)</f>
        <v>29.88</v>
      </c>
      <c r="AA74" s="279">
        <f>SUMIFS('COGS Break up'!E:E,'COGS Break up'!A:A,'MIS Working 1'!$D:$D,'COGS Break up'!C:C,'MIS Working 1'!$AA$1)</f>
        <v>2.4500000000000002</v>
      </c>
      <c r="AB74" s="279">
        <f>SUMIFS('COGS Break up'!E:E,'COGS Break up'!A:A,'MIS Working 1'!$D:$D,'COGS Break up'!C:C,$AB$1)</f>
        <v>21.72</v>
      </c>
      <c r="AC74" s="279">
        <f>SUMIFS('COGS Break up'!E:E,'COGS Break up'!A:A,'MIS Working 1'!$D:$D,'COGS Break up'!C:C,$AC$1)</f>
        <v>8.31</v>
      </c>
      <c r="AD74" s="279">
        <f>SUMIFS('COGS Break up'!$E:$E,'COGS Break up'!$A:$A,'MIS Working 1'!$D74,'COGS Break up'!$D:$D,'MIS Working 1'!$AD$1)</f>
        <v>0.43</v>
      </c>
      <c r="AE74" s="279">
        <f>SUMIFS('COGS Break up'!$E:$E,'COGS Break up'!$A:$A,'MIS Working 1'!$D74,'COGS Break up'!$D:$D,'MIS Working 1'!$AE$1)</f>
        <v>32.480000000000004</v>
      </c>
      <c r="AF74" s="280">
        <f>'MIS Working 1'!$AG74+'MIS Working 1'!$AH74+'MIS Working 1'!$AM74+'MIS Working 1'!$AL74</f>
        <v>45182.199999999968</v>
      </c>
      <c r="AG74" s="279">
        <f>'MIS Working 1'!$L74*'MIS Working 1'!$Y74</f>
        <v>40756.799999999974</v>
      </c>
      <c r="AH74" s="279">
        <f>'MIS Working 1'!$L74*'MIS Working 1'!$Z74</f>
        <v>2091.6</v>
      </c>
      <c r="AI74" s="279">
        <f t="shared" si="3"/>
        <v>171.5</v>
      </c>
      <c r="AJ74" s="279">
        <f t="shared" si="4"/>
        <v>1520.3999999999999</v>
      </c>
      <c r="AK74" s="279">
        <f t="shared" si="5"/>
        <v>581.70000000000005</v>
      </c>
      <c r="AL74" s="279">
        <f>'MIS Working 1'!$AD74*'MIS Working 1'!$L74</f>
        <v>30.099999999999998</v>
      </c>
      <c r="AM74" s="279">
        <f>'MIS Working 1'!$L74*'MIS Working 1'!$AE74+'MIS Working 1'!$AL74</f>
        <v>2303.7000000000003</v>
      </c>
    </row>
    <row r="75" spans="1:39" x14ac:dyDescent="0.3">
      <c r="A75" s="263" t="s">
        <v>479</v>
      </c>
      <c r="B75" s="264">
        <v>45986</v>
      </c>
      <c r="C75" s="265" t="s">
        <v>1889</v>
      </c>
      <c r="D75" s="265" t="s">
        <v>42</v>
      </c>
      <c r="E75" s="265" t="s">
        <v>43</v>
      </c>
      <c r="F75" s="265" t="s">
        <v>18</v>
      </c>
      <c r="G75" s="265" t="s">
        <v>19</v>
      </c>
      <c r="H75" s="265" t="s">
        <v>27</v>
      </c>
      <c r="I75" s="266">
        <v>1255</v>
      </c>
      <c r="J75" s="267">
        <v>410548.15</v>
      </c>
      <c r="K75" s="266">
        <v>1255</v>
      </c>
      <c r="L75" s="266">
        <v>1255</v>
      </c>
      <c r="M75" s="264">
        <v>45986</v>
      </c>
      <c r="N75" s="267">
        <v>428042.85</v>
      </c>
      <c r="O75" s="265" t="s">
        <v>21</v>
      </c>
      <c r="P75" s="265" t="s">
        <v>22</v>
      </c>
      <c r="Q75" s="265" t="s">
        <v>660</v>
      </c>
      <c r="R75" s="265" t="str">
        <f>VLOOKUP('MIS Working 1'!$G75,Master!$H$3:$I$8,2,0)</f>
        <v>Finished Goods</v>
      </c>
      <c r="S75" s="265" t="str">
        <f>VLOOKUP('MIS Working 1'!$H75,Master!B:C,2,0)</f>
        <v>FG-PCB-CF</v>
      </c>
      <c r="T75" s="265" t="str">
        <f>VLOOKUP('MIS Working 1'!$S75,Master!E:F,2,0)</f>
        <v>FG-PCB-CF</v>
      </c>
      <c r="U75" s="268">
        <f>'MIS Working 1'!$N75-'MIS Working 1'!$AF75</f>
        <v>17281.349999999919</v>
      </c>
      <c r="V75" s="269">
        <f>'MIS Working 1'!$U75/'MIS Working 1'!$N75</f>
        <v>4.037294397044576E-2</v>
      </c>
      <c r="W75" s="265">
        <f>'MIS Working 1'!$N75/'MIS Working 1'!$L75</f>
        <v>341.07</v>
      </c>
      <c r="X75" s="270">
        <f>SUM('MIS Working 1'!$Y75:$AE75)</f>
        <v>353.55</v>
      </c>
      <c r="Y75" s="270">
        <f>SUMIFS('COGS Break up'!$E:$E,'COGS Break up'!$A:$A,'MIS Working 1'!$D75,'COGS Break up'!$D:$D,'MIS Working 1'!$Y$1)</f>
        <v>278.14000000000004</v>
      </c>
      <c r="Z75" s="270">
        <f>SUMIFS('COGS Break up'!$E:$E,'COGS Break up'!$A:$A,'MIS Working 1'!$D75,'COGS Break up'!$D:$D,'MIS Working 1'!$Z$1)</f>
        <v>22.400000000000002</v>
      </c>
      <c r="AA75" s="270">
        <f>SUMIFS('COGS Break up'!E:E,'COGS Break up'!A:A,'MIS Working 1'!$D:$D,'COGS Break up'!C:C,'MIS Working 1'!$AA$1)</f>
        <v>1.8299999999999998</v>
      </c>
      <c r="AB75" s="270">
        <f>SUMIFS('COGS Break up'!E:E,'COGS Break up'!A:A,'MIS Working 1'!$D:$D,'COGS Break up'!C:C,$AB$1)</f>
        <v>16.28</v>
      </c>
      <c r="AC75" s="270">
        <f>SUMIFS('COGS Break up'!E:E,'COGS Break up'!A:A,'MIS Working 1'!$D:$D,'COGS Break up'!C:C,$AC$1)</f>
        <v>8.31</v>
      </c>
      <c r="AD75" s="270">
        <f>SUMIFS('COGS Break up'!$E:$E,'COGS Break up'!$A:$A,'MIS Working 1'!$D75,'COGS Break up'!$D:$D,'MIS Working 1'!$AD$1)</f>
        <v>0.17</v>
      </c>
      <c r="AE75" s="270">
        <f>SUMIFS('COGS Break up'!$E:$E,'COGS Break up'!$A:$A,'MIS Working 1'!$D75,'COGS Break up'!$D:$D,'MIS Working 1'!$AE$1)</f>
        <v>26.42</v>
      </c>
      <c r="AF75" s="271">
        <f>'MIS Working 1'!$AG75+'MIS Working 1'!$AH75+'MIS Working 1'!$AM75+'MIS Working 1'!$AL75</f>
        <v>410761.50000000006</v>
      </c>
      <c r="AG75" s="270">
        <f>'MIS Working 1'!$L75*'MIS Working 1'!$Y75</f>
        <v>349065.70000000007</v>
      </c>
      <c r="AH75" s="270">
        <f>'MIS Working 1'!$L75*'MIS Working 1'!$Z75</f>
        <v>28112.000000000004</v>
      </c>
      <c r="AI75" s="270">
        <f t="shared" si="3"/>
        <v>2296.6499999999996</v>
      </c>
      <c r="AJ75" s="270">
        <f t="shared" si="4"/>
        <v>20431.400000000001</v>
      </c>
      <c r="AK75" s="270">
        <f t="shared" si="5"/>
        <v>10429.050000000001</v>
      </c>
      <c r="AL75" s="270">
        <f>'MIS Working 1'!$AD75*'MIS Working 1'!$L75</f>
        <v>213.35000000000002</v>
      </c>
      <c r="AM75" s="270">
        <f>'MIS Working 1'!$L75*'MIS Working 1'!$AE75+'MIS Working 1'!$AL75</f>
        <v>33370.449999999997</v>
      </c>
    </row>
    <row r="76" spans="1:39" x14ac:dyDescent="0.3">
      <c r="A76" s="272" t="s">
        <v>479</v>
      </c>
      <c r="B76" s="273">
        <v>45986</v>
      </c>
      <c r="C76" s="274" t="s">
        <v>1889</v>
      </c>
      <c r="D76" s="274" t="s">
        <v>23</v>
      </c>
      <c r="E76" s="274" t="s">
        <v>24</v>
      </c>
      <c r="F76" s="274" t="s">
        <v>18</v>
      </c>
      <c r="G76" s="274" t="s">
        <v>19</v>
      </c>
      <c r="H76" s="274" t="s">
        <v>27</v>
      </c>
      <c r="I76" s="275">
        <v>1265</v>
      </c>
      <c r="J76" s="276">
        <v>533083.65</v>
      </c>
      <c r="K76" s="275">
        <v>1265</v>
      </c>
      <c r="L76" s="275">
        <v>1265</v>
      </c>
      <c r="M76" s="273">
        <v>45986</v>
      </c>
      <c r="N76" s="276">
        <v>611197.4</v>
      </c>
      <c r="O76" s="274" t="s">
        <v>21</v>
      </c>
      <c r="P76" s="274" t="s">
        <v>22</v>
      </c>
      <c r="Q76" s="274" t="s">
        <v>660</v>
      </c>
      <c r="R76" s="274" t="str">
        <f>VLOOKUP('MIS Working 1'!$G76,Master!$H$3:$I$8,2,0)</f>
        <v>Finished Goods</v>
      </c>
      <c r="S76" s="274" t="str">
        <f>VLOOKUP('MIS Working 1'!$H76,Master!B:C,2,0)</f>
        <v>FG-PCB-CF</v>
      </c>
      <c r="T76" s="274" t="str">
        <f>VLOOKUP('MIS Working 1'!$S76,Master!E:F,2,0)</f>
        <v>FG-PCB-CF</v>
      </c>
      <c r="U76" s="277">
        <f>'MIS Working 1'!$N76-'MIS Working 1'!$AF76</f>
        <v>77784.85000000021</v>
      </c>
      <c r="V76" s="278">
        <f>'MIS Working 1'!$U76/'MIS Working 1'!$N76</f>
        <v>0.12726632999420515</v>
      </c>
      <c r="W76" s="274">
        <f>'MIS Working 1'!$N76/'MIS Working 1'!$L76</f>
        <v>483.16</v>
      </c>
      <c r="X76" s="279">
        <f>SUM('MIS Working 1'!$Y76:$AE76)</f>
        <v>447.50999999999988</v>
      </c>
      <c r="Y76" s="279">
        <f>SUMIFS('COGS Break up'!$E:$E,'COGS Break up'!$A:$A,'MIS Working 1'!$D76,'COGS Break up'!$D:$D,'MIS Working 1'!$Y$1)</f>
        <v>373.04999999999984</v>
      </c>
      <c r="Z76" s="279">
        <f>SUMIFS('COGS Break up'!$E:$E,'COGS Break up'!$A:$A,'MIS Working 1'!$D76,'COGS Break up'!$D:$D,'MIS Working 1'!$Z$1)</f>
        <v>22</v>
      </c>
      <c r="AA76" s="279">
        <f>SUMIFS('COGS Break up'!E:E,'COGS Break up'!A:A,'MIS Working 1'!$D:$D,'COGS Break up'!C:C,'MIS Working 1'!$AA$1)</f>
        <v>1.8</v>
      </c>
      <c r="AB76" s="279">
        <f>SUMIFS('COGS Break up'!E:E,'COGS Break up'!A:A,'MIS Working 1'!$D:$D,'COGS Break up'!C:C,$AB$1)</f>
        <v>15.99</v>
      </c>
      <c r="AC76" s="279">
        <f>SUMIFS('COGS Break up'!E:E,'COGS Break up'!A:A,'MIS Working 1'!$D:$D,'COGS Break up'!C:C,$AC$1)</f>
        <v>8.31</v>
      </c>
      <c r="AD76" s="279">
        <f>SUMIFS('COGS Break up'!$E:$E,'COGS Break up'!$A:$A,'MIS Working 1'!$D76,'COGS Break up'!$D:$D,'MIS Working 1'!$AD$1)</f>
        <v>0.26</v>
      </c>
      <c r="AE76" s="279">
        <f>SUMIFS('COGS Break up'!$E:$E,'COGS Break up'!$A:$A,'MIS Working 1'!$D76,'COGS Break up'!$D:$D,'MIS Working 1'!$AE$1)</f>
        <v>26.1</v>
      </c>
      <c r="AF76" s="280">
        <f>'MIS Working 1'!$AG76+'MIS Working 1'!$AH76+'MIS Working 1'!$AM76+'MIS Working 1'!$AL76</f>
        <v>533412.54999999981</v>
      </c>
      <c r="AG76" s="279">
        <f>'MIS Working 1'!$L76*'MIS Working 1'!$Y76</f>
        <v>471908.24999999983</v>
      </c>
      <c r="AH76" s="279">
        <f>'MIS Working 1'!$L76*'MIS Working 1'!$Z76</f>
        <v>27830</v>
      </c>
      <c r="AI76" s="279">
        <f t="shared" si="3"/>
        <v>2277</v>
      </c>
      <c r="AJ76" s="279">
        <f t="shared" si="4"/>
        <v>20227.349999999999</v>
      </c>
      <c r="AK76" s="279">
        <f t="shared" si="5"/>
        <v>10512.150000000001</v>
      </c>
      <c r="AL76" s="279">
        <f>'MIS Working 1'!$AD76*'MIS Working 1'!$L76</f>
        <v>328.90000000000003</v>
      </c>
      <c r="AM76" s="279">
        <f>'MIS Working 1'!$L76*'MIS Working 1'!$AE76+'MIS Working 1'!$AL76</f>
        <v>33345.4</v>
      </c>
    </row>
    <row r="77" spans="1:39" x14ac:dyDescent="0.3">
      <c r="A77" s="263" t="s">
        <v>479</v>
      </c>
      <c r="B77" s="264">
        <v>45986</v>
      </c>
      <c r="C77" s="265" t="s">
        <v>1890</v>
      </c>
      <c r="D77" s="265" t="s">
        <v>1179</v>
      </c>
      <c r="E77" s="265" t="s">
        <v>1180</v>
      </c>
      <c r="F77" s="265" t="s">
        <v>18</v>
      </c>
      <c r="G77" s="265" t="s">
        <v>19</v>
      </c>
      <c r="H77" s="265" t="s">
        <v>27</v>
      </c>
      <c r="I77" s="266">
        <v>335</v>
      </c>
      <c r="J77" s="267">
        <v>141162.29999999999</v>
      </c>
      <c r="K77" s="266">
        <v>335</v>
      </c>
      <c r="L77" s="266">
        <v>335</v>
      </c>
      <c r="M77" s="264">
        <v>45986</v>
      </c>
      <c r="N77" s="267">
        <v>161858.6</v>
      </c>
      <c r="O77" s="265" t="s">
        <v>21</v>
      </c>
      <c r="P77" s="265" t="s">
        <v>22</v>
      </c>
      <c r="Q77" s="265" t="s">
        <v>660</v>
      </c>
      <c r="R77" s="265" t="str">
        <f>VLOOKUP('MIS Working 1'!$G77,Master!$H$3:$I$8,2,0)</f>
        <v>Finished Goods</v>
      </c>
      <c r="S77" s="265" t="str">
        <f>VLOOKUP('MIS Working 1'!$H77,Master!B:C,2,0)</f>
        <v>FG-PCB-CF</v>
      </c>
      <c r="T77" s="265" t="str">
        <f>VLOOKUP('MIS Working 1'!$S77,Master!E:F,2,0)</f>
        <v>FG-PCB-CF</v>
      </c>
      <c r="U77" s="268">
        <f>'MIS Working 1'!$N77-'MIS Working 1'!$AF77</f>
        <v>20609.200000000041</v>
      </c>
      <c r="V77" s="269">
        <f>'MIS Working 1'!$U77/'MIS Working 1'!$N77</f>
        <v>0.12732842122692301</v>
      </c>
      <c r="W77" s="265">
        <f>'MIS Working 1'!$N77/'MIS Working 1'!$L77</f>
        <v>483.16</v>
      </c>
      <c r="X77" s="270">
        <f>SUM('MIS Working 1'!$Y77:$AE77)</f>
        <v>447.47999999999985</v>
      </c>
      <c r="Y77" s="270">
        <f>SUMIFS('COGS Break up'!$E:$E,'COGS Break up'!$A:$A,'MIS Working 1'!$D77,'COGS Break up'!$D:$D,'MIS Working 1'!$Y$1)</f>
        <v>373.01999999999981</v>
      </c>
      <c r="Z77" s="270">
        <f>SUMIFS('COGS Break up'!$E:$E,'COGS Break up'!$A:$A,'MIS Working 1'!$D77,'COGS Break up'!$D:$D,'MIS Working 1'!$Z$1)</f>
        <v>22</v>
      </c>
      <c r="AA77" s="270">
        <f>SUMIFS('COGS Break up'!E:E,'COGS Break up'!A:A,'MIS Working 1'!$D:$D,'COGS Break up'!C:C,'MIS Working 1'!$AA$1)</f>
        <v>1.8</v>
      </c>
      <c r="AB77" s="270">
        <f>SUMIFS('COGS Break up'!E:E,'COGS Break up'!A:A,'MIS Working 1'!$D:$D,'COGS Break up'!C:C,$AB$1)</f>
        <v>15.99</v>
      </c>
      <c r="AC77" s="270">
        <f>SUMIFS('COGS Break up'!E:E,'COGS Break up'!A:A,'MIS Working 1'!$D:$D,'COGS Break up'!C:C,$AC$1)</f>
        <v>8.31</v>
      </c>
      <c r="AD77" s="270">
        <f>SUMIFS('COGS Break up'!$E:$E,'COGS Break up'!$A:$A,'MIS Working 1'!$D77,'COGS Break up'!$D:$D,'MIS Working 1'!$AD$1)</f>
        <v>0.26</v>
      </c>
      <c r="AE77" s="270">
        <f>SUMIFS('COGS Break up'!$E:$E,'COGS Break up'!$A:$A,'MIS Working 1'!$D77,'COGS Break up'!$D:$D,'MIS Working 1'!$AE$1)</f>
        <v>26.1</v>
      </c>
      <c r="AF77" s="271">
        <f>'MIS Working 1'!$AG77+'MIS Working 1'!$AH77+'MIS Working 1'!$AM77+'MIS Working 1'!$AL77</f>
        <v>141249.39999999997</v>
      </c>
      <c r="AG77" s="270">
        <f>'MIS Working 1'!$L77*'MIS Working 1'!$Y77</f>
        <v>124961.69999999994</v>
      </c>
      <c r="AH77" s="270">
        <f>'MIS Working 1'!$L77*'MIS Working 1'!$Z77</f>
        <v>7370</v>
      </c>
      <c r="AI77" s="270">
        <f t="shared" si="3"/>
        <v>603</v>
      </c>
      <c r="AJ77" s="270">
        <f t="shared" si="4"/>
        <v>5356.65</v>
      </c>
      <c r="AK77" s="270">
        <f t="shared" si="5"/>
        <v>2783.8500000000004</v>
      </c>
      <c r="AL77" s="270">
        <f>'MIS Working 1'!$AD77*'MIS Working 1'!$L77</f>
        <v>87.100000000000009</v>
      </c>
      <c r="AM77" s="270">
        <f>'MIS Working 1'!$L77*'MIS Working 1'!$AE77+'MIS Working 1'!$AL77</f>
        <v>8830.6</v>
      </c>
    </row>
    <row r="78" spans="1:39" x14ac:dyDescent="0.3">
      <c r="A78" s="272" t="s">
        <v>479</v>
      </c>
      <c r="B78" s="273">
        <v>45986</v>
      </c>
      <c r="C78" s="274" t="s">
        <v>1888</v>
      </c>
      <c r="D78" s="274" t="s">
        <v>38</v>
      </c>
      <c r="E78" s="274" t="s">
        <v>39</v>
      </c>
      <c r="F78" s="274" t="s">
        <v>18</v>
      </c>
      <c r="G78" s="274" t="s">
        <v>19</v>
      </c>
      <c r="H78" s="274" t="s">
        <v>27</v>
      </c>
      <c r="I78" s="275">
        <v>1030</v>
      </c>
      <c r="J78" s="276">
        <v>336943.9</v>
      </c>
      <c r="K78" s="275">
        <v>1030</v>
      </c>
      <c r="L78" s="275">
        <v>1030</v>
      </c>
      <c r="M78" s="273">
        <v>45986</v>
      </c>
      <c r="N78" s="276">
        <v>351302.1</v>
      </c>
      <c r="O78" s="274" t="s">
        <v>21</v>
      </c>
      <c r="P78" s="274" t="s">
        <v>22</v>
      </c>
      <c r="Q78" s="274" t="s">
        <v>660</v>
      </c>
      <c r="R78" s="274" t="str">
        <f>VLOOKUP('MIS Working 1'!$G78,Master!$H$3:$I$8,2,0)</f>
        <v>Finished Goods</v>
      </c>
      <c r="S78" s="274" t="str">
        <f>VLOOKUP('MIS Working 1'!$H78,Master!B:C,2,0)</f>
        <v>FG-PCB-CF</v>
      </c>
      <c r="T78" s="274" t="str">
        <f>VLOOKUP('MIS Working 1'!$S78,Master!E:F,2,0)</f>
        <v>FG-PCB-CF</v>
      </c>
      <c r="U78" s="277">
        <f>'MIS Working 1'!$N78-'MIS Working 1'!$AF78</f>
        <v>14183.099999999977</v>
      </c>
      <c r="V78" s="278">
        <f>'MIS Working 1'!$U78/'MIS Working 1'!$N78</f>
        <v>4.0372943970445885E-2</v>
      </c>
      <c r="W78" s="274">
        <f>'MIS Working 1'!$N78/'MIS Working 1'!$L78</f>
        <v>341.07</v>
      </c>
      <c r="X78" s="279">
        <f>SUM('MIS Working 1'!$Y78:$AE78)</f>
        <v>353.55</v>
      </c>
      <c r="Y78" s="279">
        <f>SUMIFS('COGS Break up'!$E:$E,'COGS Break up'!$A:$A,'MIS Working 1'!$D78,'COGS Break up'!$D:$D,'MIS Working 1'!$Y$1)</f>
        <v>278.14</v>
      </c>
      <c r="Z78" s="279">
        <f>SUMIFS('COGS Break up'!$E:$E,'COGS Break up'!$A:$A,'MIS Working 1'!$D78,'COGS Break up'!$D:$D,'MIS Working 1'!$Z$1)</f>
        <v>22.400000000000002</v>
      </c>
      <c r="AA78" s="279">
        <f>SUMIFS('COGS Break up'!E:E,'COGS Break up'!A:A,'MIS Working 1'!$D:$D,'COGS Break up'!C:C,'MIS Working 1'!$AA$1)</f>
        <v>1.8299999999999998</v>
      </c>
      <c r="AB78" s="279">
        <f>SUMIFS('COGS Break up'!E:E,'COGS Break up'!A:A,'MIS Working 1'!$D:$D,'COGS Break up'!C:C,$AB$1)</f>
        <v>16.28</v>
      </c>
      <c r="AC78" s="279">
        <f>SUMIFS('COGS Break up'!E:E,'COGS Break up'!A:A,'MIS Working 1'!$D:$D,'COGS Break up'!C:C,$AC$1)</f>
        <v>8.31</v>
      </c>
      <c r="AD78" s="279">
        <f>SUMIFS('COGS Break up'!$E:$E,'COGS Break up'!$A:$A,'MIS Working 1'!$D78,'COGS Break up'!$D:$D,'MIS Working 1'!$AD$1)</f>
        <v>0.17</v>
      </c>
      <c r="AE78" s="279">
        <f>SUMIFS('COGS Break up'!$E:$E,'COGS Break up'!$A:$A,'MIS Working 1'!$D78,'COGS Break up'!$D:$D,'MIS Working 1'!$AE$1)</f>
        <v>26.42</v>
      </c>
      <c r="AF78" s="280">
        <f>'MIS Working 1'!$AG78+'MIS Working 1'!$AH78+'MIS Working 1'!$AM78+'MIS Working 1'!$AL78</f>
        <v>337119</v>
      </c>
      <c r="AG78" s="279">
        <f>'MIS Working 1'!$L78*'MIS Working 1'!$Y78</f>
        <v>286484.2</v>
      </c>
      <c r="AH78" s="279">
        <f>'MIS Working 1'!$L78*'MIS Working 1'!$Z78</f>
        <v>23072.000000000004</v>
      </c>
      <c r="AI78" s="279">
        <f t="shared" si="3"/>
        <v>1884.8999999999999</v>
      </c>
      <c r="AJ78" s="279">
        <f t="shared" si="4"/>
        <v>16768.400000000001</v>
      </c>
      <c r="AK78" s="279">
        <f t="shared" si="5"/>
        <v>8559.3000000000011</v>
      </c>
      <c r="AL78" s="279">
        <f>'MIS Working 1'!$AD78*'MIS Working 1'!$L78</f>
        <v>175.10000000000002</v>
      </c>
      <c r="AM78" s="279">
        <f>'MIS Working 1'!$L78*'MIS Working 1'!$AE78+'MIS Working 1'!$AL78</f>
        <v>27387.7</v>
      </c>
    </row>
    <row r="79" spans="1:39" x14ac:dyDescent="0.3">
      <c r="A79" s="263" t="s">
        <v>479</v>
      </c>
      <c r="B79" s="264">
        <v>45986</v>
      </c>
      <c r="C79" s="265" t="s">
        <v>1889</v>
      </c>
      <c r="D79" s="265" t="s">
        <v>38</v>
      </c>
      <c r="E79" s="265" t="s">
        <v>39</v>
      </c>
      <c r="F79" s="265" t="s">
        <v>18</v>
      </c>
      <c r="G79" s="265" t="s">
        <v>19</v>
      </c>
      <c r="H79" s="265" t="s">
        <v>27</v>
      </c>
      <c r="I79" s="266">
        <v>3455</v>
      </c>
      <c r="J79" s="267">
        <v>1130234.1499999999</v>
      </c>
      <c r="K79" s="266">
        <v>3455</v>
      </c>
      <c r="L79" s="266">
        <v>3455</v>
      </c>
      <c r="M79" s="264">
        <v>45986</v>
      </c>
      <c r="N79" s="267">
        <v>1178396.8500000001</v>
      </c>
      <c r="O79" s="265" t="s">
        <v>21</v>
      </c>
      <c r="P79" s="265" t="s">
        <v>22</v>
      </c>
      <c r="Q79" s="265" t="s">
        <v>660</v>
      </c>
      <c r="R79" s="265" t="str">
        <f>VLOOKUP('MIS Working 1'!$G79,Master!$H$3:$I$8,2,0)</f>
        <v>Finished Goods</v>
      </c>
      <c r="S79" s="265" t="str">
        <f>VLOOKUP('MIS Working 1'!$H79,Master!B:C,2,0)</f>
        <v>FG-PCB-CF</v>
      </c>
      <c r="T79" s="265" t="str">
        <f>VLOOKUP('MIS Working 1'!$S79,Master!E:F,2,0)</f>
        <v>FG-PCB-CF</v>
      </c>
      <c r="U79" s="268">
        <f>'MIS Working 1'!$N79-'MIS Working 1'!$AF79</f>
        <v>47575.350000000093</v>
      </c>
      <c r="V79" s="269">
        <f>'MIS Working 1'!$U79/'MIS Working 1'!$N79</f>
        <v>4.0372943970446024E-2</v>
      </c>
      <c r="W79" s="265">
        <f>'MIS Working 1'!$N79/'MIS Working 1'!$L79</f>
        <v>341.07000000000005</v>
      </c>
      <c r="X79" s="270">
        <f>SUM('MIS Working 1'!$Y79:$AE79)</f>
        <v>353.55</v>
      </c>
      <c r="Y79" s="270">
        <f>SUMIFS('COGS Break up'!$E:$E,'COGS Break up'!$A:$A,'MIS Working 1'!$D79,'COGS Break up'!$D:$D,'MIS Working 1'!$Y$1)</f>
        <v>278.14</v>
      </c>
      <c r="Z79" s="270">
        <f>SUMIFS('COGS Break up'!$E:$E,'COGS Break up'!$A:$A,'MIS Working 1'!$D79,'COGS Break up'!$D:$D,'MIS Working 1'!$Z$1)</f>
        <v>22.400000000000002</v>
      </c>
      <c r="AA79" s="270">
        <f>SUMIFS('COGS Break up'!E:E,'COGS Break up'!A:A,'MIS Working 1'!$D:$D,'COGS Break up'!C:C,'MIS Working 1'!$AA$1)</f>
        <v>1.8299999999999998</v>
      </c>
      <c r="AB79" s="270">
        <f>SUMIFS('COGS Break up'!E:E,'COGS Break up'!A:A,'MIS Working 1'!$D:$D,'COGS Break up'!C:C,$AB$1)</f>
        <v>16.28</v>
      </c>
      <c r="AC79" s="270">
        <f>SUMIFS('COGS Break up'!E:E,'COGS Break up'!A:A,'MIS Working 1'!$D:$D,'COGS Break up'!C:C,$AC$1)</f>
        <v>8.31</v>
      </c>
      <c r="AD79" s="270">
        <f>SUMIFS('COGS Break up'!$E:$E,'COGS Break up'!$A:$A,'MIS Working 1'!$D79,'COGS Break up'!$D:$D,'MIS Working 1'!$AD$1)</f>
        <v>0.17</v>
      </c>
      <c r="AE79" s="270">
        <f>SUMIFS('COGS Break up'!$E:$E,'COGS Break up'!$A:$A,'MIS Working 1'!$D79,'COGS Break up'!$D:$D,'MIS Working 1'!$AE$1)</f>
        <v>26.42</v>
      </c>
      <c r="AF79" s="271">
        <f>'MIS Working 1'!$AG79+'MIS Working 1'!$AH79+'MIS Working 1'!$AM79+'MIS Working 1'!$AL79</f>
        <v>1130821.5</v>
      </c>
      <c r="AG79" s="270">
        <f>'MIS Working 1'!$L79*'MIS Working 1'!$Y79</f>
        <v>960973.7</v>
      </c>
      <c r="AH79" s="270">
        <f>'MIS Working 1'!$L79*'MIS Working 1'!$Z79</f>
        <v>77392.000000000015</v>
      </c>
      <c r="AI79" s="270">
        <f t="shared" si="3"/>
        <v>6322.65</v>
      </c>
      <c r="AJ79" s="270">
        <f t="shared" si="4"/>
        <v>56247.4</v>
      </c>
      <c r="AK79" s="270">
        <f t="shared" si="5"/>
        <v>28711.050000000003</v>
      </c>
      <c r="AL79" s="270">
        <f>'MIS Working 1'!$AD79*'MIS Working 1'!$L79</f>
        <v>587.35</v>
      </c>
      <c r="AM79" s="270">
        <f>'MIS Working 1'!$L79*'MIS Working 1'!$AE79+'MIS Working 1'!$AL79</f>
        <v>91868.450000000012</v>
      </c>
    </row>
    <row r="80" spans="1:39" x14ac:dyDescent="0.3">
      <c r="A80" s="272" t="s">
        <v>479</v>
      </c>
      <c r="B80" s="273">
        <v>45986</v>
      </c>
      <c r="C80" s="274" t="s">
        <v>1891</v>
      </c>
      <c r="D80" s="274" t="s">
        <v>38</v>
      </c>
      <c r="E80" s="274" t="s">
        <v>39</v>
      </c>
      <c r="F80" s="274" t="s">
        <v>18</v>
      </c>
      <c r="G80" s="274" t="s">
        <v>19</v>
      </c>
      <c r="H80" s="274" t="s">
        <v>27</v>
      </c>
      <c r="I80" s="275">
        <v>840</v>
      </c>
      <c r="J80" s="276">
        <v>274789.2</v>
      </c>
      <c r="K80" s="275">
        <v>840</v>
      </c>
      <c r="L80" s="275">
        <v>840</v>
      </c>
      <c r="M80" s="273">
        <v>45986</v>
      </c>
      <c r="N80" s="276">
        <v>286498.8</v>
      </c>
      <c r="O80" s="274" t="s">
        <v>21</v>
      </c>
      <c r="P80" s="274" t="s">
        <v>22</v>
      </c>
      <c r="Q80" s="274" t="s">
        <v>660</v>
      </c>
      <c r="R80" s="274" t="str">
        <f>VLOOKUP('MIS Working 1'!$G80,Master!$H$3:$I$8,2,0)</f>
        <v>Finished Goods</v>
      </c>
      <c r="S80" s="274" t="str">
        <f>VLOOKUP('MIS Working 1'!$H80,Master!B:C,2,0)</f>
        <v>FG-PCB-CF</v>
      </c>
      <c r="T80" s="274" t="str">
        <f>VLOOKUP('MIS Working 1'!$S80,Master!E:F,2,0)</f>
        <v>FG-PCB-CF</v>
      </c>
      <c r="U80" s="277">
        <f>'MIS Working 1'!$N80-'MIS Working 1'!$AF80</f>
        <v>11566.800000000047</v>
      </c>
      <c r="V80" s="278">
        <f>'MIS Working 1'!$U80/'MIS Working 1'!$N80</f>
        <v>4.0372943970446114E-2</v>
      </c>
      <c r="W80" s="274">
        <f>'MIS Working 1'!$N80/'MIS Working 1'!$L80</f>
        <v>341.07</v>
      </c>
      <c r="X80" s="279">
        <f>SUM('MIS Working 1'!$Y80:$AE80)</f>
        <v>353.55</v>
      </c>
      <c r="Y80" s="279">
        <f>SUMIFS('COGS Break up'!$E:$E,'COGS Break up'!$A:$A,'MIS Working 1'!$D80,'COGS Break up'!$D:$D,'MIS Working 1'!$Y$1)</f>
        <v>278.14</v>
      </c>
      <c r="Z80" s="279">
        <f>SUMIFS('COGS Break up'!$E:$E,'COGS Break up'!$A:$A,'MIS Working 1'!$D80,'COGS Break up'!$D:$D,'MIS Working 1'!$Z$1)</f>
        <v>22.400000000000002</v>
      </c>
      <c r="AA80" s="279">
        <f>SUMIFS('COGS Break up'!E:E,'COGS Break up'!A:A,'MIS Working 1'!$D:$D,'COGS Break up'!C:C,'MIS Working 1'!$AA$1)</f>
        <v>1.8299999999999998</v>
      </c>
      <c r="AB80" s="279">
        <f>SUMIFS('COGS Break up'!E:E,'COGS Break up'!A:A,'MIS Working 1'!$D:$D,'COGS Break up'!C:C,$AB$1)</f>
        <v>16.28</v>
      </c>
      <c r="AC80" s="279">
        <f>SUMIFS('COGS Break up'!E:E,'COGS Break up'!A:A,'MIS Working 1'!$D:$D,'COGS Break up'!C:C,$AC$1)</f>
        <v>8.31</v>
      </c>
      <c r="AD80" s="279">
        <f>SUMIFS('COGS Break up'!$E:$E,'COGS Break up'!$A:$A,'MIS Working 1'!$D80,'COGS Break up'!$D:$D,'MIS Working 1'!$AD$1)</f>
        <v>0.17</v>
      </c>
      <c r="AE80" s="279">
        <f>SUMIFS('COGS Break up'!$E:$E,'COGS Break up'!$A:$A,'MIS Working 1'!$D80,'COGS Break up'!$D:$D,'MIS Working 1'!$AE$1)</f>
        <v>26.42</v>
      </c>
      <c r="AF80" s="280">
        <f>'MIS Working 1'!$AG80+'MIS Working 1'!$AH80+'MIS Working 1'!$AM80+'MIS Working 1'!$AL80</f>
        <v>274931.99999999994</v>
      </c>
      <c r="AG80" s="279">
        <f>'MIS Working 1'!$L80*'MIS Working 1'!$Y80</f>
        <v>233637.59999999998</v>
      </c>
      <c r="AH80" s="279">
        <f>'MIS Working 1'!$L80*'MIS Working 1'!$Z80</f>
        <v>18816</v>
      </c>
      <c r="AI80" s="279">
        <f t="shared" si="3"/>
        <v>1537.1999999999998</v>
      </c>
      <c r="AJ80" s="279">
        <f t="shared" si="4"/>
        <v>13675.2</v>
      </c>
      <c r="AK80" s="279">
        <f t="shared" si="5"/>
        <v>6980.4000000000005</v>
      </c>
      <c r="AL80" s="279">
        <f>'MIS Working 1'!$AD80*'MIS Working 1'!$L80</f>
        <v>142.80000000000001</v>
      </c>
      <c r="AM80" s="279">
        <f>'MIS Working 1'!$L80*'MIS Working 1'!$AE80+'MIS Working 1'!$AL80</f>
        <v>22335.600000000002</v>
      </c>
    </row>
    <row r="81" spans="1:39" x14ac:dyDescent="0.3">
      <c r="A81" s="263" t="s">
        <v>479</v>
      </c>
      <c r="B81" s="264">
        <v>45986</v>
      </c>
      <c r="C81" s="265" t="s">
        <v>1889</v>
      </c>
      <c r="D81" s="265" t="s">
        <v>378</v>
      </c>
      <c r="E81" s="265" t="s">
        <v>379</v>
      </c>
      <c r="F81" s="265" t="s">
        <v>18</v>
      </c>
      <c r="G81" s="265" t="s">
        <v>19</v>
      </c>
      <c r="H81" s="265" t="s">
        <v>27</v>
      </c>
      <c r="I81" s="266">
        <v>140</v>
      </c>
      <c r="J81" s="267">
        <v>45528</v>
      </c>
      <c r="K81" s="266">
        <v>140</v>
      </c>
      <c r="L81" s="266">
        <v>140</v>
      </c>
      <c r="M81" s="264">
        <v>45986</v>
      </c>
      <c r="N81" s="267">
        <v>49702.8</v>
      </c>
      <c r="O81" s="265" t="s">
        <v>21</v>
      </c>
      <c r="P81" s="265" t="s">
        <v>22</v>
      </c>
      <c r="Q81" s="265" t="s">
        <v>660</v>
      </c>
      <c r="R81" s="265" t="str">
        <f>VLOOKUP('MIS Working 1'!$G81,Master!$H$3:$I$8,2,0)</f>
        <v>Finished Goods</v>
      </c>
      <c r="S81" s="265" t="str">
        <f>VLOOKUP('MIS Working 1'!$H81,Master!B:C,2,0)</f>
        <v>FG-PCB-CF</v>
      </c>
      <c r="T81" s="265" t="str">
        <f>VLOOKUP('MIS Working 1'!$S81,Master!E:F,2,0)</f>
        <v>FG-PCB-CF</v>
      </c>
      <c r="U81" s="268">
        <f>'MIS Working 1'!$N81-'MIS Working 1'!$AF81</f>
        <v>4138.4000000000087</v>
      </c>
      <c r="V81" s="269">
        <f>'MIS Working 1'!$U81/'MIS Working 1'!$N81</f>
        <v>8.3262914765365501E-2</v>
      </c>
      <c r="W81" s="265">
        <f>'MIS Working 1'!$N81/'MIS Working 1'!$L81</f>
        <v>355.02000000000004</v>
      </c>
      <c r="X81" s="270">
        <f>SUM('MIS Working 1'!$Y81:$AE81)</f>
        <v>354.76999999999992</v>
      </c>
      <c r="Y81" s="270">
        <f>SUMIFS('COGS Break up'!$E:$E,'COGS Break up'!$A:$A,'MIS Working 1'!$D81,'COGS Break up'!$D:$D,'MIS Working 1'!$Y$1)</f>
        <v>271.52999999999997</v>
      </c>
      <c r="Z81" s="270">
        <f>SUMIFS('COGS Break up'!$E:$E,'COGS Break up'!$A:$A,'MIS Working 1'!$D81,'COGS Break up'!$D:$D,'MIS Working 1'!$Z$1)</f>
        <v>23.84</v>
      </c>
      <c r="AA81" s="270">
        <f>SUMIFS('COGS Break up'!E:E,'COGS Break up'!A:A,'MIS Working 1'!$D:$D,'COGS Break up'!C:C,'MIS Working 1'!$AA$1)</f>
        <v>1.9500000000000002</v>
      </c>
      <c r="AB81" s="270">
        <f>SUMIFS('COGS Break up'!E:E,'COGS Break up'!A:A,'MIS Working 1'!$D:$D,'COGS Break up'!C:C,$AB$1)</f>
        <v>17.329999999999998</v>
      </c>
      <c r="AC81" s="270">
        <f>SUMIFS('COGS Break up'!E:E,'COGS Break up'!A:A,'MIS Working 1'!$D:$D,'COGS Break up'!C:C,$AC$1)</f>
        <v>10.29</v>
      </c>
      <c r="AD81" s="270">
        <f>SUMIFS('COGS Break up'!$E:$E,'COGS Break up'!$A:$A,'MIS Working 1'!$D81,'COGS Break up'!$D:$D,'MIS Working 1'!$AD$1)</f>
        <v>0.26</v>
      </c>
      <c r="AE81" s="270">
        <f>SUMIFS('COGS Break up'!$E:$E,'COGS Break up'!$A:$A,'MIS Working 1'!$D81,'COGS Break up'!$D:$D,'MIS Working 1'!$AE$1)</f>
        <v>29.569999999999997</v>
      </c>
      <c r="AF81" s="271">
        <f>'MIS Working 1'!$AG81+'MIS Working 1'!$AH81+'MIS Working 1'!$AM81+'MIS Working 1'!$AL81</f>
        <v>45564.399999999994</v>
      </c>
      <c r="AG81" s="270">
        <f>'MIS Working 1'!$L81*'MIS Working 1'!$Y81</f>
        <v>38014.199999999997</v>
      </c>
      <c r="AH81" s="270">
        <f>'MIS Working 1'!$L81*'MIS Working 1'!$Z81</f>
        <v>3337.6</v>
      </c>
      <c r="AI81" s="270">
        <f t="shared" si="3"/>
        <v>273</v>
      </c>
      <c r="AJ81" s="270">
        <f t="shared" si="4"/>
        <v>2426.1999999999998</v>
      </c>
      <c r="AK81" s="270">
        <f t="shared" si="5"/>
        <v>1440.6</v>
      </c>
      <c r="AL81" s="270">
        <f>'MIS Working 1'!$AD81*'MIS Working 1'!$L81</f>
        <v>36.4</v>
      </c>
      <c r="AM81" s="270">
        <f>'MIS Working 1'!$L81*'MIS Working 1'!$AE81+'MIS Working 1'!$AL81</f>
        <v>4176.1999999999989</v>
      </c>
    </row>
    <row r="82" spans="1:39" x14ac:dyDescent="0.3">
      <c r="A82" s="272" t="s">
        <v>479</v>
      </c>
      <c r="B82" s="273">
        <v>45986</v>
      </c>
      <c r="C82" s="274" t="s">
        <v>1891</v>
      </c>
      <c r="D82" s="274" t="s">
        <v>378</v>
      </c>
      <c r="E82" s="274" t="s">
        <v>379</v>
      </c>
      <c r="F82" s="274" t="s">
        <v>18</v>
      </c>
      <c r="G82" s="274" t="s">
        <v>19</v>
      </c>
      <c r="H82" s="274" t="s">
        <v>27</v>
      </c>
      <c r="I82" s="275">
        <v>220</v>
      </c>
      <c r="J82" s="276">
        <v>71544</v>
      </c>
      <c r="K82" s="275">
        <v>220</v>
      </c>
      <c r="L82" s="275">
        <v>220</v>
      </c>
      <c r="M82" s="273">
        <v>45986</v>
      </c>
      <c r="N82" s="276">
        <v>78104.399999999994</v>
      </c>
      <c r="O82" s="274" t="s">
        <v>21</v>
      </c>
      <c r="P82" s="274" t="s">
        <v>22</v>
      </c>
      <c r="Q82" s="274" t="s">
        <v>660</v>
      </c>
      <c r="R82" s="274" t="str">
        <f>VLOOKUP('MIS Working 1'!$G82,Master!$H$3:$I$8,2,0)</f>
        <v>Finished Goods</v>
      </c>
      <c r="S82" s="274" t="str">
        <f>VLOOKUP('MIS Working 1'!$H82,Master!B:C,2,0)</f>
        <v>FG-PCB-CF</v>
      </c>
      <c r="T82" s="274" t="str">
        <f>VLOOKUP('MIS Working 1'!$S82,Master!E:F,2,0)</f>
        <v>FG-PCB-CF</v>
      </c>
      <c r="U82" s="277">
        <f>'MIS Working 1'!$N82-'MIS Working 1'!$AF82</f>
        <v>6503.1999999999971</v>
      </c>
      <c r="V82" s="278">
        <f>'MIS Working 1'!$U82/'MIS Working 1'!$N82</f>
        <v>8.3262914765365306E-2</v>
      </c>
      <c r="W82" s="274">
        <f>'MIS Working 1'!$N82/'MIS Working 1'!$L82</f>
        <v>355.02</v>
      </c>
      <c r="X82" s="279">
        <f>SUM('MIS Working 1'!$Y82:$AE82)</f>
        <v>354.76999999999992</v>
      </c>
      <c r="Y82" s="279">
        <f>SUMIFS('COGS Break up'!$E:$E,'COGS Break up'!$A:$A,'MIS Working 1'!$D82,'COGS Break up'!$D:$D,'MIS Working 1'!$Y$1)</f>
        <v>271.52999999999997</v>
      </c>
      <c r="Z82" s="279">
        <f>SUMIFS('COGS Break up'!$E:$E,'COGS Break up'!$A:$A,'MIS Working 1'!$D82,'COGS Break up'!$D:$D,'MIS Working 1'!$Z$1)</f>
        <v>23.84</v>
      </c>
      <c r="AA82" s="279">
        <f>SUMIFS('COGS Break up'!E:E,'COGS Break up'!A:A,'MIS Working 1'!$D:$D,'COGS Break up'!C:C,'MIS Working 1'!$AA$1)</f>
        <v>1.9500000000000002</v>
      </c>
      <c r="AB82" s="279">
        <f>SUMIFS('COGS Break up'!E:E,'COGS Break up'!A:A,'MIS Working 1'!$D:$D,'COGS Break up'!C:C,$AB$1)</f>
        <v>17.329999999999998</v>
      </c>
      <c r="AC82" s="279">
        <f>SUMIFS('COGS Break up'!E:E,'COGS Break up'!A:A,'MIS Working 1'!$D:$D,'COGS Break up'!C:C,$AC$1)</f>
        <v>10.29</v>
      </c>
      <c r="AD82" s="279">
        <f>SUMIFS('COGS Break up'!$E:$E,'COGS Break up'!$A:$A,'MIS Working 1'!$D82,'COGS Break up'!$D:$D,'MIS Working 1'!$AD$1)</f>
        <v>0.26</v>
      </c>
      <c r="AE82" s="279">
        <f>SUMIFS('COGS Break up'!$E:$E,'COGS Break up'!$A:$A,'MIS Working 1'!$D82,'COGS Break up'!$D:$D,'MIS Working 1'!$AE$1)</f>
        <v>29.569999999999997</v>
      </c>
      <c r="AF82" s="280">
        <f>'MIS Working 1'!$AG82+'MIS Working 1'!$AH82+'MIS Working 1'!$AM82+'MIS Working 1'!$AL82</f>
        <v>71601.2</v>
      </c>
      <c r="AG82" s="279">
        <f>'MIS Working 1'!$L82*'MIS Working 1'!$Y82</f>
        <v>59736.599999999991</v>
      </c>
      <c r="AH82" s="279">
        <f>'MIS Working 1'!$L82*'MIS Working 1'!$Z82</f>
        <v>5244.8</v>
      </c>
      <c r="AI82" s="279">
        <f t="shared" si="3"/>
        <v>429.00000000000006</v>
      </c>
      <c r="AJ82" s="279">
        <f t="shared" si="4"/>
        <v>3812.5999999999995</v>
      </c>
      <c r="AK82" s="279">
        <f t="shared" si="5"/>
        <v>2263.7999999999997</v>
      </c>
      <c r="AL82" s="279">
        <f>'MIS Working 1'!$AD82*'MIS Working 1'!$L82</f>
        <v>57.2</v>
      </c>
      <c r="AM82" s="279">
        <f>'MIS Working 1'!$L82*'MIS Working 1'!$AE82+'MIS Working 1'!$AL82</f>
        <v>6562.5999999999995</v>
      </c>
    </row>
    <row r="83" spans="1:39" x14ac:dyDescent="0.3">
      <c r="A83" s="263" t="s">
        <v>479</v>
      </c>
      <c r="B83" s="264">
        <v>45986</v>
      </c>
      <c r="C83" s="265" t="s">
        <v>1888</v>
      </c>
      <c r="D83" s="265" t="s">
        <v>380</v>
      </c>
      <c r="E83" s="265" t="s">
        <v>381</v>
      </c>
      <c r="F83" s="265" t="s">
        <v>18</v>
      </c>
      <c r="G83" s="265" t="s">
        <v>19</v>
      </c>
      <c r="H83" s="265" t="s">
        <v>27</v>
      </c>
      <c r="I83" s="266">
        <v>560</v>
      </c>
      <c r="J83" s="267">
        <v>121296</v>
      </c>
      <c r="K83" s="266">
        <v>560</v>
      </c>
      <c r="L83" s="266">
        <v>560</v>
      </c>
      <c r="M83" s="264">
        <v>45986</v>
      </c>
      <c r="N83" s="267">
        <v>124236</v>
      </c>
      <c r="O83" s="265" t="s">
        <v>21</v>
      </c>
      <c r="P83" s="265" t="s">
        <v>22</v>
      </c>
      <c r="Q83" s="265" t="s">
        <v>660</v>
      </c>
      <c r="R83" s="265" t="str">
        <f>VLOOKUP('MIS Working 1'!$G83,Master!$H$3:$I$8,2,0)</f>
        <v>Finished Goods</v>
      </c>
      <c r="S83" s="265" t="str">
        <f>VLOOKUP('MIS Working 1'!$H83,Master!B:C,2,0)</f>
        <v>FG-PCB-CF</v>
      </c>
      <c r="T83" s="265" t="str">
        <f>VLOOKUP('MIS Working 1'!$S83,Master!E:F,2,0)</f>
        <v>FG-PCB-CF</v>
      </c>
      <c r="U83" s="268">
        <f>'MIS Working 1'!$N83-'MIS Working 1'!$AF83</f>
        <v>2917.6000000000349</v>
      </c>
      <c r="V83" s="269">
        <f>'MIS Working 1'!$U83/'MIS Working 1'!$N83</f>
        <v>2.3484336263241208E-2</v>
      </c>
      <c r="W83" s="265">
        <f>'MIS Working 1'!$N83/'MIS Working 1'!$L83</f>
        <v>221.85</v>
      </c>
      <c r="X83" s="270">
        <f>SUM('MIS Working 1'!$Y83:$AE83)</f>
        <v>239.77999999999994</v>
      </c>
      <c r="Y83" s="270">
        <f>SUMIFS('COGS Break up'!$E:$E,'COGS Break up'!$A:$A,'MIS Working 1'!$D83,'COGS Break up'!$D:$D,'MIS Working 1'!$Y$1)</f>
        <v>174.98999999999995</v>
      </c>
      <c r="Z83" s="270">
        <f>SUMIFS('COGS Break up'!$E:$E,'COGS Break up'!$A:$A,'MIS Working 1'!$D83,'COGS Break up'!$D:$D,'MIS Working 1'!$Z$1)</f>
        <v>18.389999999999997</v>
      </c>
      <c r="AA83" s="270">
        <f>SUMIFS('COGS Break up'!E:E,'COGS Break up'!A:A,'MIS Working 1'!$D:$D,'COGS Break up'!C:C,'MIS Working 1'!$AA$1)</f>
        <v>1.5</v>
      </c>
      <c r="AB83" s="270">
        <f>SUMIFS('COGS Break up'!E:E,'COGS Break up'!A:A,'MIS Working 1'!$D:$D,'COGS Break up'!C:C,$AB$1)</f>
        <v>13.37</v>
      </c>
      <c r="AC83" s="270">
        <f>SUMIFS('COGS Break up'!E:E,'COGS Break up'!A:A,'MIS Working 1'!$D:$D,'COGS Break up'!C:C,$AC$1)</f>
        <v>8.31</v>
      </c>
      <c r="AD83" s="270">
        <f>SUMIFS('COGS Break up'!$E:$E,'COGS Break up'!$A:$A,'MIS Working 1'!$D83,'COGS Break up'!$D:$D,'MIS Working 1'!$AD$1)</f>
        <v>0.04</v>
      </c>
      <c r="AE83" s="270">
        <f>SUMIFS('COGS Break up'!$E:$E,'COGS Break up'!$A:$A,'MIS Working 1'!$D83,'COGS Break up'!$D:$D,'MIS Working 1'!$AE$1)</f>
        <v>23.18</v>
      </c>
      <c r="AF83" s="271">
        <f>'MIS Working 1'!$AG83+'MIS Working 1'!$AH83+'MIS Working 1'!$AM83+'MIS Working 1'!$AL83</f>
        <v>121318.39999999997</v>
      </c>
      <c r="AG83" s="270">
        <f>'MIS Working 1'!$L83*'MIS Working 1'!$Y83</f>
        <v>97994.39999999998</v>
      </c>
      <c r="AH83" s="270">
        <f>'MIS Working 1'!$L83*'MIS Working 1'!$Z83</f>
        <v>10298.399999999998</v>
      </c>
      <c r="AI83" s="270">
        <f t="shared" si="3"/>
        <v>840</v>
      </c>
      <c r="AJ83" s="270">
        <f t="shared" si="4"/>
        <v>7487.2</v>
      </c>
      <c r="AK83" s="270">
        <f t="shared" si="5"/>
        <v>4653.6000000000004</v>
      </c>
      <c r="AL83" s="270">
        <f>'MIS Working 1'!$AD83*'MIS Working 1'!$L83</f>
        <v>22.400000000000002</v>
      </c>
      <c r="AM83" s="270">
        <f>'MIS Working 1'!$L83*'MIS Working 1'!$AE83+'MIS Working 1'!$AL83</f>
        <v>13003.199999999999</v>
      </c>
    </row>
    <row r="84" spans="1:39" x14ac:dyDescent="0.3">
      <c r="A84" s="272" t="s">
        <v>479</v>
      </c>
      <c r="B84" s="273">
        <v>45986</v>
      </c>
      <c r="C84" s="274" t="s">
        <v>1889</v>
      </c>
      <c r="D84" s="274" t="s">
        <v>380</v>
      </c>
      <c r="E84" s="274" t="s">
        <v>381</v>
      </c>
      <c r="F84" s="274" t="s">
        <v>18</v>
      </c>
      <c r="G84" s="274" t="s">
        <v>19</v>
      </c>
      <c r="H84" s="274" t="s">
        <v>27</v>
      </c>
      <c r="I84" s="275">
        <v>120</v>
      </c>
      <c r="J84" s="276">
        <v>25992</v>
      </c>
      <c r="K84" s="275">
        <v>120</v>
      </c>
      <c r="L84" s="275">
        <v>120</v>
      </c>
      <c r="M84" s="273">
        <v>45986</v>
      </c>
      <c r="N84" s="276">
        <v>26622</v>
      </c>
      <c r="O84" s="274" t="s">
        <v>21</v>
      </c>
      <c r="P84" s="274" t="s">
        <v>22</v>
      </c>
      <c r="Q84" s="274" t="s">
        <v>660</v>
      </c>
      <c r="R84" s="274" t="str">
        <f>VLOOKUP('MIS Working 1'!$G84,Master!$H$3:$I$8,2,0)</f>
        <v>Finished Goods</v>
      </c>
      <c r="S84" s="274" t="str">
        <f>VLOOKUP('MIS Working 1'!$H84,Master!B:C,2,0)</f>
        <v>FG-PCB-CF</v>
      </c>
      <c r="T84" s="274" t="str">
        <f>VLOOKUP('MIS Working 1'!$S84,Master!E:F,2,0)</f>
        <v>FG-PCB-CF</v>
      </c>
      <c r="U84" s="277">
        <f>'MIS Working 1'!$N84-'MIS Working 1'!$AF84</f>
        <v>625.20000000000437</v>
      </c>
      <c r="V84" s="278">
        <f>'MIS Working 1'!$U84/'MIS Working 1'!$N84</f>
        <v>2.3484336263241094E-2</v>
      </c>
      <c r="W84" s="274">
        <f>'MIS Working 1'!$N84/'MIS Working 1'!$L84</f>
        <v>221.85</v>
      </c>
      <c r="X84" s="279">
        <f>SUM('MIS Working 1'!$Y84:$AE84)</f>
        <v>239.77999999999994</v>
      </c>
      <c r="Y84" s="279">
        <f>SUMIFS('COGS Break up'!$E:$E,'COGS Break up'!$A:$A,'MIS Working 1'!$D84,'COGS Break up'!$D:$D,'MIS Working 1'!$Y$1)</f>
        <v>174.98999999999995</v>
      </c>
      <c r="Z84" s="279">
        <f>SUMIFS('COGS Break up'!$E:$E,'COGS Break up'!$A:$A,'MIS Working 1'!$D84,'COGS Break up'!$D:$D,'MIS Working 1'!$Z$1)</f>
        <v>18.389999999999997</v>
      </c>
      <c r="AA84" s="279">
        <f>SUMIFS('COGS Break up'!E:E,'COGS Break up'!A:A,'MIS Working 1'!$D:$D,'COGS Break up'!C:C,'MIS Working 1'!$AA$1)</f>
        <v>1.5</v>
      </c>
      <c r="AB84" s="279">
        <f>SUMIFS('COGS Break up'!E:E,'COGS Break up'!A:A,'MIS Working 1'!$D:$D,'COGS Break up'!C:C,$AB$1)</f>
        <v>13.37</v>
      </c>
      <c r="AC84" s="279">
        <f>SUMIFS('COGS Break up'!E:E,'COGS Break up'!A:A,'MIS Working 1'!$D:$D,'COGS Break up'!C:C,$AC$1)</f>
        <v>8.31</v>
      </c>
      <c r="AD84" s="279">
        <f>SUMIFS('COGS Break up'!$E:$E,'COGS Break up'!$A:$A,'MIS Working 1'!$D84,'COGS Break up'!$D:$D,'MIS Working 1'!$AD$1)</f>
        <v>0.04</v>
      </c>
      <c r="AE84" s="279">
        <f>SUMIFS('COGS Break up'!$E:$E,'COGS Break up'!$A:$A,'MIS Working 1'!$D84,'COGS Break up'!$D:$D,'MIS Working 1'!$AE$1)</f>
        <v>23.18</v>
      </c>
      <c r="AF84" s="280">
        <f>'MIS Working 1'!$AG84+'MIS Working 1'!$AH84+'MIS Working 1'!$AM84+'MIS Working 1'!$AL84</f>
        <v>25996.799999999996</v>
      </c>
      <c r="AG84" s="279">
        <f>'MIS Working 1'!$L84*'MIS Working 1'!$Y84</f>
        <v>20998.799999999996</v>
      </c>
      <c r="AH84" s="279">
        <f>'MIS Working 1'!$L84*'MIS Working 1'!$Z84</f>
        <v>2206.7999999999997</v>
      </c>
      <c r="AI84" s="279">
        <f t="shared" si="3"/>
        <v>180</v>
      </c>
      <c r="AJ84" s="279">
        <f t="shared" si="4"/>
        <v>1604.3999999999999</v>
      </c>
      <c r="AK84" s="279">
        <f t="shared" si="5"/>
        <v>997.2</v>
      </c>
      <c r="AL84" s="279">
        <f>'MIS Working 1'!$AD84*'MIS Working 1'!$L84</f>
        <v>4.8</v>
      </c>
      <c r="AM84" s="279">
        <f>'MIS Working 1'!$L84*'MIS Working 1'!$AE84+'MIS Working 1'!$AL84</f>
        <v>2786.4</v>
      </c>
    </row>
    <row r="85" spans="1:39" x14ac:dyDescent="0.3">
      <c r="A85" s="263" t="s">
        <v>479</v>
      </c>
      <c r="B85" s="264">
        <v>45986</v>
      </c>
      <c r="C85" s="265" t="s">
        <v>1891</v>
      </c>
      <c r="D85" s="265" t="s">
        <v>380</v>
      </c>
      <c r="E85" s="265" t="s">
        <v>381</v>
      </c>
      <c r="F85" s="265" t="s">
        <v>18</v>
      </c>
      <c r="G85" s="265" t="s">
        <v>19</v>
      </c>
      <c r="H85" s="265" t="s">
        <v>27</v>
      </c>
      <c r="I85" s="266">
        <v>175</v>
      </c>
      <c r="J85" s="267">
        <v>37905</v>
      </c>
      <c r="K85" s="266">
        <v>175</v>
      </c>
      <c r="L85" s="266">
        <v>175</v>
      </c>
      <c r="M85" s="264">
        <v>45986</v>
      </c>
      <c r="N85" s="267">
        <v>38823.75</v>
      </c>
      <c r="O85" s="265" t="s">
        <v>21</v>
      </c>
      <c r="P85" s="265" t="s">
        <v>22</v>
      </c>
      <c r="Q85" s="265" t="s">
        <v>660</v>
      </c>
      <c r="R85" s="265" t="str">
        <f>VLOOKUP('MIS Working 1'!$G85,Master!$H$3:$I$8,2,0)</f>
        <v>Finished Goods</v>
      </c>
      <c r="S85" s="265" t="str">
        <f>VLOOKUP('MIS Working 1'!$H85,Master!B:C,2,0)</f>
        <v>FG-PCB-CF</v>
      </c>
      <c r="T85" s="265" t="str">
        <f>VLOOKUP('MIS Working 1'!$S85,Master!E:F,2,0)</f>
        <v>FG-PCB-CF</v>
      </c>
      <c r="U85" s="268">
        <f>'MIS Working 1'!$N85-'MIS Working 1'!$AF85</f>
        <v>911.75000000000728</v>
      </c>
      <c r="V85" s="269">
        <f>'MIS Working 1'!$U85/'MIS Working 1'!$N85</f>
        <v>2.3484336263241114E-2</v>
      </c>
      <c r="W85" s="265">
        <f>'MIS Working 1'!$N85/'MIS Working 1'!$L85</f>
        <v>221.85</v>
      </c>
      <c r="X85" s="270">
        <f>SUM('MIS Working 1'!$Y85:$AE85)</f>
        <v>239.77999999999994</v>
      </c>
      <c r="Y85" s="270">
        <f>SUMIFS('COGS Break up'!$E:$E,'COGS Break up'!$A:$A,'MIS Working 1'!$D85,'COGS Break up'!$D:$D,'MIS Working 1'!$Y$1)</f>
        <v>174.98999999999995</v>
      </c>
      <c r="Z85" s="270">
        <f>SUMIFS('COGS Break up'!$E:$E,'COGS Break up'!$A:$A,'MIS Working 1'!$D85,'COGS Break up'!$D:$D,'MIS Working 1'!$Z$1)</f>
        <v>18.389999999999997</v>
      </c>
      <c r="AA85" s="270">
        <f>SUMIFS('COGS Break up'!E:E,'COGS Break up'!A:A,'MIS Working 1'!$D:$D,'COGS Break up'!C:C,'MIS Working 1'!$AA$1)</f>
        <v>1.5</v>
      </c>
      <c r="AB85" s="270">
        <f>SUMIFS('COGS Break up'!E:E,'COGS Break up'!A:A,'MIS Working 1'!$D:$D,'COGS Break up'!C:C,$AB$1)</f>
        <v>13.37</v>
      </c>
      <c r="AC85" s="270">
        <f>SUMIFS('COGS Break up'!E:E,'COGS Break up'!A:A,'MIS Working 1'!$D:$D,'COGS Break up'!C:C,$AC$1)</f>
        <v>8.31</v>
      </c>
      <c r="AD85" s="270">
        <f>SUMIFS('COGS Break up'!$E:$E,'COGS Break up'!$A:$A,'MIS Working 1'!$D85,'COGS Break up'!$D:$D,'MIS Working 1'!$AD$1)</f>
        <v>0.04</v>
      </c>
      <c r="AE85" s="270">
        <f>SUMIFS('COGS Break up'!$E:$E,'COGS Break up'!$A:$A,'MIS Working 1'!$D85,'COGS Break up'!$D:$D,'MIS Working 1'!$AE$1)</f>
        <v>23.18</v>
      </c>
      <c r="AF85" s="271">
        <f>'MIS Working 1'!$AG85+'MIS Working 1'!$AH85+'MIS Working 1'!$AM85+'MIS Working 1'!$AL85</f>
        <v>37911.999999999993</v>
      </c>
      <c r="AG85" s="270">
        <f>'MIS Working 1'!$L85*'MIS Working 1'!$Y85</f>
        <v>30623.249999999993</v>
      </c>
      <c r="AH85" s="270">
        <f>'MIS Working 1'!$L85*'MIS Working 1'!$Z85</f>
        <v>3218.2499999999995</v>
      </c>
      <c r="AI85" s="270">
        <f t="shared" si="3"/>
        <v>262.5</v>
      </c>
      <c r="AJ85" s="270">
        <f t="shared" si="4"/>
        <v>2339.75</v>
      </c>
      <c r="AK85" s="270">
        <f t="shared" si="5"/>
        <v>1454.25</v>
      </c>
      <c r="AL85" s="270">
        <f>'MIS Working 1'!$AD85*'MIS Working 1'!$L85</f>
        <v>7</v>
      </c>
      <c r="AM85" s="270">
        <f>'MIS Working 1'!$L85*'MIS Working 1'!$AE85+'MIS Working 1'!$AL85</f>
        <v>4063.5</v>
      </c>
    </row>
    <row r="86" spans="1:39" x14ac:dyDescent="0.3">
      <c r="A86" s="272" t="s">
        <v>479</v>
      </c>
      <c r="B86" s="273">
        <v>45986</v>
      </c>
      <c r="C86" s="274" t="s">
        <v>1889</v>
      </c>
      <c r="D86" s="274" t="s">
        <v>1196</v>
      </c>
      <c r="E86" s="274" t="s">
        <v>1197</v>
      </c>
      <c r="F86" s="274" t="s">
        <v>18</v>
      </c>
      <c r="G86" s="274" t="s">
        <v>19</v>
      </c>
      <c r="H86" s="274" t="s">
        <v>27</v>
      </c>
      <c r="I86" s="275">
        <v>205</v>
      </c>
      <c r="J86" s="276">
        <v>66666</v>
      </c>
      <c r="K86" s="275">
        <v>205</v>
      </c>
      <c r="L86" s="275">
        <v>205</v>
      </c>
      <c r="M86" s="273">
        <v>45986</v>
      </c>
      <c r="N86" s="276">
        <v>72779.100000000006</v>
      </c>
      <c r="O86" s="274" t="s">
        <v>21</v>
      </c>
      <c r="P86" s="274" t="s">
        <v>22</v>
      </c>
      <c r="Q86" s="274" t="s">
        <v>660</v>
      </c>
      <c r="R86" s="274" t="str">
        <f>VLOOKUP('MIS Working 1'!$G86,Master!$H$3:$I$8,2,0)</f>
        <v>Finished Goods</v>
      </c>
      <c r="S86" s="274" t="str">
        <f>VLOOKUP('MIS Working 1'!$H86,Master!B:C,2,0)</f>
        <v>FG-PCB-CF</v>
      </c>
      <c r="T86" s="274" t="str">
        <f>VLOOKUP('MIS Working 1'!$S86,Master!E:F,2,0)</f>
        <v>FG-PCB-CF</v>
      </c>
      <c r="U86" s="277">
        <f>'MIS Working 1'!$N86-'MIS Working 1'!$AF86</f>
        <v>6059.8000000000175</v>
      </c>
      <c r="V86" s="278">
        <f>'MIS Working 1'!$U86/'MIS Working 1'!$N86</f>
        <v>8.326291476536557E-2</v>
      </c>
      <c r="W86" s="274">
        <f>'MIS Working 1'!$N86/'MIS Working 1'!$L86</f>
        <v>355.02000000000004</v>
      </c>
      <c r="X86" s="279">
        <f>SUM('MIS Working 1'!$Y86:$AE86)</f>
        <v>354.76999999999992</v>
      </c>
      <c r="Y86" s="279">
        <f>SUMIFS('COGS Break up'!$E:$E,'COGS Break up'!$A:$A,'MIS Working 1'!$D86,'COGS Break up'!$D:$D,'MIS Working 1'!$Y$1)</f>
        <v>271.52999999999997</v>
      </c>
      <c r="Z86" s="279">
        <f>SUMIFS('COGS Break up'!$E:$E,'COGS Break up'!$A:$A,'MIS Working 1'!$D86,'COGS Break up'!$D:$D,'MIS Working 1'!$Z$1)</f>
        <v>23.84</v>
      </c>
      <c r="AA86" s="279">
        <f>SUMIFS('COGS Break up'!E:E,'COGS Break up'!A:A,'MIS Working 1'!$D:$D,'COGS Break up'!C:C,'MIS Working 1'!$AA$1)</f>
        <v>1.9500000000000002</v>
      </c>
      <c r="AB86" s="279">
        <f>SUMIFS('COGS Break up'!E:E,'COGS Break up'!A:A,'MIS Working 1'!$D:$D,'COGS Break up'!C:C,$AB$1)</f>
        <v>17.329999999999998</v>
      </c>
      <c r="AC86" s="279">
        <f>SUMIFS('COGS Break up'!E:E,'COGS Break up'!A:A,'MIS Working 1'!$D:$D,'COGS Break up'!C:C,$AC$1)</f>
        <v>10.290000000000001</v>
      </c>
      <c r="AD86" s="279">
        <f>SUMIFS('COGS Break up'!$E:$E,'COGS Break up'!$A:$A,'MIS Working 1'!$D86,'COGS Break up'!$D:$D,'MIS Working 1'!$AD$1)</f>
        <v>0.26</v>
      </c>
      <c r="AE86" s="279">
        <f>SUMIFS('COGS Break up'!$E:$E,'COGS Break up'!$A:$A,'MIS Working 1'!$D86,'COGS Break up'!$D:$D,'MIS Working 1'!$AE$1)</f>
        <v>29.569999999999997</v>
      </c>
      <c r="AF86" s="280">
        <f>'MIS Working 1'!$AG86+'MIS Working 1'!$AH86+'MIS Working 1'!$AM86+'MIS Working 1'!$AL86</f>
        <v>66719.299999999988</v>
      </c>
      <c r="AG86" s="279">
        <f>'MIS Working 1'!$L86*'MIS Working 1'!$Y86</f>
        <v>55663.649999999994</v>
      </c>
      <c r="AH86" s="279">
        <f>'MIS Working 1'!$L86*'MIS Working 1'!$Z86</f>
        <v>4887.2</v>
      </c>
      <c r="AI86" s="279">
        <f t="shared" si="3"/>
        <v>399.75000000000006</v>
      </c>
      <c r="AJ86" s="279">
        <f t="shared" si="4"/>
        <v>3552.6499999999996</v>
      </c>
      <c r="AK86" s="279">
        <f t="shared" si="5"/>
        <v>2109.4500000000003</v>
      </c>
      <c r="AL86" s="279">
        <f>'MIS Working 1'!$AD86*'MIS Working 1'!$L86</f>
        <v>53.300000000000004</v>
      </c>
      <c r="AM86" s="279">
        <f>'MIS Working 1'!$L86*'MIS Working 1'!$AE86+'MIS Working 1'!$AL86</f>
        <v>6115.15</v>
      </c>
    </row>
    <row r="87" spans="1:39" x14ac:dyDescent="0.3">
      <c r="A87" s="263" t="s">
        <v>479</v>
      </c>
      <c r="B87" s="264">
        <v>45986</v>
      </c>
      <c r="C87" s="265" t="s">
        <v>1892</v>
      </c>
      <c r="D87" s="265" t="s">
        <v>1689</v>
      </c>
      <c r="E87" s="265" t="s">
        <v>1690</v>
      </c>
      <c r="F87" s="265" t="s">
        <v>18</v>
      </c>
      <c r="G87" s="265" t="s">
        <v>19</v>
      </c>
      <c r="H87" s="265" t="s">
        <v>1105</v>
      </c>
      <c r="I87" s="266">
        <v>70</v>
      </c>
      <c r="J87" s="267">
        <v>36757</v>
      </c>
      <c r="K87" s="266">
        <v>70</v>
      </c>
      <c r="L87" s="266">
        <v>70</v>
      </c>
      <c r="M87" s="264">
        <v>45986</v>
      </c>
      <c r="N87" s="267">
        <v>68238.8</v>
      </c>
      <c r="O87" s="265" t="s">
        <v>21</v>
      </c>
      <c r="P87" s="265" t="s">
        <v>22</v>
      </c>
      <c r="Q87" s="265" t="s">
        <v>660</v>
      </c>
      <c r="R87" s="265" t="str">
        <f>VLOOKUP('MIS Working 1'!$G87,Master!$H$3:$I$8,2,0)</f>
        <v>Finished Goods</v>
      </c>
      <c r="S87" s="265" t="str">
        <f>VLOOKUP('MIS Working 1'!$H87,Master!B:C,2,0)</f>
        <v>FG-PCB-Ped</v>
      </c>
      <c r="T87" s="265" t="str">
        <f>VLOOKUP('MIS Working 1'!$S87,Master!E:F,2,0)</f>
        <v>FG-PCB-Ped</v>
      </c>
      <c r="U87" s="268">
        <f>'MIS Working 1'!$N87-'MIS Working 1'!$AF87</f>
        <v>31459.399999999994</v>
      </c>
      <c r="V87" s="269">
        <f>'MIS Working 1'!$U87/'MIS Working 1'!$N87</f>
        <v>0.4610192441836608</v>
      </c>
      <c r="W87" s="265">
        <f>'MIS Working 1'!$N87/'MIS Working 1'!$L87</f>
        <v>974.84</v>
      </c>
      <c r="X87" s="270">
        <f>SUM('MIS Working 1'!$Y87:$AE87)</f>
        <v>571.57000000000016</v>
      </c>
      <c r="Y87" s="270">
        <f>SUMIFS('COGS Break up'!$E:$E,'COGS Break up'!$A:$A,'MIS Working 1'!$D87,'COGS Break up'!$D:$D,'MIS Working 1'!$Y$1)</f>
        <v>451.65000000000009</v>
      </c>
      <c r="Z87" s="270">
        <f>SUMIFS('COGS Break up'!$E:$E,'COGS Break up'!$A:$A,'MIS Working 1'!$D87,'COGS Break up'!$D:$D,'MIS Working 1'!$Z$1)</f>
        <v>26.66</v>
      </c>
      <c r="AA87" s="270">
        <f>SUMIFS('COGS Break up'!E:E,'COGS Break up'!A:A,'MIS Working 1'!$D:$D,'COGS Break up'!C:C,'MIS Working 1'!$AA$1)</f>
        <v>2.87</v>
      </c>
      <c r="AB87" s="270">
        <f>SUMIFS('COGS Break up'!E:E,'COGS Break up'!A:A,'MIS Working 1'!$D:$D,'COGS Break up'!C:C,$AB$1)</f>
        <v>22.919999999999998</v>
      </c>
      <c r="AC87" s="270">
        <f>SUMIFS('COGS Break up'!E:E,'COGS Break up'!A:A,'MIS Working 1'!$D:$D,'COGS Break up'!C:C,$AC$1)</f>
        <v>20.68</v>
      </c>
      <c r="AD87" s="270">
        <f>SUMIFS('COGS Break up'!$E:$E,'COGS Break up'!$A:$A,'MIS Working 1'!$D87,'COGS Break up'!$D:$D,'MIS Working 1'!$AD$1)</f>
        <v>0.32</v>
      </c>
      <c r="AE87" s="270">
        <f>SUMIFS('COGS Break up'!$E:$E,'COGS Break up'!$A:$A,'MIS Working 1'!$D87,'COGS Break up'!$D:$D,'MIS Working 1'!$AE$1)</f>
        <v>46.469999999999992</v>
      </c>
      <c r="AF87" s="271">
        <f>'MIS Working 1'!$AG87+'MIS Working 1'!$AH87+'MIS Working 1'!$AM87+'MIS Working 1'!$AL87</f>
        <v>36779.400000000009</v>
      </c>
      <c r="AG87" s="270">
        <f>'MIS Working 1'!$L87*'MIS Working 1'!$Y87</f>
        <v>31615.500000000007</v>
      </c>
      <c r="AH87" s="270">
        <f>'MIS Working 1'!$L87*'MIS Working 1'!$Z87</f>
        <v>1866.2</v>
      </c>
      <c r="AI87" s="270">
        <f t="shared" si="3"/>
        <v>200.9</v>
      </c>
      <c r="AJ87" s="270">
        <f t="shared" si="4"/>
        <v>1604.3999999999999</v>
      </c>
      <c r="AK87" s="270">
        <f t="shared" si="5"/>
        <v>1447.6</v>
      </c>
      <c r="AL87" s="270">
        <f>'MIS Working 1'!$AD87*'MIS Working 1'!$L87</f>
        <v>22.400000000000002</v>
      </c>
      <c r="AM87" s="270">
        <f>'MIS Working 1'!$L87*'MIS Working 1'!$AE87+'MIS Working 1'!$AL87</f>
        <v>3275.2999999999997</v>
      </c>
    </row>
    <row r="88" spans="1:39" x14ac:dyDescent="0.3">
      <c r="A88" s="272" t="s">
        <v>479</v>
      </c>
      <c r="B88" s="273">
        <v>45986</v>
      </c>
      <c r="C88" s="274" t="s">
        <v>1892</v>
      </c>
      <c r="D88" s="274" t="s">
        <v>1691</v>
      </c>
      <c r="E88" s="274" t="s">
        <v>1692</v>
      </c>
      <c r="F88" s="274" t="s">
        <v>18</v>
      </c>
      <c r="G88" s="274" t="s">
        <v>19</v>
      </c>
      <c r="H88" s="274" t="s">
        <v>1105</v>
      </c>
      <c r="I88" s="275">
        <v>51</v>
      </c>
      <c r="J88" s="276">
        <v>3102.33</v>
      </c>
      <c r="K88" s="275">
        <v>51</v>
      </c>
      <c r="L88" s="275">
        <v>51</v>
      </c>
      <c r="M88" s="273">
        <v>45986</v>
      </c>
      <c r="N88" s="276">
        <v>6162.84</v>
      </c>
      <c r="O88" s="274" t="s">
        <v>21</v>
      </c>
      <c r="P88" s="274" t="s">
        <v>22</v>
      </c>
      <c r="Q88" s="274" t="s">
        <v>660</v>
      </c>
      <c r="R88" s="274" t="str">
        <f>VLOOKUP('MIS Working 1'!$G88,Master!$H$3:$I$8,2,0)</f>
        <v>Finished Goods</v>
      </c>
      <c r="S88" s="274" t="str">
        <f>VLOOKUP('MIS Working 1'!$H88,Master!B:C,2,0)</f>
        <v>FG-PCB-Ped</v>
      </c>
      <c r="T88" s="274" t="str">
        <f>VLOOKUP('MIS Working 1'!$S88,Master!E:F,2,0)</f>
        <v>FG-PCB-Ped</v>
      </c>
      <c r="U88" s="277">
        <f>'MIS Working 1'!$N88-'MIS Working 1'!$AF88</f>
        <v>3059.4900000000002</v>
      </c>
      <c r="V88" s="278">
        <f>'MIS Working 1'!$U88/'MIS Working 1'!$N88</f>
        <v>0.49644157563720626</v>
      </c>
      <c r="W88" s="274">
        <f>'MIS Working 1'!$N88/'MIS Working 1'!$L88</f>
        <v>120.84</v>
      </c>
      <c r="X88" s="279">
        <f>SUM('MIS Working 1'!$Y88:$AE88)</f>
        <v>60.830000000000005</v>
      </c>
      <c r="Y88" s="279">
        <f>SUMIFS('COGS Break up'!$E:$E,'COGS Break up'!$A:$A,'MIS Working 1'!$D88,'COGS Break up'!$D:$D,'MIS Working 1'!$Y$1)</f>
        <v>48.79</v>
      </c>
      <c r="Z88" s="279">
        <f>SUMIFS('COGS Break up'!$E:$E,'COGS Break up'!$A:$A,'MIS Working 1'!$D88,'COGS Break up'!$D:$D,'MIS Working 1'!$Z$1)</f>
        <v>12.02</v>
      </c>
      <c r="AA88" s="279">
        <f>SUMIFS('COGS Break up'!E:E,'COGS Break up'!A:A,'MIS Working 1'!$D:$D,'COGS Break up'!C:C,'MIS Working 1'!$AA$1)</f>
        <v>0</v>
      </c>
      <c r="AB88" s="279">
        <f>SUMIFS('COGS Break up'!E:E,'COGS Break up'!A:A,'MIS Working 1'!$D:$D,'COGS Break up'!C:C,$AB$1)</f>
        <v>0</v>
      </c>
      <c r="AC88" s="279">
        <f>SUMIFS('COGS Break up'!E:E,'COGS Break up'!A:A,'MIS Working 1'!$D:$D,'COGS Break up'!C:C,$AC$1)</f>
        <v>0</v>
      </c>
      <c r="AD88" s="279">
        <f>SUMIFS('COGS Break up'!$E:$E,'COGS Break up'!$A:$A,'MIS Working 1'!$D88,'COGS Break up'!$D:$D,'MIS Working 1'!$AD$1)</f>
        <v>0.02</v>
      </c>
      <c r="AE88" s="279">
        <f>SUMIFS('COGS Break up'!$E:$E,'COGS Break up'!$A:$A,'MIS Working 1'!$D88,'COGS Break up'!$D:$D,'MIS Working 1'!$AE$1)</f>
        <v>0</v>
      </c>
      <c r="AF88" s="280">
        <f>'MIS Working 1'!$AG88+'MIS Working 1'!$AH88+'MIS Working 1'!$AM88+'MIS Working 1'!$AL88</f>
        <v>3103.35</v>
      </c>
      <c r="AG88" s="279">
        <f>'MIS Working 1'!$L88*'MIS Working 1'!$Y88</f>
        <v>2488.29</v>
      </c>
      <c r="AH88" s="279">
        <f>'MIS Working 1'!$L88*'MIS Working 1'!$Z88</f>
        <v>613.02</v>
      </c>
      <c r="AI88" s="279">
        <f t="shared" si="3"/>
        <v>0</v>
      </c>
      <c r="AJ88" s="279">
        <f t="shared" si="4"/>
        <v>0</v>
      </c>
      <c r="AK88" s="279">
        <f t="shared" si="5"/>
        <v>0</v>
      </c>
      <c r="AL88" s="279">
        <f>'MIS Working 1'!$AD88*'MIS Working 1'!$L88</f>
        <v>1.02</v>
      </c>
      <c r="AM88" s="279">
        <f>'MIS Working 1'!$L88*'MIS Working 1'!$AE88+'MIS Working 1'!$AL88</f>
        <v>1.02</v>
      </c>
    </row>
    <row r="89" spans="1:39" x14ac:dyDescent="0.3">
      <c r="A89" s="263" t="s">
        <v>479</v>
      </c>
      <c r="B89" s="264">
        <v>45986</v>
      </c>
      <c r="C89" s="265" t="s">
        <v>1893</v>
      </c>
      <c r="D89" s="265" t="s">
        <v>1894</v>
      </c>
      <c r="E89" s="265" t="s">
        <v>1895</v>
      </c>
      <c r="F89" s="265" t="s">
        <v>18</v>
      </c>
      <c r="G89" s="265" t="s">
        <v>48</v>
      </c>
      <c r="H89" s="265" t="s">
        <v>168</v>
      </c>
      <c r="I89" s="266">
        <v>5000</v>
      </c>
      <c r="J89" s="267">
        <v>29500</v>
      </c>
      <c r="K89" s="266">
        <v>5000</v>
      </c>
      <c r="L89" s="266">
        <v>5000</v>
      </c>
      <c r="M89" s="264">
        <v>45986</v>
      </c>
      <c r="N89" s="267">
        <v>29500</v>
      </c>
      <c r="O89" s="265" t="s">
        <v>21</v>
      </c>
      <c r="P89" s="265" t="s">
        <v>22</v>
      </c>
      <c r="Q89" s="265" t="s">
        <v>660</v>
      </c>
      <c r="R89" s="265" t="str">
        <f>VLOOKUP('MIS Working 1'!$G89,Master!$H$3:$I$8,2,0)</f>
        <v>Raw Material</v>
      </c>
      <c r="S89" s="265" t="str">
        <f>VLOOKUP('MIS Working 1'!$H89,Master!B:C,2,0)</f>
        <v>Raw Materials</v>
      </c>
      <c r="T89" s="265" t="str">
        <f>VLOOKUP('MIS Working 1'!$S89,Master!E:F,2,0)</f>
        <v>Raw Material</v>
      </c>
      <c r="U89" s="268">
        <f>'MIS Working 1'!$N89-'MIS Working 1'!$AF89</f>
        <v>29500</v>
      </c>
      <c r="V89" s="269">
        <f>'MIS Working 1'!$U89/'MIS Working 1'!$N89</f>
        <v>1</v>
      </c>
      <c r="W89" s="265">
        <f>'MIS Working 1'!$N89/'MIS Working 1'!$L89</f>
        <v>5.9</v>
      </c>
      <c r="X89" s="270">
        <f>SUM('MIS Working 1'!$Y89:$AE89)</f>
        <v>0</v>
      </c>
      <c r="Y89" s="270">
        <f>SUMIFS('COGS Break up'!$E:$E,'COGS Break up'!$A:$A,'MIS Working 1'!$D89,'COGS Break up'!$D:$D,'MIS Working 1'!$Y$1)</f>
        <v>0</v>
      </c>
      <c r="Z89" s="270">
        <f>SUMIFS('COGS Break up'!$E:$E,'COGS Break up'!$A:$A,'MIS Working 1'!$D89,'COGS Break up'!$D:$D,'MIS Working 1'!$Z$1)</f>
        <v>0</v>
      </c>
      <c r="AA89" s="270">
        <f>SUMIFS('COGS Break up'!E:E,'COGS Break up'!A:A,'MIS Working 1'!$D:$D,'COGS Break up'!C:C,'MIS Working 1'!$AA$1)</f>
        <v>0</v>
      </c>
      <c r="AB89" s="270">
        <f>SUMIFS('COGS Break up'!E:E,'COGS Break up'!A:A,'MIS Working 1'!$D:$D,'COGS Break up'!C:C,$AB$1)</f>
        <v>0</v>
      </c>
      <c r="AC89" s="270">
        <f>SUMIFS('COGS Break up'!E:E,'COGS Break up'!A:A,'MIS Working 1'!$D:$D,'COGS Break up'!C:C,$AC$1)</f>
        <v>0</v>
      </c>
      <c r="AD89" s="270">
        <f>SUMIFS('COGS Break up'!$E:$E,'COGS Break up'!$A:$A,'MIS Working 1'!$D89,'COGS Break up'!$D:$D,'MIS Working 1'!$AD$1)</f>
        <v>0</v>
      </c>
      <c r="AE89" s="270">
        <f>SUMIFS('COGS Break up'!$E:$E,'COGS Break up'!$A:$A,'MIS Working 1'!$D89,'COGS Break up'!$D:$D,'MIS Working 1'!$AE$1)</f>
        <v>0</v>
      </c>
      <c r="AF89" s="271">
        <f>'MIS Working 1'!$AG89+'MIS Working 1'!$AH89+'MIS Working 1'!$AM89+'MIS Working 1'!$AL89</f>
        <v>0</v>
      </c>
      <c r="AG89" s="270">
        <f>'MIS Working 1'!$L89*'MIS Working 1'!$Y89</f>
        <v>0</v>
      </c>
      <c r="AH89" s="270">
        <f>'MIS Working 1'!$L89*'MIS Working 1'!$Z89</f>
        <v>0</v>
      </c>
      <c r="AI89" s="270">
        <f t="shared" si="3"/>
        <v>0</v>
      </c>
      <c r="AJ89" s="270">
        <f t="shared" si="4"/>
        <v>0</v>
      </c>
      <c r="AK89" s="270">
        <f t="shared" si="5"/>
        <v>0</v>
      </c>
      <c r="AL89" s="270">
        <f>'MIS Working 1'!$AD89*'MIS Working 1'!$L89</f>
        <v>0</v>
      </c>
      <c r="AM89" s="270">
        <f>'MIS Working 1'!$L89*'MIS Working 1'!$AE89+'MIS Working 1'!$AL89</f>
        <v>0</v>
      </c>
    </row>
    <row r="90" spans="1:39" x14ac:dyDescent="0.3">
      <c r="A90" s="272" t="s">
        <v>1291</v>
      </c>
      <c r="B90" s="273">
        <v>45986</v>
      </c>
      <c r="C90" s="274" t="s">
        <v>1896</v>
      </c>
      <c r="D90" s="274" t="s">
        <v>36</v>
      </c>
      <c r="E90" s="274" t="s">
        <v>37</v>
      </c>
      <c r="F90" s="274" t="s">
        <v>18</v>
      </c>
      <c r="G90" s="274" t="s">
        <v>19</v>
      </c>
      <c r="H90" s="274" t="s">
        <v>20</v>
      </c>
      <c r="I90" s="275">
        <v>-18</v>
      </c>
      <c r="J90" s="276">
        <v>-8304.66</v>
      </c>
      <c r="K90" s="275">
        <v>-18</v>
      </c>
      <c r="L90" s="275">
        <v>-18</v>
      </c>
      <c r="M90" s="273">
        <v>45986</v>
      </c>
      <c r="N90" s="276">
        <v>-11867.58</v>
      </c>
      <c r="O90" s="274" t="s">
        <v>21</v>
      </c>
      <c r="P90" s="274" t="s">
        <v>22</v>
      </c>
      <c r="Q90" s="274" t="s">
        <v>660</v>
      </c>
      <c r="R90" s="274" t="str">
        <f>VLOOKUP('MIS Working 1'!$G90,Master!$H$3:$I$8,2,0)</f>
        <v>Finished Goods</v>
      </c>
      <c r="S90" s="274" t="str">
        <f>VLOOKUP('MIS Working 1'!$H90,Master!B:C,2,0)</f>
        <v>FG-PCB-Ref</v>
      </c>
      <c r="T90" s="274" t="str">
        <f>VLOOKUP('MIS Working 1'!$S90,Master!E:F,2,0)</f>
        <v>FG-PCB-Ref</v>
      </c>
      <c r="U90" s="277">
        <f>'MIS Working 1'!$N90-'MIS Working 1'!$AF90</f>
        <v>-3558.5999999999985</v>
      </c>
      <c r="V90" s="278">
        <f>'MIS Working 1'!$U90/'MIS Working 1'!$N90</f>
        <v>0.29985894344086989</v>
      </c>
      <c r="W90" s="274">
        <f>'MIS Working 1'!$N90/'MIS Working 1'!$L90</f>
        <v>659.31</v>
      </c>
      <c r="X90" s="279">
        <f>SUM('MIS Working 1'!$Y90:$AE90)</f>
        <v>492.59000000000003</v>
      </c>
      <c r="Y90" s="279">
        <f>SUMIFS('COGS Break up'!$E:$E,'COGS Break up'!$A:$A,'MIS Working 1'!$D90,'COGS Break up'!$D:$D,'MIS Working 1'!$Y$1)</f>
        <v>401.59000000000003</v>
      </c>
      <c r="Z90" s="279">
        <f>SUMIFS('COGS Break up'!$E:$E,'COGS Break up'!$A:$A,'MIS Working 1'!$D90,'COGS Break up'!$D:$D,'MIS Working 1'!$Z$1)</f>
        <v>28.32</v>
      </c>
      <c r="AA90" s="279">
        <f>SUMIFS('COGS Break up'!E:E,'COGS Break up'!A:A,'MIS Working 1'!$D:$D,'COGS Break up'!C:C,'MIS Working 1'!$AA$1)</f>
        <v>2.3199999999999998</v>
      </c>
      <c r="AB90" s="279">
        <f>SUMIFS('COGS Break up'!E:E,'COGS Break up'!A:A,'MIS Working 1'!$D:$D,'COGS Break up'!C:C,$AB$1)</f>
        <v>20.59</v>
      </c>
      <c r="AC90" s="279">
        <f>SUMIFS('COGS Break up'!E:E,'COGS Break up'!A:A,'MIS Working 1'!$D:$D,'COGS Break up'!C:C,$AC$1)</f>
        <v>8.31</v>
      </c>
      <c r="AD90" s="279">
        <f>SUMIFS('COGS Break up'!$E:$E,'COGS Break up'!$A:$A,'MIS Working 1'!$D90,'COGS Break up'!$D:$D,'MIS Working 1'!$AD$1)</f>
        <v>0.24</v>
      </c>
      <c r="AE90" s="279">
        <f>SUMIFS('COGS Break up'!$E:$E,'COGS Break up'!$A:$A,'MIS Working 1'!$D90,'COGS Break up'!$D:$D,'MIS Working 1'!$AE$1)</f>
        <v>31.22</v>
      </c>
      <c r="AF90" s="280">
        <f>'MIS Working 1'!$AG90+'MIS Working 1'!$AH90+'MIS Working 1'!$AM90+'MIS Working 1'!$AL90</f>
        <v>-8308.9800000000014</v>
      </c>
      <c r="AG90" s="279">
        <f>'MIS Working 1'!$L90*'MIS Working 1'!$Y90</f>
        <v>-7228.6200000000008</v>
      </c>
      <c r="AH90" s="279">
        <f>'MIS Working 1'!$L90*'MIS Working 1'!$Z90</f>
        <v>-509.76</v>
      </c>
      <c r="AI90" s="279">
        <f t="shared" si="3"/>
        <v>-41.76</v>
      </c>
      <c r="AJ90" s="279">
        <f t="shared" si="4"/>
        <v>-370.62</v>
      </c>
      <c r="AK90" s="279">
        <f t="shared" si="5"/>
        <v>-149.58000000000001</v>
      </c>
      <c r="AL90" s="279">
        <f>'MIS Working 1'!$AD90*'MIS Working 1'!$L90</f>
        <v>-4.32</v>
      </c>
      <c r="AM90" s="279">
        <f>'MIS Working 1'!$L90*'MIS Working 1'!$AE90+'MIS Working 1'!$AL90</f>
        <v>-566.28000000000009</v>
      </c>
    </row>
    <row r="91" spans="1:39" x14ac:dyDescent="0.3">
      <c r="A91" s="263" t="s">
        <v>1294</v>
      </c>
      <c r="B91" s="264">
        <v>45985</v>
      </c>
      <c r="C91" s="265" t="s">
        <v>1703</v>
      </c>
      <c r="D91" s="265" t="s">
        <v>568</v>
      </c>
      <c r="E91" s="265" t="s">
        <v>594</v>
      </c>
      <c r="F91" s="265" t="s">
        <v>18</v>
      </c>
      <c r="G91" s="265" t="s">
        <v>19</v>
      </c>
      <c r="H91" s="265" t="s">
        <v>27</v>
      </c>
      <c r="I91" s="266">
        <v>5000</v>
      </c>
      <c r="J91" s="267">
        <v>104050</v>
      </c>
      <c r="K91" s="266">
        <v>5000</v>
      </c>
      <c r="L91" s="266">
        <v>5000</v>
      </c>
      <c r="M91" s="264">
        <v>45985</v>
      </c>
      <c r="N91" s="267">
        <v>71700</v>
      </c>
      <c r="O91" s="265" t="s">
        <v>21</v>
      </c>
      <c r="P91" s="265" t="s">
        <v>22</v>
      </c>
      <c r="Q91" s="265" t="s">
        <v>660</v>
      </c>
      <c r="R91" s="265" t="str">
        <f>VLOOKUP('MIS Working 1'!$G91,Master!$H$3:$I$8,2,0)</f>
        <v>Finished Goods</v>
      </c>
      <c r="S91" s="265" t="str">
        <f>VLOOKUP('MIS Working 1'!$H91,Master!B:C,2,0)</f>
        <v>FG-PCB-CF</v>
      </c>
      <c r="T91" s="265" t="str">
        <f>VLOOKUP('MIS Working 1'!$S91,Master!E:F,2,0)</f>
        <v>FG-PCB-CF</v>
      </c>
      <c r="U91" s="268">
        <f>'MIS Working 1'!$N91-'MIS Working 1'!$AF91</f>
        <v>-32350</v>
      </c>
      <c r="V91" s="269">
        <f>'MIS Working 1'!$U91/'MIS Working 1'!$N91</f>
        <v>-0.4511854951185495</v>
      </c>
      <c r="W91" s="265">
        <f>'MIS Working 1'!$N91/'MIS Working 1'!$L91</f>
        <v>14.34</v>
      </c>
      <c r="X91" s="270">
        <f>SUM('MIS Working 1'!$Y91:$AE91)</f>
        <v>21.750000000000004</v>
      </c>
      <c r="Y91" s="270">
        <f>SUMIFS('COGS Break up'!$E:$E,'COGS Break up'!$A:$A,'MIS Working 1'!$D91,'COGS Break up'!$D:$D,'MIS Working 1'!$Y$1)</f>
        <v>8.3800000000000008</v>
      </c>
      <c r="Z91" s="270">
        <f>SUMIFS('COGS Break up'!$E:$E,'COGS Break up'!$A:$A,'MIS Working 1'!$D91,'COGS Break up'!$D:$D,'MIS Working 1'!$Z$1)</f>
        <v>11.49</v>
      </c>
      <c r="AA91" s="270">
        <f>SUMIFS('COGS Break up'!E:E,'COGS Break up'!A:A,'MIS Working 1'!$D:$D,'COGS Break up'!C:C,'MIS Working 1'!$AA$1)</f>
        <v>0.94</v>
      </c>
      <c r="AB91" s="270">
        <f>SUMIFS('COGS Break up'!E:E,'COGS Break up'!A:A,'MIS Working 1'!$D:$D,'COGS Break up'!C:C,$AB$1)</f>
        <v>0</v>
      </c>
      <c r="AC91" s="270">
        <f>SUMIFS('COGS Break up'!E:E,'COGS Break up'!A:A,'MIS Working 1'!$D:$D,'COGS Break up'!C:C,$AC$1)</f>
        <v>0</v>
      </c>
      <c r="AD91" s="270">
        <f>SUMIFS('COGS Break up'!$E:$E,'COGS Break up'!$A:$A,'MIS Working 1'!$D91,'COGS Break up'!$D:$D,'MIS Working 1'!$AD$1)</f>
        <v>0</v>
      </c>
      <c r="AE91" s="270">
        <f>SUMIFS('COGS Break up'!$E:$E,'COGS Break up'!$A:$A,'MIS Working 1'!$D91,'COGS Break up'!$D:$D,'MIS Working 1'!$AE$1)</f>
        <v>0.94</v>
      </c>
      <c r="AF91" s="271">
        <f>'MIS Working 1'!$AG91+'MIS Working 1'!$AH91+'MIS Working 1'!$AM91+'MIS Working 1'!$AL91</f>
        <v>104050</v>
      </c>
      <c r="AG91" s="270">
        <f>'MIS Working 1'!$L91*'MIS Working 1'!$Y91</f>
        <v>41900.000000000007</v>
      </c>
      <c r="AH91" s="270">
        <f>'MIS Working 1'!$L91*'MIS Working 1'!$Z91</f>
        <v>57450</v>
      </c>
      <c r="AI91" s="270">
        <f t="shared" si="3"/>
        <v>4700</v>
      </c>
      <c r="AJ91" s="270">
        <f t="shared" si="4"/>
        <v>0</v>
      </c>
      <c r="AK91" s="270">
        <f t="shared" si="5"/>
        <v>0</v>
      </c>
      <c r="AL91" s="270">
        <f>'MIS Working 1'!$AD91*'MIS Working 1'!$L91</f>
        <v>0</v>
      </c>
      <c r="AM91" s="270">
        <f>'MIS Working 1'!$L91*'MIS Working 1'!$AE91+'MIS Working 1'!$AL91</f>
        <v>4700</v>
      </c>
    </row>
    <row r="92" spans="1:39" x14ac:dyDescent="0.3">
      <c r="A92" s="272" t="s">
        <v>479</v>
      </c>
      <c r="B92" s="273">
        <v>45985</v>
      </c>
      <c r="C92" s="274" t="s">
        <v>1704</v>
      </c>
      <c r="D92" s="274" t="s">
        <v>1459</v>
      </c>
      <c r="E92" s="274" t="s">
        <v>1460</v>
      </c>
      <c r="F92" s="274" t="s">
        <v>18</v>
      </c>
      <c r="G92" s="274" t="s">
        <v>34</v>
      </c>
      <c r="H92" s="274" t="s">
        <v>35</v>
      </c>
      <c r="I92" s="275">
        <v>1000</v>
      </c>
      <c r="J92" s="276">
        <v>144620</v>
      </c>
      <c r="K92" s="275">
        <v>1000</v>
      </c>
      <c r="L92" s="275">
        <v>1000</v>
      </c>
      <c r="M92" s="273">
        <v>45985</v>
      </c>
      <c r="N92" s="276">
        <v>150220</v>
      </c>
      <c r="O92" s="274" t="s">
        <v>21</v>
      </c>
      <c r="P92" s="274" t="s">
        <v>22</v>
      </c>
      <c r="Q92" s="274" t="s">
        <v>660</v>
      </c>
      <c r="R92" s="274" t="str">
        <f>VLOOKUP('MIS Working 1'!$G92,Master!$H$3:$I$8,2,0)</f>
        <v>Semi-Finished Goods</v>
      </c>
      <c r="S92" s="274" t="str">
        <f>VLOOKUP('MIS Working 1'!$H92,Master!B:C,2,0)</f>
        <v>Sub Ass.-Mech Stator</v>
      </c>
      <c r="T92" s="274" t="str">
        <f>VLOOKUP('MIS Working 1'!$S92,Master!E:F,2,0)</f>
        <v>Sub Ass.-Mech Stator</v>
      </c>
      <c r="U92" s="277">
        <f>'MIS Working 1'!$N92-'MIS Working 1'!$AF92</f>
        <v>5600.0000000000291</v>
      </c>
      <c r="V92" s="278">
        <f>'MIS Working 1'!$U92/'MIS Working 1'!$N92</f>
        <v>3.7278657968313332E-2</v>
      </c>
      <c r="W92" s="274">
        <f>'MIS Working 1'!$N92/'MIS Working 1'!$L92</f>
        <v>150.22</v>
      </c>
      <c r="X92" s="279">
        <f>SUM('MIS Working 1'!$Y92:$AE92)</f>
        <v>146.52999999999997</v>
      </c>
      <c r="Y92" s="279">
        <f>SUMIFS('COGS Break up'!$E:$E,'COGS Break up'!$A:$A,'MIS Working 1'!$D92,'COGS Break up'!$D:$D,'MIS Working 1'!$Y$1)</f>
        <v>141.07999999999998</v>
      </c>
      <c r="Z92" s="279">
        <f>SUMIFS('COGS Break up'!$E:$E,'COGS Break up'!$A:$A,'MIS Working 1'!$D92,'COGS Break up'!$D:$D,'MIS Working 1'!$Z$1)</f>
        <v>1.63</v>
      </c>
      <c r="AA92" s="279">
        <f>SUMIFS('COGS Break up'!E:E,'COGS Break up'!A:A,'MIS Working 1'!$D:$D,'COGS Break up'!C:C,'MIS Working 1'!$AA$1)</f>
        <v>0.04</v>
      </c>
      <c r="AB92" s="279">
        <f>SUMIFS('COGS Break up'!E:E,'COGS Break up'!A:A,'MIS Working 1'!$D:$D,'COGS Break up'!C:C,$AB$1)</f>
        <v>0.37</v>
      </c>
      <c r="AC92" s="279">
        <f>SUMIFS('COGS Break up'!E:E,'COGS Break up'!A:A,'MIS Working 1'!$D:$D,'COGS Break up'!C:C,$AC$1)</f>
        <v>1.5</v>
      </c>
      <c r="AD92" s="279">
        <f>SUMIFS('COGS Break up'!$E:$E,'COGS Break up'!$A:$A,'MIS Working 1'!$D92,'COGS Break up'!$D:$D,'MIS Working 1'!$AD$1)</f>
        <v>0</v>
      </c>
      <c r="AE92" s="279">
        <f>SUMIFS('COGS Break up'!$E:$E,'COGS Break up'!$A:$A,'MIS Working 1'!$D92,'COGS Break up'!$D:$D,'MIS Working 1'!$AE$1)</f>
        <v>1.9100000000000001</v>
      </c>
      <c r="AF92" s="280">
        <f>'MIS Working 1'!$AG92+'MIS Working 1'!$AH92+'MIS Working 1'!$AM92+'MIS Working 1'!$AL92</f>
        <v>144619.99999999997</v>
      </c>
      <c r="AG92" s="279">
        <f>'MIS Working 1'!$L92*'MIS Working 1'!$Y92</f>
        <v>141079.99999999997</v>
      </c>
      <c r="AH92" s="279">
        <f>'MIS Working 1'!$L92*'MIS Working 1'!$Z92</f>
        <v>1630</v>
      </c>
      <c r="AI92" s="279">
        <f t="shared" si="3"/>
        <v>40</v>
      </c>
      <c r="AJ92" s="279">
        <f t="shared" si="4"/>
        <v>370</v>
      </c>
      <c r="AK92" s="279">
        <f t="shared" si="5"/>
        <v>1500</v>
      </c>
      <c r="AL92" s="279">
        <f>'MIS Working 1'!$AD92*'MIS Working 1'!$L92</f>
        <v>0</v>
      </c>
      <c r="AM92" s="279">
        <f>'MIS Working 1'!$L92*'MIS Working 1'!$AE92+'MIS Working 1'!$AL92</f>
        <v>1910.0000000000002</v>
      </c>
    </row>
    <row r="93" spans="1:39" x14ac:dyDescent="0.3">
      <c r="A93" s="263" t="s">
        <v>479</v>
      </c>
      <c r="B93" s="264">
        <v>45985</v>
      </c>
      <c r="C93" s="265" t="s">
        <v>1705</v>
      </c>
      <c r="D93" s="265" t="s">
        <v>637</v>
      </c>
      <c r="E93" s="265" t="s">
        <v>638</v>
      </c>
      <c r="F93" s="265" t="s">
        <v>18</v>
      </c>
      <c r="G93" s="265" t="s">
        <v>19</v>
      </c>
      <c r="H93" s="265" t="s">
        <v>27</v>
      </c>
      <c r="I93" s="266">
        <v>984</v>
      </c>
      <c r="J93" s="267">
        <v>321049.68</v>
      </c>
      <c r="K93" s="266">
        <v>984</v>
      </c>
      <c r="L93" s="266">
        <v>984</v>
      </c>
      <c r="M93" s="264">
        <v>45985</v>
      </c>
      <c r="N93" s="267">
        <v>357743.04</v>
      </c>
      <c r="O93" s="265" t="s">
        <v>21</v>
      </c>
      <c r="P93" s="265" t="s">
        <v>22</v>
      </c>
      <c r="Q93" s="265" t="s">
        <v>660</v>
      </c>
      <c r="R93" s="265" t="str">
        <f>VLOOKUP('MIS Working 1'!$G93,Master!$H$3:$I$8,2,0)</f>
        <v>Finished Goods</v>
      </c>
      <c r="S93" s="265" t="str">
        <f>VLOOKUP('MIS Working 1'!$H93,Master!B:C,2,0)</f>
        <v>FG-PCB-CF</v>
      </c>
      <c r="T93" s="265" t="str">
        <f>VLOOKUP('MIS Working 1'!$S93,Master!E:F,2,0)</f>
        <v>FG-PCB-CF</v>
      </c>
      <c r="U93" s="268">
        <f>'MIS Working 1'!$N93-'MIS Working 1'!$AF93</f>
        <v>36447.359999999986</v>
      </c>
      <c r="V93" s="269">
        <f>'MIS Working 1'!$U93/'MIS Working 1'!$N93</f>
        <v>0.10188139509296949</v>
      </c>
      <c r="W93" s="265">
        <f>'MIS Working 1'!$N93/'MIS Working 1'!$L93</f>
        <v>363.56</v>
      </c>
      <c r="X93" s="270">
        <f>SUM('MIS Working 1'!$Y93:$AE93)</f>
        <v>359.82</v>
      </c>
      <c r="Y93" s="270">
        <f>SUMIFS('COGS Break up'!$E:$E,'COGS Break up'!$A:$A,'MIS Working 1'!$D93,'COGS Break up'!$D:$D,'MIS Working 1'!$Y$1)</f>
        <v>271.52999999999997</v>
      </c>
      <c r="Z93" s="270">
        <f>SUMIFS('COGS Break up'!$E:$E,'COGS Break up'!$A:$A,'MIS Working 1'!$D93,'COGS Break up'!$D:$D,'MIS Working 1'!$Z$1)</f>
        <v>20.94</v>
      </c>
      <c r="AA93" s="270">
        <f>SUMIFS('COGS Break up'!E:E,'COGS Break up'!A:A,'MIS Working 1'!$D:$D,'COGS Break up'!C:C,'MIS Working 1'!$AA$1)</f>
        <v>1.7100000000000002</v>
      </c>
      <c r="AB93" s="270">
        <f>SUMIFS('COGS Break up'!E:E,'COGS Break up'!A:A,'MIS Working 1'!$D:$D,'COGS Break up'!C:C,$AB$1)</f>
        <v>15.22</v>
      </c>
      <c r="AC93" s="270">
        <f>SUMIFS('COGS Break up'!E:E,'COGS Break up'!A:A,'MIS Working 1'!$D:$D,'COGS Break up'!C:C,$AC$1)</f>
        <v>16.62</v>
      </c>
      <c r="AD93" s="270">
        <f>SUMIFS('COGS Break up'!$E:$E,'COGS Break up'!$A:$A,'MIS Working 1'!$D93,'COGS Break up'!$D:$D,'MIS Working 1'!$AD$1)</f>
        <v>0.25</v>
      </c>
      <c r="AE93" s="270">
        <f>SUMIFS('COGS Break up'!$E:$E,'COGS Break up'!$A:$A,'MIS Working 1'!$D93,'COGS Break up'!$D:$D,'MIS Working 1'!$AE$1)</f>
        <v>33.550000000000004</v>
      </c>
      <c r="AF93" s="271">
        <f>'MIS Working 1'!$AG93+'MIS Working 1'!$AH93+'MIS Working 1'!$AM93+'MIS Working 1'!$AL93</f>
        <v>321295.68</v>
      </c>
      <c r="AG93" s="270">
        <f>'MIS Working 1'!$L93*'MIS Working 1'!$Y93</f>
        <v>267185.51999999996</v>
      </c>
      <c r="AH93" s="270">
        <f>'MIS Working 1'!$L93*'MIS Working 1'!$Z93</f>
        <v>20604.960000000003</v>
      </c>
      <c r="AI93" s="270">
        <f t="shared" si="3"/>
        <v>1682.64</v>
      </c>
      <c r="AJ93" s="270">
        <f t="shared" si="4"/>
        <v>14976.480000000001</v>
      </c>
      <c r="AK93" s="270">
        <f t="shared" si="5"/>
        <v>16354.080000000002</v>
      </c>
      <c r="AL93" s="270">
        <f>'MIS Working 1'!$AD93*'MIS Working 1'!$L93</f>
        <v>246</v>
      </c>
      <c r="AM93" s="270">
        <f>'MIS Working 1'!$L93*'MIS Working 1'!$AE93+'MIS Working 1'!$AL93</f>
        <v>33259.200000000004</v>
      </c>
    </row>
    <row r="94" spans="1:39" x14ac:dyDescent="0.3">
      <c r="A94" s="272" t="s">
        <v>479</v>
      </c>
      <c r="B94" s="273">
        <v>45985</v>
      </c>
      <c r="C94" s="274" t="s">
        <v>1707</v>
      </c>
      <c r="D94" s="274" t="s">
        <v>639</v>
      </c>
      <c r="E94" s="274" t="s">
        <v>640</v>
      </c>
      <c r="F94" s="274" t="s">
        <v>18</v>
      </c>
      <c r="G94" s="274" t="s">
        <v>19</v>
      </c>
      <c r="H94" s="274" t="s">
        <v>27</v>
      </c>
      <c r="I94" s="275">
        <v>186</v>
      </c>
      <c r="J94" s="276">
        <v>119975.58</v>
      </c>
      <c r="K94" s="275">
        <v>186</v>
      </c>
      <c r="L94" s="275">
        <v>186</v>
      </c>
      <c r="M94" s="273">
        <v>45985</v>
      </c>
      <c r="N94" s="276">
        <v>135512.16</v>
      </c>
      <c r="O94" s="274" t="s">
        <v>21</v>
      </c>
      <c r="P94" s="274" t="s">
        <v>22</v>
      </c>
      <c r="Q94" s="274" t="s">
        <v>660</v>
      </c>
      <c r="R94" s="274" t="str">
        <f>VLOOKUP('MIS Working 1'!$G94,Master!$H$3:$I$8,2,0)</f>
        <v>Finished Goods</v>
      </c>
      <c r="S94" s="274" t="str">
        <f>VLOOKUP('MIS Working 1'!$H94,Master!B:C,2,0)</f>
        <v>FG-PCB-CF</v>
      </c>
      <c r="T94" s="274" t="str">
        <f>VLOOKUP('MIS Working 1'!$S94,Master!E:F,2,0)</f>
        <v>FG-PCB-CF</v>
      </c>
      <c r="U94" s="277">
        <f>'MIS Working 1'!$N94-'MIS Working 1'!$AF94</f>
        <v>15456.600000000079</v>
      </c>
      <c r="V94" s="278">
        <f>'MIS Working 1'!$U94/'MIS Working 1'!$N94</f>
        <v>0.11406061271549416</v>
      </c>
      <c r="W94" s="274">
        <f>'MIS Working 1'!$N94/'MIS Working 1'!$L94</f>
        <v>728.56000000000006</v>
      </c>
      <c r="X94" s="279">
        <f>SUM('MIS Working 1'!$Y94:$AE94)</f>
        <v>677.50999999999965</v>
      </c>
      <c r="Y94" s="279">
        <f>SUMIFS('COGS Break up'!$E:$E,'COGS Break up'!$A:$A,'MIS Working 1'!$D94,'COGS Break up'!$D:$D,'MIS Working 1'!$Y$1)</f>
        <v>582.23999999999967</v>
      </c>
      <c r="Z94" s="279">
        <f>SUMIFS('COGS Break up'!$E:$E,'COGS Break up'!$A:$A,'MIS Working 1'!$D94,'COGS Break up'!$D:$D,'MIS Working 1'!$Z$1)</f>
        <v>29.88</v>
      </c>
      <c r="AA94" s="279">
        <f>SUMIFS('COGS Break up'!E:E,'COGS Break up'!A:A,'MIS Working 1'!$D:$D,'COGS Break up'!C:C,'MIS Working 1'!$AA$1)</f>
        <v>2.4500000000000002</v>
      </c>
      <c r="AB94" s="279">
        <f>SUMIFS('COGS Break up'!E:E,'COGS Break up'!A:A,'MIS Working 1'!$D:$D,'COGS Break up'!C:C,$AB$1)</f>
        <v>21.72</v>
      </c>
      <c r="AC94" s="279">
        <f>SUMIFS('COGS Break up'!E:E,'COGS Break up'!A:A,'MIS Working 1'!$D:$D,'COGS Break up'!C:C,$AC$1)</f>
        <v>8.31</v>
      </c>
      <c r="AD94" s="279">
        <f>SUMIFS('COGS Break up'!$E:$E,'COGS Break up'!$A:$A,'MIS Working 1'!$D94,'COGS Break up'!$D:$D,'MIS Working 1'!$AD$1)</f>
        <v>0.43</v>
      </c>
      <c r="AE94" s="279">
        <f>SUMIFS('COGS Break up'!$E:$E,'COGS Break up'!$A:$A,'MIS Working 1'!$D94,'COGS Break up'!$D:$D,'MIS Working 1'!$AE$1)</f>
        <v>32.480000000000004</v>
      </c>
      <c r="AF94" s="280">
        <f>'MIS Working 1'!$AG94+'MIS Working 1'!$AH94+'MIS Working 1'!$AM94+'MIS Working 1'!$AL94</f>
        <v>120055.55999999992</v>
      </c>
      <c r="AG94" s="279">
        <f>'MIS Working 1'!$L94*'MIS Working 1'!$Y94</f>
        <v>108296.63999999994</v>
      </c>
      <c r="AH94" s="279">
        <f>'MIS Working 1'!$L94*'MIS Working 1'!$Z94</f>
        <v>5557.6799999999994</v>
      </c>
      <c r="AI94" s="279">
        <f t="shared" si="3"/>
        <v>455.70000000000005</v>
      </c>
      <c r="AJ94" s="279">
        <f t="shared" si="4"/>
        <v>4039.9199999999996</v>
      </c>
      <c r="AK94" s="279">
        <f t="shared" si="5"/>
        <v>1545.66</v>
      </c>
      <c r="AL94" s="279">
        <f>'MIS Working 1'!$AD94*'MIS Working 1'!$L94</f>
        <v>79.98</v>
      </c>
      <c r="AM94" s="279">
        <f>'MIS Working 1'!$L94*'MIS Working 1'!$AE94+'MIS Working 1'!$AL94</f>
        <v>6121.26</v>
      </c>
    </row>
    <row r="95" spans="1:39" x14ac:dyDescent="0.3">
      <c r="A95" s="263" t="s">
        <v>479</v>
      </c>
      <c r="B95" s="264">
        <v>45985</v>
      </c>
      <c r="C95" s="265" t="s">
        <v>1706</v>
      </c>
      <c r="D95" s="265" t="s">
        <v>639</v>
      </c>
      <c r="E95" s="265" t="s">
        <v>640</v>
      </c>
      <c r="F95" s="265" t="s">
        <v>18</v>
      </c>
      <c r="G95" s="265" t="s">
        <v>19</v>
      </c>
      <c r="H95" s="265" t="s">
        <v>27</v>
      </c>
      <c r="I95" s="266">
        <v>88</v>
      </c>
      <c r="J95" s="267">
        <v>56762.64</v>
      </c>
      <c r="K95" s="266">
        <v>88</v>
      </c>
      <c r="L95" s="266">
        <v>88</v>
      </c>
      <c r="M95" s="264">
        <v>45985</v>
      </c>
      <c r="N95" s="267">
        <v>64113.279999999999</v>
      </c>
      <c r="O95" s="265" t="s">
        <v>21</v>
      </c>
      <c r="P95" s="265" t="s">
        <v>22</v>
      </c>
      <c r="Q95" s="265" t="s">
        <v>660</v>
      </c>
      <c r="R95" s="265" t="str">
        <f>VLOOKUP('MIS Working 1'!$G95,Master!$H$3:$I$8,2,0)</f>
        <v>Finished Goods</v>
      </c>
      <c r="S95" s="265" t="str">
        <f>VLOOKUP('MIS Working 1'!$H95,Master!B:C,2,0)</f>
        <v>FG-PCB-CF</v>
      </c>
      <c r="T95" s="265" t="str">
        <f>VLOOKUP('MIS Working 1'!$S95,Master!E:F,2,0)</f>
        <v>FG-PCB-CF</v>
      </c>
      <c r="U95" s="268">
        <f>'MIS Working 1'!$N95-'MIS Working 1'!$AF95</f>
        <v>7312.8000000000247</v>
      </c>
      <c r="V95" s="269">
        <f>'MIS Working 1'!$U95/'MIS Working 1'!$N95</f>
        <v>0.11406061271549396</v>
      </c>
      <c r="W95" s="265">
        <f>'MIS Working 1'!$N95/'MIS Working 1'!$L95</f>
        <v>728.56</v>
      </c>
      <c r="X95" s="270">
        <f>SUM('MIS Working 1'!$Y95:$AE95)</f>
        <v>677.50999999999965</v>
      </c>
      <c r="Y95" s="270">
        <f>SUMIFS('COGS Break up'!$E:$E,'COGS Break up'!$A:$A,'MIS Working 1'!$D95,'COGS Break up'!$D:$D,'MIS Working 1'!$Y$1)</f>
        <v>582.23999999999967</v>
      </c>
      <c r="Z95" s="270">
        <f>SUMIFS('COGS Break up'!$E:$E,'COGS Break up'!$A:$A,'MIS Working 1'!$D95,'COGS Break up'!$D:$D,'MIS Working 1'!$Z$1)</f>
        <v>29.88</v>
      </c>
      <c r="AA95" s="270">
        <f>SUMIFS('COGS Break up'!E:E,'COGS Break up'!A:A,'MIS Working 1'!$D:$D,'COGS Break up'!C:C,'MIS Working 1'!$AA$1)</f>
        <v>2.4500000000000002</v>
      </c>
      <c r="AB95" s="270">
        <f>SUMIFS('COGS Break up'!E:E,'COGS Break up'!A:A,'MIS Working 1'!$D:$D,'COGS Break up'!C:C,$AB$1)</f>
        <v>21.72</v>
      </c>
      <c r="AC95" s="270">
        <f>SUMIFS('COGS Break up'!E:E,'COGS Break up'!A:A,'MIS Working 1'!$D:$D,'COGS Break up'!C:C,$AC$1)</f>
        <v>8.31</v>
      </c>
      <c r="AD95" s="270">
        <f>SUMIFS('COGS Break up'!$E:$E,'COGS Break up'!$A:$A,'MIS Working 1'!$D95,'COGS Break up'!$D:$D,'MIS Working 1'!$AD$1)</f>
        <v>0.43</v>
      </c>
      <c r="AE95" s="270">
        <f>SUMIFS('COGS Break up'!$E:$E,'COGS Break up'!$A:$A,'MIS Working 1'!$D95,'COGS Break up'!$D:$D,'MIS Working 1'!$AE$1)</f>
        <v>32.480000000000004</v>
      </c>
      <c r="AF95" s="271">
        <f>'MIS Working 1'!$AG95+'MIS Working 1'!$AH95+'MIS Working 1'!$AM95+'MIS Working 1'!$AL95</f>
        <v>56800.479999999974</v>
      </c>
      <c r="AG95" s="270">
        <f>'MIS Working 1'!$L95*'MIS Working 1'!$Y95</f>
        <v>51237.119999999974</v>
      </c>
      <c r="AH95" s="270">
        <f>'MIS Working 1'!$L95*'MIS Working 1'!$Z95</f>
        <v>2629.44</v>
      </c>
      <c r="AI95" s="270">
        <f t="shared" si="3"/>
        <v>215.60000000000002</v>
      </c>
      <c r="AJ95" s="270">
        <f t="shared" si="4"/>
        <v>1911.36</v>
      </c>
      <c r="AK95" s="270">
        <f t="shared" si="5"/>
        <v>731.28000000000009</v>
      </c>
      <c r="AL95" s="270">
        <f>'MIS Working 1'!$AD95*'MIS Working 1'!$L95</f>
        <v>37.839999999999996</v>
      </c>
      <c r="AM95" s="270">
        <f>'MIS Working 1'!$L95*'MIS Working 1'!$AE95+'MIS Working 1'!$AL95</f>
        <v>2896.0800000000004</v>
      </c>
    </row>
    <row r="96" spans="1:39" x14ac:dyDescent="0.3">
      <c r="A96" s="272" t="s">
        <v>479</v>
      </c>
      <c r="B96" s="273">
        <v>45985</v>
      </c>
      <c r="C96" s="274" t="s">
        <v>1708</v>
      </c>
      <c r="D96" s="274" t="s">
        <v>42</v>
      </c>
      <c r="E96" s="274" t="s">
        <v>43</v>
      </c>
      <c r="F96" s="274" t="s">
        <v>18</v>
      </c>
      <c r="G96" s="274" t="s">
        <v>19</v>
      </c>
      <c r="H96" s="274" t="s">
        <v>27</v>
      </c>
      <c r="I96" s="275">
        <v>1085</v>
      </c>
      <c r="J96" s="276">
        <v>354936.05</v>
      </c>
      <c r="K96" s="275">
        <v>1085</v>
      </c>
      <c r="L96" s="275">
        <v>1085</v>
      </c>
      <c r="M96" s="273">
        <v>45985</v>
      </c>
      <c r="N96" s="276">
        <v>370060.95</v>
      </c>
      <c r="O96" s="274" t="s">
        <v>21</v>
      </c>
      <c r="P96" s="274" t="s">
        <v>22</v>
      </c>
      <c r="Q96" s="274" t="s">
        <v>660</v>
      </c>
      <c r="R96" s="274" t="str">
        <f>VLOOKUP('MIS Working 1'!$G96,Master!$H$3:$I$8,2,0)</f>
        <v>Finished Goods</v>
      </c>
      <c r="S96" s="274" t="str">
        <f>VLOOKUP('MIS Working 1'!$H96,Master!B:C,2,0)</f>
        <v>FG-PCB-CF</v>
      </c>
      <c r="T96" s="274" t="str">
        <f>VLOOKUP('MIS Working 1'!$S96,Master!E:F,2,0)</f>
        <v>FG-PCB-CF</v>
      </c>
      <c r="U96" s="277">
        <f>'MIS Working 1'!$N96-'MIS Working 1'!$AF96</f>
        <v>14940.449999999953</v>
      </c>
      <c r="V96" s="278">
        <f>'MIS Working 1'!$U96/'MIS Working 1'!$N96</f>
        <v>4.0372943970445822E-2</v>
      </c>
      <c r="W96" s="274">
        <f>'MIS Working 1'!$N96/'MIS Working 1'!$L96</f>
        <v>341.07</v>
      </c>
      <c r="X96" s="279">
        <f>SUM('MIS Working 1'!$Y96:$AE96)</f>
        <v>353.55</v>
      </c>
      <c r="Y96" s="279">
        <f>SUMIFS('COGS Break up'!$E:$E,'COGS Break up'!$A:$A,'MIS Working 1'!$D96,'COGS Break up'!$D:$D,'MIS Working 1'!$Y$1)</f>
        <v>278.14000000000004</v>
      </c>
      <c r="Z96" s="279">
        <f>SUMIFS('COGS Break up'!$E:$E,'COGS Break up'!$A:$A,'MIS Working 1'!$D96,'COGS Break up'!$D:$D,'MIS Working 1'!$Z$1)</f>
        <v>22.400000000000002</v>
      </c>
      <c r="AA96" s="279">
        <f>SUMIFS('COGS Break up'!E:E,'COGS Break up'!A:A,'MIS Working 1'!$D:$D,'COGS Break up'!C:C,'MIS Working 1'!$AA$1)</f>
        <v>1.8299999999999998</v>
      </c>
      <c r="AB96" s="279">
        <f>SUMIFS('COGS Break up'!E:E,'COGS Break up'!A:A,'MIS Working 1'!$D:$D,'COGS Break up'!C:C,$AB$1)</f>
        <v>16.28</v>
      </c>
      <c r="AC96" s="279">
        <f>SUMIFS('COGS Break up'!E:E,'COGS Break up'!A:A,'MIS Working 1'!$D:$D,'COGS Break up'!C:C,$AC$1)</f>
        <v>8.31</v>
      </c>
      <c r="AD96" s="279">
        <f>SUMIFS('COGS Break up'!$E:$E,'COGS Break up'!$A:$A,'MIS Working 1'!$D96,'COGS Break up'!$D:$D,'MIS Working 1'!$AD$1)</f>
        <v>0.17</v>
      </c>
      <c r="AE96" s="279">
        <f>SUMIFS('COGS Break up'!$E:$E,'COGS Break up'!$A:$A,'MIS Working 1'!$D96,'COGS Break up'!$D:$D,'MIS Working 1'!$AE$1)</f>
        <v>26.42</v>
      </c>
      <c r="AF96" s="280">
        <f>'MIS Working 1'!$AG96+'MIS Working 1'!$AH96+'MIS Working 1'!$AM96+'MIS Working 1'!$AL96</f>
        <v>355120.50000000006</v>
      </c>
      <c r="AG96" s="279">
        <f>'MIS Working 1'!$L96*'MIS Working 1'!$Y96</f>
        <v>301781.90000000002</v>
      </c>
      <c r="AH96" s="279">
        <f>'MIS Working 1'!$L96*'MIS Working 1'!$Z96</f>
        <v>24304.000000000004</v>
      </c>
      <c r="AI96" s="279">
        <f t="shared" si="3"/>
        <v>1985.5499999999997</v>
      </c>
      <c r="AJ96" s="279">
        <f t="shared" si="4"/>
        <v>17663.800000000003</v>
      </c>
      <c r="AK96" s="279">
        <f t="shared" si="5"/>
        <v>9016.35</v>
      </c>
      <c r="AL96" s="279">
        <f>'MIS Working 1'!$AD96*'MIS Working 1'!$L96</f>
        <v>184.45000000000002</v>
      </c>
      <c r="AM96" s="279">
        <f>'MIS Working 1'!$L96*'MIS Working 1'!$AE96+'MIS Working 1'!$AL96</f>
        <v>28850.15</v>
      </c>
    </row>
    <row r="97" spans="1:39" x14ac:dyDescent="0.3">
      <c r="A97" s="263" t="s">
        <v>479</v>
      </c>
      <c r="B97" s="264">
        <v>45985</v>
      </c>
      <c r="C97" s="265" t="s">
        <v>1706</v>
      </c>
      <c r="D97" s="265" t="s">
        <v>23</v>
      </c>
      <c r="E97" s="265" t="s">
        <v>24</v>
      </c>
      <c r="F97" s="265" t="s">
        <v>18</v>
      </c>
      <c r="G97" s="265" t="s">
        <v>19</v>
      </c>
      <c r="H97" s="265" t="s">
        <v>27</v>
      </c>
      <c r="I97" s="266">
        <v>800</v>
      </c>
      <c r="J97" s="267">
        <v>337128</v>
      </c>
      <c r="K97" s="266">
        <v>800</v>
      </c>
      <c r="L97" s="266">
        <v>800</v>
      </c>
      <c r="M97" s="264">
        <v>45985</v>
      </c>
      <c r="N97" s="267">
        <v>386528</v>
      </c>
      <c r="O97" s="265" t="s">
        <v>21</v>
      </c>
      <c r="P97" s="265" t="s">
        <v>22</v>
      </c>
      <c r="Q97" s="265" t="s">
        <v>660</v>
      </c>
      <c r="R97" s="265" t="str">
        <f>VLOOKUP('MIS Working 1'!$G97,Master!$H$3:$I$8,2,0)</f>
        <v>Finished Goods</v>
      </c>
      <c r="S97" s="265" t="str">
        <f>VLOOKUP('MIS Working 1'!$H97,Master!B:C,2,0)</f>
        <v>FG-PCB-CF</v>
      </c>
      <c r="T97" s="265" t="str">
        <f>VLOOKUP('MIS Working 1'!$S97,Master!E:F,2,0)</f>
        <v>FG-PCB-CF</v>
      </c>
      <c r="U97" s="268">
        <f>'MIS Working 1'!$N97-'MIS Working 1'!$AF97</f>
        <v>49192.000000000116</v>
      </c>
      <c r="V97" s="269">
        <f>'MIS Working 1'!$U97/'MIS Working 1'!$N97</f>
        <v>0.12726632999420512</v>
      </c>
      <c r="W97" s="265">
        <f>'MIS Working 1'!$N97/'MIS Working 1'!$L97</f>
        <v>483.16</v>
      </c>
      <c r="X97" s="270">
        <f>SUM('MIS Working 1'!$Y97:$AE97)</f>
        <v>447.50999999999988</v>
      </c>
      <c r="Y97" s="270">
        <f>SUMIFS('COGS Break up'!$E:$E,'COGS Break up'!$A:$A,'MIS Working 1'!$D97,'COGS Break up'!$D:$D,'MIS Working 1'!$Y$1)</f>
        <v>373.04999999999984</v>
      </c>
      <c r="Z97" s="270">
        <f>SUMIFS('COGS Break up'!$E:$E,'COGS Break up'!$A:$A,'MIS Working 1'!$D97,'COGS Break up'!$D:$D,'MIS Working 1'!$Z$1)</f>
        <v>22</v>
      </c>
      <c r="AA97" s="270">
        <f>SUMIFS('COGS Break up'!E:E,'COGS Break up'!A:A,'MIS Working 1'!$D:$D,'COGS Break up'!C:C,'MIS Working 1'!$AA$1)</f>
        <v>1.8</v>
      </c>
      <c r="AB97" s="270">
        <f>SUMIFS('COGS Break up'!E:E,'COGS Break up'!A:A,'MIS Working 1'!$D:$D,'COGS Break up'!C:C,$AB$1)</f>
        <v>15.99</v>
      </c>
      <c r="AC97" s="270">
        <f>SUMIFS('COGS Break up'!E:E,'COGS Break up'!A:A,'MIS Working 1'!$D:$D,'COGS Break up'!C:C,$AC$1)</f>
        <v>8.31</v>
      </c>
      <c r="AD97" s="270">
        <f>SUMIFS('COGS Break up'!$E:$E,'COGS Break up'!$A:$A,'MIS Working 1'!$D97,'COGS Break up'!$D:$D,'MIS Working 1'!$AD$1)</f>
        <v>0.26</v>
      </c>
      <c r="AE97" s="270">
        <f>SUMIFS('COGS Break up'!$E:$E,'COGS Break up'!$A:$A,'MIS Working 1'!$D97,'COGS Break up'!$D:$D,'MIS Working 1'!$AE$1)</f>
        <v>26.1</v>
      </c>
      <c r="AF97" s="271">
        <f>'MIS Working 1'!$AG97+'MIS Working 1'!$AH97+'MIS Working 1'!$AM97+'MIS Working 1'!$AL97</f>
        <v>337335.99999999988</v>
      </c>
      <c r="AG97" s="270">
        <f>'MIS Working 1'!$L97*'MIS Working 1'!$Y97</f>
        <v>298439.99999999988</v>
      </c>
      <c r="AH97" s="270">
        <f>'MIS Working 1'!$L97*'MIS Working 1'!$Z97</f>
        <v>17600</v>
      </c>
      <c r="AI97" s="270">
        <f t="shared" si="3"/>
        <v>1440</v>
      </c>
      <c r="AJ97" s="270">
        <f t="shared" si="4"/>
        <v>12792</v>
      </c>
      <c r="AK97" s="270">
        <f t="shared" si="5"/>
        <v>6648</v>
      </c>
      <c r="AL97" s="270">
        <f>'MIS Working 1'!$AD97*'MIS Working 1'!$L97</f>
        <v>208</v>
      </c>
      <c r="AM97" s="270">
        <f>'MIS Working 1'!$L97*'MIS Working 1'!$AE97+'MIS Working 1'!$AL97</f>
        <v>21088</v>
      </c>
    </row>
    <row r="98" spans="1:39" x14ac:dyDescent="0.3">
      <c r="A98" s="272" t="s">
        <v>479</v>
      </c>
      <c r="B98" s="273">
        <v>45985</v>
      </c>
      <c r="C98" s="274" t="s">
        <v>1708</v>
      </c>
      <c r="D98" s="274" t="s">
        <v>23</v>
      </c>
      <c r="E98" s="274" t="s">
        <v>24</v>
      </c>
      <c r="F98" s="274" t="s">
        <v>18</v>
      </c>
      <c r="G98" s="274" t="s">
        <v>19</v>
      </c>
      <c r="H98" s="274" t="s">
        <v>27</v>
      </c>
      <c r="I98" s="275">
        <v>840</v>
      </c>
      <c r="J98" s="276">
        <v>353984.4</v>
      </c>
      <c r="K98" s="275">
        <v>840</v>
      </c>
      <c r="L98" s="275">
        <v>840</v>
      </c>
      <c r="M98" s="273">
        <v>45985</v>
      </c>
      <c r="N98" s="276">
        <v>405854.4</v>
      </c>
      <c r="O98" s="274" t="s">
        <v>21</v>
      </c>
      <c r="P98" s="274" t="s">
        <v>22</v>
      </c>
      <c r="Q98" s="274" t="s">
        <v>660</v>
      </c>
      <c r="R98" s="274" t="str">
        <f>VLOOKUP('MIS Working 1'!$G98,Master!$H$3:$I$8,2,0)</f>
        <v>Finished Goods</v>
      </c>
      <c r="S98" s="274" t="str">
        <f>VLOOKUP('MIS Working 1'!$H98,Master!B:C,2,0)</f>
        <v>FG-PCB-CF</v>
      </c>
      <c r="T98" s="274" t="str">
        <f>VLOOKUP('MIS Working 1'!$S98,Master!E:F,2,0)</f>
        <v>FG-PCB-CF</v>
      </c>
      <c r="U98" s="277">
        <f>'MIS Working 1'!$N98-'MIS Working 1'!$AF98</f>
        <v>51651.600000000093</v>
      </c>
      <c r="V98" s="278">
        <f>'MIS Working 1'!$U98/'MIS Working 1'!$N98</f>
        <v>0.12726632999420504</v>
      </c>
      <c r="W98" s="274">
        <f>'MIS Working 1'!$N98/'MIS Working 1'!$L98</f>
        <v>483.16</v>
      </c>
      <c r="X98" s="279">
        <f>SUM('MIS Working 1'!$Y98:$AE98)</f>
        <v>447.50999999999988</v>
      </c>
      <c r="Y98" s="279">
        <f>SUMIFS('COGS Break up'!$E:$E,'COGS Break up'!$A:$A,'MIS Working 1'!$D98,'COGS Break up'!$D:$D,'MIS Working 1'!$Y$1)</f>
        <v>373.04999999999984</v>
      </c>
      <c r="Z98" s="279">
        <f>SUMIFS('COGS Break up'!$E:$E,'COGS Break up'!$A:$A,'MIS Working 1'!$D98,'COGS Break up'!$D:$D,'MIS Working 1'!$Z$1)</f>
        <v>22</v>
      </c>
      <c r="AA98" s="279">
        <f>SUMIFS('COGS Break up'!E:E,'COGS Break up'!A:A,'MIS Working 1'!$D:$D,'COGS Break up'!C:C,'MIS Working 1'!$AA$1)</f>
        <v>1.8</v>
      </c>
      <c r="AB98" s="279">
        <f>SUMIFS('COGS Break up'!E:E,'COGS Break up'!A:A,'MIS Working 1'!$D:$D,'COGS Break up'!C:C,$AB$1)</f>
        <v>15.99</v>
      </c>
      <c r="AC98" s="279">
        <f>SUMIFS('COGS Break up'!E:E,'COGS Break up'!A:A,'MIS Working 1'!$D:$D,'COGS Break up'!C:C,$AC$1)</f>
        <v>8.31</v>
      </c>
      <c r="AD98" s="279">
        <f>SUMIFS('COGS Break up'!$E:$E,'COGS Break up'!$A:$A,'MIS Working 1'!$D98,'COGS Break up'!$D:$D,'MIS Working 1'!$AD$1)</f>
        <v>0.26</v>
      </c>
      <c r="AE98" s="279">
        <f>SUMIFS('COGS Break up'!$E:$E,'COGS Break up'!$A:$A,'MIS Working 1'!$D98,'COGS Break up'!$D:$D,'MIS Working 1'!$AE$1)</f>
        <v>26.1</v>
      </c>
      <c r="AF98" s="280">
        <f>'MIS Working 1'!$AG98+'MIS Working 1'!$AH98+'MIS Working 1'!$AM98+'MIS Working 1'!$AL98</f>
        <v>354202.79999999993</v>
      </c>
      <c r="AG98" s="279">
        <f>'MIS Working 1'!$L98*'MIS Working 1'!$Y98</f>
        <v>313361.99999999988</v>
      </c>
      <c r="AH98" s="279">
        <f>'MIS Working 1'!$L98*'MIS Working 1'!$Z98</f>
        <v>18480</v>
      </c>
      <c r="AI98" s="279">
        <f t="shared" si="3"/>
        <v>1512</v>
      </c>
      <c r="AJ98" s="279">
        <f t="shared" si="4"/>
        <v>13431.6</v>
      </c>
      <c r="AK98" s="279">
        <f t="shared" si="5"/>
        <v>6980.4000000000005</v>
      </c>
      <c r="AL98" s="279">
        <f>'MIS Working 1'!$AD98*'MIS Working 1'!$L98</f>
        <v>218.4</v>
      </c>
      <c r="AM98" s="279">
        <f>'MIS Working 1'!$L98*'MIS Working 1'!$AE98+'MIS Working 1'!$AL98</f>
        <v>22142.400000000001</v>
      </c>
    </row>
    <row r="99" spans="1:39" x14ac:dyDescent="0.3">
      <c r="A99" s="263" t="s">
        <v>479</v>
      </c>
      <c r="B99" s="264">
        <v>45985</v>
      </c>
      <c r="C99" s="265" t="s">
        <v>1706</v>
      </c>
      <c r="D99" s="265" t="s">
        <v>1179</v>
      </c>
      <c r="E99" s="265" t="s">
        <v>1180</v>
      </c>
      <c r="F99" s="265" t="s">
        <v>18</v>
      </c>
      <c r="G99" s="265" t="s">
        <v>19</v>
      </c>
      <c r="H99" s="265" t="s">
        <v>27</v>
      </c>
      <c r="I99" s="266">
        <v>340</v>
      </c>
      <c r="J99" s="267">
        <v>143269.20000000001</v>
      </c>
      <c r="K99" s="266">
        <v>340</v>
      </c>
      <c r="L99" s="266">
        <v>340</v>
      </c>
      <c r="M99" s="264">
        <v>45985</v>
      </c>
      <c r="N99" s="267">
        <v>164274.4</v>
      </c>
      <c r="O99" s="265" t="s">
        <v>21</v>
      </c>
      <c r="P99" s="265" t="s">
        <v>22</v>
      </c>
      <c r="Q99" s="265" t="s">
        <v>660</v>
      </c>
      <c r="R99" s="265" t="str">
        <f>VLOOKUP('MIS Working 1'!$G99,Master!$H$3:$I$8,2,0)</f>
        <v>Finished Goods</v>
      </c>
      <c r="S99" s="265" t="str">
        <f>VLOOKUP('MIS Working 1'!$H99,Master!B:C,2,0)</f>
        <v>FG-PCB-CF</v>
      </c>
      <c r="T99" s="265" t="str">
        <f>VLOOKUP('MIS Working 1'!$S99,Master!E:F,2,0)</f>
        <v>FG-PCB-CF</v>
      </c>
      <c r="U99" s="268">
        <f>'MIS Working 1'!$N99-'MIS Working 1'!$AF99</f>
        <v>20916.800000000076</v>
      </c>
      <c r="V99" s="269">
        <f>'MIS Working 1'!$U99/'MIS Working 1'!$N99</f>
        <v>0.12732842122692323</v>
      </c>
      <c r="W99" s="265">
        <f>'MIS Working 1'!$N99/'MIS Working 1'!$L99</f>
        <v>483.15999999999997</v>
      </c>
      <c r="X99" s="270">
        <f>SUM('MIS Working 1'!$Y99:$AE99)</f>
        <v>447.47999999999985</v>
      </c>
      <c r="Y99" s="270">
        <f>SUMIFS('COGS Break up'!$E:$E,'COGS Break up'!$A:$A,'MIS Working 1'!$D99,'COGS Break up'!$D:$D,'MIS Working 1'!$Y$1)</f>
        <v>373.01999999999981</v>
      </c>
      <c r="Z99" s="270">
        <f>SUMIFS('COGS Break up'!$E:$E,'COGS Break up'!$A:$A,'MIS Working 1'!$D99,'COGS Break up'!$D:$D,'MIS Working 1'!$Z$1)</f>
        <v>22</v>
      </c>
      <c r="AA99" s="270">
        <f>SUMIFS('COGS Break up'!E:E,'COGS Break up'!A:A,'MIS Working 1'!$D:$D,'COGS Break up'!C:C,'MIS Working 1'!$AA$1)</f>
        <v>1.8</v>
      </c>
      <c r="AB99" s="270">
        <f>SUMIFS('COGS Break up'!E:E,'COGS Break up'!A:A,'MIS Working 1'!$D:$D,'COGS Break up'!C:C,$AB$1)</f>
        <v>15.99</v>
      </c>
      <c r="AC99" s="270">
        <f>SUMIFS('COGS Break up'!E:E,'COGS Break up'!A:A,'MIS Working 1'!$D:$D,'COGS Break up'!C:C,$AC$1)</f>
        <v>8.31</v>
      </c>
      <c r="AD99" s="270">
        <f>SUMIFS('COGS Break up'!$E:$E,'COGS Break up'!$A:$A,'MIS Working 1'!$D99,'COGS Break up'!$D:$D,'MIS Working 1'!$AD$1)</f>
        <v>0.26</v>
      </c>
      <c r="AE99" s="270">
        <f>SUMIFS('COGS Break up'!$E:$E,'COGS Break up'!$A:$A,'MIS Working 1'!$D99,'COGS Break up'!$D:$D,'MIS Working 1'!$AE$1)</f>
        <v>26.1</v>
      </c>
      <c r="AF99" s="271">
        <f>'MIS Working 1'!$AG99+'MIS Working 1'!$AH99+'MIS Working 1'!$AM99+'MIS Working 1'!$AL99</f>
        <v>143357.59999999992</v>
      </c>
      <c r="AG99" s="270">
        <f>'MIS Working 1'!$L99*'MIS Working 1'!$Y99</f>
        <v>126826.79999999993</v>
      </c>
      <c r="AH99" s="270">
        <f>'MIS Working 1'!$L99*'MIS Working 1'!$Z99</f>
        <v>7480</v>
      </c>
      <c r="AI99" s="270">
        <f t="shared" si="3"/>
        <v>612</v>
      </c>
      <c r="AJ99" s="270">
        <f t="shared" si="4"/>
        <v>5436.6</v>
      </c>
      <c r="AK99" s="270">
        <f t="shared" si="5"/>
        <v>2825.4</v>
      </c>
      <c r="AL99" s="270">
        <f>'MIS Working 1'!$AD99*'MIS Working 1'!$L99</f>
        <v>88.4</v>
      </c>
      <c r="AM99" s="270">
        <f>'MIS Working 1'!$L99*'MIS Working 1'!$AE99+'MIS Working 1'!$AL99</f>
        <v>8962.4</v>
      </c>
    </row>
    <row r="100" spans="1:39" x14ac:dyDescent="0.3">
      <c r="A100" s="272" t="s">
        <v>479</v>
      </c>
      <c r="B100" s="273">
        <v>45985</v>
      </c>
      <c r="C100" s="274" t="s">
        <v>1708</v>
      </c>
      <c r="D100" s="274" t="s">
        <v>1179</v>
      </c>
      <c r="E100" s="274" t="s">
        <v>1180</v>
      </c>
      <c r="F100" s="274" t="s">
        <v>18</v>
      </c>
      <c r="G100" s="274" t="s">
        <v>19</v>
      </c>
      <c r="H100" s="274" t="s">
        <v>27</v>
      </c>
      <c r="I100" s="275">
        <v>1050</v>
      </c>
      <c r="J100" s="276">
        <v>442449</v>
      </c>
      <c r="K100" s="275">
        <v>1050</v>
      </c>
      <c r="L100" s="275">
        <v>1050</v>
      </c>
      <c r="M100" s="273">
        <v>45985</v>
      </c>
      <c r="N100" s="276">
        <v>507318</v>
      </c>
      <c r="O100" s="274" t="s">
        <v>21</v>
      </c>
      <c r="P100" s="274" t="s">
        <v>22</v>
      </c>
      <c r="Q100" s="274" t="s">
        <v>660</v>
      </c>
      <c r="R100" s="274" t="str">
        <f>VLOOKUP('MIS Working 1'!$G100,Master!$H$3:$I$8,2,0)</f>
        <v>Finished Goods</v>
      </c>
      <c r="S100" s="274" t="str">
        <f>VLOOKUP('MIS Working 1'!$H100,Master!B:C,2,0)</f>
        <v>FG-PCB-CF</v>
      </c>
      <c r="T100" s="274" t="str">
        <f>VLOOKUP('MIS Working 1'!$S100,Master!E:F,2,0)</f>
        <v>FG-PCB-CF</v>
      </c>
      <c r="U100" s="277">
        <f>'MIS Working 1'!$N100-'MIS Working 1'!$AF100</f>
        <v>64596.000000000175</v>
      </c>
      <c r="V100" s="278">
        <f>'MIS Working 1'!$U100/'MIS Working 1'!$N100</f>
        <v>0.12732842122692312</v>
      </c>
      <c r="W100" s="274">
        <f>'MIS Working 1'!$N100/'MIS Working 1'!$L100</f>
        <v>483.16</v>
      </c>
      <c r="X100" s="279">
        <f>SUM('MIS Working 1'!$Y100:$AE100)</f>
        <v>447.47999999999985</v>
      </c>
      <c r="Y100" s="279">
        <f>SUMIFS('COGS Break up'!$E:$E,'COGS Break up'!$A:$A,'MIS Working 1'!$D100,'COGS Break up'!$D:$D,'MIS Working 1'!$Y$1)</f>
        <v>373.01999999999981</v>
      </c>
      <c r="Z100" s="279">
        <f>SUMIFS('COGS Break up'!$E:$E,'COGS Break up'!$A:$A,'MIS Working 1'!$D100,'COGS Break up'!$D:$D,'MIS Working 1'!$Z$1)</f>
        <v>22</v>
      </c>
      <c r="AA100" s="279">
        <f>SUMIFS('COGS Break up'!E:E,'COGS Break up'!A:A,'MIS Working 1'!$D:$D,'COGS Break up'!C:C,'MIS Working 1'!$AA$1)</f>
        <v>1.8</v>
      </c>
      <c r="AB100" s="279">
        <f>SUMIFS('COGS Break up'!E:E,'COGS Break up'!A:A,'MIS Working 1'!$D:$D,'COGS Break up'!C:C,$AB$1)</f>
        <v>15.99</v>
      </c>
      <c r="AC100" s="279">
        <f>SUMIFS('COGS Break up'!E:E,'COGS Break up'!A:A,'MIS Working 1'!$D:$D,'COGS Break up'!C:C,$AC$1)</f>
        <v>8.31</v>
      </c>
      <c r="AD100" s="279">
        <f>SUMIFS('COGS Break up'!$E:$E,'COGS Break up'!$A:$A,'MIS Working 1'!$D100,'COGS Break up'!$D:$D,'MIS Working 1'!$AD$1)</f>
        <v>0.26</v>
      </c>
      <c r="AE100" s="279">
        <f>SUMIFS('COGS Break up'!$E:$E,'COGS Break up'!$A:$A,'MIS Working 1'!$D100,'COGS Break up'!$D:$D,'MIS Working 1'!$AE$1)</f>
        <v>26.1</v>
      </c>
      <c r="AF100" s="280">
        <f>'MIS Working 1'!$AG100+'MIS Working 1'!$AH100+'MIS Working 1'!$AM100+'MIS Working 1'!$AL100</f>
        <v>442721.99999999983</v>
      </c>
      <c r="AG100" s="279">
        <f>'MIS Working 1'!$L100*'MIS Working 1'!$Y100</f>
        <v>391670.99999999983</v>
      </c>
      <c r="AH100" s="279">
        <f>'MIS Working 1'!$L100*'MIS Working 1'!$Z100</f>
        <v>23100</v>
      </c>
      <c r="AI100" s="279">
        <f t="shared" si="3"/>
        <v>1890</v>
      </c>
      <c r="AJ100" s="279">
        <f t="shared" si="4"/>
        <v>16789.5</v>
      </c>
      <c r="AK100" s="279">
        <f t="shared" si="5"/>
        <v>8725.5</v>
      </c>
      <c r="AL100" s="279">
        <f>'MIS Working 1'!$AD100*'MIS Working 1'!$L100</f>
        <v>273</v>
      </c>
      <c r="AM100" s="279">
        <f>'MIS Working 1'!$L100*'MIS Working 1'!$AE100+'MIS Working 1'!$AL100</f>
        <v>27678</v>
      </c>
    </row>
    <row r="101" spans="1:39" x14ac:dyDescent="0.3">
      <c r="A101" s="263" t="s">
        <v>479</v>
      </c>
      <c r="B101" s="264">
        <v>45985</v>
      </c>
      <c r="C101" s="265" t="s">
        <v>1709</v>
      </c>
      <c r="D101" s="265" t="s">
        <v>38</v>
      </c>
      <c r="E101" s="265" t="s">
        <v>39</v>
      </c>
      <c r="F101" s="265" t="s">
        <v>18</v>
      </c>
      <c r="G101" s="265" t="s">
        <v>19</v>
      </c>
      <c r="H101" s="265" t="s">
        <v>27</v>
      </c>
      <c r="I101" s="266">
        <v>840</v>
      </c>
      <c r="J101" s="267">
        <v>274789.2</v>
      </c>
      <c r="K101" s="266">
        <v>840</v>
      </c>
      <c r="L101" s="266">
        <v>840</v>
      </c>
      <c r="M101" s="264">
        <v>45985</v>
      </c>
      <c r="N101" s="267">
        <v>286498.8</v>
      </c>
      <c r="O101" s="265" t="s">
        <v>21</v>
      </c>
      <c r="P101" s="265" t="s">
        <v>22</v>
      </c>
      <c r="Q101" s="265" t="s">
        <v>660</v>
      </c>
      <c r="R101" s="265" t="str">
        <f>VLOOKUP('MIS Working 1'!$G101,Master!$H$3:$I$8,2,0)</f>
        <v>Finished Goods</v>
      </c>
      <c r="S101" s="265" t="str">
        <f>VLOOKUP('MIS Working 1'!$H101,Master!B:C,2,0)</f>
        <v>FG-PCB-CF</v>
      </c>
      <c r="T101" s="265" t="str">
        <f>VLOOKUP('MIS Working 1'!$S101,Master!E:F,2,0)</f>
        <v>FG-PCB-CF</v>
      </c>
      <c r="U101" s="268">
        <f>'MIS Working 1'!$N101-'MIS Working 1'!$AF101</f>
        <v>11566.800000000047</v>
      </c>
      <c r="V101" s="269">
        <f>'MIS Working 1'!$U101/'MIS Working 1'!$N101</f>
        <v>4.0372943970446114E-2</v>
      </c>
      <c r="W101" s="265">
        <f>'MIS Working 1'!$N101/'MIS Working 1'!$L101</f>
        <v>341.07</v>
      </c>
      <c r="X101" s="270">
        <f>SUM('MIS Working 1'!$Y101:$AE101)</f>
        <v>353.55</v>
      </c>
      <c r="Y101" s="270">
        <f>SUMIFS('COGS Break up'!$E:$E,'COGS Break up'!$A:$A,'MIS Working 1'!$D101,'COGS Break up'!$D:$D,'MIS Working 1'!$Y$1)</f>
        <v>278.14</v>
      </c>
      <c r="Z101" s="270">
        <f>SUMIFS('COGS Break up'!$E:$E,'COGS Break up'!$A:$A,'MIS Working 1'!$D101,'COGS Break up'!$D:$D,'MIS Working 1'!$Z$1)</f>
        <v>22.400000000000002</v>
      </c>
      <c r="AA101" s="270">
        <f>SUMIFS('COGS Break up'!E:E,'COGS Break up'!A:A,'MIS Working 1'!$D:$D,'COGS Break up'!C:C,'MIS Working 1'!$AA$1)</f>
        <v>1.8299999999999998</v>
      </c>
      <c r="AB101" s="270">
        <f>SUMIFS('COGS Break up'!E:E,'COGS Break up'!A:A,'MIS Working 1'!$D:$D,'COGS Break up'!C:C,$AB$1)</f>
        <v>16.28</v>
      </c>
      <c r="AC101" s="270">
        <f>SUMIFS('COGS Break up'!E:E,'COGS Break up'!A:A,'MIS Working 1'!$D:$D,'COGS Break up'!C:C,$AC$1)</f>
        <v>8.31</v>
      </c>
      <c r="AD101" s="270">
        <f>SUMIFS('COGS Break up'!$E:$E,'COGS Break up'!$A:$A,'MIS Working 1'!$D101,'COGS Break up'!$D:$D,'MIS Working 1'!$AD$1)</f>
        <v>0.17</v>
      </c>
      <c r="AE101" s="270">
        <f>SUMIFS('COGS Break up'!$E:$E,'COGS Break up'!$A:$A,'MIS Working 1'!$D101,'COGS Break up'!$D:$D,'MIS Working 1'!$AE$1)</f>
        <v>26.42</v>
      </c>
      <c r="AF101" s="271">
        <f>'MIS Working 1'!$AG101+'MIS Working 1'!$AH101+'MIS Working 1'!$AM101+'MIS Working 1'!$AL101</f>
        <v>274931.99999999994</v>
      </c>
      <c r="AG101" s="270">
        <f>'MIS Working 1'!$L101*'MIS Working 1'!$Y101</f>
        <v>233637.59999999998</v>
      </c>
      <c r="AH101" s="270">
        <f>'MIS Working 1'!$L101*'MIS Working 1'!$Z101</f>
        <v>18816</v>
      </c>
      <c r="AI101" s="270">
        <f t="shared" si="3"/>
        <v>1537.1999999999998</v>
      </c>
      <c r="AJ101" s="270">
        <f t="shared" si="4"/>
        <v>13675.2</v>
      </c>
      <c r="AK101" s="270">
        <f t="shared" si="5"/>
        <v>6980.4000000000005</v>
      </c>
      <c r="AL101" s="270">
        <f>'MIS Working 1'!$AD101*'MIS Working 1'!$L101</f>
        <v>142.80000000000001</v>
      </c>
      <c r="AM101" s="270">
        <f>'MIS Working 1'!$L101*'MIS Working 1'!$AE101+'MIS Working 1'!$AL101</f>
        <v>22335.600000000002</v>
      </c>
    </row>
    <row r="102" spans="1:39" x14ac:dyDescent="0.3">
      <c r="A102" s="272" t="s">
        <v>479</v>
      </c>
      <c r="B102" s="273">
        <v>45985</v>
      </c>
      <c r="C102" s="274" t="s">
        <v>1708</v>
      </c>
      <c r="D102" s="274" t="s">
        <v>38</v>
      </c>
      <c r="E102" s="274" t="s">
        <v>39</v>
      </c>
      <c r="F102" s="274" t="s">
        <v>18</v>
      </c>
      <c r="G102" s="274" t="s">
        <v>19</v>
      </c>
      <c r="H102" s="274" t="s">
        <v>27</v>
      </c>
      <c r="I102" s="275">
        <v>3360</v>
      </c>
      <c r="J102" s="276">
        <v>1099156.8</v>
      </c>
      <c r="K102" s="275">
        <v>3360</v>
      </c>
      <c r="L102" s="275">
        <v>3360</v>
      </c>
      <c r="M102" s="273">
        <v>45985</v>
      </c>
      <c r="N102" s="276">
        <v>1145995.2</v>
      </c>
      <c r="O102" s="274" t="s">
        <v>21</v>
      </c>
      <c r="P102" s="274" t="s">
        <v>22</v>
      </c>
      <c r="Q102" s="274" t="s">
        <v>660</v>
      </c>
      <c r="R102" s="274" t="str">
        <f>VLOOKUP('MIS Working 1'!$G102,Master!$H$3:$I$8,2,0)</f>
        <v>Finished Goods</v>
      </c>
      <c r="S102" s="274" t="str">
        <f>VLOOKUP('MIS Working 1'!$H102,Master!B:C,2,0)</f>
        <v>FG-PCB-CF</v>
      </c>
      <c r="T102" s="274" t="str">
        <f>VLOOKUP('MIS Working 1'!$S102,Master!E:F,2,0)</f>
        <v>FG-PCB-CF</v>
      </c>
      <c r="U102" s="277">
        <f>'MIS Working 1'!$N102-'MIS Working 1'!$AF102</f>
        <v>46267.200000000186</v>
      </c>
      <c r="V102" s="278">
        <f>'MIS Working 1'!$U102/'MIS Working 1'!$N102</f>
        <v>4.0372943970446114E-2</v>
      </c>
      <c r="W102" s="274">
        <f>'MIS Working 1'!$N102/'MIS Working 1'!$L102</f>
        <v>341.07</v>
      </c>
      <c r="X102" s="279">
        <f>SUM('MIS Working 1'!$Y102:$AE102)</f>
        <v>353.55</v>
      </c>
      <c r="Y102" s="279">
        <f>SUMIFS('COGS Break up'!$E:$E,'COGS Break up'!$A:$A,'MIS Working 1'!$D102,'COGS Break up'!$D:$D,'MIS Working 1'!$Y$1)</f>
        <v>278.14</v>
      </c>
      <c r="Z102" s="279">
        <f>SUMIFS('COGS Break up'!$E:$E,'COGS Break up'!$A:$A,'MIS Working 1'!$D102,'COGS Break up'!$D:$D,'MIS Working 1'!$Z$1)</f>
        <v>22.400000000000002</v>
      </c>
      <c r="AA102" s="279">
        <f>SUMIFS('COGS Break up'!E:E,'COGS Break up'!A:A,'MIS Working 1'!$D:$D,'COGS Break up'!C:C,'MIS Working 1'!$AA$1)</f>
        <v>1.8299999999999998</v>
      </c>
      <c r="AB102" s="279">
        <f>SUMIFS('COGS Break up'!E:E,'COGS Break up'!A:A,'MIS Working 1'!$D:$D,'COGS Break up'!C:C,$AB$1)</f>
        <v>16.28</v>
      </c>
      <c r="AC102" s="279">
        <f>SUMIFS('COGS Break up'!E:E,'COGS Break up'!A:A,'MIS Working 1'!$D:$D,'COGS Break up'!C:C,$AC$1)</f>
        <v>8.31</v>
      </c>
      <c r="AD102" s="279">
        <f>SUMIFS('COGS Break up'!$E:$E,'COGS Break up'!$A:$A,'MIS Working 1'!$D102,'COGS Break up'!$D:$D,'MIS Working 1'!$AD$1)</f>
        <v>0.17</v>
      </c>
      <c r="AE102" s="279">
        <f>SUMIFS('COGS Break up'!$E:$E,'COGS Break up'!$A:$A,'MIS Working 1'!$D102,'COGS Break up'!$D:$D,'MIS Working 1'!$AE$1)</f>
        <v>26.42</v>
      </c>
      <c r="AF102" s="280">
        <f>'MIS Working 1'!$AG102+'MIS Working 1'!$AH102+'MIS Working 1'!$AM102+'MIS Working 1'!$AL102</f>
        <v>1099727.9999999998</v>
      </c>
      <c r="AG102" s="279">
        <f>'MIS Working 1'!$L102*'MIS Working 1'!$Y102</f>
        <v>934550.39999999991</v>
      </c>
      <c r="AH102" s="279">
        <f>'MIS Working 1'!$L102*'MIS Working 1'!$Z102</f>
        <v>75264</v>
      </c>
      <c r="AI102" s="279">
        <f t="shared" si="3"/>
        <v>6148.7999999999993</v>
      </c>
      <c r="AJ102" s="279">
        <f t="shared" si="4"/>
        <v>54700.800000000003</v>
      </c>
      <c r="AK102" s="279">
        <f t="shared" si="5"/>
        <v>27921.600000000002</v>
      </c>
      <c r="AL102" s="279">
        <f>'MIS Working 1'!$AD102*'MIS Working 1'!$L102</f>
        <v>571.20000000000005</v>
      </c>
      <c r="AM102" s="279">
        <f>'MIS Working 1'!$L102*'MIS Working 1'!$AE102+'MIS Working 1'!$AL102</f>
        <v>89342.400000000009</v>
      </c>
    </row>
    <row r="103" spans="1:39" x14ac:dyDescent="0.3">
      <c r="A103" s="263" t="s">
        <v>479</v>
      </c>
      <c r="B103" s="264">
        <v>45985</v>
      </c>
      <c r="C103" s="265" t="s">
        <v>1707</v>
      </c>
      <c r="D103" s="265" t="s">
        <v>378</v>
      </c>
      <c r="E103" s="265" t="s">
        <v>379</v>
      </c>
      <c r="F103" s="265" t="s">
        <v>18</v>
      </c>
      <c r="G103" s="265" t="s">
        <v>19</v>
      </c>
      <c r="H103" s="265" t="s">
        <v>27</v>
      </c>
      <c r="I103" s="266">
        <v>418</v>
      </c>
      <c r="J103" s="267">
        <v>135933.6</v>
      </c>
      <c r="K103" s="266">
        <v>418</v>
      </c>
      <c r="L103" s="266">
        <v>418</v>
      </c>
      <c r="M103" s="264">
        <v>45985</v>
      </c>
      <c r="N103" s="267">
        <v>148398.35999999999</v>
      </c>
      <c r="O103" s="265" t="s">
        <v>21</v>
      </c>
      <c r="P103" s="265" t="s">
        <v>22</v>
      </c>
      <c r="Q103" s="265" t="s">
        <v>660</v>
      </c>
      <c r="R103" s="265" t="str">
        <f>VLOOKUP('MIS Working 1'!$G103,Master!$H$3:$I$8,2,0)</f>
        <v>Finished Goods</v>
      </c>
      <c r="S103" s="265" t="str">
        <f>VLOOKUP('MIS Working 1'!$H103,Master!B:C,2,0)</f>
        <v>FG-PCB-CF</v>
      </c>
      <c r="T103" s="265" t="str">
        <f>VLOOKUP('MIS Working 1'!$S103,Master!E:F,2,0)</f>
        <v>FG-PCB-CF</v>
      </c>
      <c r="U103" s="268">
        <f>'MIS Working 1'!$N103-'MIS Working 1'!$AF103</f>
        <v>12356.080000000016</v>
      </c>
      <c r="V103" s="269">
        <f>'MIS Working 1'!$U103/'MIS Working 1'!$N103</f>
        <v>8.3262914765365445E-2</v>
      </c>
      <c r="W103" s="265">
        <f>'MIS Working 1'!$N103/'MIS Working 1'!$L103</f>
        <v>355.02</v>
      </c>
      <c r="X103" s="270">
        <f>SUM('MIS Working 1'!$Y103:$AE103)</f>
        <v>354.76999999999992</v>
      </c>
      <c r="Y103" s="270">
        <f>SUMIFS('COGS Break up'!$E:$E,'COGS Break up'!$A:$A,'MIS Working 1'!$D103,'COGS Break up'!$D:$D,'MIS Working 1'!$Y$1)</f>
        <v>271.52999999999997</v>
      </c>
      <c r="Z103" s="270">
        <f>SUMIFS('COGS Break up'!$E:$E,'COGS Break up'!$A:$A,'MIS Working 1'!$D103,'COGS Break up'!$D:$D,'MIS Working 1'!$Z$1)</f>
        <v>23.84</v>
      </c>
      <c r="AA103" s="270">
        <f>SUMIFS('COGS Break up'!E:E,'COGS Break up'!A:A,'MIS Working 1'!$D:$D,'COGS Break up'!C:C,'MIS Working 1'!$AA$1)</f>
        <v>1.9500000000000002</v>
      </c>
      <c r="AB103" s="270">
        <f>SUMIFS('COGS Break up'!E:E,'COGS Break up'!A:A,'MIS Working 1'!$D:$D,'COGS Break up'!C:C,$AB$1)</f>
        <v>17.329999999999998</v>
      </c>
      <c r="AC103" s="270">
        <f>SUMIFS('COGS Break up'!E:E,'COGS Break up'!A:A,'MIS Working 1'!$D:$D,'COGS Break up'!C:C,$AC$1)</f>
        <v>10.29</v>
      </c>
      <c r="AD103" s="270">
        <f>SUMIFS('COGS Break up'!$E:$E,'COGS Break up'!$A:$A,'MIS Working 1'!$D103,'COGS Break up'!$D:$D,'MIS Working 1'!$AD$1)</f>
        <v>0.26</v>
      </c>
      <c r="AE103" s="270">
        <f>SUMIFS('COGS Break up'!$E:$E,'COGS Break up'!$A:$A,'MIS Working 1'!$D103,'COGS Break up'!$D:$D,'MIS Working 1'!$AE$1)</f>
        <v>29.569999999999997</v>
      </c>
      <c r="AF103" s="271">
        <f>'MIS Working 1'!$AG103+'MIS Working 1'!$AH103+'MIS Working 1'!$AM103+'MIS Working 1'!$AL103</f>
        <v>136042.27999999997</v>
      </c>
      <c r="AG103" s="270">
        <f>'MIS Working 1'!$L103*'MIS Working 1'!$Y103</f>
        <v>113499.54</v>
      </c>
      <c r="AH103" s="270">
        <f>'MIS Working 1'!$L103*'MIS Working 1'!$Z103</f>
        <v>9965.1200000000008</v>
      </c>
      <c r="AI103" s="270">
        <f t="shared" si="3"/>
        <v>815.1</v>
      </c>
      <c r="AJ103" s="270">
        <f t="shared" si="4"/>
        <v>7243.94</v>
      </c>
      <c r="AK103" s="270">
        <f t="shared" si="5"/>
        <v>4301.2199999999993</v>
      </c>
      <c r="AL103" s="270">
        <f>'MIS Working 1'!$AD103*'MIS Working 1'!$L103</f>
        <v>108.68</v>
      </c>
      <c r="AM103" s="270">
        <f>'MIS Working 1'!$L103*'MIS Working 1'!$AE103+'MIS Working 1'!$AL103</f>
        <v>12468.939999999999</v>
      </c>
    </row>
    <row r="104" spans="1:39" x14ac:dyDescent="0.3">
      <c r="A104" s="272" t="s">
        <v>479</v>
      </c>
      <c r="B104" s="273">
        <v>45985</v>
      </c>
      <c r="C104" s="274" t="s">
        <v>1706</v>
      </c>
      <c r="D104" s="274" t="s">
        <v>378</v>
      </c>
      <c r="E104" s="274" t="s">
        <v>379</v>
      </c>
      <c r="F104" s="274" t="s">
        <v>18</v>
      </c>
      <c r="G104" s="274" t="s">
        <v>19</v>
      </c>
      <c r="H104" s="274" t="s">
        <v>27</v>
      </c>
      <c r="I104" s="275">
        <v>200</v>
      </c>
      <c r="J104" s="276">
        <v>65040</v>
      </c>
      <c r="K104" s="275">
        <v>200</v>
      </c>
      <c r="L104" s="275">
        <v>200</v>
      </c>
      <c r="M104" s="273">
        <v>45985</v>
      </c>
      <c r="N104" s="276">
        <v>71004</v>
      </c>
      <c r="O104" s="274" t="s">
        <v>21</v>
      </c>
      <c r="P104" s="274" t="s">
        <v>22</v>
      </c>
      <c r="Q104" s="274" t="s">
        <v>660</v>
      </c>
      <c r="R104" s="274" t="str">
        <f>VLOOKUP('MIS Working 1'!$G104,Master!$H$3:$I$8,2,0)</f>
        <v>Finished Goods</v>
      </c>
      <c r="S104" s="274" t="str">
        <f>VLOOKUP('MIS Working 1'!$H104,Master!B:C,2,0)</f>
        <v>FG-PCB-CF</v>
      </c>
      <c r="T104" s="274" t="str">
        <f>VLOOKUP('MIS Working 1'!$S104,Master!E:F,2,0)</f>
        <v>FG-PCB-CF</v>
      </c>
      <c r="U104" s="277">
        <f>'MIS Working 1'!$N104-'MIS Working 1'!$AF104</f>
        <v>5912.0000000000073</v>
      </c>
      <c r="V104" s="278">
        <f>'MIS Working 1'!$U104/'MIS Working 1'!$N104</f>
        <v>8.3262914765365431E-2</v>
      </c>
      <c r="W104" s="274">
        <f>'MIS Working 1'!$N104/'MIS Working 1'!$L104</f>
        <v>355.02</v>
      </c>
      <c r="X104" s="279">
        <f>SUM('MIS Working 1'!$Y104:$AE104)</f>
        <v>354.76999999999992</v>
      </c>
      <c r="Y104" s="279">
        <f>SUMIFS('COGS Break up'!$E:$E,'COGS Break up'!$A:$A,'MIS Working 1'!$D104,'COGS Break up'!$D:$D,'MIS Working 1'!$Y$1)</f>
        <v>271.52999999999997</v>
      </c>
      <c r="Z104" s="279">
        <f>SUMIFS('COGS Break up'!$E:$E,'COGS Break up'!$A:$A,'MIS Working 1'!$D104,'COGS Break up'!$D:$D,'MIS Working 1'!$Z$1)</f>
        <v>23.84</v>
      </c>
      <c r="AA104" s="279">
        <f>SUMIFS('COGS Break up'!E:E,'COGS Break up'!A:A,'MIS Working 1'!$D:$D,'COGS Break up'!C:C,'MIS Working 1'!$AA$1)</f>
        <v>1.9500000000000002</v>
      </c>
      <c r="AB104" s="279">
        <f>SUMIFS('COGS Break up'!E:E,'COGS Break up'!A:A,'MIS Working 1'!$D:$D,'COGS Break up'!C:C,$AB$1)</f>
        <v>17.329999999999998</v>
      </c>
      <c r="AC104" s="279">
        <f>SUMIFS('COGS Break up'!E:E,'COGS Break up'!A:A,'MIS Working 1'!$D:$D,'COGS Break up'!C:C,$AC$1)</f>
        <v>10.29</v>
      </c>
      <c r="AD104" s="279">
        <f>SUMIFS('COGS Break up'!$E:$E,'COGS Break up'!$A:$A,'MIS Working 1'!$D104,'COGS Break up'!$D:$D,'MIS Working 1'!$AD$1)</f>
        <v>0.26</v>
      </c>
      <c r="AE104" s="279">
        <f>SUMIFS('COGS Break up'!$E:$E,'COGS Break up'!$A:$A,'MIS Working 1'!$D104,'COGS Break up'!$D:$D,'MIS Working 1'!$AE$1)</f>
        <v>29.569999999999997</v>
      </c>
      <c r="AF104" s="280">
        <f>'MIS Working 1'!$AG104+'MIS Working 1'!$AH104+'MIS Working 1'!$AM104+'MIS Working 1'!$AL104</f>
        <v>65091.999999999993</v>
      </c>
      <c r="AG104" s="279">
        <f>'MIS Working 1'!$L104*'MIS Working 1'!$Y104</f>
        <v>54305.999999999993</v>
      </c>
      <c r="AH104" s="279">
        <f>'MIS Working 1'!$L104*'MIS Working 1'!$Z104</f>
        <v>4768</v>
      </c>
      <c r="AI104" s="279">
        <f t="shared" si="3"/>
        <v>390.00000000000006</v>
      </c>
      <c r="AJ104" s="279">
        <f t="shared" si="4"/>
        <v>3465.9999999999995</v>
      </c>
      <c r="AK104" s="279">
        <f t="shared" si="5"/>
        <v>2058</v>
      </c>
      <c r="AL104" s="279">
        <f>'MIS Working 1'!$AD104*'MIS Working 1'!$L104</f>
        <v>52</v>
      </c>
      <c r="AM104" s="279">
        <f>'MIS Working 1'!$L104*'MIS Working 1'!$AE104+'MIS Working 1'!$AL104</f>
        <v>5965.9999999999991</v>
      </c>
    </row>
    <row r="105" spans="1:39" x14ac:dyDescent="0.3">
      <c r="A105" s="263" t="s">
        <v>479</v>
      </c>
      <c r="B105" s="264">
        <v>45985</v>
      </c>
      <c r="C105" s="265" t="s">
        <v>1708</v>
      </c>
      <c r="D105" s="265" t="s">
        <v>380</v>
      </c>
      <c r="E105" s="265" t="s">
        <v>381</v>
      </c>
      <c r="F105" s="265" t="s">
        <v>18</v>
      </c>
      <c r="G105" s="265" t="s">
        <v>19</v>
      </c>
      <c r="H105" s="265" t="s">
        <v>27</v>
      </c>
      <c r="I105" s="266">
        <v>716</v>
      </c>
      <c r="J105" s="267">
        <v>155085.6</v>
      </c>
      <c r="K105" s="266">
        <v>716</v>
      </c>
      <c r="L105" s="266">
        <v>716</v>
      </c>
      <c r="M105" s="264">
        <v>45985</v>
      </c>
      <c r="N105" s="267">
        <v>158844.6</v>
      </c>
      <c r="O105" s="265" t="s">
        <v>21</v>
      </c>
      <c r="P105" s="265" t="s">
        <v>22</v>
      </c>
      <c r="Q105" s="265" t="s">
        <v>660</v>
      </c>
      <c r="R105" s="265" t="str">
        <f>VLOOKUP('MIS Working 1'!$G105,Master!$H$3:$I$8,2,0)</f>
        <v>Finished Goods</v>
      </c>
      <c r="S105" s="265" t="str">
        <f>VLOOKUP('MIS Working 1'!$H105,Master!B:C,2,0)</f>
        <v>FG-PCB-CF</v>
      </c>
      <c r="T105" s="265" t="str">
        <f>VLOOKUP('MIS Working 1'!$S105,Master!E:F,2,0)</f>
        <v>FG-PCB-CF</v>
      </c>
      <c r="U105" s="268">
        <f>'MIS Working 1'!$N105-'MIS Working 1'!$AF105</f>
        <v>3730.3600000000442</v>
      </c>
      <c r="V105" s="269">
        <f>'MIS Working 1'!$U105/'MIS Working 1'!$N105</f>
        <v>2.3484336263241205E-2</v>
      </c>
      <c r="W105" s="265">
        <f>'MIS Working 1'!$N105/'MIS Working 1'!$L105</f>
        <v>221.85</v>
      </c>
      <c r="X105" s="270">
        <f>SUM('MIS Working 1'!$Y105:$AE105)</f>
        <v>239.77999999999994</v>
      </c>
      <c r="Y105" s="270">
        <f>SUMIFS('COGS Break up'!$E:$E,'COGS Break up'!$A:$A,'MIS Working 1'!$D105,'COGS Break up'!$D:$D,'MIS Working 1'!$Y$1)</f>
        <v>174.98999999999995</v>
      </c>
      <c r="Z105" s="270">
        <f>SUMIFS('COGS Break up'!$E:$E,'COGS Break up'!$A:$A,'MIS Working 1'!$D105,'COGS Break up'!$D:$D,'MIS Working 1'!$Z$1)</f>
        <v>18.389999999999997</v>
      </c>
      <c r="AA105" s="270">
        <f>SUMIFS('COGS Break up'!E:E,'COGS Break up'!A:A,'MIS Working 1'!$D:$D,'COGS Break up'!C:C,'MIS Working 1'!$AA$1)</f>
        <v>1.5</v>
      </c>
      <c r="AB105" s="270">
        <f>SUMIFS('COGS Break up'!E:E,'COGS Break up'!A:A,'MIS Working 1'!$D:$D,'COGS Break up'!C:C,$AB$1)</f>
        <v>13.37</v>
      </c>
      <c r="AC105" s="270">
        <f>SUMIFS('COGS Break up'!E:E,'COGS Break up'!A:A,'MIS Working 1'!$D:$D,'COGS Break up'!C:C,$AC$1)</f>
        <v>8.31</v>
      </c>
      <c r="AD105" s="270">
        <f>SUMIFS('COGS Break up'!$E:$E,'COGS Break up'!$A:$A,'MIS Working 1'!$D105,'COGS Break up'!$D:$D,'MIS Working 1'!$AD$1)</f>
        <v>0.04</v>
      </c>
      <c r="AE105" s="270">
        <f>SUMIFS('COGS Break up'!$E:$E,'COGS Break up'!$A:$A,'MIS Working 1'!$D105,'COGS Break up'!$D:$D,'MIS Working 1'!$AE$1)</f>
        <v>23.18</v>
      </c>
      <c r="AF105" s="271">
        <f>'MIS Working 1'!$AG105+'MIS Working 1'!$AH105+'MIS Working 1'!$AM105+'MIS Working 1'!$AL105</f>
        <v>155114.23999999996</v>
      </c>
      <c r="AG105" s="270">
        <f>'MIS Working 1'!$L105*'MIS Working 1'!$Y105</f>
        <v>125292.83999999997</v>
      </c>
      <c r="AH105" s="270">
        <f>'MIS Working 1'!$L105*'MIS Working 1'!$Z105</f>
        <v>13167.239999999998</v>
      </c>
      <c r="AI105" s="270">
        <f t="shared" si="3"/>
        <v>1074</v>
      </c>
      <c r="AJ105" s="270">
        <f t="shared" si="4"/>
        <v>9572.92</v>
      </c>
      <c r="AK105" s="270">
        <f t="shared" si="5"/>
        <v>5949.96</v>
      </c>
      <c r="AL105" s="270">
        <f>'MIS Working 1'!$AD105*'MIS Working 1'!$L105</f>
        <v>28.64</v>
      </c>
      <c r="AM105" s="270">
        <f>'MIS Working 1'!$L105*'MIS Working 1'!$AE105+'MIS Working 1'!$AL105</f>
        <v>16625.52</v>
      </c>
    </row>
    <row r="106" spans="1:39" x14ac:dyDescent="0.3">
      <c r="A106" s="272" t="s">
        <v>479</v>
      </c>
      <c r="B106" s="273">
        <v>45985</v>
      </c>
      <c r="C106" s="274" t="s">
        <v>1706</v>
      </c>
      <c r="D106" s="274" t="s">
        <v>380</v>
      </c>
      <c r="E106" s="274" t="s">
        <v>381</v>
      </c>
      <c r="F106" s="274" t="s">
        <v>18</v>
      </c>
      <c r="G106" s="274" t="s">
        <v>19</v>
      </c>
      <c r="H106" s="274" t="s">
        <v>27</v>
      </c>
      <c r="I106" s="275">
        <v>348</v>
      </c>
      <c r="J106" s="276">
        <v>75376.800000000003</v>
      </c>
      <c r="K106" s="275">
        <v>348</v>
      </c>
      <c r="L106" s="275">
        <v>348</v>
      </c>
      <c r="M106" s="273">
        <v>45985</v>
      </c>
      <c r="N106" s="276">
        <v>77203.8</v>
      </c>
      <c r="O106" s="274" t="s">
        <v>21</v>
      </c>
      <c r="P106" s="274" t="s">
        <v>22</v>
      </c>
      <c r="Q106" s="274" t="s">
        <v>660</v>
      </c>
      <c r="R106" s="274" t="str">
        <f>VLOOKUP('MIS Working 1'!$G106,Master!$H$3:$I$8,2,0)</f>
        <v>Finished Goods</v>
      </c>
      <c r="S106" s="274" t="str">
        <f>VLOOKUP('MIS Working 1'!$H106,Master!B:C,2,0)</f>
        <v>FG-PCB-CF</v>
      </c>
      <c r="T106" s="274" t="str">
        <f>VLOOKUP('MIS Working 1'!$S106,Master!E:F,2,0)</f>
        <v>FG-PCB-CF</v>
      </c>
      <c r="U106" s="277">
        <f>'MIS Working 1'!$N106-'MIS Working 1'!$AF106</f>
        <v>1813.0800000000309</v>
      </c>
      <c r="V106" s="278">
        <f>'MIS Working 1'!$U106/'MIS Working 1'!$N106</f>
        <v>2.3484336263241326E-2</v>
      </c>
      <c r="W106" s="274">
        <f>'MIS Working 1'!$N106/'MIS Working 1'!$L106</f>
        <v>221.85</v>
      </c>
      <c r="X106" s="279">
        <f>SUM('MIS Working 1'!$Y106:$AE106)</f>
        <v>239.77999999999994</v>
      </c>
      <c r="Y106" s="279">
        <f>SUMIFS('COGS Break up'!$E:$E,'COGS Break up'!$A:$A,'MIS Working 1'!$D106,'COGS Break up'!$D:$D,'MIS Working 1'!$Y$1)</f>
        <v>174.98999999999995</v>
      </c>
      <c r="Z106" s="279">
        <f>SUMIFS('COGS Break up'!$E:$E,'COGS Break up'!$A:$A,'MIS Working 1'!$D106,'COGS Break up'!$D:$D,'MIS Working 1'!$Z$1)</f>
        <v>18.389999999999997</v>
      </c>
      <c r="AA106" s="279">
        <f>SUMIFS('COGS Break up'!E:E,'COGS Break up'!A:A,'MIS Working 1'!$D:$D,'COGS Break up'!C:C,'MIS Working 1'!$AA$1)</f>
        <v>1.5</v>
      </c>
      <c r="AB106" s="279">
        <f>SUMIFS('COGS Break up'!E:E,'COGS Break up'!A:A,'MIS Working 1'!$D:$D,'COGS Break up'!C:C,$AB$1)</f>
        <v>13.37</v>
      </c>
      <c r="AC106" s="279">
        <f>SUMIFS('COGS Break up'!E:E,'COGS Break up'!A:A,'MIS Working 1'!$D:$D,'COGS Break up'!C:C,$AC$1)</f>
        <v>8.31</v>
      </c>
      <c r="AD106" s="279">
        <f>SUMIFS('COGS Break up'!$E:$E,'COGS Break up'!$A:$A,'MIS Working 1'!$D106,'COGS Break up'!$D:$D,'MIS Working 1'!$AD$1)</f>
        <v>0.04</v>
      </c>
      <c r="AE106" s="279">
        <f>SUMIFS('COGS Break up'!$E:$E,'COGS Break up'!$A:$A,'MIS Working 1'!$D106,'COGS Break up'!$D:$D,'MIS Working 1'!$AE$1)</f>
        <v>23.18</v>
      </c>
      <c r="AF106" s="280">
        <f>'MIS Working 1'!$AG106+'MIS Working 1'!$AH106+'MIS Working 1'!$AM106+'MIS Working 1'!$AL106</f>
        <v>75390.719999999972</v>
      </c>
      <c r="AG106" s="279">
        <f>'MIS Working 1'!$L106*'MIS Working 1'!$Y106</f>
        <v>60896.519999999982</v>
      </c>
      <c r="AH106" s="279">
        <f>'MIS Working 1'!$L106*'MIS Working 1'!$Z106</f>
        <v>6399.7199999999993</v>
      </c>
      <c r="AI106" s="279">
        <f t="shared" si="3"/>
        <v>522</v>
      </c>
      <c r="AJ106" s="279">
        <f t="shared" si="4"/>
        <v>4652.7599999999993</v>
      </c>
      <c r="AK106" s="279">
        <f t="shared" si="5"/>
        <v>2891.88</v>
      </c>
      <c r="AL106" s="279">
        <f>'MIS Working 1'!$AD106*'MIS Working 1'!$L106</f>
        <v>13.92</v>
      </c>
      <c r="AM106" s="279">
        <f>'MIS Working 1'!$L106*'MIS Working 1'!$AE106+'MIS Working 1'!$AL106</f>
        <v>8080.56</v>
      </c>
    </row>
    <row r="107" spans="1:39" x14ac:dyDescent="0.3">
      <c r="A107" s="263" t="s">
        <v>479</v>
      </c>
      <c r="B107" s="264">
        <v>45985</v>
      </c>
      <c r="C107" s="265" t="s">
        <v>1708</v>
      </c>
      <c r="D107" s="265" t="s">
        <v>1196</v>
      </c>
      <c r="E107" s="265" t="s">
        <v>1197</v>
      </c>
      <c r="F107" s="265" t="s">
        <v>18</v>
      </c>
      <c r="G107" s="265" t="s">
        <v>19</v>
      </c>
      <c r="H107" s="265" t="s">
        <v>27</v>
      </c>
      <c r="I107" s="266">
        <v>1400</v>
      </c>
      <c r="J107" s="267">
        <v>455280</v>
      </c>
      <c r="K107" s="266">
        <v>1400</v>
      </c>
      <c r="L107" s="266">
        <v>1400</v>
      </c>
      <c r="M107" s="264">
        <v>45985</v>
      </c>
      <c r="N107" s="267">
        <v>497028</v>
      </c>
      <c r="O107" s="265" t="s">
        <v>21</v>
      </c>
      <c r="P107" s="265" t="s">
        <v>22</v>
      </c>
      <c r="Q107" s="265" t="s">
        <v>660</v>
      </c>
      <c r="R107" s="265" t="str">
        <f>VLOOKUP('MIS Working 1'!$G107,Master!$H$3:$I$8,2,0)</f>
        <v>Finished Goods</v>
      </c>
      <c r="S107" s="265" t="str">
        <f>VLOOKUP('MIS Working 1'!$H107,Master!B:C,2,0)</f>
        <v>FG-PCB-CF</v>
      </c>
      <c r="T107" s="265" t="str">
        <f>VLOOKUP('MIS Working 1'!$S107,Master!E:F,2,0)</f>
        <v>FG-PCB-CF</v>
      </c>
      <c r="U107" s="268">
        <f>'MIS Working 1'!$N107-'MIS Working 1'!$AF107</f>
        <v>41384.000000000058</v>
      </c>
      <c r="V107" s="269">
        <f>'MIS Working 1'!$U107/'MIS Working 1'!$N107</f>
        <v>8.3262914765365445E-2</v>
      </c>
      <c r="W107" s="265">
        <f>'MIS Working 1'!$N107/'MIS Working 1'!$L107</f>
        <v>355.02</v>
      </c>
      <c r="X107" s="270">
        <f>SUM('MIS Working 1'!$Y107:$AE107)</f>
        <v>354.76999999999992</v>
      </c>
      <c r="Y107" s="270">
        <f>SUMIFS('COGS Break up'!$E:$E,'COGS Break up'!$A:$A,'MIS Working 1'!$D107,'COGS Break up'!$D:$D,'MIS Working 1'!$Y$1)</f>
        <v>271.52999999999997</v>
      </c>
      <c r="Z107" s="270">
        <f>SUMIFS('COGS Break up'!$E:$E,'COGS Break up'!$A:$A,'MIS Working 1'!$D107,'COGS Break up'!$D:$D,'MIS Working 1'!$Z$1)</f>
        <v>23.84</v>
      </c>
      <c r="AA107" s="270">
        <f>SUMIFS('COGS Break up'!E:E,'COGS Break up'!A:A,'MIS Working 1'!$D:$D,'COGS Break up'!C:C,'MIS Working 1'!$AA$1)</f>
        <v>1.9500000000000002</v>
      </c>
      <c r="AB107" s="270">
        <f>SUMIFS('COGS Break up'!E:E,'COGS Break up'!A:A,'MIS Working 1'!$D:$D,'COGS Break up'!C:C,$AB$1)</f>
        <v>17.329999999999998</v>
      </c>
      <c r="AC107" s="270">
        <f>SUMIFS('COGS Break up'!E:E,'COGS Break up'!A:A,'MIS Working 1'!$D:$D,'COGS Break up'!C:C,$AC$1)</f>
        <v>10.290000000000001</v>
      </c>
      <c r="AD107" s="270">
        <f>SUMIFS('COGS Break up'!$E:$E,'COGS Break up'!$A:$A,'MIS Working 1'!$D107,'COGS Break up'!$D:$D,'MIS Working 1'!$AD$1)</f>
        <v>0.26</v>
      </c>
      <c r="AE107" s="270">
        <f>SUMIFS('COGS Break up'!$E:$E,'COGS Break up'!$A:$A,'MIS Working 1'!$D107,'COGS Break up'!$D:$D,'MIS Working 1'!$AE$1)</f>
        <v>29.569999999999997</v>
      </c>
      <c r="AF107" s="271">
        <f>'MIS Working 1'!$AG107+'MIS Working 1'!$AH107+'MIS Working 1'!$AM107+'MIS Working 1'!$AL107</f>
        <v>455643.99999999994</v>
      </c>
      <c r="AG107" s="270">
        <f>'MIS Working 1'!$L107*'MIS Working 1'!$Y107</f>
        <v>380141.99999999994</v>
      </c>
      <c r="AH107" s="270">
        <f>'MIS Working 1'!$L107*'MIS Working 1'!$Z107</f>
        <v>33376</v>
      </c>
      <c r="AI107" s="270">
        <f t="shared" si="3"/>
        <v>2730.0000000000005</v>
      </c>
      <c r="AJ107" s="270">
        <f t="shared" si="4"/>
        <v>24261.999999999996</v>
      </c>
      <c r="AK107" s="270">
        <f t="shared" si="5"/>
        <v>14406.000000000002</v>
      </c>
      <c r="AL107" s="270">
        <f>'MIS Working 1'!$AD107*'MIS Working 1'!$L107</f>
        <v>364</v>
      </c>
      <c r="AM107" s="270">
        <f>'MIS Working 1'!$L107*'MIS Working 1'!$AE107+'MIS Working 1'!$AL107</f>
        <v>41761.999999999993</v>
      </c>
    </row>
    <row r="108" spans="1:39" x14ac:dyDescent="0.3">
      <c r="A108" s="272" t="s">
        <v>479</v>
      </c>
      <c r="B108" s="273">
        <v>45985</v>
      </c>
      <c r="C108" s="274" t="s">
        <v>1710</v>
      </c>
      <c r="D108" s="274" t="s">
        <v>364</v>
      </c>
      <c r="E108" s="274" t="s">
        <v>365</v>
      </c>
      <c r="F108" s="274" t="s">
        <v>18</v>
      </c>
      <c r="G108" s="274" t="s">
        <v>19</v>
      </c>
      <c r="H108" s="274" t="s">
        <v>771</v>
      </c>
      <c r="I108" s="275">
        <v>-34</v>
      </c>
      <c r="J108" s="276">
        <v>-2923.32</v>
      </c>
      <c r="K108" s="275">
        <v>-34</v>
      </c>
      <c r="L108" s="275">
        <v>-34</v>
      </c>
      <c r="M108" s="273">
        <v>45985</v>
      </c>
      <c r="N108" s="276">
        <v>-3442.16</v>
      </c>
      <c r="O108" s="274" t="s">
        <v>21</v>
      </c>
      <c r="P108" s="274" t="s">
        <v>22</v>
      </c>
      <c r="Q108" s="274" t="s">
        <v>660</v>
      </c>
      <c r="R108" s="274" t="str">
        <f>VLOOKUP('MIS Working 1'!$G108,Master!$H$3:$I$8,2,0)</f>
        <v>Finished Goods</v>
      </c>
      <c r="S108" s="274" t="str">
        <f>VLOOKUP('MIS Working 1'!$H108,Master!B:C,2,0)</f>
        <v>FG-PCB-MG Interface</v>
      </c>
      <c r="T108" s="274" t="str">
        <f>VLOOKUP('MIS Working 1'!$S108,Master!E:F,2,0)</f>
        <v>FG-PCB-MG</v>
      </c>
      <c r="U108" s="277">
        <f>'MIS Working 1'!$N108-'MIS Working 1'!$AF108</f>
        <v>-517.47999999999865</v>
      </c>
      <c r="V108" s="278">
        <f>'MIS Working 1'!$U108/'MIS Working 1'!$N108</f>
        <v>0.15033583563808733</v>
      </c>
      <c r="W108" s="274">
        <f>'MIS Working 1'!$N108/'MIS Working 1'!$L108</f>
        <v>101.24</v>
      </c>
      <c r="X108" s="279">
        <f>SUM('MIS Working 1'!$Y108:$AE108)</f>
        <v>85.980000000000018</v>
      </c>
      <c r="Y108" s="279">
        <f>SUMIFS('COGS Break up'!$E:$E,'COGS Break up'!$A:$A,'MIS Working 1'!$D108,'COGS Break up'!$D:$D,'MIS Working 1'!$Y$1)</f>
        <v>72.890000000000015</v>
      </c>
      <c r="Z108" s="279">
        <f>SUMIFS('COGS Break up'!$E:$E,'COGS Break up'!$A:$A,'MIS Working 1'!$D108,'COGS Break up'!$D:$D,'MIS Working 1'!$Z$1)</f>
        <v>13.05</v>
      </c>
      <c r="AA108" s="279">
        <f>SUMIFS('COGS Break up'!E:E,'COGS Break up'!A:A,'MIS Working 1'!$D:$D,'COGS Break up'!C:C,'MIS Working 1'!$AA$1)</f>
        <v>0</v>
      </c>
      <c r="AB108" s="279">
        <f>SUMIFS('COGS Break up'!E:E,'COGS Break up'!A:A,'MIS Working 1'!$D:$D,'COGS Break up'!C:C,$AB$1)</f>
        <v>0</v>
      </c>
      <c r="AC108" s="279">
        <f>SUMIFS('COGS Break up'!E:E,'COGS Break up'!A:A,'MIS Working 1'!$D:$D,'COGS Break up'!C:C,$AC$1)</f>
        <v>0</v>
      </c>
      <c r="AD108" s="279">
        <f>SUMIFS('COGS Break up'!$E:$E,'COGS Break up'!$A:$A,'MIS Working 1'!$D108,'COGS Break up'!$D:$D,'MIS Working 1'!$AD$1)</f>
        <v>0.04</v>
      </c>
      <c r="AE108" s="279">
        <f>SUMIFS('COGS Break up'!$E:$E,'COGS Break up'!$A:$A,'MIS Working 1'!$D108,'COGS Break up'!$D:$D,'MIS Working 1'!$AE$1)</f>
        <v>0</v>
      </c>
      <c r="AF108" s="280">
        <f>'MIS Working 1'!$AG108+'MIS Working 1'!$AH108+'MIS Working 1'!$AM108+'MIS Working 1'!$AL108</f>
        <v>-2924.6800000000012</v>
      </c>
      <c r="AG108" s="279">
        <f>'MIS Working 1'!$L108*'MIS Working 1'!$Y108</f>
        <v>-2478.2600000000007</v>
      </c>
      <c r="AH108" s="279">
        <f>'MIS Working 1'!$L108*'MIS Working 1'!$Z108</f>
        <v>-443.70000000000005</v>
      </c>
      <c r="AI108" s="279">
        <f t="shared" si="3"/>
        <v>0</v>
      </c>
      <c r="AJ108" s="279">
        <f t="shared" si="4"/>
        <v>0</v>
      </c>
      <c r="AK108" s="279">
        <f t="shared" si="5"/>
        <v>0</v>
      </c>
      <c r="AL108" s="279">
        <f>'MIS Working 1'!$AD108*'MIS Working 1'!$L108</f>
        <v>-1.36</v>
      </c>
      <c r="AM108" s="279">
        <f>'MIS Working 1'!$L108*'MIS Working 1'!$AE108+'MIS Working 1'!$AL108</f>
        <v>-1.36</v>
      </c>
    </row>
    <row r="109" spans="1:39" x14ac:dyDescent="0.3">
      <c r="A109" s="263" t="s">
        <v>479</v>
      </c>
      <c r="B109" s="264">
        <v>45985</v>
      </c>
      <c r="C109" s="265" t="s">
        <v>1710</v>
      </c>
      <c r="D109" s="265" t="s">
        <v>23</v>
      </c>
      <c r="E109" s="265" t="s">
        <v>24</v>
      </c>
      <c r="F109" s="265" t="s">
        <v>18</v>
      </c>
      <c r="G109" s="265" t="s">
        <v>19</v>
      </c>
      <c r="H109" s="265" t="s">
        <v>27</v>
      </c>
      <c r="I109" s="266">
        <v>-18</v>
      </c>
      <c r="J109" s="267">
        <v>-7585.38</v>
      </c>
      <c r="K109" s="266">
        <v>-18</v>
      </c>
      <c r="L109" s="266">
        <v>-18</v>
      </c>
      <c r="M109" s="264">
        <v>45985</v>
      </c>
      <c r="N109" s="267">
        <v>-8696.8799999999992</v>
      </c>
      <c r="O109" s="265" t="s">
        <v>21</v>
      </c>
      <c r="P109" s="265" t="s">
        <v>22</v>
      </c>
      <c r="Q109" s="265" t="s">
        <v>660</v>
      </c>
      <c r="R109" s="265" t="str">
        <f>VLOOKUP('MIS Working 1'!$G109,Master!$H$3:$I$8,2,0)</f>
        <v>Finished Goods</v>
      </c>
      <c r="S109" s="265" t="str">
        <f>VLOOKUP('MIS Working 1'!$H109,Master!B:C,2,0)</f>
        <v>FG-PCB-CF</v>
      </c>
      <c r="T109" s="265" t="str">
        <f>VLOOKUP('MIS Working 1'!$S109,Master!E:F,2,0)</f>
        <v>FG-PCB-CF</v>
      </c>
      <c r="U109" s="268">
        <f>'MIS Working 1'!$N109-'MIS Working 1'!$AF109</f>
        <v>-1106.8200000000015</v>
      </c>
      <c r="V109" s="269">
        <f>'MIS Working 1'!$U109/'MIS Working 1'!$N109</f>
        <v>0.12726632999420501</v>
      </c>
      <c r="W109" s="265">
        <f>'MIS Working 1'!$N109/'MIS Working 1'!$L109</f>
        <v>483.15999999999997</v>
      </c>
      <c r="X109" s="270">
        <f>SUM('MIS Working 1'!$Y109:$AE109)</f>
        <v>447.50999999999988</v>
      </c>
      <c r="Y109" s="270">
        <f>SUMIFS('COGS Break up'!$E:$E,'COGS Break up'!$A:$A,'MIS Working 1'!$D109,'COGS Break up'!$D:$D,'MIS Working 1'!$Y$1)</f>
        <v>373.04999999999984</v>
      </c>
      <c r="Z109" s="270">
        <f>SUMIFS('COGS Break up'!$E:$E,'COGS Break up'!$A:$A,'MIS Working 1'!$D109,'COGS Break up'!$D:$D,'MIS Working 1'!$Z$1)</f>
        <v>22</v>
      </c>
      <c r="AA109" s="270">
        <f>SUMIFS('COGS Break up'!E:E,'COGS Break up'!A:A,'MIS Working 1'!$D:$D,'COGS Break up'!C:C,'MIS Working 1'!$AA$1)</f>
        <v>1.8</v>
      </c>
      <c r="AB109" s="270">
        <f>SUMIFS('COGS Break up'!E:E,'COGS Break up'!A:A,'MIS Working 1'!$D:$D,'COGS Break up'!C:C,$AB$1)</f>
        <v>15.99</v>
      </c>
      <c r="AC109" s="270">
        <f>SUMIFS('COGS Break up'!E:E,'COGS Break up'!A:A,'MIS Working 1'!$D:$D,'COGS Break up'!C:C,$AC$1)</f>
        <v>8.31</v>
      </c>
      <c r="AD109" s="270">
        <f>SUMIFS('COGS Break up'!$E:$E,'COGS Break up'!$A:$A,'MIS Working 1'!$D109,'COGS Break up'!$D:$D,'MIS Working 1'!$AD$1)</f>
        <v>0.26</v>
      </c>
      <c r="AE109" s="270">
        <f>SUMIFS('COGS Break up'!$E:$E,'COGS Break up'!$A:$A,'MIS Working 1'!$D109,'COGS Break up'!$D:$D,'MIS Working 1'!$AE$1)</f>
        <v>26.1</v>
      </c>
      <c r="AF109" s="271">
        <f>'MIS Working 1'!$AG109+'MIS Working 1'!$AH109+'MIS Working 1'!$AM109+'MIS Working 1'!$AL109</f>
        <v>-7590.0599999999977</v>
      </c>
      <c r="AG109" s="270">
        <f>'MIS Working 1'!$L109*'MIS Working 1'!$Y109</f>
        <v>-6714.8999999999969</v>
      </c>
      <c r="AH109" s="270">
        <f>'MIS Working 1'!$L109*'MIS Working 1'!$Z109</f>
        <v>-396</v>
      </c>
      <c r="AI109" s="270">
        <f t="shared" si="3"/>
        <v>-32.4</v>
      </c>
      <c r="AJ109" s="270">
        <f t="shared" si="4"/>
        <v>-287.82</v>
      </c>
      <c r="AK109" s="270">
        <f t="shared" si="5"/>
        <v>-149.58000000000001</v>
      </c>
      <c r="AL109" s="270">
        <f>'MIS Working 1'!$AD109*'MIS Working 1'!$L109</f>
        <v>-4.68</v>
      </c>
      <c r="AM109" s="270">
        <f>'MIS Working 1'!$L109*'MIS Working 1'!$AE109+'MIS Working 1'!$AL109</f>
        <v>-474.48</v>
      </c>
    </row>
    <row r="110" spans="1:39" x14ac:dyDescent="0.3">
      <c r="A110" s="272" t="s">
        <v>479</v>
      </c>
      <c r="B110" s="273">
        <v>45985</v>
      </c>
      <c r="C110" s="274" t="s">
        <v>1711</v>
      </c>
      <c r="D110" s="274" t="s">
        <v>378</v>
      </c>
      <c r="E110" s="274" t="s">
        <v>379</v>
      </c>
      <c r="F110" s="274" t="s">
        <v>18</v>
      </c>
      <c r="G110" s="274" t="s">
        <v>19</v>
      </c>
      <c r="H110" s="274" t="s">
        <v>27</v>
      </c>
      <c r="I110" s="275">
        <v>-2</v>
      </c>
      <c r="J110" s="282">
        <v>-650.4</v>
      </c>
      <c r="K110" s="275">
        <v>-2</v>
      </c>
      <c r="L110" s="275">
        <v>-2</v>
      </c>
      <c r="M110" s="273">
        <v>45985</v>
      </c>
      <c r="N110" s="276">
        <v>-710.04</v>
      </c>
      <c r="O110" s="274" t="s">
        <v>21</v>
      </c>
      <c r="P110" s="274" t="s">
        <v>22</v>
      </c>
      <c r="Q110" s="274" t="s">
        <v>660</v>
      </c>
      <c r="R110" s="274" t="str">
        <f>VLOOKUP('MIS Working 1'!$G110,Master!$H$3:$I$8,2,0)</f>
        <v>Finished Goods</v>
      </c>
      <c r="S110" s="274" t="str">
        <f>VLOOKUP('MIS Working 1'!$H110,Master!B:C,2,0)</f>
        <v>FG-PCB-CF</v>
      </c>
      <c r="T110" s="274" t="str">
        <f>VLOOKUP('MIS Working 1'!$S110,Master!E:F,2,0)</f>
        <v>FG-PCB-CF</v>
      </c>
      <c r="U110" s="277">
        <f>'MIS Working 1'!$N110-'MIS Working 1'!$AF110</f>
        <v>-59.120000000000118</v>
      </c>
      <c r="V110" s="278">
        <f>'MIS Working 1'!$U110/'MIS Working 1'!$N110</f>
        <v>8.3262914765365501E-2</v>
      </c>
      <c r="W110" s="274">
        <f>'MIS Working 1'!$N110/'MIS Working 1'!$L110</f>
        <v>355.02</v>
      </c>
      <c r="X110" s="279">
        <f>SUM('MIS Working 1'!$Y110:$AE110)</f>
        <v>354.76999999999992</v>
      </c>
      <c r="Y110" s="279">
        <f>SUMIFS('COGS Break up'!$E:$E,'COGS Break up'!$A:$A,'MIS Working 1'!$D110,'COGS Break up'!$D:$D,'MIS Working 1'!$Y$1)</f>
        <v>271.52999999999997</v>
      </c>
      <c r="Z110" s="279">
        <f>SUMIFS('COGS Break up'!$E:$E,'COGS Break up'!$A:$A,'MIS Working 1'!$D110,'COGS Break up'!$D:$D,'MIS Working 1'!$Z$1)</f>
        <v>23.84</v>
      </c>
      <c r="AA110" s="279">
        <f>SUMIFS('COGS Break up'!E:E,'COGS Break up'!A:A,'MIS Working 1'!$D:$D,'COGS Break up'!C:C,'MIS Working 1'!$AA$1)</f>
        <v>1.9500000000000002</v>
      </c>
      <c r="AB110" s="279">
        <f>SUMIFS('COGS Break up'!E:E,'COGS Break up'!A:A,'MIS Working 1'!$D:$D,'COGS Break up'!C:C,$AB$1)</f>
        <v>17.329999999999998</v>
      </c>
      <c r="AC110" s="279">
        <f>SUMIFS('COGS Break up'!E:E,'COGS Break up'!A:A,'MIS Working 1'!$D:$D,'COGS Break up'!C:C,$AC$1)</f>
        <v>10.29</v>
      </c>
      <c r="AD110" s="279">
        <f>SUMIFS('COGS Break up'!$E:$E,'COGS Break up'!$A:$A,'MIS Working 1'!$D110,'COGS Break up'!$D:$D,'MIS Working 1'!$AD$1)</f>
        <v>0.26</v>
      </c>
      <c r="AE110" s="279">
        <f>SUMIFS('COGS Break up'!$E:$E,'COGS Break up'!$A:$A,'MIS Working 1'!$D110,'COGS Break up'!$D:$D,'MIS Working 1'!$AE$1)</f>
        <v>29.569999999999997</v>
      </c>
      <c r="AF110" s="280">
        <f>'MIS Working 1'!$AG110+'MIS Working 1'!$AH110+'MIS Working 1'!$AM110+'MIS Working 1'!$AL110</f>
        <v>-650.91999999999985</v>
      </c>
      <c r="AG110" s="279">
        <f>'MIS Working 1'!$L110*'MIS Working 1'!$Y110</f>
        <v>-543.05999999999995</v>
      </c>
      <c r="AH110" s="279">
        <f>'MIS Working 1'!$L110*'MIS Working 1'!$Z110</f>
        <v>-47.68</v>
      </c>
      <c r="AI110" s="279">
        <f t="shared" si="3"/>
        <v>-3.9000000000000004</v>
      </c>
      <c r="AJ110" s="279">
        <f t="shared" si="4"/>
        <v>-34.659999999999997</v>
      </c>
      <c r="AK110" s="279">
        <f t="shared" si="5"/>
        <v>-20.58</v>
      </c>
      <c r="AL110" s="279">
        <f>'MIS Working 1'!$AD110*'MIS Working 1'!$L110</f>
        <v>-0.52</v>
      </c>
      <c r="AM110" s="279">
        <f>'MIS Working 1'!$L110*'MIS Working 1'!$AE110+'MIS Working 1'!$AL110</f>
        <v>-59.66</v>
      </c>
    </row>
    <row r="111" spans="1:39" x14ac:dyDescent="0.3">
      <c r="A111" s="263" t="s">
        <v>479</v>
      </c>
      <c r="B111" s="264">
        <v>45985</v>
      </c>
      <c r="C111" s="265" t="s">
        <v>1712</v>
      </c>
      <c r="D111" s="265" t="s">
        <v>366</v>
      </c>
      <c r="E111" s="265" t="s">
        <v>367</v>
      </c>
      <c r="F111" s="265" t="s">
        <v>18</v>
      </c>
      <c r="G111" s="265" t="s">
        <v>19</v>
      </c>
      <c r="H111" s="265" t="s">
        <v>483</v>
      </c>
      <c r="I111" s="266">
        <v>-1</v>
      </c>
      <c r="J111" s="267">
        <v>-305.94</v>
      </c>
      <c r="K111" s="266">
        <v>-1</v>
      </c>
      <c r="L111" s="266">
        <v>-1</v>
      </c>
      <c r="M111" s="264">
        <v>45985</v>
      </c>
      <c r="N111" s="267">
        <v>-314.08999999999997</v>
      </c>
      <c r="O111" s="265" t="s">
        <v>21</v>
      </c>
      <c r="P111" s="265" t="s">
        <v>22</v>
      </c>
      <c r="Q111" s="265" t="s">
        <v>660</v>
      </c>
      <c r="R111" s="265" t="str">
        <f>VLOOKUP('MIS Working 1'!$G111,Master!$H$3:$I$8,2,0)</f>
        <v>Finished Goods</v>
      </c>
      <c r="S111" s="265" t="str">
        <f>VLOOKUP('MIS Working 1'!$H111,Master!B:C,2,0)</f>
        <v>FG-PCB-MG</v>
      </c>
      <c r="T111" s="265" t="str">
        <f>VLOOKUP('MIS Working 1'!$S111,Master!E:F,2,0)</f>
        <v>FG-PCB-MG</v>
      </c>
      <c r="U111" s="268">
        <f>'MIS Working 1'!$N111-'MIS Working 1'!$AF111</f>
        <v>-8.0099999999999341</v>
      </c>
      <c r="V111" s="269">
        <f>'MIS Working 1'!$U111/'MIS Working 1'!$N111</f>
        <v>2.5502244579578892E-2</v>
      </c>
      <c r="W111" s="265">
        <f>'MIS Working 1'!$N111/'MIS Working 1'!$L111</f>
        <v>314.08999999999997</v>
      </c>
      <c r="X111" s="270">
        <f>SUM('MIS Working 1'!$Y111:$AE111)</f>
        <v>348.34000000000003</v>
      </c>
      <c r="Y111" s="270">
        <f>SUMIFS('COGS Break up'!$E:$E,'COGS Break up'!$A:$A,'MIS Working 1'!$D111,'COGS Break up'!$D:$D,'MIS Working 1'!$Y$1)</f>
        <v>236.08000000000004</v>
      </c>
      <c r="Z111" s="270">
        <f>SUMIFS('COGS Break up'!$E:$E,'COGS Break up'!$A:$A,'MIS Working 1'!$D111,'COGS Break up'!$D:$D,'MIS Working 1'!$Z$1)</f>
        <v>27.35</v>
      </c>
      <c r="AA111" s="270">
        <f>SUMIFS('COGS Break up'!E:E,'COGS Break up'!A:A,'MIS Working 1'!$D:$D,'COGS Break up'!C:C,'MIS Working 1'!$AA$1)</f>
        <v>2.2400000000000002</v>
      </c>
      <c r="AB111" s="270">
        <f>SUMIFS('COGS Break up'!E:E,'COGS Break up'!A:A,'MIS Working 1'!$D:$D,'COGS Break up'!C:C,$AB$1)</f>
        <v>19.88</v>
      </c>
      <c r="AC111" s="270">
        <f>SUMIFS('COGS Break up'!E:E,'COGS Break up'!A:A,'MIS Working 1'!$D:$D,'COGS Break up'!C:C,$AC$1)</f>
        <v>20.27</v>
      </c>
      <c r="AD111" s="270">
        <f>SUMIFS('COGS Break up'!$E:$E,'COGS Break up'!$A:$A,'MIS Working 1'!$D111,'COGS Break up'!$D:$D,'MIS Working 1'!$AD$1)</f>
        <v>0.13</v>
      </c>
      <c r="AE111" s="270">
        <f>SUMIFS('COGS Break up'!$E:$E,'COGS Break up'!$A:$A,'MIS Working 1'!$D111,'COGS Break up'!$D:$D,'MIS Working 1'!$AE$1)</f>
        <v>42.39</v>
      </c>
      <c r="AF111" s="271">
        <f>'MIS Working 1'!$AG111+'MIS Working 1'!$AH111+'MIS Working 1'!$AM111+'MIS Working 1'!$AL111</f>
        <v>-306.08000000000004</v>
      </c>
      <c r="AG111" s="270">
        <f>'MIS Working 1'!$L111*'MIS Working 1'!$Y111</f>
        <v>-236.08000000000004</v>
      </c>
      <c r="AH111" s="270">
        <f>'MIS Working 1'!$L111*'MIS Working 1'!$Z111</f>
        <v>-27.35</v>
      </c>
      <c r="AI111" s="270">
        <f t="shared" si="3"/>
        <v>-2.2400000000000002</v>
      </c>
      <c r="AJ111" s="270">
        <f t="shared" si="4"/>
        <v>-19.88</v>
      </c>
      <c r="AK111" s="270">
        <f t="shared" si="5"/>
        <v>-20.27</v>
      </c>
      <c r="AL111" s="270">
        <f>'MIS Working 1'!$AD111*'MIS Working 1'!$L111</f>
        <v>-0.13</v>
      </c>
      <c r="AM111" s="270">
        <f>'MIS Working 1'!$L111*'MIS Working 1'!$AE111+'MIS Working 1'!$AL111</f>
        <v>-42.52</v>
      </c>
    </row>
    <row r="112" spans="1:39" x14ac:dyDescent="0.3">
      <c r="A112" s="272" t="s">
        <v>479</v>
      </c>
      <c r="B112" s="273">
        <v>45985</v>
      </c>
      <c r="C112" s="274" t="s">
        <v>1713</v>
      </c>
      <c r="D112" s="274" t="s">
        <v>38</v>
      </c>
      <c r="E112" s="274" t="s">
        <v>39</v>
      </c>
      <c r="F112" s="274" t="s">
        <v>18</v>
      </c>
      <c r="G112" s="274" t="s">
        <v>19</v>
      </c>
      <c r="H112" s="274" t="s">
        <v>27</v>
      </c>
      <c r="I112" s="275">
        <v>-48</v>
      </c>
      <c r="J112" s="276">
        <v>-15702.24</v>
      </c>
      <c r="K112" s="275">
        <v>-48</v>
      </c>
      <c r="L112" s="275">
        <v>-48</v>
      </c>
      <c r="M112" s="273">
        <v>45985</v>
      </c>
      <c r="N112" s="276">
        <v>-16371.36</v>
      </c>
      <c r="O112" s="274" t="s">
        <v>21</v>
      </c>
      <c r="P112" s="274" t="s">
        <v>22</v>
      </c>
      <c r="Q112" s="274" t="s">
        <v>660</v>
      </c>
      <c r="R112" s="274" t="str">
        <f>VLOOKUP('MIS Working 1'!$G112,Master!$H$3:$I$8,2,0)</f>
        <v>Finished Goods</v>
      </c>
      <c r="S112" s="274" t="str">
        <f>VLOOKUP('MIS Working 1'!$H112,Master!B:C,2,0)</f>
        <v>FG-PCB-CF</v>
      </c>
      <c r="T112" s="274" t="str">
        <f>VLOOKUP('MIS Working 1'!$S112,Master!E:F,2,0)</f>
        <v>FG-PCB-CF</v>
      </c>
      <c r="U112" s="277">
        <f>'MIS Working 1'!$N112-'MIS Working 1'!$AF112</f>
        <v>-660.96000000000095</v>
      </c>
      <c r="V112" s="278">
        <f>'MIS Working 1'!$U112/'MIS Working 1'!$N112</f>
        <v>4.0372943970446003E-2</v>
      </c>
      <c r="W112" s="274">
        <f>'MIS Working 1'!$N112/'MIS Working 1'!$L112</f>
        <v>341.07</v>
      </c>
      <c r="X112" s="279">
        <f>SUM('MIS Working 1'!$Y112:$AE112)</f>
        <v>353.55</v>
      </c>
      <c r="Y112" s="279">
        <f>SUMIFS('COGS Break up'!$E:$E,'COGS Break up'!$A:$A,'MIS Working 1'!$D112,'COGS Break up'!$D:$D,'MIS Working 1'!$Y$1)</f>
        <v>278.14</v>
      </c>
      <c r="Z112" s="279">
        <f>SUMIFS('COGS Break up'!$E:$E,'COGS Break up'!$A:$A,'MIS Working 1'!$D112,'COGS Break up'!$D:$D,'MIS Working 1'!$Z$1)</f>
        <v>22.400000000000002</v>
      </c>
      <c r="AA112" s="279">
        <f>SUMIFS('COGS Break up'!E:E,'COGS Break up'!A:A,'MIS Working 1'!$D:$D,'COGS Break up'!C:C,'MIS Working 1'!$AA$1)</f>
        <v>1.8299999999999998</v>
      </c>
      <c r="AB112" s="279">
        <f>SUMIFS('COGS Break up'!E:E,'COGS Break up'!A:A,'MIS Working 1'!$D:$D,'COGS Break up'!C:C,$AB$1)</f>
        <v>16.28</v>
      </c>
      <c r="AC112" s="279">
        <f>SUMIFS('COGS Break up'!E:E,'COGS Break up'!A:A,'MIS Working 1'!$D:$D,'COGS Break up'!C:C,$AC$1)</f>
        <v>8.31</v>
      </c>
      <c r="AD112" s="279">
        <f>SUMIFS('COGS Break up'!$E:$E,'COGS Break up'!$A:$A,'MIS Working 1'!$D112,'COGS Break up'!$D:$D,'MIS Working 1'!$AD$1)</f>
        <v>0.17</v>
      </c>
      <c r="AE112" s="279">
        <f>SUMIFS('COGS Break up'!$E:$E,'COGS Break up'!$A:$A,'MIS Working 1'!$D112,'COGS Break up'!$D:$D,'MIS Working 1'!$AE$1)</f>
        <v>26.42</v>
      </c>
      <c r="AF112" s="280">
        <f>'MIS Working 1'!$AG112+'MIS Working 1'!$AH112+'MIS Working 1'!$AM112+'MIS Working 1'!$AL112</f>
        <v>-15710.4</v>
      </c>
      <c r="AG112" s="279">
        <f>'MIS Working 1'!$L112*'MIS Working 1'!$Y112</f>
        <v>-13350.72</v>
      </c>
      <c r="AH112" s="279">
        <f>'MIS Working 1'!$L112*'MIS Working 1'!$Z112</f>
        <v>-1075.2</v>
      </c>
      <c r="AI112" s="279">
        <f t="shared" si="3"/>
        <v>-87.839999999999989</v>
      </c>
      <c r="AJ112" s="279">
        <f t="shared" si="4"/>
        <v>-781.44</v>
      </c>
      <c r="AK112" s="279">
        <f t="shared" si="5"/>
        <v>-398.88</v>
      </c>
      <c r="AL112" s="279">
        <f>'MIS Working 1'!$AD112*'MIS Working 1'!$L112</f>
        <v>-8.16</v>
      </c>
      <c r="AM112" s="279">
        <f>'MIS Working 1'!$L112*'MIS Working 1'!$AE112+'MIS Working 1'!$AL112</f>
        <v>-1276.3200000000002</v>
      </c>
    </row>
    <row r="113" spans="1:39" x14ac:dyDescent="0.3">
      <c r="A113" s="263" t="s">
        <v>479</v>
      </c>
      <c r="B113" s="264">
        <v>45985</v>
      </c>
      <c r="C113" s="265" t="s">
        <v>1714</v>
      </c>
      <c r="D113" s="265" t="s">
        <v>368</v>
      </c>
      <c r="E113" s="265" t="s">
        <v>369</v>
      </c>
      <c r="F113" s="265" t="s">
        <v>18</v>
      </c>
      <c r="G113" s="265" t="s">
        <v>19</v>
      </c>
      <c r="H113" s="265" t="s">
        <v>483</v>
      </c>
      <c r="I113" s="266">
        <v>-2</v>
      </c>
      <c r="J113" s="267">
        <v>-719.44</v>
      </c>
      <c r="K113" s="266">
        <v>-2</v>
      </c>
      <c r="L113" s="266">
        <v>-2</v>
      </c>
      <c r="M113" s="264">
        <v>45985</v>
      </c>
      <c r="N113" s="267">
        <v>-618.74</v>
      </c>
      <c r="O113" s="265" t="s">
        <v>21</v>
      </c>
      <c r="P113" s="265" t="s">
        <v>22</v>
      </c>
      <c r="Q113" s="265" t="s">
        <v>660</v>
      </c>
      <c r="R113" s="265" t="str">
        <f>VLOOKUP('MIS Working 1'!$G113,Master!$H$3:$I$8,2,0)</f>
        <v>Finished Goods</v>
      </c>
      <c r="S113" s="265" t="str">
        <f>VLOOKUP('MIS Working 1'!$H113,Master!B:C,2,0)</f>
        <v>FG-PCB-MG</v>
      </c>
      <c r="T113" s="265" t="str">
        <f>VLOOKUP('MIS Working 1'!$S113,Master!E:F,2,0)</f>
        <v>FG-PCB-MG</v>
      </c>
      <c r="U113" s="268">
        <f>'MIS Working 1'!$N113-'MIS Working 1'!$AF113</f>
        <v>100.98000000000013</v>
      </c>
      <c r="V113" s="269">
        <f>'MIS Working 1'!$U113/'MIS Working 1'!$N113</f>
        <v>-0.16320263761838597</v>
      </c>
      <c r="W113" s="265">
        <f>'MIS Working 1'!$N113/'MIS Working 1'!$L113</f>
        <v>309.37</v>
      </c>
      <c r="X113" s="270">
        <f>SUM('MIS Working 1'!$Y113:$AE113)</f>
        <v>427.55000000000007</v>
      </c>
      <c r="Y113" s="270">
        <f>SUMIFS('COGS Break up'!$E:$E,'COGS Break up'!$A:$A,'MIS Working 1'!$D113,'COGS Break up'!$D:$D,'MIS Working 1'!$Y$1)</f>
        <v>232.98000000000008</v>
      </c>
      <c r="Z113" s="270">
        <f>SUMIFS('COGS Break up'!$E:$E,'COGS Break up'!$A:$A,'MIS Working 1'!$D113,'COGS Break up'!$D:$D,'MIS Working 1'!$Z$1)</f>
        <v>58.8</v>
      </c>
      <c r="AA113" s="270">
        <f>SUMIFS('COGS Break up'!E:E,'COGS Break up'!A:A,'MIS Working 1'!$D:$D,'COGS Break up'!C:C,'MIS Working 1'!$AA$1)</f>
        <v>4.8099999999999996</v>
      </c>
      <c r="AB113" s="270">
        <f>SUMIFS('COGS Break up'!E:E,'COGS Break up'!A:A,'MIS Working 1'!$D:$D,'COGS Break up'!C:C,$AB$1)</f>
        <v>42.739999999999995</v>
      </c>
      <c r="AC113" s="270">
        <f>SUMIFS('COGS Break up'!E:E,'COGS Break up'!A:A,'MIS Working 1'!$D:$D,'COGS Break up'!C:C,$AC$1)</f>
        <v>20.27</v>
      </c>
      <c r="AD113" s="270">
        <f>SUMIFS('COGS Break up'!$E:$E,'COGS Break up'!$A:$A,'MIS Working 1'!$D113,'COGS Break up'!$D:$D,'MIS Working 1'!$AD$1)</f>
        <v>0.13</v>
      </c>
      <c r="AE113" s="270">
        <f>SUMIFS('COGS Break up'!$E:$E,'COGS Break up'!$A:$A,'MIS Working 1'!$D113,'COGS Break up'!$D:$D,'MIS Working 1'!$AE$1)</f>
        <v>67.819999999999993</v>
      </c>
      <c r="AF113" s="271">
        <f>'MIS Working 1'!$AG113+'MIS Working 1'!$AH113+'MIS Working 1'!$AM113+'MIS Working 1'!$AL113</f>
        <v>-719.72000000000014</v>
      </c>
      <c r="AG113" s="270">
        <f>'MIS Working 1'!$L113*'MIS Working 1'!$Y113</f>
        <v>-465.96000000000015</v>
      </c>
      <c r="AH113" s="270">
        <f>'MIS Working 1'!$L113*'MIS Working 1'!$Z113</f>
        <v>-117.6</v>
      </c>
      <c r="AI113" s="270">
        <f t="shared" si="3"/>
        <v>-9.6199999999999992</v>
      </c>
      <c r="AJ113" s="270">
        <f t="shared" si="4"/>
        <v>-85.47999999999999</v>
      </c>
      <c r="AK113" s="270">
        <f t="shared" si="5"/>
        <v>-40.54</v>
      </c>
      <c r="AL113" s="270">
        <f>'MIS Working 1'!$AD113*'MIS Working 1'!$L113</f>
        <v>-0.26</v>
      </c>
      <c r="AM113" s="270">
        <f>'MIS Working 1'!$L113*'MIS Working 1'!$AE113+'MIS Working 1'!$AL113</f>
        <v>-135.89999999999998</v>
      </c>
    </row>
    <row r="114" spans="1:39" x14ac:dyDescent="0.3">
      <c r="A114" s="272" t="s">
        <v>479</v>
      </c>
      <c r="B114" s="273">
        <v>45985</v>
      </c>
      <c r="C114" s="274" t="s">
        <v>1715</v>
      </c>
      <c r="D114" s="274" t="s">
        <v>380</v>
      </c>
      <c r="E114" s="274" t="s">
        <v>381</v>
      </c>
      <c r="F114" s="274" t="s">
        <v>18</v>
      </c>
      <c r="G114" s="274" t="s">
        <v>19</v>
      </c>
      <c r="H114" s="274" t="s">
        <v>27</v>
      </c>
      <c r="I114" s="275">
        <v>-3</v>
      </c>
      <c r="J114" s="282">
        <v>-649.79999999999995</v>
      </c>
      <c r="K114" s="275">
        <v>-3</v>
      </c>
      <c r="L114" s="275">
        <v>-3</v>
      </c>
      <c r="M114" s="273">
        <v>45985</v>
      </c>
      <c r="N114" s="276">
        <v>-665.55</v>
      </c>
      <c r="O114" s="274" t="s">
        <v>21</v>
      </c>
      <c r="P114" s="274" t="s">
        <v>22</v>
      </c>
      <c r="Q114" s="274" t="s">
        <v>660</v>
      </c>
      <c r="R114" s="274" t="str">
        <f>VLOOKUP('MIS Working 1'!$G114,Master!$H$3:$I$8,2,0)</f>
        <v>Finished Goods</v>
      </c>
      <c r="S114" s="274" t="str">
        <f>VLOOKUP('MIS Working 1'!$H114,Master!B:C,2,0)</f>
        <v>FG-PCB-CF</v>
      </c>
      <c r="T114" s="274" t="str">
        <f>VLOOKUP('MIS Working 1'!$S114,Master!E:F,2,0)</f>
        <v>FG-PCB-CF</v>
      </c>
      <c r="U114" s="277">
        <f>'MIS Working 1'!$N114-'MIS Working 1'!$AF114</f>
        <v>-15.630000000000223</v>
      </c>
      <c r="V114" s="278">
        <f>'MIS Working 1'!$U114/'MIS Working 1'!$N114</f>
        <v>2.3484336263241264E-2</v>
      </c>
      <c r="W114" s="274">
        <f>'MIS Working 1'!$N114/'MIS Working 1'!$L114</f>
        <v>221.85</v>
      </c>
      <c r="X114" s="279">
        <f>SUM('MIS Working 1'!$Y114:$AE114)</f>
        <v>239.77999999999994</v>
      </c>
      <c r="Y114" s="279">
        <f>SUMIFS('COGS Break up'!$E:$E,'COGS Break up'!$A:$A,'MIS Working 1'!$D114,'COGS Break up'!$D:$D,'MIS Working 1'!$Y$1)</f>
        <v>174.98999999999995</v>
      </c>
      <c r="Z114" s="279">
        <f>SUMIFS('COGS Break up'!$E:$E,'COGS Break up'!$A:$A,'MIS Working 1'!$D114,'COGS Break up'!$D:$D,'MIS Working 1'!$Z$1)</f>
        <v>18.389999999999997</v>
      </c>
      <c r="AA114" s="279">
        <f>SUMIFS('COGS Break up'!E:E,'COGS Break up'!A:A,'MIS Working 1'!$D:$D,'COGS Break up'!C:C,'MIS Working 1'!$AA$1)</f>
        <v>1.5</v>
      </c>
      <c r="AB114" s="279">
        <f>SUMIFS('COGS Break up'!E:E,'COGS Break up'!A:A,'MIS Working 1'!$D:$D,'COGS Break up'!C:C,$AB$1)</f>
        <v>13.37</v>
      </c>
      <c r="AC114" s="279">
        <f>SUMIFS('COGS Break up'!E:E,'COGS Break up'!A:A,'MIS Working 1'!$D:$D,'COGS Break up'!C:C,$AC$1)</f>
        <v>8.31</v>
      </c>
      <c r="AD114" s="279">
        <f>SUMIFS('COGS Break up'!$E:$E,'COGS Break up'!$A:$A,'MIS Working 1'!$D114,'COGS Break up'!$D:$D,'MIS Working 1'!$AD$1)</f>
        <v>0.04</v>
      </c>
      <c r="AE114" s="279">
        <f>SUMIFS('COGS Break up'!$E:$E,'COGS Break up'!$A:$A,'MIS Working 1'!$D114,'COGS Break up'!$D:$D,'MIS Working 1'!$AE$1)</f>
        <v>23.18</v>
      </c>
      <c r="AF114" s="280">
        <f>'MIS Working 1'!$AG114+'MIS Working 1'!$AH114+'MIS Working 1'!$AM114+'MIS Working 1'!$AL114</f>
        <v>-649.91999999999973</v>
      </c>
      <c r="AG114" s="279">
        <f>'MIS Working 1'!$L114*'MIS Working 1'!$Y114</f>
        <v>-524.9699999999998</v>
      </c>
      <c r="AH114" s="279">
        <f>'MIS Working 1'!$L114*'MIS Working 1'!$Z114</f>
        <v>-55.169999999999987</v>
      </c>
      <c r="AI114" s="279">
        <f t="shared" si="3"/>
        <v>-4.5</v>
      </c>
      <c r="AJ114" s="279">
        <f t="shared" si="4"/>
        <v>-40.11</v>
      </c>
      <c r="AK114" s="279">
        <f t="shared" si="5"/>
        <v>-24.93</v>
      </c>
      <c r="AL114" s="279">
        <f>'MIS Working 1'!$AD114*'MIS Working 1'!$L114</f>
        <v>-0.12</v>
      </c>
      <c r="AM114" s="279">
        <f>'MIS Working 1'!$L114*'MIS Working 1'!$AE114+'MIS Working 1'!$AL114</f>
        <v>-69.66</v>
      </c>
    </row>
    <row r="115" spans="1:39" x14ac:dyDescent="0.3">
      <c r="A115" s="263" t="s">
        <v>479</v>
      </c>
      <c r="B115" s="264">
        <v>45985</v>
      </c>
      <c r="C115" s="265" t="s">
        <v>1716</v>
      </c>
      <c r="D115" s="265" t="s">
        <v>637</v>
      </c>
      <c r="E115" s="265" t="s">
        <v>638</v>
      </c>
      <c r="F115" s="265" t="s">
        <v>18</v>
      </c>
      <c r="G115" s="265" t="s">
        <v>19</v>
      </c>
      <c r="H115" s="265" t="s">
        <v>27</v>
      </c>
      <c r="I115" s="266">
        <v>-25</v>
      </c>
      <c r="J115" s="267">
        <v>-8156.75</v>
      </c>
      <c r="K115" s="266">
        <v>-25</v>
      </c>
      <c r="L115" s="266">
        <v>-25</v>
      </c>
      <c r="M115" s="264">
        <v>45985</v>
      </c>
      <c r="N115" s="266">
        <v>-9089</v>
      </c>
      <c r="O115" s="265" t="s">
        <v>21</v>
      </c>
      <c r="P115" s="265" t="s">
        <v>22</v>
      </c>
      <c r="Q115" s="265" t="s">
        <v>660</v>
      </c>
      <c r="R115" s="265" t="str">
        <f>VLOOKUP('MIS Working 1'!$G115,Master!$H$3:$I$8,2,0)</f>
        <v>Finished Goods</v>
      </c>
      <c r="S115" s="265" t="str">
        <f>VLOOKUP('MIS Working 1'!$H115,Master!B:C,2,0)</f>
        <v>FG-PCB-CF</v>
      </c>
      <c r="T115" s="265" t="str">
        <f>VLOOKUP('MIS Working 1'!$S115,Master!E:F,2,0)</f>
        <v>FG-PCB-CF</v>
      </c>
      <c r="U115" s="268">
        <f>'MIS Working 1'!$N115-'MIS Working 1'!$AF115</f>
        <v>-926.00000000000091</v>
      </c>
      <c r="V115" s="269">
        <f>'MIS Working 1'!$U115/'MIS Working 1'!$N115</f>
        <v>0.10188139509296962</v>
      </c>
      <c r="W115" s="265">
        <f>'MIS Working 1'!$N115/'MIS Working 1'!$L115</f>
        <v>363.56</v>
      </c>
      <c r="X115" s="270">
        <f>SUM('MIS Working 1'!$Y115:$AE115)</f>
        <v>359.82</v>
      </c>
      <c r="Y115" s="270">
        <f>SUMIFS('COGS Break up'!$E:$E,'COGS Break up'!$A:$A,'MIS Working 1'!$D115,'COGS Break up'!$D:$D,'MIS Working 1'!$Y$1)</f>
        <v>271.52999999999997</v>
      </c>
      <c r="Z115" s="270">
        <f>SUMIFS('COGS Break up'!$E:$E,'COGS Break up'!$A:$A,'MIS Working 1'!$D115,'COGS Break up'!$D:$D,'MIS Working 1'!$Z$1)</f>
        <v>20.94</v>
      </c>
      <c r="AA115" s="270">
        <f>SUMIFS('COGS Break up'!E:E,'COGS Break up'!A:A,'MIS Working 1'!$D:$D,'COGS Break up'!C:C,'MIS Working 1'!$AA$1)</f>
        <v>1.7100000000000002</v>
      </c>
      <c r="AB115" s="270">
        <f>SUMIFS('COGS Break up'!E:E,'COGS Break up'!A:A,'MIS Working 1'!$D:$D,'COGS Break up'!C:C,$AB$1)</f>
        <v>15.22</v>
      </c>
      <c r="AC115" s="270">
        <f>SUMIFS('COGS Break up'!E:E,'COGS Break up'!A:A,'MIS Working 1'!$D:$D,'COGS Break up'!C:C,$AC$1)</f>
        <v>16.62</v>
      </c>
      <c r="AD115" s="270">
        <f>SUMIFS('COGS Break up'!$E:$E,'COGS Break up'!$A:$A,'MIS Working 1'!$D115,'COGS Break up'!$D:$D,'MIS Working 1'!$AD$1)</f>
        <v>0.25</v>
      </c>
      <c r="AE115" s="270">
        <f>SUMIFS('COGS Break up'!$E:$E,'COGS Break up'!$A:$A,'MIS Working 1'!$D115,'COGS Break up'!$D:$D,'MIS Working 1'!$AE$1)</f>
        <v>33.550000000000004</v>
      </c>
      <c r="AF115" s="271">
        <f>'MIS Working 1'!$AG115+'MIS Working 1'!$AH115+'MIS Working 1'!$AM115+'MIS Working 1'!$AL115</f>
        <v>-8162.9999999999991</v>
      </c>
      <c r="AG115" s="270">
        <f>'MIS Working 1'!$L115*'MIS Working 1'!$Y115</f>
        <v>-6788.2499999999991</v>
      </c>
      <c r="AH115" s="270">
        <f>'MIS Working 1'!$L115*'MIS Working 1'!$Z115</f>
        <v>-523.5</v>
      </c>
      <c r="AI115" s="270">
        <f t="shared" si="3"/>
        <v>-42.750000000000007</v>
      </c>
      <c r="AJ115" s="270">
        <f t="shared" si="4"/>
        <v>-380.5</v>
      </c>
      <c r="AK115" s="270">
        <f t="shared" si="5"/>
        <v>-415.5</v>
      </c>
      <c r="AL115" s="270">
        <f>'MIS Working 1'!$AD115*'MIS Working 1'!$L115</f>
        <v>-6.25</v>
      </c>
      <c r="AM115" s="270">
        <f>'MIS Working 1'!$L115*'MIS Working 1'!$AE115+'MIS Working 1'!$AL115</f>
        <v>-845.00000000000011</v>
      </c>
    </row>
    <row r="116" spans="1:39" x14ac:dyDescent="0.3">
      <c r="A116" s="272" t="s">
        <v>1291</v>
      </c>
      <c r="B116" s="273">
        <v>45983</v>
      </c>
      <c r="C116" s="274" t="s">
        <v>1717</v>
      </c>
      <c r="D116" s="274" t="s">
        <v>36</v>
      </c>
      <c r="E116" s="274" t="s">
        <v>37</v>
      </c>
      <c r="F116" s="274" t="s">
        <v>18</v>
      </c>
      <c r="G116" s="274" t="s">
        <v>19</v>
      </c>
      <c r="H116" s="274" t="s">
        <v>20</v>
      </c>
      <c r="I116" s="275">
        <v>4000</v>
      </c>
      <c r="J116" s="276">
        <v>1845480</v>
      </c>
      <c r="K116" s="275">
        <v>4000</v>
      </c>
      <c r="L116" s="275">
        <v>4000</v>
      </c>
      <c r="M116" s="273">
        <v>45983</v>
      </c>
      <c r="N116" s="276">
        <v>2637240</v>
      </c>
      <c r="O116" s="274" t="s">
        <v>21</v>
      </c>
      <c r="P116" s="274" t="s">
        <v>22</v>
      </c>
      <c r="Q116" s="274" t="s">
        <v>660</v>
      </c>
      <c r="R116" s="274" t="str">
        <f>VLOOKUP('MIS Working 1'!$G116,Master!$H$3:$I$8,2,0)</f>
        <v>Finished Goods</v>
      </c>
      <c r="S116" s="274" t="str">
        <f>VLOOKUP('MIS Working 1'!$H116,Master!B:C,2,0)</f>
        <v>FG-PCB-Ref</v>
      </c>
      <c r="T116" s="274" t="str">
        <f>VLOOKUP('MIS Working 1'!$S116,Master!E:F,2,0)</f>
        <v>FG-PCB-Ref</v>
      </c>
      <c r="U116" s="277">
        <f>'MIS Working 1'!$N116-'MIS Working 1'!$AF116</f>
        <v>790799.99999999977</v>
      </c>
      <c r="V116" s="278">
        <f>'MIS Working 1'!$U116/'MIS Working 1'!$N116</f>
        <v>0.29985894344086989</v>
      </c>
      <c r="W116" s="274">
        <f>'MIS Working 1'!$N116/'MIS Working 1'!$L116</f>
        <v>659.31</v>
      </c>
      <c r="X116" s="279">
        <f>SUM('MIS Working 1'!$Y116:$AE116)</f>
        <v>492.59000000000003</v>
      </c>
      <c r="Y116" s="279">
        <f>SUMIFS('COGS Break up'!$E:$E,'COGS Break up'!$A:$A,'MIS Working 1'!$D116,'COGS Break up'!$D:$D,'MIS Working 1'!$Y$1)</f>
        <v>401.59000000000003</v>
      </c>
      <c r="Z116" s="279">
        <f>SUMIFS('COGS Break up'!$E:$E,'COGS Break up'!$A:$A,'MIS Working 1'!$D116,'COGS Break up'!$D:$D,'MIS Working 1'!$Z$1)</f>
        <v>28.32</v>
      </c>
      <c r="AA116" s="279">
        <f>SUMIFS('COGS Break up'!E:E,'COGS Break up'!A:A,'MIS Working 1'!$D:$D,'COGS Break up'!C:C,'MIS Working 1'!$AA$1)</f>
        <v>2.3199999999999998</v>
      </c>
      <c r="AB116" s="279">
        <f>SUMIFS('COGS Break up'!E:E,'COGS Break up'!A:A,'MIS Working 1'!$D:$D,'COGS Break up'!C:C,$AB$1)</f>
        <v>20.59</v>
      </c>
      <c r="AC116" s="279">
        <f>SUMIFS('COGS Break up'!E:E,'COGS Break up'!A:A,'MIS Working 1'!$D:$D,'COGS Break up'!C:C,$AC$1)</f>
        <v>8.31</v>
      </c>
      <c r="AD116" s="279">
        <f>SUMIFS('COGS Break up'!$E:$E,'COGS Break up'!$A:$A,'MIS Working 1'!$D116,'COGS Break up'!$D:$D,'MIS Working 1'!$AD$1)</f>
        <v>0.24</v>
      </c>
      <c r="AE116" s="279">
        <f>SUMIFS('COGS Break up'!$E:$E,'COGS Break up'!$A:$A,'MIS Working 1'!$D116,'COGS Break up'!$D:$D,'MIS Working 1'!$AE$1)</f>
        <v>31.22</v>
      </c>
      <c r="AF116" s="280">
        <f>'MIS Working 1'!$AG116+'MIS Working 1'!$AH116+'MIS Working 1'!$AM116+'MIS Working 1'!$AL116</f>
        <v>1846440.0000000002</v>
      </c>
      <c r="AG116" s="279">
        <f>'MIS Working 1'!$L116*'MIS Working 1'!$Y116</f>
        <v>1606360.0000000002</v>
      </c>
      <c r="AH116" s="279">
        <f>'MIS Working 1'!$L116*'MIS Working 1'!$Z116</f>
        <v>113280</v>
      </c>
      <c r="AI116" s="279">
        <f t="shared" si="3"/>
        <v>9280</v>
      </c>
      <c r="AJ116" s="279">
        <f t="shared" si="4"/>
        <v>82360</v>
      </c>
      <c r="AK116" s="279">
        <f t="shared" si="5"/>
        <v>33240</v>
      </c>
      <c r="AL116" s="279">
        <f>'MIS Working 1'!$AD116*'MIS Working 1'!$L116</f>
        <v>960</v>
      </c>
      <c r="AM116" s="279">
        <f>'MIS Working 1'!$L116*'MIS Working 1'!$AE116+'MIS Working 1'!$AL116</f>
        <v>125840</v>
      </c>
    </row>
    <row r="117" spans="1:39" x14ac:dyDescent="0.3">
      <c r="A117" s="263" t="s">
        <v>1294</v>
      </c>
      <c r="B117" s="264">
        <v>45983</v>
      </c>
      <c r="C117" s="265" t="s">
        <v>1718</v>
      </c>
      <c r="D117" s="265" t="s">
        <v>568</v>
      </c>
      <c r="E117" s="265" t="s">
        <v>594</v>
      </c>
      <c r="F117" s="265" t="s">
        <v>18</v>
      </c>
      <c r="G117" s="265" t="s">
        <v>19</v>
      </c>
      <c r="H117" s="265" t="s">
        <v>27</v>
      </c>
      <c r="I117" s="266">
        <v>3000</v>
      </c>
      <c r="J117" s="267">
        <v>62430</v>
      </c>
      <c r="K117" s="266">
        <v>3000</v>
      </c>
      <c r="L117" s="266">
        <v>3000</v>
      </c>
      <c r="M117" s="264">
        <v>45983</v>
      </c>
      <c r="N117" s="267">
        <v>43020</v>
      </c>
      <c r="O117" s="265" t="s">
        <v>21</v>
      </c>
      <c r="P117" s="265" t="s">
        <v>22</v>
      </c>
      <c r="Q117" s="265" t="s">
        <v>660</v>
      </c>
      <c r="R117" s="265" t="str">
        <f>VLOOKUP('MIS Working 1'!$G117,Master!$H$3:$I$8,2,0)</f>
        <v>Finished Goods</v>
      </c>
      <c r="S117" s="265" t="str">
        <f>VLOOKUP('MIS Working 1'!$H117,Master!B:C,2,0)</f>
        <v>FG-PCB-CF</v>
      </c>
      <c r="T117" s="265" t="str">
        <f>VLOOKUP('MIS Working 1'!$S117,Master!E:F,2,0)</f>
        <v>FG-PCB-CF</v>
      </c>
      <c r="U117" s="268">
        <f>'MIS Working 1'!$N117-'MIS Working 1'!$AF117</f>
        <v>-19410</v>
      </c>
      <c r="V117" s="269">
        <f>'MIS Working 1'!$U117/'MIS Working 1'!$N117</f>
        <v>-0.4511854951185495</v>
      </c>
      <c r="W117" s="265">
        <f>'MIS Working 1'!$N117/'MIS Working 1'!$L117</f>
        <v>14.34</v>
      </c>
      <c r="X117" s="270">
        <f>SUM('MIS Working 1'!$Y117:$AE117)</f>
        <v>21.750000000000004</v>
      </c>
      <c r="Y117" s="270">
        <f>SUMIFS('COGS Break up'!$E:$E,'COGS Break up'!$A:$A,'MIS Working 1'!$D117,'COGS Break up'!$D:$D,'MIS Working 1'!$Y$1)</f>
        <v>8.3800000000000008</v>
      </c>
      <c r="Z117" s="270">
        <f>SUMIFS('COGS Break up'!$E:$E,'COGS Break up'!$A:$A,'MIS Working 1'!$D117,'COGS Break up'!$D:$D,'MIS Working 1'!$Z$1)</f>
        <v>11.49</v>
      </c>
      <c r="AA117" s="270">
        <f>SUMIFS('COGS Break up'!E:E,'COGS Break up'!A:A,'MIS Working 1'!$D:$D,'COGS Break up'!C:C,'MIS Working 1'!$AA$1)</f>
        <v>0.94</v>
      </c>
      <c r="AB117" s="270">
        <f>SUMIFS('COGS Break up'!E:E,'COGS Break up'!A:A,'MIS Working 1'!$D:$D,'COGS Break up'!C:C,$AB$1)</f>
        <v>0</v>
      </c>
      <c r="AC117" s="270">
        <f>SUMIFS('COGS Break up'!E:E,'COGS Break up'!A:A,'MIS Working 1'!$D:$D,'COGS Break up'!C:C,$AC$1)</f>
        <v>0</v>
      </c>
      <c r="AD117" s="270">
        <f>SUMIFS('COGS Break up'!$E:$E,'COGS Break up'!$A:$A,'MIS Working 1'!$D117,'COGS Break up'!$D:$D,'MIS Working 1'!$AD$1)</f>
        <v>0</v>
      </c>
      <c r="AE117" s="270">
        <f>SUMIFS('COGS Break up'!$E:$E,'COGS Break up'!$A:$A,'MIS Working 1'!$D117,'COGS Break up'!$D:$D,'MIS Working 1'!$AE$1)</f>
        <v>0.94</v>
      </c>
      <c r="AF117" s="271">
        <f>'MIS Working 1'!$AG117+'MIS Working 1'!$AH117+'MIS Working 1'!$AM117+'MIS Working 1'!$AL117</f>
        <v>62430</v>
      </c>
      <c r="AG117" s="270">
        <f>'MIS Working 1'!$L117*'MIS Working 1'!$Y117</f>
        <v>25140.000000000004</v>
      </c>
      <c r="AH117" s="270">
        <f>'MIS Working 1'!$L117*'MIS Working 1'!$Z117</f>
        <v>34470</v>
      </c>
      <c r="AI117" s="270">
        <f t="shared" si="3"/>
        <v>2820</v>
      </c>
      <c r="AJ117" s="270">
        <f t="shared" si="4"/>
        <v>0</v>
      </c>
      <c r="AK117" s="270">
        <f t="shared" si="5"/>
        <v>0</v>
      </c>
      <c r="AL117" s="270">
        <f>'MIS Working 1'!$AD117*'MIS Working 1'!$L117</f>
        <v>0</v>
      </c>
      <c r="AM117" s="270">
        <f>'MIS Working 1'!$L117*'MIS Working 1'!$AE117+'MIS Working 1'!$AL117</f>
        <v>2820</v>
      </c>
    </row>
    <row r="118" spans="1:39" x14ac:dyDescent="0.3">
      <c r="A118" s="272" t="s">
        <v>479</v>
      </c>
      <c r="B118" s="273">
        <v>45983</v>
      </c>
      <c r="C118" s="274" t="s">
        <v>1719</v>
      </c>
      <c r="D118" s="274" t="s">
        <v>637</v>
      </c>
      <c r="E118" s="274" t="s">
        <v>638</v>
      </c>
      <c r="F118" s="274" t="s">
        <v>18</v>
      </c>
      <c r="G118" s="274" t="s">
        <v>19</v>
      </c>
      <c r="H118" s="274" t="s">
        <v>27</v>
      </c>
      <c r="I118" s="275">
        <v>1114</v>
      </c>
      <c r="J118" s="276">
        <v>363464.78</v>
      </c>
      <c r="K118" s="275">
        <v>1114</v>
      </c>
      <c r="L118" s="275">
        <v>1114</v>
      </c>
      <c r="M118" s="273">
        <v>45983</v>
      </c>
      <c r="N118" s="276">
        <v>405005.84</v>
      </c>
      <c r="O118" s="274" t="s">
        <v>21</v>
      </c>
      <c r="P118" s="274" t="s">
        <v>22</v>
      </c>
      <c r="Q118" s="274" t="s">
        <v>660</v>
      </c>
      <c r="R118" s="274" t="str">
        <f>VLOOKUP('MIS Working 1'!$G118,Master!$H$3:$I$8,2,0)</f>
        <v>Finished Goods</v>
      </c>
      <c r="S118" s="274" t="str">
        <f>VLOOKUP('MIS Working 1'!$H118,Master!B:C,2,0)</f>
        <v>FG-PCB-CF</v>
      </c>
      <c r="T118" s="274" t="str">
        <f>VLOOKUP('MIS Working 1'!$S118,Master!E:F,2,0)</f>
        <v>FG-PCB-CF</v>
      </c>
      <c r="U118" s="277">
        <f>'MIS Working 1'!$N118-'MIS Working 1'!$AF118</f>
        <v>41262.560000000056</v>
      </c>
      <c r="V118" s="278">
        <f>'MIS Working 1'!$U118/'MIS Working 1'!$N118</f>
        <v>0.10188139509296966</v>
      </c>
      <c r="W118" s="274">
        <f>'MIS Working 1'!$N118/'MIS Working 1'!$L118</f>
        <v>363.56</v>
      </c>
      <c r="X118" s="279">
        <f>SUM('MIS Working 1'!$Y118:$AE118)</f>
        <v>359.82</v>
      </c>
      <c r="Y118" s="279">
        <f>SUMIFS('COGS Break up'!$E:$E,'COGS Break up'!$A:$A,'MIS Working 1'!$D118,'COGS Break up'!$D:$D,'MIS Working 1'!$Y$1)</f>
        <v>271.52999999999997</v>
      </c>
      <c r="Z118" s="279">
        <f>SUMIFS('COGS Break up'!$E:$E,'COGS Break up'!$A:$A,'MIS Working 1'!$D118,'COGS Break up'!$D:$D,'MIS Working 1'!$Z$1)</f>
        <v>20.94</v>
      </c>
      <c r="AA118" s="279">
        <f>SUMIFS('COGS Break up'!E:E,'COGS Break up'!A:A,'MIS Working 1'!$D:$D,'COGS Break up'!C:C,'MIS Working 1'!$AA$1)</f>
        <v>1.7100000000000002</v>
      </c>
      <c r="AB118" s="279">
        <f>SUMIFS('COGS Break up'!E:E,'COGS Break up'!A:A,'MIS Working 1'!$D:$D,'COGS Break up'!C:C,$AB$1)</f>
        <v>15.22</v>
      </c>
      <c r="AC118" s="279">
        <f>SUMIFS('COGS Break up'!E:E,'COGS Break up'!A:A,'MIS Working 1'!$D:$D,'COGS Break up'!C:C,$AC$1)</f>
        <v>16.62</v>
      </c>
      <c r="AD118" s="279">
        <f>SUMIFS('COGS Break up'!$E:$E,'COGS Break up'!$A:$A,'MIS Working 1'!$D118,'COGS Break up'!$D:$D,'MIS Working 1'!$AD$1)</f>
        <v>0.25</v>
      </c>
      <c r="AE118" s="279">
        <f>SUMIFS('COGS Break up'!$E:$E,'COGS Break up'!$A:$A,'MIS Working 1'!$D118,'COGS Break up'!$D:$D,'MIS Working 1'!$AE$1)</f>
        <v>33.550000000000004</v>
      </c>
      <c r="AF118" s="280">
        <f>'MIS Working 1'!$AG118+'MIS Working 1'!$AH118+'MIS Working 1'!$AM118+'MIS Working 1'!$AL118</f>
        <v>363743.27999999997</v>
      </c>
      <c r="AG118" s="279">
        <f>'MIS Working 1'!$L118*'MIS Working 1'!$Y118</f>
        <v>302484.42</v>
      </c>
      <c r="AH118" s="279">
        <f>'MIS Working 1'!$L118*'MIS Working 1'!$Z118</f>
        <v>23327.16</v>
      </c>
      <c r="AI118" s="279">
        <f t="shared" si="3"/>
        <v>1904.9400000000003</v>
      </c>
      <c r="AJ118" s="279">
        <f t="shared" si="4"/>
        <v>16955.080000000002</v>
      </c>
      <c r="AK118" s="279">
        <f t="shared" si="5"/>
        <v>18514.68</v>
      </c>
      <c r="AL118" s="279">
        <f>'MIS Working 1'!$AD118*'MIS Working 1'!$L118</f>
        <v>278.5</v>
      </c>
      <c r="AM118" s="279">
        <f>'MIS Working 1'!$L118*'MIS Working 1'!$AE118+'MIS Working 1'!$AL118</f>
        <v>37653.200000000004</v>
      </c>
    </row>
    <row r="119" spans="1:39" x14ac:dyDescent="0.3">
      <c r="A119" s="263" t="s">
        <v>479</v>
      </c>
      <c r="B119" s="264">
        <v>45983</v>
      </c>
      <c r="C119" s="265" t="s">
        <v>1720</v>
      </c>
      <c r="D119" s="265" t="s">
        <v>639</v>
      </c>
      <c r="E119" s="265" t="s">
        <v>640</v>
      </c>
      <c r="F119" s="265" t="s">
        <v>18</v>
      </c>
      <c r="G119" s="265" t="s">
        <v>19</v>
      </c>
      <c r="H119" s="265" t="s">
        <v>27</v>
      </c>
      <c r="I119" s="266">
        <v>105</v>
      </c>
      <c r="J119" s="267">
        <v>67728.149999999994</v>
      </c>
      <c r="K119" s="266">
        <v>105</v>
      </c>
      <c r="L119" s="266">
        <v>105</v>
      </c>
      <c r="M119" s="264">
        <v>45983</v>
      </c>
      <c r="N119" s="267">
        <v>76498.8</v>
      </c>
      <c r="O119" s="265" t="s">
        <v>21</v>
      </c>
      <c r="P119" s="265" t="s">
        <v>22</v>
      </c>
      <c r="Q119" s="265" t="s">
        <v>660</v>
      </c>
      <c r="R119" s="265" t="str">
        <f>VLOOKUP('MIS Working 1'!$G119,Master!$H$3:$I$8,2,0)</f>
        <v>Finished Goods</v>
      </c>
      <c r="S119" s="265" t="str">
        <f>VLOOKUP('MIS Working 1'!$H119,Master!B:C,2,0)</f>
        <v>FG-PCB-CF</v>
      </c>
      <c r="T119" s="265" t="str">
        <f>VLOOKUP('MIS Working 1'!$S119,Master!E:F,2,0)</f>
        <v>FG-PCB-CF</v>
      </c>
      <c r="U119" s="268">
        <f>'MIS Working 1'!$N119-'MIS Working 1'!$AF119</f>
        <v>8725.5000000000437</v>
      </c>
      <c r="V119" s="269">
        <f>'MIS Working 1'!$U119/'MIS Working 1'!$N119</f>
        <v>0.11406061271549414</v>
      </c>
      <c r="W119" s="265">
        <f>'MIS Working 1'!$N119/'MIS Working 1'!$L119</f>
        <v>728.56000000000006</v>
      </c>
      <c r="X119" s="270">
        <f>SUM('MIS Working 1'!$Y119:$AE119)</f>
        <v>677.50999999999965</v>
      </c>
      <c r="Y119" s="270">
        <f>SUMIFS('COGS Break up'!$E:$E,'COGS Break up'!$A:$A,'MIS Working 1'!$D119,'COGS Break up'!$D:$D,'MIS Working 1'!$Y$1)</f>
        <v>582.23999999999967</v>
      </c>
      <c r="Z119" s="270">
        <f>SUMIFS('COGS Break up'!$E:$E,'COGS Break up'!$A:$A,'MIS Working 1'!$D119,'COGS Break up'!$D:$D,'MIS Working 1'!$Z$1)</f>
        <v>29.88</v>
      </c>
      <c r="AA119" s="270">
        <f>SUMIFS('COGS Break up'!E:E,'COGS Break up'!A:A,'MIS Working 1'!$D:$D,'COGS Break up'!C:C,'MIS Working 1'!$AA$1)</f>
        <v>2.4500000000000002</v>
      </c>
      <c r="AB119" s="270">
        <f>SUMIFS('COGS Break up'!E:E,'COGS Break up'!A:A,'MIS Working 1'!$D:$D,'COGS Break up'!C:C,$AB$1)</f>
        <v>21.72</v>
      </c>
      <c r="AC119" s="270">
        <f>SUMIFS('COGS Break up'!E:E,'COGS Break up'!A:A,'MIS Working 1'!$D:$D,'COGS Break up'!C:C,$AC$1)</f>
        <v>8.31</v>
      </c>
      <c r="AD119" s="270">
        <f>SUMIFS('COGS Break up'!$E:$E,'COGS Break up'!$A:$A,'MIS Working 1'!$D119,'COGS Break up'!$D:$D,'MIS Working 1'!$AD$1)</f>
        <v>0.43</v>
      </c>
      <c r="AE119" s="270">
        <f>SUMIFS('COGS Break up'!$E:$E,'COGS Break up'!$A:$A,'MIS Working 1'!$D119,'COGS Break up'!$D:$D,'MIS Working 1'!$AE$1)</f>
        <v>32.480000000000004</v>
      </c>
      <c r="AF119" s="271">
        <f>'MIS Working 1'!$AG119+'MIS Working 1'!$AH119+'MIS Working 1'!$AM119+'MIS Working 1'!$AL119</f>
        <v>67773.299999999959</v>
      </c>
      <c r="AG119" s="270">
        <f>'MIS Working 1'!$L119*'MIS Working 1'!$Y119</f>
        <v>61135.199999999968</v>
      </c>
      <c r="AH119" s="270">
        <f>'MIS Working 1'!$L119*'MIS Working 1'!$Z119</f>
        <v>3137.4</v>
      </c>
      <c r="AI119" s="270">
        <f t="shared" si="3"/>
        <v>257.25</v>
      </c>
      <c r="AJ119" s="270">
        <f t="shared" si="4"/>
        <v>2280.6</v>
      </c>
      <c r="AK119" s="270">
        <f t="shared" si="5"/>
        <v>872.55000000000007</v>
      </c>
      <c r="AL119" s="270">
        <f>'MIS Working 1'!$AD119*'MIS Working 1'!$L119</f>
        <v>45.15</v>
      </c>
      <c r="AM119" s="270">
        <f>'MIS Working 1'!$L119*'MIS Working 1'!$AE119+'MIS Working 1'!$AL119</f>
        <v>3455.5500000000006</v>
      </c>
    </row>
    <row r="120" spans="1:39" x14ac:dyDescent="0.3">
      <c r="A120" s="272" t="s">
        <v>479</v>
      </c>
      <c r="B120" s="273">
        <v>45983</v>
      </c>
      <c r="C120" s="274" t="s">
        <v>1721</v>
      </c>
      <c r="D120" s="274" t="s">
        <v>639</v>
      </c>
      <c r="E120" s="274" t="s">
        <v>640</v>
      </c>
      <c r="F120" s="274" t="s">
        <v>18</v>
      </c>
      <c r="G120" s="274" t="s">
        <v>19</v>
      </c>
      <c r="H120" s="274" t="s">
        <v>27</v>
      </c>
      <c r="I120" s="275">
        <v>69</v>
      </c>
      <c r="J120" s="276">
        <v>44507.07</v>
      </c>
      <c r="K120" s="275">
        <v>69</v>
      </c>
      <c r="L120" s="275">
        <v>69</v>
      </c>
      <c r="M120" s="273">
        <v>45983</v>
      </c>
      <c r="N120" s="276">
        <v>50270.64</v>
      </c>
      <c r="O120" s="274" t="s">
        <v>21</v>
      </c>
      <c r="P120" s="274" t="s">
        <v>22</v>
      </c>
      <c r="Q120" s="274" t="s">
        <v>660</v>
      </c>
      <c r="R120" s="274" t="str">
        <f>VLOOKUP('MIS Working 1'!$G120,Master!$H$3:$I$8,2,0)</f>
        <v>Finished Goods</v>
      </c>
      <c r="S120" s="274" t="str">
        <f>VLOOKUP('MIS Working 1'!$H120,Master!B:C,2,0)</f>
        <v>FG-PCB-CF</v>
      </c>
      <c r="T120" s="274" t="str">
        <f>VLOOKUP('MIS Working 1'!$S120,Master!E:F,2,0)</f>
        <v>FG-PCB-CF</v>
      </c>
      <c r="U120" s="277">
        <f>'MIS Working 1'!$N120-'MIS Working 1'!$AF120</f>
        <v>5733.9000000000233</v>
      </c>
      <c r="V120" s="278">
        <f>'MIS Working 1'!$U120/'MIS Working 1'!$N120</f>
        <v>0.11406061271549404</v>
      </c>
      <c r="W120" s="274">
        <f>'MIS Working 1'!$N120/'MIS Working 1'!$L120</f>
        <v>728.56</v>
      </c>
      <c r="X120" s="279">
        <f>SUM('MIS Working 1'!$Y120:$AE120)</f>
        <v>677.50999999999965</v>
      </c>
      <c r="Y120" s="279">
        <f>SUMIFS('COGS Break up'!$E:$E,'COGS Break up'!$A:$A,'MIS Working 1'!$D120,'COGS Break up'!$D:$D,'MIS Working 1'!$Y$1)</f>
        <v>582.23999999999967</v>
      </c>
      <c r="Z120" s="279">
        <f>SUMIFS('COGS Break up'!$E:$E,'COGS Break up'!$A:$A,'MIS Working 1'!$D120,'COGS Break up'!$D:$D,'MIS Working 1'!$Z$1)</f>
        <v>29.88</v>
      </c>
      <c r="AA120" s="279">
        <f>SUMIFS('COGS Break up'!E:E,'COGS Break up'!A:A,'MIS Working 1'!$D:$D,'COGS Break up'!C:C,'MIS Working 1'!$AA$1)</f>
        <v>2.4500000000000002</v>
      </c>
      <c r="AB120" s="279">
        <f>SUMIFS('COGS Break up'!E:E,'COGS Break up'!A:A,'MIS Working 1'!$D:$D,'COGS Break up'!C:C,$AB$1)</f>
        <v>21.72</v>
      </c>
      <c r="AC120" s="279">
        <f>SUMIFS('COGS Break up'!E:E,'COGS Break up'!A:A,'MIS Working 1'!$D:$D,'COGS Break up'!C:C,$AC$1)</f>
        <v>8.31</v>
      </c>
      <c r="AD120" s="279">
        <f>SUMIFS('COGS Break up'!$E:$E,'COGS Break up'!$A:$A,'MIS Working 1'!$D120,'COGS Break up'!$D:$D,'MIS Working 1'!$AD$1)</f>
        <v>0.43</v>
      </c>
      <c r="AE120" s="279">
        <f>SUMIFS('COGS Break up'!$E:$E,'COGS Break up'!$A:$A,'MIS Working 1'!$D120,'COGS Break up'!$D:$D,'MIS Working 1'!$AE$1)</f>
        <v>32.480000000000004</v>
      </c>
      <c r="AF120" s="280">
        <f>'MIS Working 1'!$AG120+'MIS Working 1'!$AH120+'MIS Working 1'!$AM120+'MIS Working 1'!$AL120</f>
        <v>44536.739999999976</v>
      </c>
      <c r="AG120" s="279">
        <f>'MIS Working 1'!$L120*'MIS Working 1'!$Y120</f>
        <v>40174.559999999976</v>
      </c>
      <c r="AH120" s="279">
        <f>'MIS Working 1'!$L120*'MIS Working 1'!$Z120</f>
        <v>2061.7199999999998</v>
      </c>
      <c r="AI120" s="279">
        <f t="shared" si="3"/>
        <v>169.05</v>
      </c>
      <c r="AJ120" s="279">
        <f t="shared" si="4"/>
        <v>1498.6799999999998</v>
      </c>
      <c r="AK120" s="279">
        <f t="shared" si="5"/>
        <v>573.39</v>
      </c>
      <c r="AL120" s="279">
        <f>'MIS Working 1'!$AD120*'MIS Working 1'!$L120</f>
        <v>29.669999999999998</v>
      </c>
      <c r="AM120" s="279">
        <f>'MIS Working 1'!$L120*'MIS Working 1'!$AE120+'MIS Working 1'!$AL120</f>
        <v>2270.7900000000004</v>
      </c>
    </row>
    <row r="121" spans="1:39" x14ac:dyDescent="0.3">
      <c r="A121" s="263" t="s">
        <v>479</v>
      </c>
      <c r="B121" s="264">
        <v>45983</v>
      </c>
      <c r="C121" s="265" t="s">
        <v>1722</v>
      </c>
      <c r="D121" s="265" t="s">
        <v>42</v>
      </c>
      <c r="E121" s="265" t="s">
        <v>43</v>
      </c>
      <c r="F121" s="265" t="s">
        <v>18</v>
      </c>
      <c r="G121" s="265" t="s">
        <v>19</v>
      </c>
      <c r="H121" s="265" t="s">
        <v>27</v>
      </c>
      <c r="I121" s="266">
        <v>1000</v>
      </c>
      <c r="J121" s="267">
        <v>327130</v>
      </c>
      <c r="K121" s="266">
        <v>1000</v>
      </c>
      <c r="L121" s="266">
        <v>1000</v>
      </c>
      <c r="M121" s="264">
        <v>45983</v>
      </c>
      <c r="N121" s="267">
        <v>341070</v>
      </c>
      <c r="O121" s="265" t="s">
        <v>21</v>
      </c>
      <c r="P121" s="265" t="s">
        <v>22</v>
      </c>
      <c r="Q121" s="265" t="s">
        <v>660</v>
      </c>
      <c r="R121" s="265" t="str">
        <f>VLOOKUP('MIS Working 1'!$G121,Master!$H$3:$I$8,2,0)</f>
        <v>Finished Goods</v>
      </c>
      <c r="S121" s="265" t="str">
        <f>VLOOKUP('MIS Working 1'!$H121,Master!B:C,2,0)</f>
        <v>FG-PCB-CF</v>
      </c>
      <c r="T121" s="265" t="str">
        <f>VLOOKUP('MIS Working 1'!$S121,Master!E:F,2,0)</f>
        <v>FG-PCB-CF</v>
      </c>
      <c r="U121" s="268">
        <f>'MIS Working 1'!$N121-'MIS Working 1'!$AF121</f>
        <v>13769.999999999942</v>
      </c>
      <c r="V121" s="269">
        <f>'MIS Working 1'!$U121/'MIS Working 1'!$N121</f>
        <v>4.0372943970445781E-2</v>
      </c>
      <c r="W121" s="265">
        <f>'MIS Working 1'!$N121/'MIS Working 1'!$L121</f>
        <v>341.07</v>
      </c>
      <c r="X121" s="270">
        <f>SUM('MIS Working 1'!$Y121:$AE121)</f>
        <v>353.55</v>
      </c>
      <c r="Y121" s="270">
        <f>SUMIFS('COGS Break up'!$E:$E,'COGS Break up'!$A:$A,'MIS Working 1'!$D121,'COGS Break up'!$D:$D,'MIS Working 1'!$Y$1)</f>
        <v>278.14000000000004</v>
      </c>
      <c r="Z121" s="270">
        <f>SUMIFS('COGS Break up'!$E:$E,'COGS Break up'!$A:$A,'MIS Working 1'!$D121,'COGS Break up'!$D:$D,'MIS Working 1'!$Z$1)</f>
        <v>22.400000000000002</v>
      </c>
      <c r="AA121" s="270">
        <f>SUMIFS('COGS Break up'!E:E,'COGS Break up'!A:A,'MIS Working 1'!$D:$D,'COGS Break up'!C:C,'MIS Working 1'!$AA$1)</f>
        <v>1.8299999999999998</v>
      </c>
      <c r="AB121" s="270">
        <f>SUMIFS('COGS Break up'!E:E,'COGS Break up'!A:A,'MIS Working 1'!$D:$D,'COGS Break up'!C:C,$AB$1)</f>
        <v>16.28</v>
      </c>
      <c r="AC121" s="270">
        <f>SUMIFS('COGS Break up'!E:E,'COGS Break up'!A:A,'MIS Working 1'!$D:$D,'COGS Break up'!C:C,$AC$1)</f>
        <v>8.31</v>
      </c>
      <c r="AD121" s="270">
        <f>SUMIFS('COGS Break up'!$E:$E,'COGS Break up'!$A:$A,'MIS Working 1'!$D121,'COGS Break up'!$D:$D,'MIS Working 1'!$AD$1)</f>
        <v>0.17</v>
      </c>
      <c r="AE121" s="270">
        <f>SUMIFS('COGS Break up'!$E:$E,'COGS Break up'!$A:$A,'MIS Working 1'!$D121,'COGS Break up'!$D:$D,'MIS Working 1'!$AE$1)</f>
        <v>26.42</v>
      </c>
      <c r="AF121" s="271">
        <f>'MIS Working 1'!$AG121+'MIS Working 1'!$AH121+'MIS Working 1'!$AM121+'MIS Working 1'!$AL121</f>
        <v>327300.00000000006</v>
      </c>
      <c r="AG121" s="270">
        <f>'MIS Working 1'!$L121*'MIS Working 1'!$Y121</f>
        <v>278140.00000000006</v>
      </c>
      <c r="AH121" s="270">
        <f>'MIS Working 1'!$L121*'MIS Working 1'!$Z121</f>
        <v>22400.000000000004</v>
      </c>
      <c r="AI121" s="270">
        <f t="shared" si="3"/>
        <v>1829.9999999999998</v>
      </c>
      <c r="AJ121" s="270">
        <f t="shared" si="4"/>
        <v>16280.000000000002</v>
      </c>
      <c r="AK121" s="270">
        <f t="shared" si="5"/>
        <v>8310</v>
      </c>
      <c r="AL121" s="270">
        <f>'MIS Working 1'!$AD121*'MIS Working 1'!$L121</f>
        <v>170</v>
      </c>
      <c r="AM121" s="270">
        <f>'MIS Working 1'!$L121*'MIS Working 1'!$AE121+'MIS Working 1'!$AL121</f>
        <v>26590</v>
      </c>
    </row>
    <row r="122" spans="1:39" x14ac:dyDescent="0.3">
      <c r="A122" s="272" t="s">
        <v>479</v>
      </c>
      <c r="B122" s="273">
        <v>45983</v>
      </c>
      <c r="C122" s="274" t="s">
        <v>1720</v>
      </c>
      <c r="D122" s="274" t="s">
        <v>23</v>
      </c>
      <c r="E122" s="274" t="s">
        <v>24</v>
      </c>
      <c r="F122" s="274" t="s">
        <v>18</v>
      </c>
      <c r="G122" s="274" t="s">
        <v>19</v>
      </c>
      <c r="H122" s="274" t="s">
        <v>27</v>
      </c>
      <c r="I122" s="275">
        <v>1090</v>
      </c>
      <c r="J122" s="276">
        <v>459336.9</v>
      </c>
      <c r="K122" s="275">
        <v>1090</v>
      </c>
      <c r="L122" s="275">
        <v>1090</v>
      </c>
      <c r="M122" s="273">
        <v>45983</v>
      </c>
      <c r="N122" s="276">
        <v>526644.4</v>
      </c>
      <c r="O122" s="274" t="s">
        <v>21</v>
      </c>
      <c r="P122" s="274" t="s">
        <v>22</v>
      </c>
      <c r="Q122" s="274" t="s">
        <v>660</v>
      </c>
      <c r="R122" s="274" t="str">
        <f>VLOOKUP('MIS Working 1'!$G122,Master!$H$3:$I$8,2,0)</f>
        <v>Finished Goods</v>
      </c>
      <c r="S122" s="274" t="str">
        <f>VLOOKUP('MIS Working 1'!$H122,Master!B:C,2,0)</f>
        <v>FG-PCB-CF</v>
      </c>
      <c r="T122" s="274" t="str">
        <f>VLOOKUP('MIS Working 1'!$S122,Master!E:F,2,0)</f>
        <v>FG-PCB-CF</v>
      </c>
      <c r="U122" s="277">
        <f>'MIS Working 1'!$N122-'MIS Working 1'!$AF122</f>
        <v>67024.100000000151</v>
      </c>
      <c r="V122" s="278">
        <f>'MIS Working 1'!$U122/'MIS Working 1'!$N122</f>
        <v>0.12726632999420509</v>
      </c>
      <c r="W122" s="274">
        <f>'MIS Working 1'!$N122/'MIS Working 1'!$L122</f>
        <v>483.16</v>
      </c>
      <c r="X122" s="279">
        <f>SUM('MIS Working 1'!$Y122:$AE122)</f>
        <v>447.50999999999988</v>
      </c>
      <c r="Y122" s="279">
        <f>SUMIFS('COGS Break up'!$E:$E,'COGS Break up'!$A:$A,'MIS Working 1'!$D122,'COGS Break up'!$D:$D,'MIS Working 1'!$Y$1)</f>
        <v>373.04999999999984</v>
      </c>
      <c r="Z122" s="279">
        <f>SUMIFS('COGS Break up'!$E:$E,'COGS Break up'!$A:$A,'MIS Working 1'!$D122,'COGS Break up'!$D:$D,'MIS Working 1'!$Z$1)</f>
        <v>22</v>
      </c>
      <c r="AA122" s="279">
        <f>SUMIFS('COGS Break up'!E:E,'COGS Break up'!A:A,'MIS Working 1'!$D:$D,'COGS Break up'!C:C,'MIS Working 1'!$AA$1)</f>
        <v>1.8</v>
      </c>
      <c r="AB122" s="279">
        <f>SUMIFS('COGS Break up'!E:E,'COGS Break up'!A:A,'MIS Working 1'!$D:$D,'COGS Break up'!C:C,$AB$1)</f>
        <v>15.99</v>
      </c>
      <c r="AC122" s="279">
        <f>SUMIFS('COGS Break up'!E:E,'COGS Break up'!A:A,'MIS Working 1'!$D:$D,'COGS Break up'!C:C,$AC$1)</f>
        <v>8.31</v>
      </c>
      <c r="AD122" s="279">
        <f>SUMIFS('COGS Break up'!$E:$E,'COGS Break up'!$A:$A,'MIS Working 1'!$D122,'COGS Break up'!$D:$D,'MIS Working 1'!$AD$1)</f>
        <v>0.26</v>
      </c>
      <c r="AE122" s="279">
        <f>SUMIFS('COGS Break up'!$E:$E,'COGS Break up'!$A:$A,'MIS Working 1'!$D122,'COGS Break up'!$D:$D,'MIS Working 1'!$AE$1)</f>
        <v>26.1</v>
      </c>
      <c r="AF122" s="280">
        <f>'MIS Working 1'!$AG122+'MIS Working 1'!$AH122+'MIS Working 1'!$AM122+'MIS Working 1'!$AL122</f>
        <v>459620.29999999987</v>
      </c>
      <c r="AG122" s="279">
        <f>'MIS Working 1'!$L122*'MIS Working 1'!$Y122</f>
        <v>406624.49999999983</v>
      </c>
      <c r="AH122" s="279">
        <f>'MIS Working 1'!$L122*'MIS Working 1'!$Z122</f>
        <v>23980</v>
      </c>
      <c r="AI122" s="279">
        <f t="shared" si="3"/>
        <v>1962</v>
      </c>
      <c r="AJ122" s="279">
        <f t="shared" si="4"/>
        <v>17429.099999999999</v>
      </c>
      <c r="AK122" s="279">
        <f t="shared" si="5"/>
        <v>9057.9</v>
      </c>
      <c r="AL122" s="279">
        <f>'MIS Working 1'!$AD122*'MIS Working 1'!$L122</f>
        <v>283.40000000000003</v>
      </c>
      <c r="AM122" s="279">
        <f>'MIS Working 1'!$L122*'MIS Working 1'!$AE122+'MIS Working 1'!$AL122</f>
        <v>28732.400000000001</v>
      </c>
    </row>
    <row r="123" spans="1:39" x14ac:dyDescent="0.3">
      <c r="A123" s="263" t="s">
        <v>479</v>
      </c>
      <c r="B123" s="264">
        <v>45983</v>
      </c>
      <c r="C123" s="265" t="s">
        <v>1722</v>
      </c>
      <c r="D123" s="265" t="s">
        <v>1184</v>
      </c>
      <c r="E123" s="265" t="s">
        <v>1185</v>
      </c>
      <c r="F123" s="265" t="s">
        <v>18</v>
      </c>
      <c r="G123" s="265" t="s">
        <v>19</v>
      </c>
      <c r="H123" s="265" t="s">
        <v>27</v>
      </c>
      <c r="I123" s="266">
        <v>560</v>
      </c>
      <c r="J123" s="267">
        <v>235972.8</v>
      </c>
      <c r="K123" s="266">
        <v>560</v>
      </c>
      <c r="L123" s="266">
        <v>560</v>
      </c>
      <c r="M123" s="264">
        <v>45983</v>
      </c>
      <c r="N123" s="267">
        <v>270569.59999999998</v>
      </c>
      <c r="O123" s="265" t="s">
        <v>21</v>
      </c>
      <c r="P123" s="265" t="s">
        <v>22</v>
      </c>
      <c r="Q123" s="265" t="s">
        <v>660</v>
      </c>
      <c r="R123" s="265" t="str">
        <f>VLOOKUP('MIS Working 1'!$G123,Master!$H$3:$I$8,2,0)</f>
        <v>Finished Goods</v>
      </c>
      <c r="S123" s="265" t="str">
        <f>VLOOKUP('MIS Working 1'!$H123,Master!B:C,2,0)</f>
        <v>FG-PCB-CF</v>
      </c>
      <c r="T123" s="265" t="str">
        <f>VLOOKUP('MIS Working 1'!$S123,Master!E:F,2,0)</f>
        <v>FG-PCB-CF</v>
      </c>
      <c r="U123" s="268">
        <f>'MIS Working 1'!$N123-'MIS Working 1'!$AF123</f>
        <v>34451.20000000007</v>
      </c>
      <c r="V123" s="269">
        <f>'MIS Working 1'!$U123/'MIS Working 1'!$N123</f>
        <v>0.12732842122692303</v>
      </c>
      <c r="W123" s="265">
        <f>'MIS Working 1'!$N123/'MIS Working 1'!$L123</f>
        <v>483.15999999999997</v>
      </c>
      <c r="X123" s="270">
        <f>SUM('MIS Working 1'!$Y123:$AE123)</f>
        <v>447.47999999999985</v>
      </c>
      <c r="Y123" s="270">
        <f>SUMIFS('COGS Break up'!$E:$E,'COGS Break up'!$A:$A,'MIS Working 1'!$D123,'COGS Break up'!$D:$D,'MIS Working 1'!$Y$1)</f>
        <v>373.01999999999981</v>
      </c>
      <c r="Z123" s="270">
        <f>SUMIFS('COGS Break up'!$E:$E,'COGS Break up'!$A:$A,'MIS Working 1'!$D123,'COGS Break up'!$D:$D,'MIS Working 1'!$Z$1)</f>
        <v>22</v>
      </c>
      <c r="AA123" s="270">
        <f>SUMIFS('COGS Break up'!E:E,'COGS Break up'!A:A,'MIS Working 1'!$D:$D,'COGS Break up'!C:C,'MIS Working 1'!$AA$1)</f>
        <v>1.8</v>
      </c>
      <c r="AB123" s="270">
        <f>SUMIFS('COGS Break up'!E:E,'COGS Break up'!A:A,'MIS Working 1'!$D:$D,'COGS Break up'!C:C,$AB$1)</f>
        <v>15.99</v>
      </c>
      <c r="AC123" s="270">
        <f>SUMIFS('COGS Break up'!E:E,'COGS Break up'!A:A,'MIS Working 1'!$D:$D,'COGS Break up'!C:C,$AC$1)</f>
        <v>8.31</v>
      </c>
      <c r="AD123" s="270">
        <f>SUMIFS('COGS Break up'!$E:$E,'COGS Break up'!$A:$A,'MIS Working 1'!$D123,'COGS Break up'!$D:$D,'MIS Working 1'!$AD$1)</f>
        <v>0.26</v>
      </c>
      <c r="AE123" s="270">
        <f>SUMIFS('COGS Break up'!$E:$E,'COGS Break up'!$A:$A,'MIS Working 1'!$D123,'COGS Break up'!$D:$D,'MIS Working 1'!$AE$1)</f>
        <v>26.1</v>
      </c>
      <c r="AF123" s="271">
        <f>'MIS Working 1'!$AG123+'MIS Working 1'!$AH123+'MIS Working 1'!$AM123+'MIS Working 1'!$AL123</f>
        <v>236118.39999999991</v>
      </c>
      <c r="AG123" s="270">
        <f>'MIS Working 1'!$L123*'MIS Working 1'!$Y123</f>
        <v>208891.1999999999</v>
      </c>
      <c r="AH123" s="270">
        <f>'MIS Working 1'!$L123*'MIS Working 1'!$Z123</f>
        <v>12320</v>
      </c>
      <c r="AI123" s="270">
        <f t="shared" si="3"/>
        <v>1008</v>
      </c>
      <c r="AJ123" s="270">
        <f t="shared" si="4"/>
        <v>8954.4</v>
      </c>
      <c r="AK123" s="270">
        <f t="shared" si="5"/>
        <v>4653.6000000000004</v>
      </c>
      <c r="AL123" s="270">
        <f>'MIS Working 1'!$AD123*'MIS Working 1'!$L123</f>
        <v>145.6</v>
      </c>
      <c r="AM123" s="270">
        <f>'MIS Working 1'!$L123*'MIS Working 1'!$AE123+'MIS Working 1'!$AL123</f>
        <v>14761.6</v>
      </c>
    </row>
    <row r="124" spans="1:39" x14ac:dyDescent="0.3">
      <c r="A124" s="272" t="s">
        <v>479</v>
      </c>
      <c r="B124" s="273">
        <v>45983</v>
      </c>
      <c r="C124" s="274" t="s">
        <v>1721</v>
      </c>
      <c r="D124" s="274" t="s">
        <v>38</v>
      </c>
      <c r="E124" s="274" t="s">
        <v>39</v>
      </c>
      <c r="F124" s="274" t="s">
        <v>18</v>
      </c>
      <c r="G124" s="274" t="s">
        <v>19</v>
      </c>
      <c r="H124" s="274" t="s">
        <v>27</v>
      </c>
      <c r="I124" s="275">
        <v>840</v>
      </c>
      <c r="J124" s="276">
        <v>274789.2</v>
      </c>
      <c r="K124" s="275">
        <v>840</v>
      </c>
      <c r="L124" s="275">
        <v>840</v>
      </c>
      <c r="M124" s="273">
        <v>45983</v>
      </c>
      <c r="N124" s="276">
        <v>286498.8</v>
      </c>
      <c r="O124" s="274" t="s">
        <v>21</v>
      </c>
      <c r="P124" s="274" t="s">
        <v>22</v>
      </c>
      <c r="Q124" s="274" t="s">
        <v>660</v>
      </c>
      <c r="R124" s="274" t="str">
        <f>VLOOKUP('MIS Working 1'!$G124,Master!$H$3:$I$8,2,0)</f>
        <v>Finished Goods</v>
      </c>
      <c r="S124" s="274" t="str">
        <f>VLOOKUP('MIS Working 1'!$H124,Master!B:C,2,0)</f>
        <v>FG-PCB-CF</v>
      </c>
      <c r="T124" s="274" t="str">
        <f>VLOOKUP('MIS Working 1'!$S124,Master!E:F,2,0)</f>
        <v>FG-PCB-CF</v>
      </c>
      <c r="U124" s="277">
        <f>'MIS Working 1'!$N124-'MIS Working 1'!$AF124</f>
        <v>11566.800000000047</v>
      </c>
      <c r="V124" s="278">
        <f>'MIS Working 1'!$U124/'MIS Working 1'!$N124</f>
        <v>4.0372943970446114E-2</v>
      </c>
      <c r="W124" s="274">
        <f>'MIS Working 1'!$N124/'MIS Working 1'!$L124</f>
        <v>341.07</v>
      </c>
      <c r="X124" s="279">
        <f>SUM('MIS Working 1'!$Y124:$AE124)</f>
        <v>353.55</v>
      </c>
      <c r="Y124" s="279">
        <f>SUMIFS('COGS Break up'!$E:$E,'COGS Break up'!$A:$A,'MIS Working 1'!$D124,'COGS Break up'!$D:$D,'MIS Working 1'!$Y$1)</f>
        <v>278.14</v>
      </c>
      <c r="Z124" s="279">
        <f>SUMIFS('COGS Break up'!$E:$E,'COGS Break up'!$A:$A,'MIS Working 1'!$D124,'COGS Break up'!$D:$D,'MIS Working 1'!$Z$1)</f>
        <v>22.400000000000002</v>
      </c>
      <c r="AA124" s="279">
        <f>SUMIFS('COGS Break up'!E:E,'COGS Break up'!A:A,'MIS Working 1'!$D:$D,'COGS Break up'!C:C,'MIS Working 1'!$AA$1)</f>
        <v>1.8299999999999998</v>
      </c>
      <c r="AB124" s="279">
        <f>SUMIFS('COGS Break up'!E:E,'COGS Break up'!A:A,'MIS Working 1'!$D:$D,'COGS Break up'!C:C,$AB$1)</f>
        <v>16.28</v>
      </c>
      <c r="AC124" s="279">
        <f>SUMIFS('COGS Break up'!E:E,'COGS Break up'!A:A,'MIS Working 1'!$D:$D,'COGS Break up'!C:C,$AC$1)</f>
        <v>8.31</v>
      </c>
      <c r="AD124" s="279">
        <f>SUMIFS('COGS Break up'!$E:$E,'COGS Break up'!$A:$A,'MIS Working 1'!$D124,'COGS Break up'!$D:$D,'MIS Working 1'!$AD$1)</f>
        <v>0.17</v>
      </c>
      <c r="AE124" s="279">
        <f>SUMIFS('COGS Break up'!$E:$E,'COGS Break up'!$A:$A,'MIS Working 1'!$D124,'COGS Break up'!$D:$D,'MIS Working 1'!$AE$1)</f>
        <v>26.42</v>
      </c>
      <c r="AF124" s="280">
        <f>'MIS Working 1'!$AG124+'MIS Working 1'!$AH124+'MIS Working 1'!$AM124+'MIS Working 1'!$AL124</f>
        <v>274931.99999999994</v>
      </c>
      <c r="AG124" s="279">
        <f>'MIS Working 1'!$L124*'MIS Working 1'!$Y124</f>
        <v>233637.59999999998</v>
      </c>
      <c r="AH124" s="279">
        <f>'MIS Working 1'!$L124*'MIS Working 1'!$Z124</f>
        <v>18816</v>
      </c>
      <c r="AI124" s="279">
        <f t="shared" si="3"/>
        <v>1537.1999999999998</v>
      </c>
      <c r="AJ124" s="279">
        <f t="shared" si="4"/>
        <v>13675.2</v>
      </c>
      <c r="AK124" s="279">
        <f t="shared" si="5"/>
        <v>6980.4000000000005</v>
      </c>
      <c r="AL124" s="279">
        <f>'MIS Working 1'!$AD124*'MIS Working 1'!$L124</f>
        <v>142.80000000000001</v>
      </c>
      <c r="AM124" s="279">
        <f>'MIS Working 1'!$L124*'MIS Working 1'!$AE124+'MIS Working 1'!$AL124</f>
        <v>22335.600000000002</v>
      </c>
    </row>
    <row r="125" spans="1:39" x14ac:dyDescent="0.3">
      <c r="A125" s="263" t="s">
        <v>479</v>
      </c>
      <c r="B125" s="264">
        <v>45983</v>
      </c>
      <c r="C125" s="265" t="s">
        <v>1722</v>
      </c>
      <c r="D125" s="265" t="s">
        <v>38</v>
      </c>
      <c r="E125" s="265" t="s">
        <v>39</v>
      </c>
      <c r="F125" s="265" t="s">
        <v>18</v>
      </c>
      <c r="G125" s="265" t="s">
        <v>19</v>
      </c>
      <c r="H125" s="265" t="s">
        <v>27</v>
      </c>
      <c r="I125" s="266">
        <v>3560</v>
      </c>
      <c r="J125" s="267">
        <v>1164582.8</v>
      </c>
      <c r="K125" s="266">
        <v>3560</v>
      </c>
      <c r="L125" s="266">
        <v>3560</v>
      </c>
      <c r="M125" s="264">
        <v>45983</v>
      </c>
      <c r="N125" s="267">
        <v>1214209.2</v>
      </c>
      <c r="O125" s="265" t="s">
        <v>21</v>
      </c>
      <c r="P125" s="265" t="s">
        <v>22</v>
      </c>
      <c r="Q125" s="265" t="s">
        <v>660</v>
      </c>
      <c r="R125" s="265" t="str">
        <f>VLOOKUP('MIS Working 1'!$G125,Master!$H$3:$I$8,2,0)</f>
        <v>Finished Goods</v>
      </c>
      <c r="S125" s="265" t="str">
        <f>VLOOKUP('MIS Working 1'!$H125,Master!B:C,2,0)</f>
        <v>FG-PCB-CF</v>
      </c>
      <c r="T125" s="265" t="str">
        <f>VLOOKUP('MIS Working 1'!$S125,Master!E:F,2,0)</f>
        <v>FG-PCB-CF</v>
      </c>
      <c r="U125" s="268">
        <f>'MIS Working 1'!$N125-'MIS Working 1'!$AF125</f>
        <v>49021.200000000186</v>
      </c>
      <c r="V125" s="269">
        <f>'MIS Working 1'!$U125/'MIS Working 1'!$N125</f>
        <v>4.0372943970446107E-2</v>
      </c>
      <c r="W125" s="265">
        <f>'MIS Working 1'!$N125/'MIS Working 1'!$L125</f>
        <v>341.07</v>
      </c>
      <c r="X125" s="270">
        <f>SUM('MIS Working 1'!$Y125:$AE125)</f>
        <v>353.55</v>
      </c>
      <c r="Y125" s="270">
        <f>SUMIFS('COGS Break up'!$E:$E,'COGS Break up'!$A:$A,'MIS Working 1'!$D125,'COGS Break up'!$D:$D,'MIS Working 1'!$Y$1)</f>
        <v>278.14</v>
      </c>
      <c r="Z125" s="270">
        <f>SUMIFS('COGS Break up'!$E:$E,'COGS Break up'!$A:$A,'MIS Working 1'!$D125,'COGS Break up'!$D:$D,'MIS Working 1'!$Z$1)</f>
        <v>22.400000000000002</v>
      </c>
      <c r="AA125" s="270">
        <f>SUMIFS('COGS Break up'!E:E,'COGS Break up'!A:A,'MIS Working 1'!$D:$D,'COGS Break up'!C:C,'MIS Working 1'!$AA$1)</f>
        <v>1.8299999999999998</v>
      </c>
      <c r="AB125" s="270">
        <f>SUMIFS('COGS Break up'!E:E,'COGS Break up'!A:A,'MIS Working 1'!$D:$D,'COGS Break up'!C:C,$AB$1)</f>
        <v>16.28</v>
      </c>
      <c r="AC125" s="270">
        <f>SUMIFS('COGS Break up'!E:E,'COGS Break up'!A:A,'MIS Working 1'!$D:$D,'COGS Break up'!C:C,$AC$1)</f>
        <v>8.31</v>
      </c>
      <c r="AD125" s="270">
        <f>SUMIFS('COGS Break up'!$E:$E,'COGS Break up'!$A:$A,'MIS Working 1'!$D125,'COGS Break up'!$D:$D,'MIS Working 1'!$AD$1)</f>
        <v>0.17</v>
      </c>
      <c r="AE125" s="270">
        <f>SUMIFS('COGS Break up'!$E:$E,'COGS Break up'!$A:$A,'MIS Working 1'!$D125,'COGS Break up'!$D:$D,'MIS Working 1'!$AE$1)</f>
        <v>26.42</v>
      </c>
      <c r="AF125" s="271">
        <f>'MIS Working 1'!$AG125+'MIS Working 1'!$AH125+'MIS Working 1'!$AM125+'MIS Working 1'!$AL125</f>
        <v>1165187.9999999998</v>
      </c>
      <c r="AG125" s="270">
        <f>'MIS Working 1'!$L125*'MIS Working 1'!$Y125</f>
        <v>990178.39999999991</v>
      </c>
      <c r="AH125" s="270">
        <f>'MIS Working 1'!$L125*'MIS Working 1'!$Z125</f>
        <v>79744.000000000015</v>
      </c>
      <c r="AI125" s="270">
        <f t="shared" si="3"/>
        <v>6514.7999999999993</v>
      </c>
      <c r="AJ125" s="270">
        <f t="shared" si="4"/>
        <v>57956.800000000003</v>
      </c>
      <c r="AK125" s="270">
        <f t="shared" si="5"/>
        <v>29583.600000000002</v>
      </c>
      <c r="AL125" s="270">
        <f>'MIS Working 1'!$AD125*'MIS Working 1'!$L125</f>
        <v>605.20000000000005</v>
      </c>
      <c r="AM125" s="270">
        <f>'MIS Working 1'!$L125*'MIS Working 1'!$AE125+'MIS Working 1'!$AL125</f>
        <v>94660.400000000009</v>
      </c>
    </row>
    <row r="126" spans="1:39" x14ac:dyDescent="0.3">
      <c r="A126" s="272" t="s">
        <v>479</v>
      </c>
      <c r="B126" s="273">
        <v>45983</v>
      </c>
      <c r="C126" s="274" t="s">
        <v>1721</v>
      </c>
      <c r="D126" s="274" t="s">
        <v>378</v>
      </c>
      <c r="E126" s="274" t="s">
        <v>379</v>
      </c>
      <c r="F126" s="274" t="s">
        <v>18</v>
      </c>
      <c r="G126" s="274" t="s">
        <v>19</v>
      </c>
      <c r="H126" s="274" t="s">
        <v>27</v>
      </c>
      <c r="I126" s="275">
        <v>120</v>
      </c>
      <c r="J126" s="276">
        <v>39024</v>
      </c>
      <c r="K126" s="275">
        <v>120</v>
      </c>
      <c r="L126" s="275">
        <v>120</v>
      </c>
      <c r="M126" s="273">
        <v>45983</v>
      </c>
      <c r="N126" s="276">
        <v>42602.400000000001</v>
      </c>
      <c r="O126" s="274" t="s">
        <v>21</v>
      </c>
      <c r="P126" s="274" t="s">
        <v>22</v>
      </c>
      <c r="Q126" s="274" t="s">
        <v>660</v>
      </c>
      <c r="R126" s="274" t="str">
        <f>VLOOKUP('MIS Working 1'!$G126,Master!$H$3:$I$8,2,0)</f>
        <v>Finished Goods</v>
      </c>
      <c r="S126" s="274" t="str">
        <f>VLOOKUP('MIS Working 1'!$H126,Master!B:C,2,0)</f>
        <v>FG-PCB-CF</v>
      </c>
      <c r="T126" s="274" t="str">
        <f>VLOOKUP('MIS Working 1'!$S126,Master!E:F,2,0)</f>
        <v>FG-PCB-CF</v>
      </c>
      <c r="U126" s="277">
        <f>'MIS Working 1'!$N126-'MIS Working 1'!$AF126</f>
        <v>3547.2000000000044</v>
      </c>
      <c r="V126" s="278">
        <f>'MIS Working 1'!$U126/'MIS Working 1'!$N126</f>
        <v>8.3262914765365431E-2</v>
      </c>
      <c r="W126" s="274">
        <f>'MIS Working 1'!$N126/'MIS Working 1'!$L126</f>
        <v>355.02000000000004</v>
      </c>
      <c r="X126" s="279">
        <f>SUM('MIS Working 1'!$Y126:$AE126)</f>
        <v>354.76999999999992</v>
      </c>
      <c r="Y126" s="279">
        <f>SUMIFS('COGS Break up'!$E:$E,'COGS Break up'!$A:$A,'MIS Working 1'!$D126,'COGS Break up'!$D:$D,'MIS Working 1'!$Y$1)</f>
        <v>271.52999999999997</v>
      </c>
      <c r="Z126" s="279">
        <f>SUMIFS('COGS Break up'!$E:$E,'COGS Break up'!$A:$A,'MIS Working 1'!$D126,'COGS Break up'!$D:$D,'MIS Working 1'!$Z$1)</f>
        <v>23.84</v>
      </c>
      <c r="AA126" s="279">
        <f>SUMIFS('COGS Break up'!E:E,'COGS Break up'!A:A,'MIS Working 1'!$D:$D,'COGS Break up'!C:C,'MIS Working 1'!$AA$1)</f>
        <v>1.9500000000000002</v>
      </c>
      <c r="AB126" s="279">
        <f>SUMIFS('COGS Break up'!E:E,'COGS Break up'!A:A,'MIS Working 1'!$D:$D,'COGS Break up'!C:C,$AB$1)</f>
        <v>17.329999999999998</v>
      </c>
      <c r="AC126" s="279">
        <f>SUMIFS('COGS Break up'!E:E,'COGS Break up'!A:A,'MIS Working 1'!$D:$D,'COGS Break up'!C:C,$AC$1)</f>
        <v>10.29</v>
      </c>
      <c r="AD126" s="279">
        <f>SUMIFS('COGS Break up'!$E:$E,'COGS Break up'!$A:$A,'MIS Working 1'!$D126,'COGS Break up'!$D:$D,'MIS Working 1'!$AD$1)</f>
        <v>0.26</v>
      </c>
      <c r="AE126" s="279">
        <f>SUMIFS('COGS Break up'!$E:$E,'COGS Break up'!$A:$A,'MIS Working 1'!$D126,'COGS Break up'!$D:$D,'MIS Working 1'!$AE$1)</f>
        <v>29.569999999999997</v>
      </c>
      <c r="AF126" s="280">
        <f>'MIS Working 1'!$AG126+'MIS Working 1'!$AH126+'MIS Working 1'!$AM126+'MIS Working 1'!$AL126</f>
        <v>39055.199999999997</v>
      </c>
      <c r="AG126" s="279">
        <f>'MIS Working 1'!$L126*'MIS Working 1'!$Y126</f>
        <v>32583.599999999999</v>
      </c>
      <c r="AH126" s="279">
        <f>'MIS Working 1'!$L126*'MIS Working 1'!$Z126</f>
        <v>2860.8</v>
      </c>
      <c r="AI126" s="279">
        <f t="shared" si="3"/>
        <v>234.00000000000003</v>
      </c>
      <c r="AJ126" s="279">
        <f t="shared" si="4"/>
        <v>2079.6</v>
      </c>
      <c r="AK126" s="279">
        <f t="shared" si="5"/>
        <v>1234.8</v>
      </c>
      <c r="AL126" s="279">
        <f>'MIS Working 1'!$AD126*'MIS Working 1'!$L126</f>
        <v>31.200000000000003</v>
      </c>
      <c r="AM126" s="279">
        <f>'MIS Working 1'!$L126*'MIS Working 1'!$AE126+'MIS Working 1'!$AL126</f>
        <v>3579.5999999999995</v>
      </c>
    </row>
    <row r="127" spans="1:39" x14ac:dyDescent="0.3">
      <c r="A127" s="263" t="s">
        <v>479</v>
      </c>
      <c r="B127" s="264">
        <v>45983</v>
      </c>
      <c r="C127" s="265" t="s">
        <v>1720</v>
      </c>
      <c r="D127" s="265" t="s">
        <v>380</v>
      </c>
      <c r="E127" s="265" t="s">
        <v>381</v>
      </c>
      <c r="F127" s="265" t="s">
        <v>18</v>
      </c>
      <c r="G127" s="265" t="s">
        <v>19</v>
      </c>
      <c r="H127" s="265" t="s">
        <v>27</v>
      </c>
      <c r="I127" s="266">
        <v>627</v>
      </c>
      <c r="J127" s="267">
        <v>135808.20000000001</v>
      </c>
      <c r="K127" s="266">
        <v>627</v>
      </c>
      <c r="L127" s="266">
        <v>627</v>
      </c>
      <c r="M127" s="264">
        <v>45983</v>
      </c>
      <c r="N127" s="267">
        <v>139099.95000000001</v>
      </c>
      <c r="O127" s="265" t="s">
        <v>21</v>
      </c>
      <c r="P127" s="265" t="s">
        <v>22</v>
      </c>
      <c r="Q127" s="265" t="s">
        <v>660</v>
      </c>
      <c r="R127" s="265" t="str">
        <f>VLOOKUP('MIS Working 1'!$G127,Master!$H$3:$I$8,2,0)</f>
        <v>Finished Goods</v>
      </c>
      <c r="S127" s="265" t="str">
        <f>VLOOKUP('MIS Working 1'!$H127,Master!B:C,2,0)</f>
        <v>FG-PCB-CF</v>
      </c>
      <c r="T127" s="265" t="str">
        <f>VLOOKUP('MIS Working 1'!$S127,Master!E:F,2,0)</f>
        <v>FG-PCB-CF</v>
      </c>
      <c r="U127" s="268">
        <f>'MIS Working 1'!$N127-'MIS Working 1'!$AF127</f>
        <v>3266.670000000071</v>
      </c>
      <c r="V127" s="269">
        <f>'MIS Working 1'!$U127/'MIS Working 1'!$N127</f>
        <v>2.3484336263241437E-2</v>
      </c>
      <c r="W127" s="265">
        <f>'MIS Working 1'!$N127/'MIS Working 1'!$L127</f>
        <v>221.85000000000002</v>
      </c>
      <c r="X127" s="270">
        <f>SUM('MIS Working 1'!$Y127:$AE127)</f>
        <v>239.77999999999994</v>
      </c>
      <c r="Y127" s="270">
        <f>SUMIFS('COGS Break up'!$E:$E,'COGS Break up'!$A:$A,'MIS Working 1'!$D127,'COGS Break up'!$D:$D,'MIS Working 1'!$Y$1)</f>
        <v>174.98999999999995</v>
      </c>
      <c r="Z127" s="270">
        <f>SUMIFS('COGS Break up'!$E:$E,'COGS Break up'!$A:$A,'MIS Working 1'!$D127,'COGS Break up'!$D:$D,'MIS Working 1'!$Z$1)</f>
        <v>18.389999999999997</v>
      </c>
      <c r="AA127" s="270">
        <f>SUMIFS('COGS Break up'!E:E,'COGS Break up'!A:A,'MIS Working 1'!$D:$D,'COGS Break up'!C:C,'MIS Working 1'!$AA$1)</f>
        <v>1.5</v>
      </c>
      <c r="AB127" s="270">
        <f>SUMIFS('COGS Break up'!E:E,'COGS Break up'!A:A,'MIS Working 1'!$D:$D,'COGS Break up'!C:C,$AB$1)</f>
        <v>13.37</v>
      </c>
      <c r="AC127" s="270">
        <f>SUMIFS('COGS Break up'!E:E,'COGS Break up'!A:A,'MIS Working 1'!$D:$D,'COGS Break up'!C:C,$AC$1)</f>
        <v>8.31</v>
      </c>
      <c r="AD127" s="270">
        <f>SUMIFS('COGS Break up'!$E:$E,'COGS Break up'!$A:$A,'MIS Working 1'!$D127,'COGS Break up'!$D:$D,'MIS Working 1'!$AD$1)</f>
        <v>0.04</v>
      </c>
      <c r="AE127" s="270">
        <f>SUMIFS('COGS Break up'!$E:$E,'COGS Break up'!$A:$A,'MIS Working 1'!$D127,'COGS Break up'!$D:$D,'MIS Working 1'!$AE$1)</f>
        <v>23.18</v>
      </c>
      <c r="AF127" s="271">
        <f>'MIS Working 1'!$AG127+'MIS Working 1'!$AH127+'MIS Working 1'!$AM127+'MIS Working 1'!$AL127</f>
        <v>135833.27999999994</v>
      </c>
      <c r="AG127" s="270">
        <f>'MIS Working 1'!$L127*'MIS Working 1'!$Y127</f>
        <v>109718.72999999997</v>
      </c>
      <c r="AH127" s="270">
        <f>'MIS Working 1'!$L127*'MIS Working 1'!$Z127</f>
        <v>11530.529999999999</v>
      </c>
      <c r="AI127" s="270">
        <f t="shared" si="3"/>
        <v>940.5</v>
      </c>
      <c r="AJ127" s="270">
        <f t="shared" si="4"/>
        <v>8382.99</v>
      </c>
      <c r="AK127" s="270">
        <f t="shared" si="5"/>
        <v>5210.37</v>
      </c>
      <c r="AL127" s="270">
        <f>'MIS Working 1'!$AD127*'MIS Working 1'!$L127</f>
        <v>25.080000000000002</v>
      </c>
      <c r="AM127" s="270">
        <f>'MIS Working 1'!$L127*'MIS Working 1'!$AE127+'MIS Working 1'!$AL127</f>
        <v>14558.94</v>
      </c>
    </row>
    <row r="128" spans="1:39" x14ac:dyDescent="0.3">
      <c r="A128" s="272" t="s">
        <v>479</v>
      </c>
      <c r="B128" s="273">
        <v>45983</v>
      </c>
      <c r="C128" s="274" t="s">
        <v>1721</v>
      </c>
      <c r="D128" s="274" t="s">
        <v>380</v>
      </c>
      <c r="E128" s="274" t="s">
        <v>381</v>
      </c>
      <c r="F128" s="274" t="s">
        <v>18</v>
      </c>
      <c r="G128" s="274" t="s">
        <v>19</v>
      </c>
      <c r="H128" s="274" t="s">
        <v>27</v>
      </c>
      <c r="I128" s="275">
        <v>278</v>
      </c>
      <c r="J128" s="276">
        <v>60214.8</v>
      </c>
      <c r="K128" s="275">
        <v>278</v>
      </c>
      <c r="L128" s="275">
        <v>278</v>
      </c>
      <c r="M128" s="273">
        <v>45983</v>
      </c>
      <c r="N128" s="276">
        <v>61674.3</v>
      </c>
      <c r="O128" s="274" t="s">
        <v>21</v>
      </c>
      <c r="P128" s="274" t="s">
        <v>22</v>
      </c>
      <c r="Q128" s="274" t="s">
        <v>660</v>
      </c>
      <c r="R128" s="274" t="str">
        <f>VLOOKUP('MIS Working 1'!$G128,Master!$H$3:$I$8,2,0)</f>
        <v>Finished Goods</v>
      </c>
      <c r="S128" s="274" t="str">
        <f>VLOOKUP('MIS Working 1'!$H128,Master!B:C,2,0)</f>
        <v>FG-PCB-CF</v>
      </c>
      <c r="T128" s="274" t="str">
        <f>VLOOKUP('MIS Working 1'!$S128,Master!E:F,2,0)</f>
        <v>FG-PCB-CF</v>
      </c>
      <c r="U128" s="277">
        <f>'MIS Working 1'!$N128-'MIS Working 1'!$AF128</f>
        <v>1448.3800000000119</v>
      </c>
      <c r="V128" s="278">
        <f>'MIS Working 1'!$U128/'MIS Working 1'!$N128</f>
        <v>2.3484336263241121E-2</v>
      </c>
      <c r="W128" s="274">
        <f>'MIS Working 1'!$N128/'MIS Working 1'!$L128</f>
        <v>221.85000000000002</v>
      </c>
      <c r="X128" s="279">
        <f>SUM('MIS Working 1'!$Y128:$AE128)</f>
        <v>239.77999999999994</v>
      </c>
      <c r="Y128" s="279">
        <f>SUMIFS('COGS Break up'!$E:$E,'COGS Break up'!$A:$A,'MIS Working 1'!$D128,'COGS Break up'!$D:$D,'MIS Working 1'!$Y$1)</f>
        <v>174.98999999999995</v>
      </c>
      <c r="Z128" s="279">
        <f>SUMIFS('COGS Break up'!$E:$E,'COGS Break up'!$A:$A,'MIS Working 1'!$D128,'COGS Break up'!$D:$D,'MIS Working 1'!$Z$1)</f>
        <v>18.389999999999997</v>
      </c>
      <c r="AA128" s="279">
        <f>SUMIFS('COGS Break up'!E:E,'COGS Break up'!A:A,'MIS Working 1'!$D:$D,'COGS Break up'!C:C,'MIS Working 1'!$AA$1)</f>
        <v>1.5</v>
      </c>
      <c r="AB128" s="279">
        <f>SUMIFS('COGS Break up'!E:E,'COGS Break up'!A:A,'MIS Working 1'!$D:$D,'COGS Break up'!C:C,$AB$1)</f>
        <v>13.37</v>
      </c>
      <c r="AC128" s="279">
        <f>SUMIFS('COGS Break up'!E:E,'COGS Break up'!A:A,'MIS Working 1'!$D:$D,'COGS Break up'!C:C,$AC$1)</f>
        <v>8.31</v>
      </c>
      <c r="AD128" s="279">
        <f>SUMIFS('COGS Break up'!$E:$E,'COGS Break up'!$A:$A,'MIS Working 1'!$D128,'COGS Break up'!$D:$D,'MIS Working 1'!$AD$1)</f>
        <v>0.04</v>
      </c>
      <c r="AE128" s="279">
        <f>SUMIFS('COGS Break up'!$E:$E,'COGS Break up'!$A:$A,'MIS Working 1'!$D128,'COGS Break up'!$D:$D,'MIS Working 1'!$AE$1)</f>
        <v>23.18</v>
      </c>
      <c r="AF128" s="280">
        <f>'MIS Working 1'!$AG128+'MIS Working 1'!$AH128+'MIS Working 1'!$AM128+'MIS Working 1'!$AL128</f>
        <v>60225.919999999991</v>
      </c>
      <c r="AG128" s="279">
        <f>'MIS Working 1'!$L128*'MIS Working 1'!$Y128</f>
        <v>48647.219999999987</v>
      </c>
      <c r="AH128" s="279">
        <f>'MIS Working 1'!$L128*'MIS Working 1'!$Z128</f>
        <v>5112.4199999999992</v>
      </c>
      <c r="AI128" s="279">
        <f t="shared" si="3"/>
        <v>417</v>
      </c>
      <c r="AJ128" s="279">
        <f t="shared" si="4"/>
        <v>3716.8599999999997</v>
      </c>
      <c r="AK128" s="279">
        <f t="shared" si="5"/>
        <v>2310.1800000000003</v>
      </c>
      <c r="AL128" s="279">
        <f>'MIS Working 1'!$AD128*'MIS Working 1'!$L128</f>
        <v>11.120000000000001</v>
      </c>
      <c r="AM128" s="279">
        <f>'MIS Working 1'!$L128*'MIS Working 1'!$AE128+'MIS Working 1'!$AL128</f>
        <v>6455.16</v>
      </c>
    </row>
    <row r="129" spans="1:39" x14ac:dyDescent="0.3">
      <c r="A129" s="263" t="s">
        <v>479</v>
      </c>
      <c r="B129" s="264">
        <v>45982</v>
      </c>
      <c r="C129" s="265" t="s">
        <v>1723</v>
      </c>
      <c r="D129" s="265" t="s">
        <v>637</v>
      </c>
      <c r="E129" s="265" t="s">
        <v>638</v>
      </c>
      <c r="F129" s="265" t="s">
        <v>18</v>
      </c>
      <c r="G129" s="265" t="s">
        <v>19</v>
      </c>
      <c r="H129" s="265" t="s">
        <v>27</v>
      </c>
      <c r="I129" s="266">
        <v>2371</v>
      </c>
      <c r="J129" s="267">
        <v>773586.17</v>
      </c>
      <c r="K129" s="266">
        <v>2371</v>
      </c>
      <c r="L129" s="266">
        <v>2371</v>
      </c>
      <c r="M129" s="264">
        <v>45982</v>
      </c>
      <c r="N129" s="267">
        <v>862000.76</v>
      </c>
      <c r="O129" s="265" t="s">
        <v>21</v>
      </c>
      <c r="P129" s="265" t="s">
        <v>22</v>
      </c>
      <c r="Q129" s="265" t="s">
        <v>660</v>
      </c>
      <c r="R129" s="265" t="str">
        <f>VLOOKUP('MIS Working 1'!$G129,Master!$H$3:$I$8,2,0)</f>
        <v>Finished Goods</v>
      </c>
      <c r="S129" s="265" t="str">
        <f>VLOOKUP('MIS Working 1'!$H129,Master!B:C,2,0)</f>
        <v>FG-PCB-CF</v>
      </c>
      <c r="T129" s="265" t="str">
        <f>VLOOKUP('MIS Working 1'!$S129,Master!E:F,2,0)</f>
        <v>FG-PCB-CF</v>
      </c>
      <c r="U129" s="268">
        <f>'MIS Working 1'!$N129-'MIS Working 1'!$AF129</f>
        <v>87821.840000000084</v>
      </c>
      <c r="V129" s="269">
        <f>'MIS Working 1'!$U129/'MIS Working 1'!$N129</f>
        <v>0.10188139509296962</v>
      </c>
      <c r="W129" s="265">
        <f>'MIS Working 1'!$N129/'MIS Working 1'!$L129</f>
        <v>363.56</v>
      </c>
      <c r="X129" s="270">
        <f>SUM('MIS Working 1'!$Y129:$AE129)</f>
        <v>359.82</v>
      </c>
      <c r="Y129" s="270">
        <f>SUMIFS('COGS Break up'!$E:$E,'COGS Break up'!$A:$A,'MIS Working 1'!$D129,'COGS Break up'!$D:$D,'MIS Working 1'!$Y$1)</f>
        <v>271.52999999999997</v>
      </c>
      <c r="Z129" s="270">
        <f>SUMIFS('COGS Break up'!$E:$E,'COGS Break up'!$A:$A,'MIS Working 1'!$D129,'COGS Break up'!$D:$D,'MIS Working 1'!$Z$1)</f>
        <v>20.94</v>
      </c>
      <c r="AA129" s="270">
        <f>SUMIFS('COGS Break up'!E:E,'COGS Break up'!A:A,'MIS Working 1'!$D:$D,'COGS Break up'!C:C,'MIS Working 1'!$AA$1)</f>
        <v>1.7100000000000002</v>
      </c>
      <c r="AB129" s="270">
        <f>SUMIFS('COGS Break up'!E:E,'COGS Break up'!A:A,'MIS Working 1'!$D:$D,'COGS Break up'!C:C,$AB$1)</f>
        <v>15.22</v>
      </c>
      <c r="AC129" s="270">
        <f>SUMIFS('COGS Break up'!E:E,'COGS Break up'!A:A,'MIS Working 1'!$D:$D,'COGS Break up'!C:C,$AC$1)</f>
        <v>16.62</v>
      </c>
      <c r="AD129" s="270">
        <f>SUMIFS('COGS Break up'!$E:$E,'COGS Break up'!$A:$A,'MIS Working 1'!$D129,'COGS Break up'!$D:$D,'MIS Working 1'!$AD$1)</f>
        <v>0.25</v>
      </c>
      <c r="AE129" s="270">
        <f>SUMIFS('COGS Break up'!$E:$E,'COGS Break up'!$A:$A,'MIS Working 1'!$D129,'COGS Break up'!$D:$D,'MIS Working 1'!$AE$1)</f>
        <v>33.550000000000004</v>
      </c>
      <c r="AF129" s="271">
        <f>'MIS Working 1'!$AG129+'MIS Working 1'!$AH129+'MIS Working 1'!$AM129+'MIS Working 1'!$AL129</f>
        <v>774178.91999999993</v>
      </c>
      <c r="AG129" s="270">
        <f>'MIS Working 1'!$L129*'MIS Working 1'!$Y129</f>
        <v>643797.62999999989</v>
      </c>
      <c r="AH129" s="270">
        <f>'MIS Working 1'!$L129*'MIS Working 1'!$Z129</f>
        <v>49648.740000000005</v>
      </c>
      <c r="AI129" s="270">
        <f t="shared" si="3"/>
        <v>4054.4100000000003</v>
      </c>
      <c r="AJ129" s="270">
        <f t="shared" si="4"/>
        <v>36086.620000000003</v>
      </c>
      <c r="AK129" s="270">
        <f t="shared" si="5"/>
        <v>39406.020000000004</v>
      </c>
      <c r="AL129" s="270">
        <f>'MIS Working 1'!$AD129*'MIS Working 1'!$L129</f>
        <v>592.75</v>
      </c>
      <c r="AM129" s="270">
        <f>'MIS Working 1'!$L129*'MIS Working 1'!$AE129+'MIS Working 1'!$AL129</f>
        <v>80139.8</v>
      </c>
    </row>
    <row r="130" spans="1:39" x14ac:dyDescent="0.3">
      <c r="A130" s="272" t="s">
        <v>479</v>
      </c>
      <c r="B130" s="273">
        <v>45982</v>
      </c>
      <c r="C130" s="274" t="s">
        <v>1725</v>
      </c>
      <c r="D130" s="274" t="s">
        <v>639</v>
      </c>
      <c r="E130" s="274" t="s">
        <v>640</v>
      </c>
      <c r="F130" s="274" t="s">
        <v>18</v>
      </c>
      <c r="G130" s="274" t="s">
        <v>19</v>
      </c>
      <c r="H130" s="274" t="s">
        <v>27</v>
      </c>
      <c r="I130" s="275">
        <v>70</v>
      </c>
      <c r="J130" s="276">
        <v>45152.1</v>
      </c>
      <c r="K130" s="275">
        <v>70</v>
      </c>
      <c r="L130" s="275">
        <v>70</v>
      </c>
      <c r="M130" s="273">
        <v>45982</v>
      </c>
      <c r="N130" s="276">
        <v>50999.199999999997</v>
      </c>
      <c r="O130" s="274" t="s">
        <v>21</v>
      </c>
      <c r="P130" s="274" t="s">
        <v>22</v>
      </c>
      <c r="Q130" s="274" t="s">
        <v>660</v>
      </c>
      <c r="R130" s="274" t="str">
        <f>VLOOKUP('MIS Working 1'!$G130,Master!$H$3:$I$8,2,0)</f>
        <v>Finished Goods</v>
      </c>
      <c r="S130" s="274" t="str">
        <f>VLOOKUP('MIS Working 1'!$H130,Master!B:C,2,0)</f>
        <v>FG-PCB-CF</v>
      </c>
      <c r="T130" s="274" t="str">
        <f>VLOOKUP('MIS Working 1'!$S130,Master!E:F,2,0)</f>
        <v>FG-PCB-CF</v>
      </c>
      <c r="U130" s="277">
        <f>'MIS Working 1'!$N130-'MIS Working 1'!$AF130</f>
        <v>5817.0000000000291</v>
      </c>
      <c r="V130" s="278">
        <f>'MIS Working 1'!$U130/'MIS Working 1'!$N130</f>
        <v>0.11406061271549416</v>
      </c>
      <c r="W130" s="274">
        <f>'MIS Working 1'!$N130/'MIS Working 1'!$L130</f>
        <v>728.56</v>
      </c>
      <c r="X130" s="279">
        <f>SUM('MIS Working 1'!$Y130:$AE130)</f>
        <v>677.50999999999965</v>
      </c>
      <c r="Y130" s="279">
        <f>SUMIFS('COGS Break up'!$E:$E,'COGS Break up'!$A:$A,'MIS Working 1'!$D130,'COGS Break up'!$D:$D,'MIS Working 1'!$Y$1)</f>
        <v>582.23999999999967</v>
      </c>
      <c r="Z130" s="279">
        <f>SUMIFS('COGS Break up'!$E:$E,'COGS Break up'!$A:$A,'MIS Working 1'!$D130,'COGS Break up'!$D:$D,'MIS Working 1'!$Z$1)</f>
        <v>29.88</v>
      </c>
      <c r="AA130" s="279">
        <f>SUMIFS('COGS Break up'!E:E,'COGS Break up'!A:A,'MIS Working 1'!$D:$D,'COGS Break up'!C:C,'MIS Working 1'!$AA$1)</f>
        <v>2.4500000000000002</v>
      </c>
      <c r="AB130" s="279">
        <f>SUMIFS('COGS Break up'!E:E,'COGS Break up'!A:A,'MIS Working 1'!$D:$D,'COGS Break up'!C:C,$AB$1)</f>
        <v>21.72</v>
      </c>
      <c r="AC130" s="279">
        <f>SUMIFS('COGS Break up'!E:E,'COGS Break up'!A:A,'MIS Working 1'!$D:$D,'COGS Break up'!C:C,$AC$1)</f>
        <v>8.31</v>
      </c>
      <c r="AD130" s="279">
        <f>SUMIFS('COGS Break up'!$E:$E,'COGS Break up'!$A:$A,'MIS Working 1'!$D130,'COGS Break up'!$D:$D,'MIS Working 1'!$AD$1)</f>
        <v>0.43</v>
      </c>
      <c r="AE130" s="279">
        <f>SUMIFS('COGS Break up'!$E:$E,'COGS Break up'!$A:$A,'MIS Working 1'!$D130,'COGS Break up'!$D:$D,'MIS Working 1'!$AE$1)</f>
        <v>32.480000000000004</v>
      </c>
      <c r="AF130" s="280">
        <f>'MIS Working 1'!$AG130+'MIS Working 1'!$AH130+'MIS Working 1'!$AM130+'MIS Working 1'!$AL130</f>
        <v>45182.199999999968</v>
      </c>
      <c r="AG130" s="279">
        <f>'MIS Working 1'!$L130*'MIS Working 1'!$Y130</f>
        <v>40756.799999999974</v>
      </c>
      <c r="AH130" s="279">
        <f>'MIS Working 1'!$L130*'MIS Working 1'!$Z130</f>
        <v>2091.6</v>
      </c>
      <c r="AI130" s="279">
        <f t="shared" ref="AI130:AI193" si="6">AA130*$L130</f>
        <v>171.5</v>
      </c>
      <c r="AJ130" s="279">
        <f t="shared" ref="AJ130:AJ193" si="7">AB130*$L130</f>
        <v>1520.3999999999999</v>
      </c>
      <c r="AK130" s="279">
        <f t="shared" ref="AK130:AK193" si="8">AC130*$L130</f>
        <v>581.70000000000005</v>
      </c>
      <c r="AL130" s="279">
        <f>'MIS Working 1'!$AD130*'MIS Working 1'!$L130</f>
        <v>30.099999999999998</v>
      </c>
      <c r="AM130" s="279">
        <f>'MIS Working 1'!$L130*'MIS Working 1'!$AE130+'MIS Working 1'!$AL130</f>
        <v>2303.7000000000003</v>
      </c>
    </row>
    <row r="131" spans="1:39" x14ac:dyDescent="0.3">
      <c r="A131" s="263" t="s">
        <v>479</v>
      </c>
      <c r="B131" s="264">
        <v>45982</v>
      </c>
      <c r="C131" s="265" t="s">
        <v>1724</v>
      </c>
      <c r="D131" s="265" t="s">
        <v>639</v>
      </c>
      <c r="E131" s="265" t="s">
        <v>640</v>
      </c>
      <c r="F131" s="265" t="s">
        <v>18</v>
      </c>
      <c r="G131" s="265" t="s">
        <v>19</v>
      </c>
      <c r="H131" s="265" t="s">
        <v>27</v>
      </c>
      <c r="I131" s="266">
        <v>188</v>
      </c>
      <c r="J131" s="267">
        <v>121265.64</v>
      </c>
      <c r="K131" s="266">
        <v>188</v>
      </c>
      <c r="L131" s="266">
        <v>188</v>
      </c>
      <c r="M131" s="264">
        <v>45982</v>
      </c>
      <c r="N131" s="267">
        <v>136969.28</v>
      </c>
      <c r="O131" s="265" t="s">
        <v>21</v>
      </c>
      <c r="P131" s="265" t="s">
        <v>22</v>
      </c>
      <c r="Q131" s="265" t="s">
        <v>660</v>
      </c>
      <c r="R131" s="265" t="str">
        <f>VLOOKUP('MIS Working 1'!$G131,Master!$H$3:$I$8,2,0)</f>
        <v>Finished Goods</v>
      </c>
      <c r="S131" s="265" t="str">
        <f>VLOOKUP('MIS Working 1'!$H131,Master!B:C,2,0)</f>
        <v>FG-PCB-CF</v>
      </c>
      <c r="T131" s="265" t="str">
        <f>VLOOKUP('MIS Working 1'!$S131,Master!E:F,2,0)</f>
        <v>FG-PCB-CF</v>
      </c>
      <c r="U131" s="268">
        <f>'MIS Working 1'!$N131-'MIS Working 1'!$AF131</f>
        <v>15622.800000000061</v>
      </c>
      <c r="V131" s="269">
        <f>'MIS Working 1'!$U131/'MIS Working 1'!$N131</f>
        <v>0.11406061271549402</v>
      </c>
      <c r="W131" s="265">
        <f>'MIS Working 1'!$N131/'MIS Working 1'!$L131</f>
        <v>728.56</v>
      </c>
      <c r="X131" s="270">
        <f>SUM('MIS Working 1'!$Y131:$AE131)</f>
        <v>677.50999999999965</v>
      </c>
      <c r="Y131" s="270">
        <f>SUMIFS('COGS Break up'!$E:$E,'COGS Break up'!$A:$A,'MIS Working 1'!$D131,'COGS Break up'!$D:$D,'MIS Working 1'!$Y$1)</f>
        <v>582.23999999999967</v>
      </c>
      <c r="Z131" s="270">
        <f>SUMIFS('COGS Break up'!$E:$E,'COGS Break up'!$A:$A,'MIS Working 1'!$D131,'COGS Break up'!$D:$D,'MIS Working 1'!$Z$1)</f>
        <v>29.88</v>
      </c>
      <c r="AA131" s="270">
        <f>SUMIFS('COGS Break up'!E:E,'COGS Break up'!A:A,'MIS Working 1'!$D:$D,'COGS Break up'!C:C,'MIS Working 1'!$AA$1)</f>
        <v>2.4500000000000002</v>
      </c>
      <c r="AB131" s="270">
        <f>SUMIFS('COGS Break up'!E:E,'COGS Break up'!A:A,'MIS Working 1'!$D:$D,'COGS Break up'!C:C,$AB$1)</f>
        <v>21.72</v>
      </c>
      <c r="AC131" s="270">
        <f>SUMIFS('COGS Break up'!E:E,'COGS Break up'!A:A,'MIS Working 1'!$D:$D,'COGS Break up'!C:C,$AC$1)</f>
        <v>8.31</v>
      </c>
      <c r="AD131" s="270">
        <f>SUMIFS('COGS Break up'!$E:$E,'COGS Break up'!$A:$A,'MIS Working 1'!$D131,'COGS Break up'!$D:$D,'MIS Working 1'!$AD$1)</f>
        <v>0.43</v>
      </c>
      <c r="AE131" s="270">
        <f>SUMIFS('COGS Break up'!$E:$E,'COGS Break up'!$A:$A,'MIS Working 1'!$D131,'COGS Break up'!$D:$D,'MIS Working 1'!$AE$1)</f>
        <v>32.480000000000004</v>
      </c>
      <c r="AF131" s="271">
        <f>'MIS Working 1'!$AG131+'MIS Working 1'!$AH131+'MIS Working 1'!$AM131+'MIS Working 1'!$AL131</f>
        <v>121346.47999999994</v>
      </c>
      <c r="AG131" s="270">
        <f>'MIS Working 1'!$L131*'MIS Working 1'!$Y131</f>
        <v>109461.11999999994</v>
      </c>
      <c r="AH131" s="270">
        <f>'MIS Working 1'!$L131*'MIS Working 1'!$Z131</f>
        <v>5617.44</v>
      </c>
      <c r="AI131" s="270">
        <f t="shared" si="6"/>
        <v>460.6</v>
      </c>
      <c r="AJ131" s="270">
        <f t="shared" si="7"/>
        <v>4083.3599999999997</v>
      </c>
      <c r="AK131" s="270">
        <f t="shared" si="8"/>
        <v>1562.2800000000002</v>
      </c>
      <c r="AL131" s="270">
        <f>'MIS Working 1'!$AD131*'MIS Working 1'!$L131</f>
        <v>80.84</v>
      </c>
      <c r="AM131" s="270">
        <f>'MIS Working 1'!$L131*'MIS Working 1'!$AE131+'MIS Working 1'!$AL131</f>
        <v>6187.0800000000008</v>
      </c>
    </row>
    <row r="132" spans="1:39" x14ac:dyDescent="0.3">
      <c r="A132" s="272" t="s">
        <v>479</v>
      </c>
      <c r="B132" s="273">
        <v>45982</v>
      </c>
      <c r="C132" s="274" t="s">
        <v>1725</v>
      </c>
      <c r="D132" s="274" t="s">
        <v>23</v>
      </c>
      <c r="E132" s="274" t="s">
        <v>24</v>
      </c>
      <c r="F132" s="274" t="s">
        <v>18</v>
      </c>
      <c r="G132" s="274" t="s">
        <v>19</v>
      </c>
      <c r="H132" s="274" t="s">
        <v>27</v>
      </c>
      <c r="I132" s="275">
        <v>1120</v>
      </c>
      <c r="J132" s="276">
        <v>471979.2</v>
      </c>
      <c r="K132" s="275">
        <v>1120</v>
      </c>
      <c r="L132" s="275">
        <v>1120</v>
      </c>
      <c r="M132" s="273">
        <v>45982</v>
      </c>
      <c r="N132" s="276">
        <v>541139.19999999995</v>
      </c>
      <c r="O132" s="274" t="s">
        <v>21</v>
      </c>
      <c r="P132" s="274" t="s">
        <v>22</v>
      </c>
      <c r="Q132" s="274" t="s">
        <v>660</v>
      </c>
      <c r="R132" s="274" t="str">
        <f>VLOOKUP('MIS Working 1'!$G132,Master!$H$3:$I$8,2,0)</f>
        <v>Finished Goods</v>
      </c>
      <c r="S132" s="274" t="str">
        <f>VLOOKUP('MIS Working 1'!$H132,Master!B:C,2,0)</f>
        <v>FG-PCB-CF</v>
      </c>
      <c r="T132" s="274" t="str">
        <f>VLOOKUP('MIS Working 1'!$S132,Master!E:F,2,0)</f>
        <v>FG-PCB-CF</v>
      </c>
      <c r="U132" s="277">
        <f>'MIS Working 1'!$N132-'MIS Working 1'!$AF132</f>
        <v>68868.800000000105</v>
      </c>
      <c r="V132" s="278">
        <f>'MIS Working 1'!$U132/'MIS Working 1'!$N132</f>
        <v>0.12726632999420504</v>
      </c>
      <c r="W132" s="274">
        <f>'MIS Working 1'!$N132/'MIS Working 1'!$L132</f>
        <v>483.15999999999997</v>
      </c>
      <c r="X132" s="279">
        <f>SUM('MIS Working 1'!$Y132:$AE132)</f>
        <v>447.50999999999988</v>
      </c>
      <c r="Y132" s="279">
        <f>SUMIFS('COGS Break up'!$E:$E,'COGS Break up'!$A:$A,'MIS Working 1'!$D132,'COGS Break up'!$D:$D,'MIS Working 1'!$Y$1)</f>
        <v>373.04999999999984</v>
      </c>
      <c r="Z132" s="279">
        <f>SUMIFS('COGS Break up'!$E:$E,'COGS Break up'!$A:$A,'MIS Working 1'!$D132,'COGS Break up'!$D:$D,'MIS Working 1'!$Z$1)</f>
        <v>22</v>
      </c>
      <c r="AA132" s="279">
        <f>SUMIFS('COGS Break up'!E:E,'COGS Break up'!A:A,'MIS Working 1'!$D:$D,'COGS Break up'!C:C,'MIS Working 1'!$AA$1)</f>
        <v>1.8</v>
      </c>
      <c r="AB132" s="279">
        <f>SUMIFS('COGS Break up'!E:E,'COGS Break up'!A:A,'MIS Working 1'!$D:$D,'COGS Break up'!C:C,$AB$1)</f>
        <v>15.99</v>
      </c>
      <c r="AC132" s="279">
        <f>SUMIFS('COGS Break up'!E:E,'COGS Break up'!A:A,'MIS Working 1'!$D:$D,'COGS Break up'!C:C,$AC$1)</f>
        <v>8.31</v>
      </c>
      <c r="AD132" s="279">
        <f>SUMIFS('COGS Break up'!$E:$E,'COGS Break up'!$A:$A,'MIS Working 1'!$D132,'COGS Break up'!$D:$D,'MIS Working 1'!$AD$1)</f>
        <v>0.26</v>
      </c>
      <c r="AE132" s="279">
        <f>SUMIFS('COGS Break up'!$E:$E,'COGS Break up'!$A:$A,'MIS Working 1'!$D132,'COGS Break up'!$D:$D,'MIS Working 1'!$AE$1)</f>
        <v>26.1</v>
      </c>
      <c r="AF132" s="280">
        <f>'MIS Working 1'!$AG132+'MIS Working 1'!$AH132+'MIS Working 1'!$AM132+'MIS Working 1'!$AL132</f>
        <v>472270.39999999985</v>
      </c>
      <c r="AG132" s="279">
        <f>'MIS Working 1'!$L132*'MIS Working 1'!$Y132</f>
        <v>417815.99999999983</v>
      </c>
      <c r="AH132" s="279">
        <f>'MIS Working 1'!$L132*'MIS Working 1'!$Z132</f>
        <v>24640</v>
      </c>
      <c r="AI132" s="279">
        <f t="shared" si="6"/>
        <v>2016</v>
      </c>
      <c r="AJ132" s="279">
        <f t="shared" si="7"/>
        <v>17908.8</v>
      </c>
      <c r="AK132" s="279">
        <f t="shared" si="8"/>
        <v>9307.2000000000007</v>
      </c>
      <c r="AL132" s="279">
        <f>'MIS Working 1'!$AD132*'MIS Working 1'!$L132</f>
        <v>291.2</v>
      </c>
      <c r="AM132" s="279">
        <f>'MIS Working 1'!$L132*'MIS Working 1'!$AE132+'MIS Working 1'!$AL132</f>
        <v>29523.200000000001</v>
      </c>
    </row>
    <row r="133" spans="1:39" x14ac:dyDescent="0.3">
      <c r="A133" s="263" t="s">
        <v>479</v>
      </c>
      <c r="B133" s="264">
        <v>45982</v>
      </c>
      <c r="C133" s="265" t="s">
        <v>1726</v>
      </c>
      <c r="D133" s="265" t="s">
        <v>38</v>
      </c>
      <c r="E133" s="265" t="s">
        <v>39</v>
      </c>
      <c r="F133" s="265" t="s">
        <v>18</v>
      </c>
      <c r="G133" s="265" t="s">
        <v>19</v>
      </c>
      <c r="H133" s="265" t="s">
        <v>27</v>
      </c>
      <c r="I133" s="266">
        <v>2005</v>
      </c>
      <c r="J133" s="267">
        <v>655895.65</v>
      </c>
      <c r="K133" s="266">
        <v>2005</v>
      </c>
      <c r="L133" s="266">
        <v>2005</v>
      </c>
      <c r="M133" s="264">
        <v>45982</v>
      </c>
      <c r="N133" s="267">
        <v>683845.35</v>
      </c>
      <c r="O133" s="265" t="s">
        <v>21</v>
      </c>
      <c r="P133" s="265" t="s">
        <v>22</v>
      </c>
      <c r="Q133" s="265" t="s">
        <v>660</v>
      </c>
      <c r="R133" s="265" t="str">
        <f>VLOOKUP('MIS Working 1'!$G133,Master!$H$3:$I$8,2,0)</f>
        <v>Finished Goods</v>
      </c>
      <c r="S133" s="265" t="str">
        <f>VLOOKUP('MIS Working 1'!$H133,Master!B:C,2,0)</f>
        <v>FG-PCB-CF</v>
      </c>
      <c r="T133" s="265" t="str">
        <f>VLOOKUP('MIS Working 1'!$S133,Master!E:F,2,0)</f>
        <v>FG-PCB-CF</v>
      </c>
      <c r="U133" s="268">
        <f>'MIS Working 1'!$N133-'MIS Working 1'!$AF133</f>
        <v>27608.850000000093</v>
      </c>
      <c r="V133" s="269">
        <f>'MIS Working 1'!$U133/'MIS Working 1'!$N133</f>
        <v>4.0372943970446086E-2</v>
      </c>
      <c r="W133" s="265">
        <f>'MIS Working 1'!$N133/'MIS Working 1'!$L133</f>
        <v>341.07</v>
      </c>
      <c r="X133" s="270">
        <f>SUM('MIS Working 1'!$Y133:$AE133)</f>
        <v>353.55</v>
      </c>
      <c r="Y133" s="270">
        <f>SUMIFS('COGS Break up'!$E:$E,'COGS Break up'!$A:$A,'MIS Working 1'!$D133,'COGS Break up'!$D:$D,'MIS Working 1'!$Y$1)</f>
        <v>278.14</v>
      </c>
      <c r="Z133" s="270">
        <f>SUMIFS('COGS Break up'!$E:$E,'COGS Break up'!$A:$A,'MIS Working 1'!$D133,'COGS Break up'!$D:$D,'MIS Working 1'!$Z$1)</f>
        <v>22.400000000000002</v>
      </c>
      <c r="AA133" s="270">
        <f>SUMIFS('COGS Break up'!E:E,'COGS Break up'!A:A,'MIS Working 1'!$D:$D,'COGS Break up'!C:C,'MIS Working 1'!$AA$1)</f>
        <v>1.8299999999999998</v>
      </c>
      <c r="AB133" s="270">
        <f>SUMIFS('COGS Break up'!E:E,'COGS Break up'!A:A,'MIS Working 1'!$D:$D,'COGS Break up'!C:C,$AB$1)</f>
        <v>16.28</v>
      </c>
      <c r="AC133" s="270">
        <f>SUMIFS('COGS Break up'!E:E,'COGS Break up'!A:A,'MIS Working 1'!$D:$D,'COGS Break up'!C:C,$AC$1)</f>
        <v>8.31</v>
      </c>
      <c r="AD133" s="270">
        <f>SUMIFS('COGS Break up'!$E:$E,'COGS Break up'!$A:$A,'MIS Working 1'!$D133,'COGS Break up'!$D:$D,'MIS Working 1'!$AD$1)</f>
        <v>0.17</v>
      </c>
      <c r="AE133" s="270">
        <f>SUMIFS('COGS Break up'!$E:$E,'COGS Break up'!$A:$A,'MIS Working 1'!$D133,'COGS Break up'!$D:$D,'MIS Working 1'!$AE$1)</f>
        <v>26.42</v>
      </c>
      <c r="AF133" s="271">
        <f>'MIS Working 1'!$AG133+'MIS Working 1'!$AH133+'MIS Working 1'!$AM133+'MIS Working 1'!$AL133</f>
        <v>656236.49999999988</v>
      </c>
      <c r="AG133" s="270">
        <f>'MIS Working 1'!$L133*'MIS Working 1'!$Y133</f>
        <v>557670.69999999995</v>
      </c>
      <c r="AH133" s="270">
        <f>'MIS Working 1'!$L133*'MIS Working 1'!$Z133</f>
        <v>44912.000000000007</v>
      </c>
      <c r="AI133" s="270">
        <f t="shared" si="6"/>
        <v>3669.1499999999996</v>
      </c>
      <c r="AJ133" s="270">
        <f t="shared" si="7"/>
        <v>32641.4</v>
      </c>
      <c r="AK133" s="270">
        <f t="shared" si="8"/>
        <v>16661.55</v>
      </c>
      <c r="AL133" s="270">
        <f>'MIS Working 1'!$AD133*'MIS Working 1'!$L133</f>
        <v>340.85</v>
      </c>
      <c r="AM133" s="270">
        <f>'MIS Working 1'!$L133*'MIS Working 1'!$AE133+'MIS Working 1'!$AL133</f>
        <v>53312.950000000004</v>
      </c>
    </row>
    <row r="134" spans="1:39" x14ac:dyDescent="0.3">
      <c r="A134" s="272" t="s">
        <v>479</v>
      </c>
      <c r="B134" s="273">
        <v>45982</v>
      </c>
      <c r="C134" s="274" t="s">
        <v>1724</v>
      </c>
      <c r="D134" s="274" t="s">
        <v>378</v>
      </c>
      <c r="E134" s="274" t="s">
        <v>379</v>
      </c>
      <c r="F134" s="274" t="s">
        <v>18</v>
      </c>
      <c r="G134" s="274" t="s">
        <v>19</v>
      </c>
      <c r="H134" s="274" t="s">
        <v>27</v>
      </c>
      <c r="I134" s="275">
        <v>245</v>
      </c>
      <c r="J134" s="276">
        <v>79674</v>
      </c>
      <c r="K134" s="275">
        <v>245</v>
      </c>
      <c r="L134" s="275">
        <v>245</v>
      </c>
      <c r="M134" s="273">
        <v>45982</v>
      </c>
      <c r="N134" s="276">
        <v>86979.9</v>
      </c>
      <c r="O134" s="274" t="s">
        <v>21</v>
      </c>
      <c r="P134" s="274" t="s">
        <v>22</v>
      </c>
      <c r="Q134" s="274" t="s">
        <v>660</v>
      </c>
      <c r="R134" s="274" t="str">
        <f>VLOOKUP('MIS Working 1'!$G134,Master!$H$3:$I$8,2,0)</f>
        <v>Finished Goods</v>
      </c>
      <c r="S134" s="274" t="str">
        <f>VLOOKUP('MIS Working 1'!$H134,Master!B:C,2,0)</f>
        <v>FG-PCB-CF</v>
      </c>
      <c r="T134" s="274" t="str">
        <f>VLOOKUP('MIS Working 1'!$S134,Master!E:F,2,0)</f>
        <v>FG-PCB-CF</v>
      </c>
      <c r="U134" s="277">
        <f>'MIS Working 1'!$N134-'MIS Working 1'!$AF134</f>
        <v>7242.1999999999971</v>
      </c>
      <c r="V134" s="278">
        <f>'MIS Working 1'!$U134/'MIS Working 1'!$N134</f>
        <v>8.3262914765365306E-2</v>
      </c>
      <c r="W134" s="274">
        <f>'MIS Working 1'!$N134/'MIS Working 1'!$L134</f>
        <v>355.02</v>
      </c>
      <c r="X134" s="279">
        <f>SUM('MIS Working 1'!$Y134:$AE134)</f>
        <v>354.76999999999992</v>
      </c>
      <c r="Y134" s="279">
        <f>SUMIFS('COGS Break up'!$E:$E,'COGS Break up'!$A:$A,'MIS Working 1'!$D134,'COGS Break up'!$D:$D,'MIS Working 1'!$Y$1)</f>
        <v>271.52999999999997</v>
      </c>
      <c r="Z134" s="279">
        <f>SUMIFS('COGS Break up'!$E:$E,'COGS Break up'!$A:$A,'MIS Working 1'!$D134,'COGS Break up'!$D:$D,'MIS Working 1'!$Z$1)</f>
        <v>23.84</v>
      </c>
      <c r="AA134" s="279">
        <f>SUMIFS('COGS Break up'!E:E,'COGS Break up'!A:A,'MIS Working 1'!$D:$D,'COGS Break up'!C:C,'MIS Working 1'!$AA$1)</f>
        <v>1.9500000000000002</v>
      </c>
      <c r="AB134" s="279">
        <f>SUMIFS('COGS Break up'!E:E,'COGS Break up'!A:A,'MIS Working 1'!$D:$D,'COGS Break up'!C:C,$AB$1)</f>
        <v>17.329999999999998</v>
      </c>
      <c r="AC134" s="279">
        <f>SUMIFS('COGS Break up'!E:E,'COGS Break up'!A:A,'MIS Working 1'!$D:$D,'COGS Break up'!C:C,$AC$1)</f>
        <v>10.29</v>
      </c>
      <c r="AD134" s="279">
        <f>SUMIFS('COGS Break up'!$E:$E,'COGS Break up'!$A:$A,'MIS Working 1'!$D134,'COGS Break up'!$D:$D,'MIS Working 1'!$AD$1)</f>
        <v>0.26</v>
      </c>
      <c r="AE134" s="279">
        <f>SUMIFS('COGS Break up'!$E:$E,'COGS Break up'!$A:$A,'MIS Working 1'!$D134,'COGS Break up'!$D:$D,'MIS Working 1'!$AE$1)</f>
        <v>29.569999999999997</v>
      </c>
      <c r="AF134" s="280">
        <f>'MIS Working 1'!$AG134+'MIS Working 1'!$AH134+'MIS Working 1'!$AM134+'MIS Working 1'!$AL134</f>
        <v>79737.7</v>
      </c>
      <c r="AG134" s="279">
        <f>'MIS Working 1'!$L134*'MIS Working 1'!$Y134</f>
        <v>66524.849999999991</v>
      </c>
      <c r="AH134" s="279">
        <f>'MIS Working 1'!$L134*'MIS Working 1'!$Z134</f>
        <v>5840.8</v>
      </c>
      <c r="AI134" s="279">
        <f t="shared" si="6"/>
        <v>477.75000000000006</v>
      </c>
      <c r="AJ134" s="279">
        <f t="shared" si="7"/>
        <v>4245.8499999999995</v>
      </c>
      <c r="AK134" s="279">
        <f t="shared" si="8"/>
        <v>2521.0499999999997</v>
      </c>
      <c r="AL134" s="279">
        <f>'MIS Working 1'!$AD134*'MIS Working 1'!$L134</f>
        <v>63.7</v>
      </c>
      <c r="AM134" s="279">
        <f>'MIS Working 1'!$L134*'MIS Working 1'!$AE134+'MIS Working 1'!$AL134</f>
        <v>7308.3499999999995</v>
      </c>
    </row>
    <row r="135" spans="1:39" x14ac:dyDescent="0.3">
      <c r="A135" s="263" t="s">
        <v>479</v>
      </c>
      <c r="B135" s="264">
        <v>45982</v>
      </c>
      <c r="C135" s="265" t="s">
        <v>1726</v>
      </c>
      <c r="D135" s="265" t="s">
        <v>380</v>
      </c>
      <c r="E135" s="265" t="s">
        <v>381</v>
      </c>
      <c r="F135" s="265" t="s">
        <v>18</v>
      </c>
      <c r="G135" s="265" t="s">
        <v>19</v>
      </c>
      <c r="H135" s="265" t="s">
        <v>27</v>
      </c>
      <c r="I135" s="266">
        <v>478</v>
      </c>
      <c r="J135" s="267">
        <v>103534.8</v>
      </c>
      <c r="K135" s="266">
        <v>478</v>
      </c>
      <c r="L135" s="266">
        <v>478</v>
      </c>
      <c r="M135" s="264">
        <v>45982</v>
      </c>
      <c r="N135" s="267">
        <v>106044.3</v>
      </c>
      <c r="O135" s="265" t="s">
        <v>21</v>
      </c>
      <c r="P135" s="265" t="s">
        <v>22</v>
      </c>
      <c r="Q135" s="265" t="s">
        <v>660</v>
      </c>
      <c r="R135" s="265" t="str">
        <f>VLOOKUP('MIS Working 1'!$G135,Master!$H$3:$I$8,2,0)</f>
        <v>Finished Goods</v>
      </c>
      <c r="S135" s="265" t="str">
        <f>VLOOKUP('MIS Working 1'!$H135,Master!B:C,2,0)</f>
        <v>FG-PCB-CF</v>
      </c>
      <c r="T135" s="265" t="str">
        <f>VLOOKUP('MIS Working 1'!$S135,Master!E:F,2,0)</f>
        <v>FG-PCB-CF</v>
      </c>
      <c r="U135" s="268">
        <f>'MIS Working 1'!$N135-'MIS Working 1'!$AF135</f>
        <v>2490.3800000000338</v>
      </c>
      <c r="V135" s="269">
        <f>'MIS Working 1'!$U135/'MIS Working 1'!$N135</f>
        <v>2.3484336263241246E-2</v>
      </c>
      <c r="W135" s="265">
        <f>'MIS Working 1'!$N135/'MIS Working 1'!$L135</f>
        <v>221.85</v>
      </c>
      <c r="X135" s="270">
        <f>SUM('MIS Working 1'!$Y135:$AE135)</f>
        <v>239.77999999999994</v>
      </c>
      <c r="Y135" s="270">
        <f>SUMIFS('COGS Break up'!$E:$E,'COGS Break up'!$A:$A,'MIS Working 1'!$D135,'COGS Break up'!$D:$D,'MIS Working 1'!$Y$1)</f>
        <v>174.98999999999995</v>
      </c>
      <c r="Z135" s="270">
        <f>SUMIFS('COGS Break up'!$E:$E,'COGS Break up'!$A:$A,'MIS Working 1'!$D135,'COGS Break up'!$D:$D,'MIS Working 1'!$Z$1)</f>
        <v>18.389999999999997</v>
      </c>
      <c r="AA135" s="270">
        <f>SUMIFS('COGS Break up'!E:E,'COGS Break up'!A:A,'MIS Working 1'!$D:$D,'COGS Break up'!C:C,'MIS Working 1'!$AA$1)</f>
        <v>1.5</v>
      </c>
      <c r="AB135" s="270">
        <f>SUMIFS('COGS Break up'!E:E,'COGS Break up'!A:A,'MIS Working 1'!$D:$D,'COGS Break up'!C:C,$AB$1)</f>
        <v>13.37</v>
      </c>
      <c r="AC135" s="270">
        <f>SUMIFS('COGS Break up'!E:E,'COGS Break up'!A:A,'MIS Working 1'!$D:$D,'COGS Break up'!C:C,$AC$1)</f>
        <v>8.31</v>
      </c>
      <c r="AD135" s="270">
        <f>SUMIFS('COGS Break up'!$E:$E,'COGS Break up'!$A:$A,'MIS Working 1'!$D135,'COGS Break up'!$D:$D,'MIS Working 1'!$AD$1)</f>
        <v>0.04</v>
      </c>
      <c r="AE135" s="270">
        <f>SUMIFS('COGS Break up'!$E:$E,'COGS Break up'!$A:$A,'MIS Working 1'!$D135,'COGS Break up'!$D:$D,'MIS Working 1'!$AE$1)</f>
        <v>23.18</v>
      </c>
      <c r="AF135" s="271">
        <f>'MIS Working 1'!$AG135+'MIS Working 1'!$AH135+'MIS Working 1'!$AM135+'MIS Working 1'!$AL135</f>
        <v>103553.91999999997</v>
      </c>
      <c r="AG135" s="270">
        <f>'MIS Working 1'!$L135*'MIS Working 1'!$Y135</f>
        <v>83645.219999999972</v>
      </c>
      <c r="AH135" s="270">
        <f>'MIS Working 1'!$L135*'MIS Working 1'!$Z135</f>
        <v>8790.4199999999983</v>
      </c>
      <c r="AI135" s="270">
        <f t="shared" si="6"/>
        <v>717</v>
      </c>
      <c r="AJ135" s="270">
        <f t="shared" si="7"/>
        <v>6390.86</v>
      </c>
      <c r="AK135" s="270">
        <f t="shared" si="8"/>
        <v>3972.1800000000003</v>
      </c>
      <c r="AL135" s="270">
        <f>'MIS Working 1'!$AD135*'MIS Working 1'!$L135</f>
        <v>19.12</v>
      </c>
      <c r="AM135" s="270">
        <f>'MIS Working 1'!$L135*'MIS Working 1'!$AE135+'MIS Working 1'!$AL135</f>
        <v>11099.16</v>
      </c>
    </row>
    <row r="136" spans="1:39" x14ac:dyDescent="0.3">
      <c r="A136" s="272" t="s">
        <v>479</v>
      </c>
      <c r="B136" s="273">
        <v>45982</v>
      </c>
      <c r="C136" s="274" t="s">
        <v>1724</v>
      </c>
      <c r="D136" s="274" t="s">
        <v>380</v>
      </c>
      <c r="E136" s="274" t="s">
        <v>381</v>
      </c>
      <c r="F136" s="274" t="s">
        <v>18</v>
      </c>
      <c r="G136" s="274" t="s">
        <v>19</v>
      </c>
      <c r="H136" s="274" t="s">
        <v>27</v>
      </c>
      <c r="I136" s="275">
        <v>352</v>
      </c>
      <c r="J136" s="276">
        <v>76243.199999999997</v>
      </c>
      <c r="K136" s="275">
        <v>352</v>
      </c>
      <c r="L136" s="275">
        <v>352</v>
      </c>
      <c r="M136" s="273">
        <v>45982</v>
      </c>
      <c r="N136" s="276">
        <v>78091.199999999997</v>
      </c>
      <c r="O136" s="274" t="s">
        <v>21</v>
      </c>
      <c r="P136" s="274" t="s">
        <v>22</v>
      </c>
      <c r="Q136" s="274" t="s">
        <v>660</v>
      </c>
      <c r="R136" s="274" t="str">
        <f>VLOOKUP('MIS Working 1'!$G136,Master!$H$3:$I$8,2,0)</f>
        <v>Finished Goods</v>
      </c>
      <c r="S136" s="274" t="str">
        <f>VLOOKUP('MIS Working 1'!$H136,Master!B:C,2,0)</f>
        <v>FG-PCB-CF</v>
      </c>
      <c r="T136" s="274" t="str">
        <f>VLOOKUP('MIS Working 1'!$S136,Master!E:F,2,0)</f>
        <v>FG-PCB-CF</v>
      </c>
      <c r="U136" s="277">
        <f>'MIS Working 1'!$N136-'MIS Working 1'!$AF136</f>
        <v>1833.9200000000128</v>
      </c>
      <c r="V136" s="278">
        <f>'MIS Working 1'!$U136/'MIS Working 1'!$N136</f>
        <v>2.3484336263241094E-2</v>
      </c>
      <c r="W136" s="274">
        <f>'MIS Working 1'!$N136/'MIS Working 1'!$L136</f>
        <v>221.85</v>
      </c>
      <c r="X136" s="279">
        <f>SUM('MIS Working 1'!$Y136:$AE136)</f>
        <v>239.77999999999994</v>
      </c>
      <c r="Y136" s="279">
        <f>SUMIFS('COGS Break up'!$E:$E,'COGS Break up'!$A:$A,'MIS Working 1'!$D136,'COGS Break up'!$D:$D,'MIS Working 1'!$Y$1)</f>
        <v>174.98999999999995</v>
      </c>
      <c r="Z136" s="279">
        <f>SUMIFS('COGS Break up'!$E:$E,'COGS Break up'!$A:$A,'MIS Working 1'!$D136,'COGS Break up'!$D:$D,'MIS Working 1'!$Z$1)</f>
        <v>18.389999999999997</v>
      </c>
      <c r="AA136" s="279">
        <f>SUMIFS('COGS Break up'!E:E,'COGS Break up'!A:A,'MIS Working 1'!$D:$D,'COGS Break up'!C:C,'MIS Working 1'!$AA$1)</f>
        <v>1.5</v>
      </c>
      <c r="AB136" s="279">
        <f>SUMIFS('COGS Break up'!E:E,'COGS Break up'!A:A,'MIS Working 1'!$D:$D,'COGS Break up'!C:C,$AB$1)</f>
        <v>13.37</v>
      </c>
      <c r="AC136" s="279">
        <f>SUMIFS('COGS Break up'!E:E,'COGS Break up'!A:A,'MIS Working 1'!$D:$D,'COGS Break up'!C:C,$AC$1)</f>
        <v>8.31</v>
      </c>
      <c r="AD136" s="279">
        <f>SUMIFS('COGS Break up'!$E:$E,'COGS Break up'!$A:$A,'MIS Working 1'!$D136,'COGS Break up'!$D:$D,'MIS Working 1'!$AD$1)</f>
        <v>0.04</v>
      </c>
      <c r="AE136" s="279">
        <f>SUMIFS('COGS Break up'!$E:$E,'COGS Break up'!$A:$A,'MIS Working 1'!$D136,'COGS Break up'!$D:$D,'MIS Working 1'!$AE$1)</f>
        <v>23.18</v>
      </c>
      <c r="AF136" s="280">
        <f>'MIS Working 1'!$AG136+'MIS Working 1'!$AH136+'MIS Working 1'!$AM136+'MIS Working 1'!$AL136</f>
        <v>76257.279999999984</v>
      </c>
      <c r="AG136" s="279">
        <f>'MIS Working 1'!$L136*'MIS Working 1'!$Y136</f>
        <v>61596.479999999981</v>
      </c>
      <c r="AH136" s="279">
        <f>'MIS Working 1'!$L136*'MIS Working 1'!$Z136</f>
        <v>6473.2799999999988</v>
      </c>
      <c r="AI136" s="279">
        <f t="shared" si="6"/>
        <v>528</v>
      </c>
      <c r="AJ136" s="279">
        <f t="shared" si="7"/>
        <v>4706.24</v>
      </c>
      <c r="AK136" s="279">
        <f t="shared" si="8"/>
        <v>2925.1200000000003</v>
      </c>
      <c r="AL136" s="279">
        <f>'MIS Working 1'!$AD136*'MIS Working 1'!$L136</f>
        <v>14.08</v>
      </c>
      <c r="AM136" s="279">
        <f>'MIS Working 1'!$L136*'MIS Working 1'!$AE136+'MIS Working 1'!$AL136</f>
        <v>8173.44</v>
      </c>
    </row>
    <row r="137" spans="1:39" x14ac:dyDescent="0.3">
      <c r="A137" s="263" t="s">
        <v>1294</v>
      </c>
      <c r="B137" s="264">
        <v>45982</v>
      </c>
      <c r="C137" s="265" t="s">
        <v>1727</v>
      </c>
      <c r="D137" s="265" t="s">
        <v>1693</v>
      </c>
      <c r="E137" s="265" t="s">
        <v>1694</v>
      </c>
      <c r="F137" s="265" t="s">
        <v>18</v>
      </c>
      <c r="G137" s="265" t="s">
        <v>48</v>
      </c>
      <c r="H137" s="265" t="s">
        <v>229</v>
      </c>
      <c r="I137" s="283">
        <v>17.8</v>
      </c>
      <c r="J137" s="267">
        <v>8057.72</v>
      </c>
      <c r="K137" s="283">
        <v>17.8</v>
      </c>
      <c r="L137" s="283">
        <v>17.8</v>
      </c>
      <c r="M137" s="264">
        <v>45982</v>
      </c>
      <c r="N137" s="267">
        <v>8455</v>
      </c>
      <c r="O137" s="265" t="s">
        <v>21</v>
      </c>
      <c r="P137" s="265" t="s">
        <v>22</v>
      </c>
      <c r="Q137" s="265" t="s">
        <v>660</v>
      </c>
      <c r="R137" s="265" t="str">
        <f>VLOOKUP('MIS Working 1'!$G137,Master!$H$3:$I$8,2,0)</f>
        <v>Raw Material</v>
      </c>
      <c r="S137" s="265" t="str">
        <f>VLOOKUP('MIS Working 1'!$H137,Master!B:C,2,0)</f>
        <v>RM-Mech. Metal</v>
      </c>
      <c r="T137" s="265" t="str">
        <f>VLOOKUP('MIS Working 1'!$S137,Master!E:F,2,0)</f>
        <v>Raw Material</v>
      </c>
      <c r="U137" s="268">
        <f>'MIS Working 1'!$N137-'MIS Working 1'!$AF137</f>
        <v>8455</v>
      </c>
      <c r="V137" s="269">
        <f>'MIS Working 1'!$U137/'MIS Working 1'!$N137</f>
        <v>1</v>
      </c>
      <c r="W137" s="265">
        <f>'MIS Working 1'!$N137/'MIS Working 1'!$L137</f>
        <v>475</v>
      </c>
      <c r="X137" s="270">
        <f>SUM('MIS Working 1'!$Y137:$AE137)</f>
        <v>0</v>
      </c>
      <c r="Y137" s="270">
        <f>SUMIFS('COGS Break up'!$E:$E,'COGS Break up'!$A:$A,'MIS Working 1'!$D137,'COGS Break up'!$D:$D,'MIS Working 1'!$Y$1)</f>
        <v>0</v>
      </c>
      <c r="Z137" s="270">
        <f>SUMIFS('COGS Break up'!$E:$E,'COGS Break up'!$A:$A,'MIS Working 1'!$D137,'COGS Break up'!$D:$D,'MIS Working 1'!$Z$1)</f>
        <v>0</v>
      </c>
      <c r="AA137" s="270">
        <f>SUMIFS('COGS Break up'!E:E,'COGS Break up'!A:A,'MIS Working 1'!$D:$D,'COGS Break up'!C:C,'MIS Working 1'!$AA$1)</f>
        <v>0</v>
      </c>
      <c r="AB137" s="270">
        <f>SUMIFS('COGS Break up'!E:E,'COGS Break up'!A:A,'MIS Working 1'!$D:$D,'COGS Break up'!C:C,$AB$1)</f>
        <v>0</v>
      </c>
      <c r="AC137" s="270">
        <f>SUMIFS('COGS Break up'!E:E,'COGS Break up'!A:A,'MIS Working 1'!$D:$D,'COGS Break up'!C:C,$AC$1)</f>
        <v>0</v>
      </c>
      <c r="AD137" s="270">
        <f>SUMIFS('COGS Break up'!$E:$E,'COGS Break up'!$A:$A,'MIS Working 1'!$D137,'COGS Break up'!$D:$D,'MIS Working 1'!$AD$1)</f>
        <v>0</v>
      </c>
      <c r="AE137" s="270">
        <f>SUMIFS('COGS Break up'!$E:$E,'COGS Break up'!$A:$A,'MIS Working 1'!$D137,'COGS Break up'!$D:$D,'MIS Working 1'!$AE$1)</f>
        <v>0</v>
      </c>
      <c r="AF137" s="271">
        <f>'MIS Working 1'!$AG137+'MIS Working 1'!$AH137+'MIS Working 1'!$AM137+'MIS Working 1'!$AL137</f>
        <v>0</v>
      </c>
      <c r="AG137" s="270">
        <f>'MIS Working 1'!$L137*'MIS Working 1'!$Y137</f>
        <v>0</v>
      </c>
      <c r="AH137" s="270">
        <f>'MIS Working 1'!$L137*'MIS Working 1'!$Z137</f>
        <v>0</v>
      </c>
      <c r="AI137" s="270">
        <f t="shared" si="6"/>
        <v>0</v>
      </c>
      <c r="AJ137" s="270">
        <f t="shared" si="7"/>
        <v>0</v>
      </c>
      <c r="AK137" s="270">
        <f t="shared" si="8"/>
        <v>0</v>
      </c>
      <c r="AL137" s="270">
        <f>'MIS Working 1'!$AD137*'MIS Working 1'!$L137</f>
        <v>0</v>
      </c>
      <c r="AM137" s="270">
        <f>'MIS Working 1'!$L137*'MIS Working 1'!$AE137+'MIS Working 1'!$AL137</f>
        <v>0</v>
      </c>
    </row>
    <row r="138" spans="1:39" x14ac:dyDescent="0.3">
      <c r="A138" s="272" t="s">
        <v>1374</v>
      </c>
      <c r="B138" s="273">
        <v>45982</v>
      </c>
      <c r="C138" s="274" t="s">
        <v>1728</v>
      </c>
      <c r="D138" s="274" t="s">
        <v>1695</v>
      </c>
      <c r="E138" s="274" t="s">
        <v>1696</v>
      </c>
      <c r="F138" s="274" t="s">
        <v>18</v>
      </c>
      <c r="G138" s="274" t="s">
        <v>48</v>
      </c>
      <c r="H138" s="274" t="s">
        <v>49</v>
      </c>
      <c r="I138" s="275">
        <v>4500</v>
      </c>
      <c r="J138" s="276">
        <v>34423.360000000001</v>
      </c>
      <c r="K138" s="275">
        <v>4500</v>
      </c>
      <c r="L138" s="275">
        <v>4500</v>
      </c>
      <c r="M138" s="273">
        <v>45982</v>
      </c>
      <c r="N138" s="276">
        <v>34425</v>
      </c>
      <c r="O138" s="274" t="s">
        <v>21</v>
      </c>
      <c r="P138" s="274" t="s">
        <v>22</v>
      </c>
      <c r="Q138" s="274" t="s">
        <v>660</v>
      </c>
      <c r="R138" s="274" t="str">
        <f>VLOOKUP('MIS Working 1'!$G138,Master!$H$3:$I$8,2,0)</f>
        <v>Raw Material</v>
      </c>
      <c r="S138" s="274" t="str">
        <f>VLOOKUP('MIS Working 1'!$H138,Master!B:C,2,0)</f>
        <v>RM-Eletro-Connecter</v>
      </c>
      <c r="T138" s="274" t="str">
        <f>VLOOKUP('MIS Working 1'!$S138,Master!E:F,2,0)</f>
        <v>Raw Material</v>
      </c>
      <c r="U138" s="277">
        <f>'MIS Working 1'!$N138-'MIS Working 1'!$AF138</f>
        <v>34425</v>
      </c>
      <c r="V138" s="278">
        <f>'MIS Working 1'!$U138/'MIS Working 1'!$N138</f>
        <v>1</v>
      </c>
      <c r="W138" s="274">
        <f>'MIS Working 1'!$N138/'MIS Working 1'!$L138</f>
        <v>7.65</v>
      </c>
      <c r="X138" s="279">
        <f>SUM('MIS Working 1'!$Y138:$AE138)</f>
        <v>0</v>
      </c>
      <c r="Y138" s="279">
        <f>SUMIFS('COGS Break up'!$E:$E,'COGS Break up'!$A:$A,'MIS Working 1'!$D138,'COGS Break up'!$D:$D,'MIS Working 1'!$Y$1)</f>
        <v>0</v>
      </c>
      <c r="Z138" s="279">
        <f>SUMIFS('COGS Break up'!$E:$E,'COGS Break up'!$A:$A,'MIS Working 1'!$D138,'COGS Break up'!$D:$D,'MIS Working 1'!$Z$1)</f>
        <v>0</v>
      </c>
      <c r="AA138" s="279">
        <f>SUMIFS('COGS Break up'!E:E,'COGS Break up'!A:A,'MIS Working 1'!$D:$D,'COGS Break up'!C:C,'MIS Working 1'!$AA$1)</f>
        <v>0</v>
      </c>
      <c r="AB138" s="279">
        <f>SUMIFS('COGS Break up'!E:E,'COGS Break up'!A:A,'MIS Working 1'!$D:$D,'COGS Break up'!C:C,$AB$1)</f>
        <v>0</v>
      </c>
      <c r="AC138" s="279">
        <f>SUMIFS('COGS Break up'!E:E,'COGS Break up'!A:A,'MIS Working 1'!$D:$D,'COGS Break up'!C:C,$AC$1)</f>
        <v>0</v>
      </c>
      <c r="AD138" s="279">
        <f>SUMIFS('COGS Break up'!$E:$E,'COGS Break up'!$A:$A,'MIS Working 1'!$D138,'COGS Break up'!$D:$D,'MIS Working 1'!$AD$1)</f>
        <v>0</v>
      </c>
      <c r="AE138" s="279">
        <f>SUMIFS('COGS Break up'!$E:$E,'COGS Break up'!$A:$A,'MIS Working 1'!$D138,'COGS Break up'!$D:$D,'MIS Working 1'!$AE$1)</f>
        <v>0</v>
      </c>
      <c r="AF138" s="280">
        <f>'MIS Working 1'!$AG138+'MIS Working 1'!$AH138+'MIS Working 1'!$AM138+'MIS Working 1'!$AL138</f>
        <v>0</v>
      </c>
      <c r="AG138" s="279">
        <f>'MIS Working 1'!$L138*'MIS Working 1'!$Y138</f>
        <v>0</v>
      </c>
      <c r="AH138" s="279">
        <f>'MIS Working 1'!$L138*'MIS Working 1'!$Z138</f>
        <v>0</v>
      </c>
      <c r="AI138" s="279">
        <f t="shared" si="6"/>
        <v>0</v>
      </c>
      <c r="AJ138" s="279">
        <f t="shared" si="7"/>
        <v>0</v>
      </c>
      <c r="AK138" s="279">
        <f t="shared" si="8"/>
        <v>0</v>
      </c>
      <c r="AL138" s="279">
        <f>'MIS Working 1'!$AD138*'MIS Working 1'!$L138</f>
        <v>0</v>
      </c>
      <c r="AM138" s="279">
        <f>'MIS Working 1'!$L138*'MIS Working 1'!$AE138+'MIS Working 1'!$AL138</f>
        <v>0</v>
      </c>
    </row>
    <row r="139" spans="1:39" x14ac:dyDescent="0.3">
      <c r="A139" s="263" t="s">
        <v>479</v>
      </c>
      <c r="B139" s="264">
        <v>45982</v>
      </c>
      <c r="C139" s="265" t="s">
        <v>1729</v>
      </c>
      <c r="D139" s="265" t="s">
        <v>1697</v>
      </c>
      <c r="E139" s="265" t="s">
        <v>1698</v>
      </c>
      <c r="F139" s="265" t="s">
        <v>18</v>
      </c>
      <c r="G139" s="265" t="s">
        <v>48</v>
      </c>
      <c r="H139" s="265" t="s">
        <v>219</v>
      </c>
      <c r="I139" s="266">
        <v>22200</v>
      </c>
      <c r="J139" s="267">
        <v>193719.74</v>
      </c>
      <c r="K139" s="266">
        <v>22200</v>
      </c>
      <c r="L139" s="266">
        <v>22200</v>
      </c>
      <c r="M139" s="264">
        <v>45982</v>
      </c>
      <c r="N139" s="267">
        <v>134754</v>
      </c>
      <c r="O139" s="265" t="s">
        <v>21</v>
      </c>
      <c r="P139" s="265" t="s">
        <v>22</v>
      </c>
      <c r="Q139" s="265" t="s">
        <v>660</v>
      </c>
      <c r="R139" s="265" t="str">
        <f>VLOOKUP('MIS Working 1'!$G139,Master!$H$3:$I$8,2,0)</f>
        <v>Raw Material</v>
      </c>
      <c r="S139" s="265" t="str">
        <f>VLOOKUP('MIS Working 1'!$H139,Master!B:C,2,0)</f>
        <v>RM-Mech-Magnets</v>
      </c>
      <c r="T139" s="265" t="str">
        <f>VLOOKUP('MIS Working 1'!$S139,Master!E:F,2,0)</f>
        <v>Raw Material</v>
      </c>
      <c r="U139" s="268">
        <f>'MIS Working 1'!$N139-'MIS Working 1'!$AF139</f>
        <v>134754</v>
      </c>
      <c r="V139" s="269">
        <f>'MIS Working 1'!$U139/'MIS Working 1'!$N139</f>
        <v>1</v>
      </c>
      <c r="W139" s="265">
        <f>'MIS Working 1'!$N139/'MIS Working 1'!$L139</f>
        <v>6.07</v>
      </c>
      <c r="X139" s="270">
        <f>SUM('MIS Working 1'!$Y139:$AE139)</f>
        <v>0</v>
      </c>
      <c r="Y139" s="270">
        <f>SUMIFS('COGS Break up'!$E:$E,'COGS Break up'!$A:$A,'MIS Working 1'!$D139,'COGS Break up'!$D:$D,'MIS Working 1'!$Y$1)</f>
        <v>0</v>
      </c>
      <c r="Z139" s="270">
        <f>SUMIFS('COGS Break up'!$E:$E,'COGS Break up'!$A:$A,'MIS Working 1'!$D139,'COGS Break up'!$D:$D,'MIS Working 1'!$Z$1)</f>
        <v>0</v>
      </c>
      <c r="AA139" s="270">
        <f>SUMIFS('COGS Break up'!E:E,'COGS Break up'!A:A,'MIS Working 1'!$D:$D,'COGS Break up'!C:C,'MIS Working 1'!$AA$1)</f>
        <v>0</v>
      </c>
      <c r="AB139" s="270">
        <f>SUMIFS('COGS Break up'!E:E,'COGS Break up'!A:A,'MIS Working 1'!$D:$D,'COGS Break up'!C:C,$AB$1)</f>
        <v>0</v>
      </c>
      <c r="AC139" s="270">
        <f>SUMIFS('COGS Break up'!E:E,'COGS Break up'!A:A,'MIS Working 1'!$D:$D,'COGS Break up'!C:C,$AC$1)</f>
        <v>0</v>
      </c>
      <c r="AD139" s="270">
        <f>SUMIFS('COGS Break up'!$E:$E,'COGS Break up'!$A:$A,'MIS Working 1'!$D139,'COGS Break up'!$D:$D,'MIS Working 1'!$AD$1)</f>
        <v>0</v>
      </c>
      <c r="AE139" s="270">
        <f>SUMIFS('COGS Break up'!$E:$E,'COGS Break up'!$A:$A,'MIS Working 1'!$D139,'COGS Break up'!$D:$D,'MIS Working 1'!$AE$1)</f>
        <v>0</v>
      </c>
      <c r="AF139" s="271">
        <f>'MIS Working 1'!$AG139+'MIS Working 1'!$AH139+'MIS Working 1'!$AM139+'MIS Working 1'!$AL139</f>
        <v>0</v>
      </c>
      <c r="AG139" s="270">
        <f>'MIS Working 1'!$L139*'MIS Working 1'!$Y139</f>
        <v>0</v>
      </c>
      <c r="AH139" s="270">
        <f>'MIS Working 1'!$L139*'MIS Working 1'!$Z139</f>
        <v>0</v>
      </c>
      <c r="AI139" s="270">
        <f t="shared" si="6"/>
        <v>0</v>
      </c>
      <c r="AJ139" s="270">
        <f t="shared" si="7"/>
        <v>0</v>
      </c>
      <c r="AK139" s="270">
        <f t="shared" si="8"/>
        <v>0</v>
      </c>
      <c r="AL139" s="270">
        <f>'MIS Working 1'!$AD139*'MIS Working 1'!$L139</f>
        <v>0</v>
      </c>
      <c r="AM139" s="270">
        <f>'MIS Working 1'!$L139*'MIS Working 1'!$AE139+'MIS Working 1'!$AL139</f>
        <v>0</v>
      </c>
    </row>
    <row r="140" spans="1:39" x14ac:dyDescent="0.3">
      <c r="A140" s="272" t="s">
        <v>479</v>
      </c>
      <c r="B140" s="273">
        <v>45982</v>
      </c>
      <c r="C140" s="274" t="s">
        <v>1729</v>
      </c>
      <c r="D140" s="274" t="s">
        <v>1699</v>
      </c>
      <c r="E140" s="274" t="s">
        <v>1700</v>
      </c>
      <c r="F140" s="274" t="s">
        <v>18</v>
      </c>
      <c r="G140" s="274" t="s">
        <v>48</v>
      </c>
      <c r="H140" s="274" t="s">
        <v>219</v>
      </c>
      <c r="I140" s="275">
        <v>11390</v>
      </c>
      <c r="J140" s="276">
        <v>114412.75</v>
      </c>
      <c r="K140" s="275">
        <v>11390</v>
      </c>
      <c r="L140" s="275">
        <v>11390</v>
      </c>
      <c r="M140" s="273">
        <v>45982</v>
      </c>
      <c r="N140" s="276">
        <v>69137.3</v>
      </c>
      <c r="O140" s="274" t="s">
        <v>21</v>
      </c>
      <c r="P140" s="274" t="s">
        <v>22</v>
      </c>
      <c r="Q140" s="274" t="s">
        <v>660</v>
      </c>
      <c r="R140" s="274" t="str">
        <f>VLOOKUP('MIS Working 1'!$G140,Master!$H$3:$I$8,2,0)</f>
        <v>Raw Material</v>
      </c>
      <c r="S140" s="274" t="str">
        <f>VLOOKUP('MIS Working 1'!$H140,Master!B:C,2,0)</f>
        <v>RM-Mech-Magnets</v>
      </c>
      <c r="T140" s="274" t="str">
        <f>VLOOKUP('MIS Working 1'!$S140,Master!E:F,2,0)</f>
        <v>Raw Material</v>
      </c>
      <c r="U140" s="277">
        <f>'MIS Working 1'!$N140-'MIS Working 1'!$AF140</f>
        <v>69137.3</v>
      </c>
      <c r="V140" s="278">
        <f>'MIS Working 1'!$U140/'MIS Working 1'!$N140</f>
        <v>1</v>
      </c>
      <c r="W140" s="274">
        <f>'MIS Working 1'!$N140/'MIS Working 1'!$L140</f>
        <v>6.07</v>
      </c>
      <c r="X140" s="279">
        <f>SUM('MIS Working 1'!$Y140:$AE140)</f>
        <v>0</v>
      </c>
      <c r="Y140" s="279">
        <f>SUMIFS('COGS Break up'!$E:$E,'COGS Break up'!$A:$A,'MIS Working 1'!$D140,'COGS Break up'!$D:$D,'MIS Working 1'!$Y$1)</f>
        <v>0</v>
      </c>
      <c r="Z140" s="279">
        <f>SUMIFS('COGS Break up'!$E:$E,'COGS Break up'!$A:$A,'MIS Working 1'!$D140,'COGS Break up'!$D:$D,'MIS Working 1'!$Z$1)</f>
        <v>0</v>
      </c>
      <c r="AA140" s="279">
        <f>SUMIFS('COGS Break up'!E:E,'COGS Break up'!A:A,'MIS Working 1'!$D:$D,'COGS Break up'!C:C,'MIS Working 1'!$AA$1)</f>
        <v>0</v>
      </c>
      <c r="AB140" s="279">
        <f>SUMIFS('COGS Break up'!E:E,'COGS Break up'!A:A,'MIS Working 1'!$D:$D,'COGS Break up'!C:C,$AB$1)</f>
        <v>0</v>
      </c>
      <c r="AC140" s="279">
        <f>SUMIFS('COGS Break up'!E:E,'COGS Break up'!A:A,'MIS Working 1'!$D:$D,'COGS Break up'!C:C,$AC$1)</f>
        <v>0</v>
      </c>
      <c r="AD140" s="279">
        <f>SUMIFS('COGS Break up'!$E:$E,'COGS Break up'!$A:$A,'MIS Working 1'!$D140,'COGS Break up'!$D:$D,'MIS Working 1'!$AD$1)</f>
        <v>0</v>
      </c>
      <c r="AE140" s="279">
        <f>SUMIFS('COGS Break up'!$E:$E,'COGS Break up'!$A:$A,'MIS Working 1'!$D140,'COGS Break up'!$D:$D,'MIS Working 1'!$AE$1)</f>
        <v>0</v>
      </c>
      <c r="AF140" s="280">
        <f>'MIS Working 1'!$AG140+'MIS Working 1'!$AH140+'MIS Working 1'!$AM140+'MIS Working 1'!$AL140</f>
        <v>0</v>
      </c>
      <c r="AG140" s="279">
        <f>'MIS Working 1'!$L140*'MIS Working 1'!$Y140</f>
        <v>0</v>
      </c>
      <c r="AH140" s="279">
        <f>'MIS Working 1'!$L140*'MIS Working 1'!$Z140</f>
        <v>0</v>
      </c>
      <c r="AI140" s="279">
        <f t="shared" si="6"/>
        <v>0</v>
      </c>
      <c r="AJ140" s="279">
        <f t="shared" si="7"/>
        <v>0</v>
      </c>
      <c r="AK140" s="279">
        <f t="shared" si="8"/>
        <v>0</v>
      </c>
      <c r="AL140" s="279">
        <f>'MIS Working 1'!$AD140*'MIS Working 1'!$L140</f>
        <v>0</v>
      </c>
      <c r="AM140" s="279">
        <f>'MIS Working 1'!$L140*'MIS Working 1'!$AE140+'MIS Working 1'!$AL140</f>
        <v>0</v>
      </c>
    </row>
    <row r="141" spans="1:39" x14ac:dyDescent="0.3">
      <c r="A141" s="263" t="s">
        <v>479</v>
      </c>
      <c r="B141" s="264">
        <v>45982</v>
      </c>
      <c r="C141" s="265" t="s">
        <v>1730</v>
      </c>
      <c r="D141" s="265" t="s">
        <v>1701</v>
      </c>
      <c r="E141" s="265" t="s">
        <v>1702</v>
      </c>
      <c r="F141" s="265" t="s">
        <v>18</v>
      </c>
      <c r="G141" s="265" t="s">
        <v>48</v>
      </c>
      <c r="H141" s="265" t="s">
        <v>219</v>
      </c>
      <c r="I141" s="266">
        <v>306000</v>
      </c>
      <c r="J141" s="267">
        <v>1607929.29</v>
      </c>
      <c r="K141" s="266">
        <v>306000</v>
      </c>
      <c r="L141" s="266">
        <v>306000</v>
      </c>
      <c r="M141" s="264">
        <v>45982</v>
      </c>
      <c r="N141" s="267">
        <v>1603440</v>
      </c>
      <c r="O141" s="265" t="s">
        <v>21</v>
      </c>
      <c r="P141" s="265" t="s">
        <v>22</v>
      </c>
      <c r="Q141" s="265" t="s">
        <v>660</v>
      </c>
      <c r="R141" s="265" t="str">
        <f>VLOOKUP('MIS Working 1'!$G141,Master!$H$3:$I$8,2,0)</f>
        <v>Raw Material</v>
      </c>
      <c r="S141" s="265" t="str">
        <f>VLOOKUP('MIS Working 1'!$H141,Master!B:C,2,0)</f>
        <v>RM-Mech-Magnets</v>
      </c>
      <c r="T141" s="265" t="str">
        <f>VLOOKUP('MIS Working 1'!$S141,Master!E:F,2,0)</f>
        <v>Raw Material</v>
      </c>
      <c r="U141" s="268">
        <f>'MIS Working 1'!$N141-'MIS Working 1'!$AF141</f>
        <v>1603440</v>
      </c>
      <c r="V141" s="269">
        <f>'MIS Working 1'!$U141/'MIS Working 1'!$N141</f>
        <v>1</v>
      </c>
      <c r="W141" s="265">
        <f>'MIS Working 1'!$N141/'MIS Working 1'!$L141</f>
        <v>5.24</v>
      </c>
      <c r="X141" s="270">
        <f>SUM('MIS Working 1'!$Y141:$AE141)</f>
        <v>0</v>
      </c>
      <c r="Y141" s="270">
        <f>SUMIFS('COGS Break up'!$E:$E,'COGS Break up'!$A:$A,'MIS Working 1'!$D141,'COGS Break up'!$D:$D,'MIS Working 1'!$Y$1)</f>
        <v>0</v>
      </c>
      <c r="Z141" s="270">
        <f>SUMIFS('COGS Break up'!$E:$E,'COGS Break up'!$A:$A,'MIS Working 1'!$D141,'COGS Break up'!$D:$D,'MIS Working 1'!$Z$1)</f>
        <v>0</v>
      </c>
      <c r="AA141" s="270">
        <f>SUMIFS('COGS Break up'!E:E,'COGS Break up'!A:A,'MIS Working 1'!$D:$D,'COGS Break up'!C:C,'MIS Working 1'!$AA$1)</f>
        <v>0</v>
      </c>
      <c r="AB141" s="270">
        <f>SUMIFS('COGS Break up'!E:E,'COGS Break up'!A:A,'MIS Working 1'!$D:$D,'COGS Break up'!C:C,$AB$1)</f>
        <v>0</v>
      </c>
      <c r="AC141" s="270">
        <f>SUMIFS('COGS Break up'!E:E,'COGS Break up'!A:A,'MIS Working 1'!$D:$D,'COGS Break up'!C:C,$AC$1)</f>
        <v>0</v>
      </c>
      <c r="AD141" s="270">
        <f>SUMIFS('COGS Break up'!$E:$E,'COGS Break up'!$A:$A,'MIS Working 1'!$D141,'COGS Break up'!$D:$D,'MIS Working 1'!$AD$1)</f>
        <v>0</v>
      </c>
      <c r="AE141" s="270">
        <f>SUMIFS('COGS Break up'!$E:$E,'COGS Break up'!$A:$A,'MIS Working 1'!$D141,'COGS Break up'!$D:$D,'MIS Working 1'!$AE$1)</f>
        <v>0</v>
      </c>
      <c r="AF141" s="271">
        <f>'MIS Working 1'!$AG141+'MIS Working 1'!$AH141+'MIS Working 1'!$AM141+'MIS Working 1'!$AL141</f>
        <v>0</v>
      </c>
      <c r="AG141" s="270">
        <f>'MIS Working 1'!$L141*'MIS Working 1'!$Y141</f>
        <v>0</v>
      </c>
      <c r="AH141" s="270">
        <f>'MIS Working 1'!$L141*'MIS Working 1'!$Z141</f>
        <v>0</v>
      </c>
      <c r="AI141" s="270">
        <f t="shared" si="6"/>
        <v>0</v>
      </c>
      <c r="AJ141" s="270">
        <f t="shared" si="7"/>
        <v>0</v>
      </c>
      <c r="AK141" s="270">
        <f t="shared" si="8"/>
        <v>0</v>
      </c>
      <c r="AL141" s="270">
        <f>'MIS Working 1'!$AD141*'MIS Working 1'!$L141</f>
        <v>0</v>
      </c>
      <c r="AM141" s="270">
        <f>'MIS Working 1'!$L141*'MIS Working 1'!$AE141+'MIS Working 1'!$AL141</f>
        <v>0</v>
      </c>
    </row>
    <row r="142" spans="1:39" x14ac:dyDescent="0.3">
      <c r="A142" s="272" t="s">
        <v>479</v>
      </c>
      <c r="B142" s="273">
        <v>45981</v>
      </c>
      <c r="C142" s="274" t="s">
        <v>1732</v>
      </c>
      <c r="D142" s="274" t="s">
        <v>40</v>
      </c>
      <c r="E142" s="274" t="s">
        <v>41</v>
      </c>
      <c r="F142" s="274" t="s">
        <v>18</v>
      </c>
      <c r="G142" s="274" t="s">
        <v>34</v>
      </c>
      <c r="H142" s="274" t="s">
        <v>772</v>
      </c>
      <c r="I142" s="275">
        <v>2240</v>
      </c>
      <c r="J142" s="276">
        <v>330780.79999999999</v>
      </c>
      <c r="K142" s="275">
        <v>2240</v>
      </c>
      <c r="L142" s="275">
        <v>2240</v>
      </c>
      <c r="M142" s="273">
        <v>45981</v>
      </c>
      <c r="N142" s="276">
        <v>364985.59999999998</v>
      </c>
      <c r="O142" s="274" t="s">
        <v>21</v>
      </c>
      <c r="P142" s="274" t="s">
        <v>22</v>
      </c>
      <c r="Q142" s="274" t="s">
        <v>660</v>
      </c>
      <c r="R142" s="274" t="str">
        <f>VLOOKUP('MIS Working 1'!$G142,Master!$H$3:$I$8,2,0)</f>
        <v>Semi-Finished Goods</v>
      </c>
      <c r="S142" s="274" t="str">
        <f>VLOOKUP('MIS Working 1'!$H142,Master!B:C,2,0)</f>
        <v>SFG-GV5 Stator</v>
      </c>
      <c r="T142" s="274" t="str">
        <f>VLOOKUP('MIS Working 1'!$S142,Master!E:F,2,0)</f>
        <v>Sub Ass.-Mech Stator</v>
      </c>
      <c r="U142" s="277">
        <f>'MIS Working 1'!$N142-'MIS Working 1'!$AF142</f>
        <v>34204.800000000047</v>
      </c>
      <c r="V142" s="278">
        <f>'MIS Working 1'!$U142/'MIS Working 1'!$N142</f>
        <v>9.3715478090094645E-2</v>
      </c>
      <c r="W142" s="274">
        <f>'MIS Working 1'!$N142/'MIS Working 1'!$L142</f>
        <v>162.94</v>
      </c>
      <c r="X142" s="279">
        <f>SUM('MIS Working 1'!$Y142:$AE142)</f>
        <v>149.61999999999998</v>
      </c>
      <c r="Y142" s="279">
        <f>SUMIFS('COGS Break up'!$E:$E,'COGS Break up'!$A:$A,'MIS Working 1'!$D142,'COGS Break up'!$D:$D,'MIS Working 1'!$Y$1)</f>
        <v>144.21999999999997</v>
      </c>
      <c r="Z142" s="279">
        <f>SUMIFS('COGS Break up'!$E:$E,'COGS Break up'!$A:$A,'MIS Working 1'!$D142,'COGS Break up'!$D:$D,'MIS Working 1'!$Z$1)</f>
        <v>1.5</v>
      </c>
      <c r="AA142" s="279">
        <f>SUMIFS('COGS Break up'!E:E,'COGS Break up'!A:A,'MIS Working 1'!$D:$D,'COGS Break up'!C:C,'MIS Working 1'!$AA$1)</f>
        <v>0.05</v>
      </c>
      <c r="AB142" s="279">
        <f>SUMIFS('COGS Break up'!E:E,'COGS Break up'!A:A,'MIS Working 1'!$D:$D,'COGS Break up'!C:C,$AB$1)</f>
        <v>0.4</v>
      </c>
      <c r="AC142" s="279">
        <f>SUMIFS('COGS Break up'!E:E,'COGS Break up'!A:A,'MIS Working 1'!$D:$D,'COGS Break up'!C:C,$AC$1)</f>
        <v>1.5</v>
      </c>
      <c r="AD142" s="279">
        <f>SUMIFS('COGS Break up'!$E:$E,'COGS Break up'!$A:$A,'MIS Working 1'!$D142,'COGS Break up'!$D:$D,'MIS Working 1'!$AD$1)</f>
        <v>0</v>
      </c>
      <c r="AE142" s="279">
        <f>SUMIFS('COGS Break up'!$E:$E,'COGS Break up'!$A:$A,'MIS Working 1'!$D142,'COGS Break up'!$D:$D,'MIS Working 1'!$AE$1)</f>
        <v>1.95</v>
      </c>
      <c r="AF142" s="280">
        <f>'MIS Working 1'!$AG142+'MIS Working 1'!$AH142+'MIS Working 1'!$AM142+'MIS Working 1'!$AL142</f>
        <v>330780.79999999993</v>
      </c>
      <c r="AG142" s="279">
        <f>'MIS Working 1'!$L142*'MIS Working 1'!$Y142</f>
        <v>323052.79999999993</v>
      </c>
      <c r="AH142" s="279">
        <f>'MIS Working 1'!$L142*'MIS Working 1'!$Z142</f>
        <v>3360</v>
      </c>
      <c r="AI142" s="279">
        <f t="shared" si="6"/>
        <v>112</v>
      </c>
      <c r="AJ142" s="279">
        <f t="shared" si="7"/>
        <v>896</v>
      </c>
      <c r="AK142" s="279">
        <f t="shared" si="8"/>
        <v>3360</v>
      </c>
      <c r="AL142" s="279">
        <f>'MIS Working 1'!$AD142*'MIS Working 1'!$L142</f>
        <v>0</v>
      </c>
      <c r="AM142" s="279">
        <f>'MIS Working 1'!$L142*'MIS Working 1'!$AE142+'MIS Working 1'!$AL142</f>
        <v>4368</v>
      </c>
    </row>
    <row r="143" spans="1:39" x14ac:dyDescent="0.3">
      <c r="A143" s="263" t="s">
        <v>479</v>
      </c>
      <c r="B143" s="264">
        <v>45981</v>
      </c>
      <c r="C143" s="265" t="s">
        <v>1731</v>
      </c>
      <c r="D143" s="265" t="s">
        <v>40</v>
      </c>
      <c r="E143" s="265" t="s">
        <v>41</v>
      </c>
      <c r="F143" s="265" t="s">
        <v>18</v>
      </c>
      <c r="G143" s="265" t="s">
        <v>34</v>
      </c>
      <c r="H143" s="265" t="s">
        <v>772</v>
      </c>
      <c r="I143" s="266">
        <v>2128</v>
      </c>
      <c r="J143" s="267">
        <v>314241.76</v>
      </c>
      <c r="K143" s="266">
        <v>2128</v>
      </c>
      <c r="L143" s="266">
        <v>2128</v>
      </c>
      <c r="M143" s="264">
        <v>45981</v>
      </c>
      <c r="N143" s="267">
        <v>346736.32</v>
      </c>
      <c r="O143" s="265" t="s">
        <v>21</v>
      </c>
      <c r="P143" s="265" t="s">
        <v>22</v>
      </c>
      <c r="Q143" s="265" t="s">
        <v>660</v>
      </c>
      <c r="R143" s="265" t="str">
        <f>VLOOKUP('MIS Working 1'!$G143,Master!$H$3:$I$8,2,0)</f>
        <v>Semi-Finished Goods</v>
      </c>
      <c r="S143" s="265" t="str">
        <f>VLOOKUP('MIS Working 1'!$H143,Master!B:C,2,0)</f>
        <v>SFG-GV5 Stator</v>
      </c>
      <c r="T143" s="265" t="str">
        <f>VLOOKUP('MIS Working 1'!$S143,Master!E:F,2,0)</f>
        <v>Sub Ass.-Mech Stator</v>
      </c>
      <c r="U143" s="268">
        <f>'MIS Working 1'!$N143-'MIS Working 1'!$AF143</f>
        <v>32494.560000000114</v>
      </c>
      <c r="V143" s="269">
        <f>'MIS Working 1'!$U143/'MIS Working 1'!$N143</f>
        <v>9.3715478090094839E-2</v>
      </c>
      <c r="W143" s="265">
        <f>'MIS Working 1'!$N143/'MIS Working 1'!$L143</f>
        <v>162.94</v>
      </c>
      <c r="X143" s="270">
        <f>SUM('MIS Working 1'!$Y143:$AE143)</f>
        <v>149.61999999999998</v>
      </c>
      <c r="Y143" s="270">
        <f>SUMIFS('COGS Break up'!$E:$E,'COGS Break up'!$A:$A,'MIS Working 1'!$D143,'COGS Break up'!$D:$D,'MIS Working 1'!$Y$1)</f>
        <v>144.21999999999997</v>
      </c>
      <c r="Z143" s="270">
        <f>SUMIFS('COGS Break up'!$E:$E,'COGS Break up'!$A:$A,'MIS Working 1'!$D143,'COGS Break up'!$D:$D,'MIS Working 1'!$Z$1)</f>
        <v>1.5</v>
      </c>
      <c r="AA143" s="270">
        <f>SUMIFS('COGS Break up'!E:E,'COGS Break up'!A:A,'MIS Working 1'!$D:$D,'COGS Break up'!C:C,'MIS Working 1'!$AA$1)</f>
        <v>0.05</v>
      </c>
      <c r="AB143" s="270">
        <f>SUMIFS('COGS Break up'!E:E,'COGS Break up'!A:A,'MIS Working 1'!$D:$D,'COGS Break up'!C:C,$AB$1)</f>
        <v>0.4</v>
      </c>
      <c r="AC143" s="270">
        <f>SUMIFS('COGS Break up'!E:E,'COGS Break up'!A:A,'MIS Working 1'!$D:$D,'COGS Break up'!C:C,$AC$1)</f>
        <v>1.5</v>
      </c>
      <c r="AD143" s="270">
        <f>SUMIFS('COGS Break up'!$E:$E,'COGS Break up'!$A:$A,'MIS Working 1'!$D143,'COGS Break up'!$D:$D,'MIS Working 1'!$AD$1)</f>
        <v>0</v>
      </c>
      <c r="AE143" s="270">
        <f>SUMIFS('COGS Break up'!$E:$E,'COGS Break up'!$A:$A,'MIS Working 1'!$D143,'COGS Break up'!$D:$D,'MIS Working 1'!$AE$1)</f>
        <v>1.95</v>
      </c>
      <c r="AF143" s="271">
        <f>'MIS Working 1'!$AG143+'MIS Working 1'!$AH143+'MIS Working 1'!$AM143+'MIS Working 1'!$AL143</f>
        <v>314241.75999999989</v>
      </c>
      <c r="AG143" s="270">
        <f>'MIS Working 1'!$L143*'MIS Working 1'!$Y143</f>
        <v>306900.15999999992</v>
      </c>
      <c r="AH143" s="270">
        <f>'MIS Working 1'!$L143*'MIS Working 1'!$Z143</f>
        <v>3192</v>
      </c>
      <c r="AI143" s="270">
        <f t="shared" si="6"/>
        <v>106.4</v>
      </c>
      <c r="AJ143" s="270">
        <f t="shared" si="7"/>
        <v>851.2</v>
      </c>
      <c r="AK143" s="270">
        <f t="shared" si="8"/>
        <v>3192</v>
      </c>
      <c r="AL143" s="270">
        <f>'MIS Working 1'!$AD143*'MIS Working 1'!$L143</f>
        <v>0</v>
      </c>
      <c r="AM143" s="270">
        <f>'MIS Working 1'!$L143*'MIS Working 1'!$AE143+'MIS Working 1'!$AL143</f>
        <v>4149.5999999999995</v>
      </c>
    </row>
    <row r="144" spans="1:39" x14ac:dyDescent="0.3">
      <c r="A144" s="272" t="s">
        <v>479</v>
      </c>
      <c r="B144" s="273">
        <v>45981</v>
      </c>
      <c r="C144" s="274" t="s">
        <v>1733</v>
      </c>
      <c r="D144" s="274" t="s">
        <v>40</v>
      </c>
      <c r="E144" s="274" t="s">
        <v>41</v>
      </c>
      <c r="F144" s="274" t="s">
        <v>18</v>
      </c>
      <c r="G144" s="274" t="s">
        <v>34</v>
      </c>
      <c r="H144" s="274" t="s">
        <v>772</v>
      </c>
      <c r="I144" s="275">
        <v>2628</v>
      </c>
      <c r="J144" s="276">
        <v>388076.76</v>
      </c>
      <c r="K144" s="275">
        <v>2628</v>
      </c>
      <c r="L144" s="275">
        <v>2628</v>
      </c>
      <c r="M144" s="273">
        <v>45981</v>
      </c>
      <c r="N144" s="276">
        <v>428206.32</v>
      </c>
      <c r="O144" s="274" t="s">
        <v>21</v>
      </c>
      <c r="P144" s="274" t="s">
        <v>22</v>
      </c>
      <c r="Q144" s="274" t="s">
        <v>660</v>
      </c>
      <c r="R144" s="274" t="str">
        <f>VLOOKUP('MIS Working 1'!$G144,Master!$H$3:$I$8,2,0)</f>
        <v>Semi-Finished Goods</v>
      </c>
      <c r="S144" s="274" t="str">
        <f>VLOOKUP('MIS Working 1'!$H144,Master!B:C,2,0)</f>
        <v>SFG-GV5 Stator</v>
      </c>
      <c r="T144" s="274" t="str">
        <f>VLOOKUP('MIS Working 1'!$S144,Master!E:F,2,0)</f>
        <v>Sub Ass.-Mech Stator</v>
      </c>
      <c r="U144" s="277">
        <f>'MIS Working 1'!$N144-'MIS Working 1'!$AF144</f>
        <v>40129.560000000114</v>
      </c>
      <c r="V144" s="278">
        <f>'MIS Working 1'!$U144/'MIS Working 1'!$N144</f>
        <v>9.3715478090094784E-2</v>
      </c>
      <c r="W144" s="274">
        <f>'MIS Working 1'!$N144/'MIS Working 1'!$L144</f>
        <v>162.94</v>
      </c>
      <c r="X144" s="279">
        <f>SUM('MIS Working 1'!$Y144:$AE144)</f>
        <v>149.61999999999998</v>
      </c>
      <c r="Y144" s="279">
        <f>SUMIFS('COGS Break up'!$E:$E,'COGS Break up'!$A:$A,'MIS Working 1'!$D144,'COGS Break up'!$D:$D,'MIS Working 1'!$Y$1)</f>
        <v>144.21999999999997</v>
      </c>
      <c r="Z144" s="279">
        <f>SUMIFS('COGS Break up'!$E:$E,'COGS Break up'!$A:$A,'MIS Working 1'!$D144,'COGS Break up'!$D:$D,'MIS Working 1'!$Z$1)</f>
        <v>1.5</v>
      </c>
      <c r="AA144" s="279">
        <f>SUMIFS('COGS Break up'!E:E,'COGS Break up'!A:A,'MIS Working 1'!$D:$D,'COGS Break up'!C:C,'MIS Working 1'!$AA$1)</f>
        <v>0.05</v>
      </c>
      <c r="AB144" s="279">
        <f>SUMIFS('COGS Break up'!E:E,'COGS Break up'!A:A,'MIS Working 1'!$D:$D,'COGS Break up'!C:C,$AB$1)</f>
        <v>0.4</v>
      </c>
      <c r="AC144" s="279">
        <f>SUMIFS('COGS Break up'!E:E,'COGS Break up'!A:A,'MIS Working 1'!$D:$D,'COGS Break up'!C:C,$AC$1)</f>
        <v>1.5</v>
      </c>
      <c r="AD144" s="279">
        <f>SUMIFS('COGS Break up'!$E:$E,'COGS Break up'!$A:$A,'MIS Working 1'!$D144,'COGS Break up'!$D:$D,'MIS Working 1'!$AD$1)</f>
        <v>0</v>
      </c>
      <c r="AE144" s="279">
        <f>SUMIFS('COGS Break up'!$E:$E,'COGS Break up'!$A:$A,'MIS Working 1'!$D144,'COGS Break up'!$D:$D,'MIS Working 1'!$AE$1)</f>
        <v>1.95</v>
      </c>
      <c r="AF144" s="280">
        <f>'MIS Working 1'!$AG144+'MIS Working 1'!$AH144+'MIS Working 1'!$AM144+'MIS Working 1'!$AL144</f>
        <v>388076.75999999989</v>
      </c>
      <c r="AG144" s="279">
        <f>'MIS Working 1'!$L144*'MIS Working 1'!$Y144</f>
        <v>379010.15999999992</v>
      </c>
      <c r="AH144" s="279">
        <f>'MIS Working 1'!$L144*'MIS Working 1'!$Z144</f>
        <v>3942</v>
      </c>
      <c r="AI144" s="279">
        <f t="shared" si="6"/>
        <v>131.4</v>
      </c>
      <c r="AJ144" s="279">
        <f t="shared" si="7"/>
        <v>1051.2</v>
      </c>
      <c r="AK144" s="279">
        <f t="shared" si="8"/>
        <v>3942</v>
      </c>
      <c r="AL144" s="279">
        <f>'MIS Working 1'!$AD144*'MIS Working 1'!$L144</f>
        <v>0</v>
      </c>
      <c r="AM144" s="279">
        <f>'MIS Working 1'!$L144*'MIS Working 1'!$AE144+'MIS Working 1'!$AL144</f>
        <v>5124.5999999999995</v>
      </c>
    </row>
    <row r="145" spans="1:39" x14ac:dyDescent="0.3">
      <c r="A145" s="263" t="s">
        <v>479</v>
      </c>
      <c r="B145" s="264">
        <v>45981</v>
      </c>
      <c r="C145" s="265" t="s">
        <v>1734</v>
      </c>
      <c r="D145" s="265" t="s">
        <v>40</v>
      </c>
      <c r="E145" s="265" t="s">
        <v>41</v>
      </c>
      <c r="F145" s="265" t="s">
        <v>18</v>
      </c>
      <c r="G145" s="265" t="s">
        <v>34</v>
      </c>
      <c r="H145" s="265" t="s">
        <v>772</v>
      </c>
      <c r="I145" s="266">
        <v>7494</v>
      </c>
      <c r="J145" s="267">
        <v>1106638.98</v>
      </c>
      <c r="K145" s="266">
        <v>7494</v>
      </c>
      <c r="L145" s="266">
        <v>7494</v>
      </c>
      <c r="M145" s="264">
        <v>45981</v>
      </c>
      <c r="N145" s="267">
        <v>1221072.3600000001</v>
      </c>
      <c r="O145" s="265" t="s">
        <v>21</v>
      </c>
      <c r="P145" s="265" t="s">
        <v>22</v>
      </c>
      <c r="Q145" s="265" t="s">
        <v>660</v>
      </c>
      <c r="R145" s="265" t="str">
        <f>VLOOKUP('MIS Working 1'!$G145,Master!$H$3:$I$8,2,0)</f>
        <v>Semi-Finished Goods</v>
      </c>
      <c r="S145" s="265" t="str">
        <f>VLOOKUP('MIS Working 1'!$H145,Master!B:C,2,0)</f>
        <v>SFG-GV5 Stator</v>
      </c>
      <c r="T145" s="265" t="str">
        <f>VLOOKUP('MIS Working 1'!$S145,Master!E:F,2,0)</f>
        <v>Sub Ass.-Mech Stator</v>
      </c>
      <c r="U145" s="268">
        <f>'MIS Working 1'!$N145-'MIS Working 1'!$AF145</f>
        <v>114433.38000000035</v>
      </c>
      <c r="V145" s="269">
        <f>'MIS Working 1'!$U145/'MIS Working 1'!$N145</f>
        <v>9.3715478090094798E-2</v>
      </c>
      <c r="W145" s="265">
        <f>'MIS Working 1'!$N145/'MIS Working 1'!$L145</f>
        <v>162.94000000000003</v>
      </c>
      <c r="X145" s="270">
        <f>SUM('MIS Working 1'!$Y145:$AE145)</f>
        <v>149.61999999999998</v>
      </c>
      <c r="Y145" s="270">
        <f>SUMIFS('COGS Break up'!$E:$E,'COGS Break up'!$A:$A,'MIS Working 1'!$D145,'COGS Break up'!$D:$D,'MIS Working 1'!$Y$1)</f>
        <v>144.21999999999997</v>
      </c>
      <c r="Z145" s="270">
        <f>SUMIFS('COGS Break up'!$E:$E,'COGS Break up'!$A:$A,'MIS Working 1'!$D145,'COGS Break up'!$D:$D,'MIS Working 1'!$Z$1)</f>
        <v>1.5</v>
      </c>
      <c r="AA145" s="270">
        <f>SUMIFS('COGS Break up'!E:E,'COGS Break up'!A:A,'MIS Working 1'!$D:$D,'COGS Break up'!C:C,'MIS Working 1'!$AA$1)</f>
        <v>0.05</v>
      </c>
      <c r="AB145" s="270">
        <f>SUMIFS('COGS Break up'!E:E,'COGS Break up'!A:A,'MIS Working 1'!$D:$D,'COGS Break up'!C:C,$AB$1)</f>
        <v>0.4</v>
      </c>
      <c r="AC145" s="270">
        <f>SUMIFS('COGS Break up'!E:E,'COGS Break up'!A:A,'MIS Working 1'!$D:$D,'COGS Break up'!C:C,$AC$1)</f>
        <v>1.5</v>
      </c>
      <c r="AD145" s="270">
        <f>SUMIFS('COGS Break up'!$E:$E,'COGS Break up'!$A:$A,'MIS Working 1'!$D145,'COGS Break up'!$D:$D,'MIS Working 1'!$AD$1)</f>
        <v>0</v>
      </c>
      <c r="AE145" s="270">
        <f>SUMIFS('COGS Break up'!$E:$E,'COGS Break up'!$A:$A,'MIS Working 1'!$D145,'COGS Break up'!$D:$D,'MIS Working 1'!$AE$1)</f>
        <v>1.95</v>
      </c>
      <c r="AF145" s="271">
        <f>'MIS Working 1'!$AG145+'MIS Working 1'!$AH145+'MIS Working 1'!$AM145+'MIS Working 1'!$AL145</f>
        <v>1106638.9799999997</v>
      </c>
      <c r="AG145" s="270">
        <f>'MIS Working 1'!$L145*'MIS Working 1'!$Y145</f>
        <v>1080784.6799999997</v>
      </c>
      <c r="AH145" s="270">
        <f>'MIS Working 1'!$L145*'MIS Working 1'!$Z145</f>
        <v>11241</v>
      </c>
      <c r="AI145" s="270">
        <f t="shared" si="6"/>
        <v>374.70000000000005</v>
      </c>
      <c r="AJ145" s="270">
        <f t="shared" si="7"/>
        <v>2997.6000000000004</v>
      </c>
      <c r="AK145" s="270">
        <f t="shared" si="8"/>
        <v>11241</v>
      </c>
      <c r="AL145" s="270">
        <f>'MIS Working 1'!$AD145*'MIS Working 1'!$L145</f>
        <v>0</v>
      </c>
      <c r="AM145" s="270">
        <f>'MIS Working 1'!$L145*'MIS Working 1'!$AE145+'MIS Working 1'!$AL145</f>
        <v>14613.3</v>
      </c>
    </row>
    <row r="146" spans="1:39" x14ac:dyDescent="0.3">
      <c r="A146" s="272" t="s">
        <v>479</v>
      </c>
      <c r="B146" s="273">
        <v>45981</v>
      </c>
      <c r="C146" s="274" t="s">
        <v>1735</v>
      </c>
      <c r="D146" s="274" t="s">
        <v>1530</v>
      </c>
      <c r="E146" s="274" t="s">
        <v>1531</v>
      </c>
      <c r="F146" s="274" t="s">
        <v>18</v>
      </c>
      <c r="G146" s="274" t="s">
        <v>34</v>
      </c>
      <c r="H146" s="274" t="s">
        <v>772</v>
      </c>
      <c r="I146" s="275">
        <v>558</v>
      </c>
      <c r="J146" s="276">
        <v>54142.74</v>
      </c>
      <c r="K146" s="275">
        <v>558</v>
      </c>
      <c r="L146" s="275">
        <v>558</v>
      </c>
      <c r="M146" s="273">
        <v>45981</v>
      </c>
      <c r="N146" s="276">
        <v>71072.460000000006</v>
      </c>
      <c r="O146" s="274" t="s">
        <v>21</v>
      </c>
      <c r="P146" s="274" t="s">
        <v>22</v>
      </c>
      <c r="Q146" s="274" t="s">
        <v>660</v>
      </c>
      <c r="R146" s="274" t="str">
        <f>VLOOKUP('MIS Working 1'!$G146,Master!$H$3:$I$8,2,0)</f>
        <v>Semi-Finished Goods</v>
      </c>
      <c r="S146" s="274" t="str">
        <f>VLOOKUP('MIS Working 1'!$H146,Master!B:C,2,0)</f>
        <v>SFG-GV5 Stator</v>
      </c>
      <c r="T146" s="274" t="str">
        <f>VLOOKUP('MIS Working 1'!$S146,Master!E:F,2,0)</f>
        <v>Sub Ass.-Mech Stator</v>
      </c>
      <c r="U146" s="277">
        <f>'MIS Working 1'!$N146-'MIS Working 1'!$AF146</f>
        <v>16929.72</v>
      </c>
      <c r="V146" s="278">
        <f>'MIS Working 1'!$U146/'MIS Working 1'!$N146</f>
        <v>0.23820365863233101</v>
      </c>
      <c r="W146" s="274">
        <f>'MIS Working 1'!$N146/'MIS Working 1'!$L146</f>
        <v>127.37</v>
      </c>
      <c r="X146" s="279">
        <f>SUM('MIS Working 1'!$Y146:$AE146)</f>
        <v>98.940000000000012</v>
      </c>
      <c r="Y146" s="279">
        <f>SUMIFS('COGS Break up'!$E:$E,'COGS Break up'!$A:$A,'MIS Working 1'!$D146,'COGS Break up'!$D:$D,'MIS Working 1'!$Y$1)</f>
        <v>93.490000000000009</v>
      </c>
      <c r="Z146" s="279">
        <f>SUMIFS('COGS Break up'!$E:$E,'COGS Break up'!$A:$A,'MIS Working 1'!$D146,'COGS Break up'!$D:$D,'MIS Working 1'!$Z$1)</f>
        <v>1.63</v>
      </c>
      <c r="AA146" s="279">
        <f>SUMIFS('COGS Break up'!E:E,'COGS Break up'!A:A,'MIS Working 1'!$D:$D,'COGS Break up'!C:C,'MIS Working 1'!$AA$1)</f>
        <v>0.04</v>
      </c>
      <c r="AB146" s="279">
        <f>SUMIFS('COGS Break up'!E:E,'COGS Break up'!A:A,'MIS Working 1'!$D:$D,'COGS Break up'!C:C,$AB$1)</f>
        <v>0.37</v>
      </c>
      <c r="AC146" s="279">
        <f>SUMIFS('COGS Break up'!E:E,'COGS Break up'!A:A,'MIS Working 1'!$D:$D,'COGS Break up'!C:C,$AC$1)</f>
        <v>1.5</v>
      </c>
      <c r="AD146" s="279">
        <f>SUMIFS('COGS Break up'!$E:$E,'COGS Break up'!$A:$A,'MIS Working 1'!$D146,'COGS Break up'!$D:$D,'MIS Working 1'!$AD$1)</f>
        <v>0</v>
      </c>
      <c r="AE146" s="279">
        <f>SUMIFS('COGS Break up'!$E:$E,'COGS Break up'!$A:$A,'MIS Working 1'!$D146,'COGS Break up'!$D:$D,'MIS Working 1'!$AE$1)</f>
        <v>1.9100000000000001</v>
      </c>
      <c r="AF146" s="280">
        <f>'MIS Working 1'!$AG146+'MIS Working 1'!$AH146+'MIS Working 1'!$AM146+'MIS Working 1'!$AL146</f>
        <v>54142.740000000005</v>
      </c>
      <c r="AG146" s="279">
        <f>'MIS Working 1'!$L146*'MIS Working 1'!$Y146</f>
        <v>52167.420000000006</v>
      </c>
      <c r="AH146" s="279">
        <f>'MIS Working 1'!$L146*'MIS Working 1'!$Z146</f>
        <v>909.54</v>
      </c>
      <c r="AI146" s="279">
        <f t="shared" si="6"/>
        <v>22.32</v>
      </c>
      <c r="AJ146" s="279">
        <f t="shared" si="7"/>
        <v>206.46</v>
      </c>
      <c r="AK146" s="279">
        <f t="shared" si="8"/>
        <v>837</v>
      </c>
      <c r="AL146" s="279">
        <f>'MIS Working 1'!$AD146*'MIS Working 1'!$L146</f>
        <v>0</v>
      </c>
      <c r="AM146" s="279">
        <f>'MIS Working 1'!$L146*'MIS Working 1'!$AE146+'MIS Working 1'!$AL146</f>
        <v>1065.78</v>
      </c>
    </row>
    <row r="147" spans="1:39" x14ac:dyDescent="0.3">
      <c r="A147" s="263" t="s">
        <v>479</v>
      </c>
      <c r="B147" s="264">
        <v>45981</v>
      </c>
      <c r="C147" s="265" t="s">
        <v>1736</v>
      </c>
      <c r="D147" s="265" t="s">
        <v>639</v>
      </c>
      <c r="E147" s="265" t="s">
        <v>640</v>
      </c>
      <c r="F147" s="265" t="s">
        <v>18</v>
      </c>
      <c r="G147" s="265" t="s">
        <v>19</v>
      </c>
      <c r="H147" s="265" t="s">
        <v>27</v>
      </c>
      <c r="I147" s="266">
        <v>79</v>
      </c>
      <c r="J147" s="267">
        <v>50957.37</v>
      </c>
      <c r="K147" s="266">
        <v>79</v>
      </c>
      <c r="L147" s="266">
        <v>79</v>
      </c>
      <c r="M147" s="264">
        <v>45981</v>
      </c>
      <c r="N147" s="267">
        <v>57556.24</v>
      </c>
      <c r="O147" s="265" t="s">
        <v>21</v>
      </c>
      <c r="P147" s="265" t="s">
        <v>22</v>
      </c>
      <c r="Q147" s="265" t="s">
        <v>660</v>
      </c>
      <c r="R147" s="265" t="str">
        <f>VLOOKUP('MIS Working 1'!$G147,Master!$H$3:$I$8,2,0)</f>
        <v>Finished Goods</v>
      </c>
      <c r="S147" s="265" t="str">
        <f>VLOOKUP('MIS Working 1'!$H147,Master!B:C,2,0)</f>
        <v>FG-PCB-CF</v>
      </c>
      <c r="T147" s="265" t="str">
        <f>VLOOKUP('MIS Working 1'!$S147,Master!E:F,2,0)</f>
        <v>FG-PCB-CF</v>
      </c>
      <c r="U147" s="268">
        <f>'MIS Working 1'!$N147-'MIS Working 1'!$AF147</f>
        <v>6564.9000000000233</v>
      </c>
      <c r="V147" s="269">
        <f>'MIS Working 1'!$U147/'MIS Working 1'!$N147</f>
        <v>0.11406061271549399</v>
      </c>
      <c r="W147" s="265">
        <f>'MIS Working 1'!$N147/'MIS Working 1'!$L147</f>
        <v>728.56</v>
      </c>
      <c r="X147" s="270">
        <f>SUM('MIS Working 1'!$Y147:$AE147)</f>
        <v>677.50999999999965</v>
      </c>
      <c r="Y147" s="270">
        <f>SUMIFS('COGS Break up'!$E:$E,'COGS Break up'!$A:$A,'MIS Working 1'!$D147,'COGS Break up'!$D:$D,'MIS Working 1'!$Y$1)</f>
        <v>582.23999999999967</v>
      </c>
      <c r="Z147" s="270">
        <f>SUMIFS('COGS Break up'!$E:$E,'COGS Break up'!$A:$A,'MIS Working 1'!$D147,'COGS Break up'!$D:$D,'MIS Working 1'!$Z$1)</f>
        <v>29.88</v>
      </c>
      <c r="AA147" s="270">
        <f>SUMIFS('COGS Break up'!E:E,'COGS Break up'!A:A,'MIS Working 1'!$D:$D,'COGS Break up'!C:C,'MIS Working 1'!$AA$1)</f>
        <v>2.4500000000000002</v>
      </c>
      <c r="AB147" s="270">
        <f>SUMIFS('COGS Break up'!E:E,'COGS Break up'!A:A,'MIS Working 1'!$D:$D,'COGS Break up'!C:C,$AB$1)</f>
        <v>21.72</v>
      </c>
      <c r="AC147" s="270">
        <f>SUMIFS('COGS Break up'!E:E,'COGS Break up'!A:A,'MIS Working 1'!$D:$D,'COGS Break up'!C:C,$AC$1)</f>
        <v>8.31</v>
      </c>
      <c r="AD147" s="270">
        <f>SUMIFS('COGS Break up'!$E:$E,'COGS Break up'!$A:$A,'MIS Working 1'!$D147,'COGS Break up'!$D:$D,'MIS Working 1'!$AD$1)</f>
        <v>0.43</v>
      </c>
      <c r="AE147" s="270">
        <f>SUMIFS('COGS Break up'!$E:$E,'COGS Break up'!$A:$A,'MIS Working 1'!$D147,'COGS Break up'!$D:$D,'MIS Working 1'!$AE$1)</f>
        <v>32.480000000000004</v>
      </c>
      <c r="AF147" s="271">
        <f>'MIS Working 1'!$AG147+'MIS Working 1'!$AH147+'MIS Working 1'!$AM147+'MIS Working 1'!$AL147</f>
        <v>50991.339999999975</v>
      </c>
      <c r="AG147" s="270">
        <f>'MIS Working 1'!$L147*'MIS Working 1'!$Y147</f>
        <v>45996.959999999977</v>
      </c>
      <c r="AH147" s="270">
        <f>'MIS Working 1'!$L147*'MIS Working 1'!$Z147</f>
        <v>2360.52</v>
      </c>
      <c r="AI147" s="270">
        <f t="shared" si="6"/>
        <v>193.55</v>
      </c>
      <c r="AJ147" s="270">
        <f t="shared" si="7"/>
        <v>1715.8799999999999</v>
      </c>
      <c r="AK147" s="270">
        <f t="shared" si="8"/>
        <v>656.49</v>
      </c>
      <c r="AL147" s="270">
        <f>'MIS Working 1'!$AD147*'MIS Working 1'!$L147</f>
        <v>33.97</v>
      </c>
      <c r="AM147" s="270">
        <f>'MIS Working 1'!$L147*'MIS Working 1'!$AE147+'MIS Working 1'!$AL147</f>
        <v>2599.8900000000003</v>
      </c>
    </row>
    <row r="148" spans="1:39" x14ac:dyDescent="0.3">
      <c r="A148" s="272" t="s">
        <v>479</v>
      </c>
      <c r="B148" s="273">
        <v>45981</v>
      </c>
      <c r="C148" s="274" t="s">
        <v>1737</v>
      </c>
      <c r="D148" s="274" t="s">
        <v>639</v>
      </c>
      <c r="E148" s="274" t="s">
        <v>640</v>
      </c>
      <c r="F148" s="274" t="s">
        <v>18</v>
      </c>
      <c r="G148" s="274" t="s">
        <v>19</v>
      </c>
      <c r="H148" s="274" t="s">
        <v>27</v>
      </c>
      <c r="I148" s="275">
        <v>206</v>
      </c>
      <c r="J148" s="276">
        <v>132876.18</v>
      </c>
      <c r="K148" s="275">
        <v>206</v>
      </c>
      <c r="L148" s="275">
        <v>206</v>
      </c>
      <c r="M148" s="273">
        <v>45981</v>
      </c>
      <c r="N148" s="276">
        <v>150083.35999999999</v>
      </c>
      <c r="O148" s="274" t="s">
        <v>21</v>
      </c>
      <c r="P148" s="274" t="s">
        <v>22</v>
      </c>
      <c r="Q148" s="274" t="s">
        <v>660</v>
      </c>
      <c r="R148" s="274" t="str">
        <f>VLOOKUP('MIS Working 1'!$G148,Master!$H$3:$I$8,2,0)</f>
        <v>Finished Goods</v>
      </c>
      <c r="S148" s="274" t="str">
        <f>VLOOKUP('MIS Working 1'!$H148,Master!B:C,2,0)</f>
        <v>FG-PCB-CF</v>
      </c>
      <c r="T148" s="274" t="str">
        <f>VLOOKUP('MIS Working 1'!$S148,Master!E:F,2,0)</f>
        <v>FG-PCB-CF</v>
      </c>
      <c r="U148" s="277">
        <f>'MIS Working 1'!$N148-'MIS Working 1'!$AF148</f>
        <v>17118.600000000064</v>
      </c>
      <c r="V148" s="278">
        <f>'MIS Working 1'!$U148/'MIS Working 1'!$N148</f>
        <v>0.11406061271549402</v>
      </c>
      <c r="W148" s="274">
        <f>'MIS Working 1'!$N148/'MIS Working 1'!$L148</f>
        <v>728.56</v>
      </c>
      <c r="X148" s="279">
        <f>SUM('MIS Working 1'!$Y148:$AE148)</f>
        <v>677.50999999999965</v>
      </c>
      <c r="Y148" s="279">
        <f>SUMIFS('COGS Break up'!$E:$E,'COGS Break up'!$A:$A,'MIS Working 1'!$D148,'COGS Break up'!$D:$D,'MIS Working 1'!$Y$1)</f>
        <v>582.23999999999967</v>
      </c>
      <c r="Z148" s="279">
        <f>SUMIFS('COGS Break up'!$E:$E,'COGS Break up'!$A:$A,'MIS Working 1'!$D148,'COGS Break up'!$D:$D,'MIS Working 1'!$Z$1)</f>
        <v>29.88</v>
      </c>
      <c r="AA148" s="279">
        <f>SUMIFS('COGS Break up'!E:E,'COGS Break up'!A:A,'MIS Working 1'!$D:$D,'COGS Break up'!C:C,'MIS Working 1'!$AA$1)</f>
        <v>2.4500000000000002</v>
      </c>
      <c r="AB148" s="279">
        <f>SUMIFS('COGS Break up'!E:E,'COGS Break up'!A:A,'MIS Working 1'!$D:$D,'COGS Break up'!C:C,$AB$1)</f>
        <v>21.72</v>
      </c>
      <c r="AC148" s="279">
        <f>SUMIFS('COGS Break up'!E:E,'COGS Break up'!A:A,'MIS Working 1'!$D:$D,'COGS Break up'!C:C,$AC$1)</f>
        <v>8.31</v>
      </c>
      <c r="AD148" s="279">
        <f>SUMIFS('COGS Break up'!$E:$E,'COGS Break up'!$A:$A,'MIS Working 1'!$D148,'COGS Break up'!$D:$D,'MIS Working 1'!$AD$1)</f>
        <v>0.43</v>
      </c>
      <c r="AE148" s="279">
        <f>SUMIFS('COGS Break up'!$E:$E,'COGS Break up'!$A:$A,'MIS Working 1'!$D148,'COGS Break up'!$D:$D,'MIS Working 1'!$AE$1)</f>
        <v>32.480000000000004</v>
      </c>
      <c r="AF148" s="280">
        <f>'MIS Working 1'!$AG148+'MIS Working 1'!$AH148+'MIS Working 1'!$AM148+'MIS Working 1'!$AL148</f>
        <v>132964.75999999992</v>
      </c>
      <c r="AG148" s="279">
        <f>'MIS Working 1'!$L148*'MIS Working 1'!$Y148</f>
        <v>119941.43999999993</v>
      </c>
      <c r="AH148" s="279">
        <f>'MIS Working 1'!$L148*'MIS Working 1'!$Z148</f>
        <v>6155.28</v>
      </c>
      <c r="AI148" s="279">
        <f t="shared" si="6"/>
        <v>504.70000000000005</v>
      </c>
      <c r="AJ148" s="279">
        <f t="shared" si="7"/>
        <v>4474.32</v>
      </c>
      <c r="AK148" s="279">
        <f t="shared" si="8"/>
        <v>1711.8600000000001</v>
      </c>
      <c r="AL148" s="279">
        <f>'MIS Working 1'!$AD148*'MIS Working 1'!$L148</f>
        <v>88.58</v>
      </c>
      <c r="AM148" s="279">
        <f>'MIS Working 1'!$L148*'MIS Working 1'!$AE148+'MIS Working 1'!$AL148</f>
        <v>6779.4600000000009</v>
      </c>
    </row>
    <row r="149" spans="1:39" x14ac:dyDescent="0.3">
      <c r="A149" s="263" t="s">
        <v>479</v>
      </c>
      <c r="B149" s="264">
        <v>45981</v>
      </c>
      <c r="C149" s="265" t="s">
        <v>1738</v>
      </c>
      <c r="D149" s="265" t="s">
        <v>1182</v>
      </c>
      <c r="E149" s="265" t="s">
        <v>1183</v>
      </c>
      <c r="F149" s="265" t="s">
        <v>18</v>
      </c>
      <c r="G149" s="265" t="s">
        <v>19</v>
      </c>
      <c r="H149" s="265" t="s">
        <v>27</v>
      </c>
      <c r="I149" s="266">
        <v>895</v>
      </c>
      <c r="J149" s="267">
        <v>377135.1</v>
      </c>
      <c r="K149" s="266">
        <v>895</v>
      </c>
      <c r="L149" s="266">
        <v>895</v>
      </c>
      <c r="M149" s="264">
        <v>45981</v>
      </c>
      <c r="N149" s="267">
        <v>432428.2</v>
      </c>
      <c r="O149" s="265" t="s">
        <v>21</v>
      </c>
      <c r="P149" s="265" t="s">
        <v>22</v>
      </c>
      <c r="Q149" s="265" t="s">
        <v>660</v>
      </c>
      <c r="R149" s="265" t="str">
        <f>VLOOKUP('MIS Working 1'!$G149,Master!$H$3:$I$8,2,0)</f>
        <v>Finished Goods</v>
      </c>
      <c r="S149" s="265" t="str">
        <f>VLOOKUP('MIS Working 1'!$H149,Master!B:C,2,0)</f>
        <v>FG-PCB-CF</v>
      </c>
      <c r="T149" s="265" t="str">
        <f>VLOOKUP('MIS Working 1'!$S149,Master!E:F,2,0)</f>
        <v>FG-PCB-CF</v>
      </c>
      <c r="U149" s="268">
        <f>'MIS Working 1'!$N149-'MIS Working 1'!$AF149</f>
        <v>55060.40000000014</v>
      </c>
      <c r="V149" s="269">
        <f>'MIS Working 1'!$U149/'MIS Working 1'!$N149</f>
        <v>0.12732842122692309</v>
      </c>
      <c r="W149" s="265">
        <f>'MIS Working 1'!$N149/'MIS Working 1'!$L149</f>
        <v>483.16</v>
      </c>
      <c r="X149" s="270">
        <f>SUM('MIS Working 1'!$Y149:$AE149)</f>
        <v>447.47999999999985</v>
      </c>
      <c r="Y149" s="270">
        <f>SUMIFS('COGS Break up'!$E:$E,'COGS Break up'!$A:$A,'MIS Working 1'!$D149,'COGS Break up'!$D:$D,'MIS Working 1'!$Y$1)</f>
        <v>373.01999999999981</v>
      </c>
      <c r="Z149" s="270">
        <f>SUMIFS('COGS Break up'!$E:$E,'COGS Break up'!$A:$A,'MIS Working 1'!$D149,'COGS Break up'!$D:$D,'MIS Working 1'!$Z$1)</f>
        <v>22</v>
      </c>
      <c r="AA149" s="270">
        <f>SUMIFS('COGS Break up'!E:E,'COGS Break up'!A:A,'MIS Working 1'!$D:$D,'COGS Break up'!C:C,'MIS Working 1'!$AA$1)</f>
        <v>1.8</v>
      </c>
      <c r="AB149" s="270">
        <f>SUMIFS('COGS Break up'!E:E,'COGS Break up'!A:A,'MIS Working 1'!$D:$D,'COGS Break up'!C:C,$AB$1)</f>
        <v>15.99</v>
      </c>
      <c r="AC149" s="270">
        <f>SUMIFS('COGS Break up'!E:E,'COGS Break up'!A:A,'MIS Working 1'!$D:$D,'COGS Break up'!C:C,$AC$1)</f>
        <v>8.31</v>
      </c>
      <c r="AD149" s="270">
        <f>SUMIFS('COGS Break up'!$E:$E,'COGS Break up'!$A:$A,'MIS Working 1'!$D149,'COGS Break up'!$D:$D,'MIS Working 1'!$AD$1)</f>
        <v>0.26</v>
      </c>
      <c r="AE149" s="270">
        <f>SUMIFS('COGS Break up'!$E:$E,'COGS Break up'!$A:$A,'MIS Working 1'!$D149,'COGS Break up'!$D:$D,'MIS Working 1'!$AE$1)</f>
        <v>26.1</v>
      </c>
      <c r="AF149" s="271">
        <f>'MIS Working 1'!$AG149+'MIS Working 1'!$AH149+'MIS Working 1'!$AM149+'MIS Working 1'!$AL149</f>
        <v>377367.79999999987</v>
      </c>
      <c r="AG149" s="270">
        <f>'MIS Working 1'!$L149*'MIS Working 1'!$Y149</f>
        <v>333852.89999999985</v>
      </c>
      <c r="AH149" s="270">
        <f>'MIS Working 1'!$L149*'MIS Working 1'!$Z149</f>
        <v>19690</v>
      </c>
      <c r="AI149" s="270">
        <f t="shared" si="6"/>
        <v>1611</v>
      </c>
      <c r="AJ149" s="270">
        <f t="shared" si="7"/>
        <v>14311.050000000001</v>
      </c>
      <c r="AK149" s="270">
        <f t="shared" si="8"/>
        <v>7437.4500000000007</v>
      </c>
      <c r="AL149" s="270">
        <f>'MIS Working 1'!$AD149*'MIS Working 1'!$L149</f>
        <v>232.70000000000002</v>
      </c>
      <c r="AM149" s="270">
        <f>'MIS Working 1'!$L149*'MIS Working 1'!$AE149+'MIS Working 1'!$AL149</f>
        <v>23592.2</v>
      </c>
    </row>
    <row r="150" spans="1:39" x14ac:dyDescent="0.3">
      <c r="A150" s="272" t="s">
        <v>479</v>
      </c>
      <c r="B150" s="273">
        <v>45981</v>
      </c>
      <c r="C150" s="274" t="s">
        <v>1739</v>
      </c>
      <c r="D150" s="274" t="s">
        <v>38</v>
      </c>
      <c r="E150" s="274" t="s">
        <v>39</v>
      </c>
      <c r="F150" s="274" t="s">
        <v>18</v>
      </c>
      <c r="G150" s="274" t="s">
        <v>19</v>
      </c>
      <c r="H150" s="274" t="s">
        <v>27</v>
      </c>
      <c r="I150" s="275">
        <v>840</v>
      </c>
      <c r="J150" s="276">
        <v>274789.2</v>
      </c>
      <c r="K150" s="275">
        <v>840</v>
      </c>
      <c r="L150" s="275">
        <v>840</v>
      </c>
      <c r="M150" s="273">
        <v>45981</v>
      </c>
      <c r="N150" s="276">
        <v>286498.8</v>
      </c>
      <c r="O150" s="274" t="s">
        <v>21</v>
      </c>
      <c r="P150" s="274" t="s">
        <v>22</v>
      </c>
      <c r="Q150" s="274" t="s">
        <v>660</v>
      </c>
      <c r="R150" s="274" t="str">
        <f>VLOOKUP('MIS Working 1'!$G150,Master!$H$3:$I$8,2,0)</f>
        <v>Finished Goods</v>
      </c>
      <c r="S150" s="274" t="str">
        <f>VLOOKUP('MIS Working 1'!$H150,Master!B:C,2,0)</f>
        <v>FG-PCB-CF</v>
      </c>
      <c r="T150" s="274" t="str">
        <f>VLOOKUP('MIS Working 1'!$S150,Master!E:F,2,0)</f>
        <v>FG-PCB-CF</v>
      </c>
      <c r="U150" s="277">
        <f>'MIS Working 1'!$N150-'MIS Working 1'!$AF150</f>
        <v>11566.800000000047</v>
      </c>
      <c r="V150" s="278">
        <f>'MIS Working 1'!$U150/'MIS Working 1'!$N150</f>
        <v>4.0372943970446114E-2</v>
      </c>
      <c r="W150" s="274">
        <f>'MIS Working 1'!$N150/'MIS Working 1'!$L150</f>
        <v>341.07</v>
      </c>
      <c r="X150" s="279">
        <f>SUM('MIS Working 1'!$Y150:$AE150)</f>
        <v>353.55</v>
      </c>
      <c r="Y150" s="279">
        <f>SUMIFS('COGS Break up'!$E:$E,'COGS Break up'!$A:$A,'MIS Working 1'!$D150,'COGS Break up'!$D:$D,'MIS Working 1'!$Y$1)</f>
        <v>278.14</v>
      </c>
      <c r="Z150" s="279">
        <f>SUMIFS('COGS Break up'!$E:$E,'COGS Break up'!$A:$A,'MIS Working 1'!$D150,'COGS Break up'!$D:$D,'MIS Working 1'!$Z$1)</f>
        <v>22.400000000000002</v>
      </c>
      <c r="AA150" s="279">
        <f>SUMIFS('COGS Break up'!E:E,'COGS Break up'!A:A,'MIS Working 1'!$D:$D,'COGS Break up'!C:C,'MIS Working 1'!$AA$1)</f>
        <v>1.8299999999999998</v>
      </c>
      <c r="AB150" s="279">
        <f>SUMIFS('COGS Break up'!E:E,'COGS Break up'!A:A,'MIS Working 1'!$D:$D,'COGS Break up'!C:C,$AB$1)</f>
        <v>16.28</v>
      </c>
      <c r="AC150" s="279">
        <f>SUMIFS('COGS Break up'!E:E,'COGS Break up'!A:A,'MIS Working 1'!$D:$D,'COGS Break up'!C:C,$AC$1)</f>
        <v>8.31</v>
      </c>
      <c r="AD150" s="279">
        <f>SUMIFS('COGS Break up'!$E:$E,'COGS Break up'!$A:$A,'MIS Working 1'!$D150,'COGS Break up'!$D:$D,'MIS Working 1'!$AD$1)</f>
        <v>0.17</v>
      </c>
      <c r="AE150" s="279">
        <f>SUMIFS('COGS Break up'!$E:$E,'COGS Break up'!$A:$A,'MIS Working 1'!$D150,'COGS Break up'!$D:$D,'MIS Working 1'!$AE$1)</f>
        <v>26.42</v>
      </c>
      <c r="AF150" s="280">
        <f>'MIS Working 1'!$AG150+'MIS Working 1'!$AH150+'MIS Working 1'!$AM150+'MIS Working 1'!$AL150</f>
        <v>274931.99999999994</v>
      </c>
      <c r="AG150" s="279">
        <f>'MIS Working 1'!$L150*'MIS Working 1'!$Y150</f>
        <v>233637.59999999998</v>
      </c>
      <c r="AH150" s="279">
        <f>'MIS Working 1'!$L150*'MIS Working 1'!$Z150</f>
        <v>18816</v>
      </c>
      <c r="AI150" s="279">
        <f t="shared" si="6"/>
        <v>1537.1999999999998</v>
      </c>
      <c r="AJ150" s="279">
        <f t="shared" si="7"/>
        <v>13675.2</v>
      </c>
      <c r="AK150" s="279">
        <f t="shared" si="8"/>
        <v>6980.4000000000005</v>
      </c>
      <c r="AL150" s="279">
        <f>'MIS Working 1'!$AD150*'MIS Working 1'!$L150</f>
        <v>142.80000000000001</v>
      </c>
      <c r="AM150" s="279">
        <f>'MIS Working 1'!$L150*'MIS Working 1'!$AE150+'MIS Working 1'!$AL150</f>
        <v>22335.600000000002</v>
      </c>
    </row>
    <row r="151" spans="1:39" x14ac:dyDescent="0.3">
      <c r="A151" s="263" t="s">
        <v>479</v>
      </c>
      <c r="B151" s="264">
        <v>45981</v>
      </c>
      <c r="C151" s="265" t="s">
        <v>1737</v>
      </c>
      <c r="D151" s="265" t="s">
        <v>38</v>
      </c>
      <c r="E151" s="265" t="s">
        <v>39</v>
      </c>
      <c r="F151" s="265" t="s">
        <v>18</v>
      </c>
      <c r="G151" s="265" t="s">
        <v>19</v>
      </c>
      <c r="H151" s="265" t="s">
        <v>27</v>
      </c>
      <c r="I151" s="266">
        <v>1155</v>
      </c>
      <c r="J151" s="267">
        <v>377835.15</v>
      </c>
      <c r="K151" s="266">
        <v>1155</v>
      </c>
      <c r="L151" s="266">
        <v>1155</v>
      </c>
      <c r="M151" s="264">
        <v>45981</v>
      </c>
      <c r="N151" s="267">
        <v>393935.85</v>
      </c>
      <c r="O151" s="265" t="s">
        <v>21</v>
      </c>
      <c r="P151" s="265" t="s">
        <v>22</v>
      </c>
      <c r="Q151" s="265" t="s">
        <v>660</v>
      </c>
      <c r="R151" s="265" t="str">
        <f>VLOOKUP('MIS Working 1'!$G151,Master!$H$3:$I$8,2,0)</f>
        <v>Finished Goods</v>
      </c>
      <c r="S151" s="265" t="str">
        <f>VLOOKUP('MIS Working 1'!$H151,Master!B:C,2,0)</f>
        <v>FG-PCB-CF</v>
      </c>
      <c r="T151" s="265" t="str">
        <f>VLOOKUP('MIS Working 1'!$S151,Master!E:F,2,0)</f>
        <v>FG-PCB-CF</v>
      </c>
      <c r="U151" s="268">
        <f>'MIS Working 1'!$N151-'MIS Working 1'!$AF151</f>
        <v>15904.349999999977</v>
      </c>
      <c r="V151" s="269">
        <f>'MIS Working 1'!$U151/'MIS Working 1'!$N151</f>
        <v>4.0372943970445892E-2</v>
      </c>
      <c r="W151" s="265">
        <f>'MIS Working 1'!$N151/'MIS Working 1'!$L151</f>
        <v>341.07</v>
      </c>
      <c r="X151" s="270">
        <f>SUM('MIS Working 1'!$Y151:$AE151)</f>
        <v>353.55</v>
      </c>
      <c r="Y151" s="270">
        <f>SUMIFS('COGS Break up'!$E:$E,'COGS Break up'!$A:$A,'MIS Working 1'!$D151,'COGS Break up'!$D:$D,'MIS Working 1'!$Y$1)</f>
        <v>278.14</v>
      </c>
      <c r="Z151" s="270">
        <f>SUMIFS('COGS Break up'!$E:$E,'COGS Break up'!$A:$A,'MIS Working 1'!$D151,'COGS Break up'!$D:$D,'MIS Working 1'!$Z$1)</f>
        <v>22.400000000000002</v>
      </c>
      <c r="AA151" s="270">
        <f>SUMIFS('COGS Break up'!E:E,'COGS Break up'!A:A,'MIS Working 1'!$D:$D,'COGS Break up'!C:C,'MIS Working 1'!$AA$1)</f>
        <v>1.8299999999999998</v>
      </c>
      <c r="AB151" s="270">
        <f>SUMIFS('COGS Break up'!E:E,'COGS Break up'!A:A,'MIS Working 1'!$D:$D,'COGS Break up'!C:C,$AB$1)</f>
        <v>16.28</v>
      </c>
      <c r="AC151" s="270">
        <f>SUMIFS('COGS Break up'!E:E,'COGS Break up'!A:A,'MIS Working 1'!$D:$D,'COGS Break up'!C:C,$AC$1)</f>
        <v>8.31</v>
      </c>
      <c r="AD151" s="270">
        <f>SUMIFS('COGS Break up'!$E:$E,'COGS Break up'!$A:$A,'MIS Working 1'!$D151,'COGS Break up'!$D:$D,'MIS Working 1'!$AD$1)</f>
        <v>0.17</v>
      </c>
      <c r="AE151" s="270">
        <f>SUMIFS('COGS Break up'!$E:$E,'COGS Break up'!$A:$A,'MIS Working 1'!$D151,'COGS Break up'!$D:$D,'MIS Working 1'!$AE$1)</f>
        <v>26.42</v>
      </c>
      <c r="AF151" s="271">
        <f>'MIS Working 1'!$AG151+'MIS Working 1'!$AH151+'MIS Working 1'!$AM151+'MIS Working 1'!$AL151</f>
        <v>378031.5</v>
      </c>
      <c r="AG151" s="270">
        <f>'MIS Working 1'!$L151*'MIS Working 1'!$Y151</f>
        <v>321251.7</v>
      </c>
      <c r="AH151" s="270">
        <f>'MIS Working 1'!$L151*'MIS Working 1'!$Z151</f>
        <v>25872.000000000004</v>
      </c>
      <c r="AI151" s="270">
        <f t="shared" si="6"/>
        <v>2113.6499999999996</v>
      </c>
      <c r="AJ151" s="270">
        <f t="shared" si="7"/>
        <v>18803.400000000001</v>
      </c>
      <c r="AK151" s="270">
        <f t="shared" si="8"/>
        <v>9598.0500000000011</v>
      </c>
      <c r="AL151" s="270">
        <f>'MIS Working 1'!$AD151*'MIS Working 1'!$L151</f>
        <v>196.35000000000002</v>
      </c>
      <c r="AM151" s="270">
        <f>'MIS Working 1'!$L151*'MIS Working 1'!$AE151+'MIS Working 1'!$AL151</f>
        <v>30711.45</v>
      </c>
    </row>
    <row r="152" spans="1:39" x14ac:dyDescent="0.3">
      <c r="A152" s="272" t="s">
        <v>479</v>
      </c>
      <c r="B152" s="273">
        <v>45981</v>
      </c>
      <c r="C152" s="274" t="s">
        <v>1737</v>
      </c>
      <c r="D152" s="274" t="s">
        <v>30</v>
      </c>
      <c r="E152" s="274" t="s">
        <v>31</v>
      </c>
      <c r="F152" s="274" t="s">
        <v>18</v>
      </c>
      <c r="G152" s="274" t="s">
        <v>19</v>
      </c>
      <c r="H152" s="274" t="s">
        <v>27</v>
      </c>
      <c r="I152" s="275">
        <v>1030</v>
      </c>
      <c r="J152" s="276">
        <v>336913</v>
      </c>
      <c r="K152" s="275">
        <v>1030</v>
      </c>
      <c r="L152" s="275">
        <v>1030</v>
      </c>
      <c r="M152" s="273">
        <v>45981</v>
      </c>
      <c r="N152" s="276">
        <v>351302.1</v>
      </c>
      <c r="O152" s="274" t="s">
        <v>21</v>
      </c>
      <c r="P152" s="274" t="s">
        <v>22</v>
      </c>
      <c r="Q152" s="274" t="s">
        <v>660</v>
      </c>
      <c r="R152" s="274" t="str">
        <f>VLOOKUP('MIS Working 1'!$G152,Master!$H$3:$I$8,2,0)</f>
        <v>Finished Goods</v>
      </c>
      <c r="S152" s="274" t="str">
        <f>VLOOKUP('MIS Working 1'!$H152,Master!B:C,2,0)</f>
        <v>FG-PCB-CF</v>
      </c>
      <c r="T152" s="274" t="str">
        <f>VLOOKUP('MIS Working 1'!$S152,Master!E:F,2,0)</f>
        <v>FG-PCB-CF</v>
      </c>
      <c r="U152" s="277">
        <f>'MIS Working 1'!$N152-'MIS Working 1'!$AF152</f>
        <v>14213.999999999942</v>
      </c>
      <c r="V152" s="278">
        <f>'MIS Working 1'!$U152/'MIS Working 1'!$N152</f>
        <v>4.0460902454041527E-2</v>
      </c>
      <c r="W152" s="274">
        <f>'MIS Working 1'!$N152/'MIS Working 1'!$L152</f>
        <v>341.07</v>
      </c>
      <c r="X152" s="279">
        <f>SUM('MIS Working 1'!$Y152:$AE152)</f>
        <v>353.52000000000004</v>
      </c>
      <c r="Y152" s="279">
        <f>SUMIFS('COGS Break up'!$E:$E,'COGS Break up'!$A:$A,'MIS Working 1'!$D152,'COGS Break up'!$D:$D,'MIS Working 1'!$Y$1)</f>
        <v>278.11000000000007</v>
      </c>
      <c r="Z152" s="279">
        <f>SUMIFS('COGS Break up'!$E:$E,'COGS Break up'!$A:$A,'MIS Working 1'!$D152,'COGS Break up'!$D:$D,'MIS Working 1'!$Z$1)</f>
        <v>22.400000000000002</v>
      </c>
      <c r="AA152" s="279">
        <f>SUMIFS('COGS Break up'!E:E,'COGS Break up'!A:A,'MIS Working 1'!$D:$D,'COGS Break up'!C:C,'MIS Working 1'!$AA$1)</f>
        <v>1.8299999999999998</v>
      </c>
      <c r="AB152" s="279">
        <f>SUMIFS('COGS Break up'!E:E,'COGS Break up'!A:A,'MIS Working 1'!$D:$D,'COGS Break up'!C:C,$AB$1)</f>
        <v>16.28</v>
      </c>
      <c r="AC152" s="279">
        <f>SUMIFS('COGS Break up'!E:E,'COGS Break up'!A:A,'MIS Working 1'!$D:$D,'COGS Break up'!C:C,$AC$1)</f>
        <v>8.31</v>
      </c>
      <c r="AD152" s="279">
        <f>SUMIFS('COGS Break up'!$E:$E,'COGS Break up'!$A:$A,'MIS Working 1'!$D152,'COGS Break up'!$D:$D,'MIS Working 1'!$AD$1)</f>
        <v>0.17</v>
      </c>
      <c r="AE152" s="279">
        <f>SUMIFS('COGS Break up'!$E:$E,'COGS Break up'!$A:$A,'MIS Working 1'!$D152,'COGS Break up'!$D:$D,'MIS Working 1'!$AE$1)</f>
        <v>26.42</v>
      </c>
      <c r="AF152" s="280">
        <f>'MIS Working 1'!$AG152+'MIS Working 1'!$AH152+'MIS Working 1'!$AM152+'MIS Working 1'!$AL152</f>
        <v>337088.10000000003</v>
      </c>
      <c r="AG152" s="279">
        <f>'MIS Working 1'!$L152*'MIS Working 1'!$Y152</f>
        <v>286453.30000000005</v>
      </c>
      <c r="AH152" s="279">
        <f>'MIS Working 1'!$L152*'MIS Working 1'!$Z152</f>
        <v>23072.000000000004</v>
      </c>
      <c r="AI152" s="279">
        <f t="shared" si="6"/>
        <v>1884.8999999999999</v>
      </c>
      <c r="AJ152" s="279">
        <f t="shared" si="7"/>
        <v>16768.400000000001</v>
      </c>
      <c r="AK152" s="279">
        <f t="shared" si="8"/>
        <v>8559.3000000000011</v>
      </c>
      <c r="AL152" s="279">
        <f>'MIS Working 1'!$AD152*'MIS Working 1'!$L152</f>
        <v>175.10000000000002</v>
      </c>
      <c r="AM152" s="279">
        <f>'MIS Working 1'!$L152*'MIS Working 1'!$AE152+'MIS Working 1'!$AL152</f>
        <v>27387.7</v>
      </c>
    </row>
    <row r="153" spans="1:39" x14ac:dyDescent="0.3">
      <c r="A153" s="263" t="s">
        <v>479</v>
      </c>
      <c r="B153" s="264">
        <v>45981</v>
      </c>
      <c r="C153" s="265" t="s">
        <v>1736</v>
      </c>
      <c r="D153" s="265" t="s">
        <v>380</v>
      </c>
      <c r="E153" s="265" t="s">
        <v>381</v>
      </c>
      <c r="F153" s="265" t="s">
        <v>18</v>
      </c>
      <c r="G153" s="265" t="s">
        <v>19</v>
      </c>
      <c r="H153" s="265" t="s">
        <v>27</v>
      </c>
      <c r="I153" s="266">
        <v>202</v>
      </c>
      <c r="J153" s="267">
        <v>43753.2</v>
      </c>
      <c r="K153" s="266">
        <v>202</v>
      </c>
      <c r="L153" s="266">
        <v>202</v>
      </c>
      <c r="M153" s="264">
        <v>45981</v>
      </c>
      <c r="N153" s="267">
        <v>44813.7</v>
      </c>
      <c r="O153" s="265" t="s">
        <v>21</v>
      </c>
      <c r="P153" s="265" t="s">
        <v>22</v>
      </c>
      <c r="Q153" s="265" t="s">
        <v>660</v>
      </c>
      <c r="R153" s="265" t="str">
        <f>VLOOKUP('MIS Working 1'!$G153,Master!$H$3:$I$8,2,0)</f>
        <v>Finished Goods</v>
      </c>
      <c r="S153" s="265" t="str">
        <f>VLOOKUP('MIS Working 1'!$H153,Master!B:C,2,0)</f>
        <v>FG-PCB-CF</v>
      </c>
      <c r="T153" s="265" t="str">
        <f>VLOOKUP('MIS Working 1'!$S153,Master!E:F,2,0)</f>
        <v>FG-PCB-CF</v>
      </c>
      <c r="U153" s="268">
        <f>'MIS Working 1'!$N153-'MIS Working 1'!$AF153</f>
        <v>1052.4200000000055</v>
      </c>
      <c r="V153" s="269">
        <f>'MIS Working 1'!$U153/'MIS Working 1'!$N153</f>
        <v>2.3484336263241052E-2</v>
      </c>
      <c r="W153" s="265">
        <f>'MIS Working 1'!$N153/'MIS Working 1'!$L153</f>
        <v>221.85</v>
      </c>
      <c r="X153" s="270">
        <f>SUM('MIS Working 1'!$Y153:$AE153)</f>
        <v>239.77999999999994</v>
      </c>
      <c r="Y153" s="270">
        <f>SUMIFS('COGS Break up'!$E:$E,'COGS Break up'!$A:$A,'MIS Working 1'!$D153,'COGS Break up'!$D:$D,'MIS Working 1'!$Y$1)</f>
        <v>174.98999999999995</v>
      </c>
      <c r="Z153" s="270">
        <f>SUMIFS('COGS Break up'!$E:$E,'COGS Break up'!$A:$A,'MIS Working 1'!$D153,'COGS Break up'!$D:$D,'MIS Working 1'!$Z$1)</f>
        <v>18.389999999999997</v>
      </c>
      <c r="AA153" s="270">
        <f>SUMIFS('COGS Break up'!E:E,'COGS Break up'!A:A,'MIS Working 1'!$D:$D,'COGS Break up'!C:C,'MIS Working 1'!$AA$1)</f>
        <v>1.5</v>
      </c>
      <c r="AB153" s="270">
        <f>SUMIFS('COGS Break up'!E:E,'COGS Break up'!A:A,'MIS Working 1'!$D:$D,'COGS Break up'!C:C,$AB$1)</f>
        <v>13.37</v>
      </c>
      <c r="AC153" s="270">
        <f>SUMIFS('COGS Break up'!E:E,'COGS Break up'!A:A,'MIS Working 1'!$D:$D,'COGS Break up'!C:C,$AC$1)</f>
        <v>8.31</v>
      </c>
      <c r="AD153" s="270">
        <f>SUMIFS('COGS Break up'!$E:$E,'COGS Break up'!$A:$A,'MIS Working 1'!$D153,'COGS Break up'!$D:$D,'MIS Working 1'!$AD$1)</f>
        <v>0.04</v>
      </c>
      <c r="AE153" s="270">
        <f>SUMIFS('COGS Break up'!$E:$E,'COGS Break up'!$A:$A,'MIS Working 1'!$D153,'COGS Break up'!$D:$D,'MIS Working 1'!$AE$1)</f>
        <v>23.18</v>
      </c>
      <c r="AF153" s="271">
        <f>'MIS Working 1'!$AG153+'MIS Working 1'!$AH153+'MIS Working 1'!$AM153+'MIS Working 1'!$AL153</f>
        <v>43761.279999999992</v>
      </c>
      <c r="AG153" s="270">
        <f>'MIS Working 1'!$L153*'MIS Working 1'!$Y153</f>
        <v>35347.979999999989</v>
      </c>
      <c r="AH153" s="270">
        <f>'MIS Working 1'!$L153*'MIS Working 1'!$Z153</f>
        <v>3714.7799999999993</v>
      </c>
      <c r="AI153" s="270">
        <f t="shared" si="6"/>
        <v>303</v>
      </c>
      <c r="AJ153" s="270">
        <f t="shared" si="7"/>
        <v>2700.74</v>
      </c>
      <c r="AK153" s="270">
        <f t="shared" si="8"/>
        <v>1678.6200000000001</v>
      </c>
      <c r="AL153" s="270">
        <f>'MIS Working 1'!$AD153*'MIS Working 1'!$L153</f>
        <v>8.08</v>
      </c>
      <c r="AM153" s="270">
        <f>'MIS Working 1'!$L153*'MIS Working 1'!$AE153+'MIS Working 1'!$AL153</f>
        <v>4690.4399999999996</v>
      </c>
    </row>
    <row r="154" spans="1:39" x14ac:dyDescent="0.3">
      <c r="A154" s="272" t="s">
        <v>479</v>
      </c>
      <c r="B154" s="273">
        <v>45981</v>
      </c>
      <c r="C154" s="274" t="s">
        <v>1737</v>
      </c>
      <c r="D154" s="274" t="s">
        <v>380</v>
      </c>
      <c r="E154" s="274" t="s">
        <v>381</v>
      </c>
      <c r="F154" s="274" t="s">
        <v>18</v>
      </c>
      <c r="G154" s="274" t="s">
        <v>19</v>
      </c>
      <c r="H154" s="274" t="s">
        <v>27</v>
      </c>
      <c r="I154" s="275">
        <v>789</v>
      </c>
      <c r="J154" s="276">
        <v>170897.4</v>
      </c>
      <c r="K154" s="275">
        <v>789</v>
      </c>
      <c r="L154" s="275">
        <v>789</v>
      </c>
      <c r="M154" s="273">
        <v>45981</v>
      </c>
      <c r="N154" s="276">
        <v>175039.65</v>
      </c>
      <c r="O154" s="274" t="s">
        <v>21</v>
      </c>
      <c r="P154" s="274" t="s">
        <v>22</v>
      </c>
      <c r="Q154" s="274" t="s">
        <v>660</v>
      </c>
      <c r="R154" s="274" t="str">
        <f>VLOOKUP('MIS Working 1'!$G154,Master!$H$3:$I$8,2,0)</f>
        <v>Finished Goods</v>
      </c>
      <c r="S154" s="274" t="str">
        <f>VLOOKUP('MIS Working 1'!$H154,Master!B:C,2,0)</f>
        <v>FG-PCB-CF</v>
      </c>
      <c r="T154" s="274" t="str">
        <f>VLOOKUP('MIS Working 1'!$S154,Master!E:F,2,0)</f>
        <v>FG-PCB-CF</v>
      </c>
      <c r="U154" s="277">
        <f>'MIS Working 1'!$N154-'MIS Working 1'!$AF154</f>
        <v>4110.6900000000314</v>
      </c>
      <c r="V154" s="278">
        <f>'MIS Working 1'!$U154/'MIS Working 1'!$N154</f>
        <v>2.3484336263241107E-2</v>
      </c>
      <c r="W154" s="274">
        <f>'MIS Working 1'!$N154/'MIS Working 1'!$L154</f>
        <v>221.85</v>
      </c>
      <c r="X154" s="279">
        <f>SUM('MIS Working 1'!$Y154:$AE154)</f>
        <v>239.77999999999994</v>
      </c>
      <c r="Y154" s="279">
        <f>SUMIFS('COGS Break up'!$E:$E,'COGS Break up'!$A:$A,'MIS Working 1'!$D154,'COGS Break up'!$D:$D,'MIS Working 1'!$Y$1)</f>
        <v>174.98999999999995</v>
      </c>
      <c r="Z154" s="279">
        <f>SUMIFS('COGS Break up'!$E:$E,'COGS Break up'!$A:$A,'MIS Working 1'!$D154,'COGS Break up'!$D:$D,'MIS Working 1'!$Z$1)</f>
        <v>18.389999999999997</v>
      </c>
      <c r="AA154" s="279">
        <f>SUMIFS('COGS Break up'!E:E,'COGS Break up'!A:A,'MIS Working 1'!$D:$D,'COGS Break up'!C:C,'MIS Working 1'!$AA$1)</f>
        <v>1.5</v>
      </c>
      <c r="AB154" s="279">
        <f>SUMIFS('COGS Break up'!E:E,'COGS Break up'!A:A,'MIS Working 1'!$D:$D,'COGS Break up'!C:C,$AB$1)</f>
        <v>13.37</v>
      </c>
      <c r="AC154" s="279">
        <f>SUMIFS('COGS Break up'!E:E,'COGS Break up'!A:A,'MIS Working 1'!$D:$D,'COGS Break up'!C:C,$AC$1)</f>
        <v>8.31</v>
      </c>
      <c r="AD154" s="279">
        <f>SUMIFS('COGS Break up'!$E:$E,'COGS Break up'!$A:$A,'MIS Working 1'!$D154,'COGS Break up'!$D:$D,'MIS Working 1'!$AD$1)</f>
        <v>0.04</v>
      </c>
      <c r="AE154" s="279">
        <f>SUMIFS('COGS Break up'!$E:$E,'COGS Break up'!$A:$A,'MIS Working 1'!$D154,'COGS Break up'!$D:$D,'MIS Working 1'!$AE$1)</f>
        <v>23.18</v>
      </c>
      <c r="AF154" s="280">
        <f>'MIS Working 1'!$AG154+'MIS Working 1'!$AH154+'MIS Working 1'!$AM154+'MIS Working 1'!$AL154</f>
        <v>170928.95999999996</v>
      </c>
      <c r="AG154" s="279">
        <f>'MIS Working 1'!$L154*'MIS Working 1'!$Y154</f>
        <v>138067.10999999996</v>
      </c>
      <c r="AH154" s="279">
        <f>'MIS Working 1'!$L154*'MIS Working 1'!$Z154</f>
        <v>14509.709999999997</v>
      </c>
      <c r="AI154" s="279">
        <f t="shared" si="6"/>
        <v>1183.5</v>
      </c>
      <c r="AJ154" s="279">
        <f t="shared" si="7"/>
        <v>10548.93</v>
      </c>
      <c r="AK154" s="279">
        <f t="shared" si="8"/>
        <v>6556.59</v>
      </c>
      <c r="AL154" s="279">
        <f>'MIS Working 1'!$AD154*'MIS Working 1'!$L154</f>
        <v>31.560000000000002</v>
      </c>
      <c r="AM154" s="279">
        <f>'MIS Working 1'!$L154*'MIS Working 1'!$AE154+'MIS Working 1'!$AL154</f>
        <v>18320.580000000002</v>
      </c>
    </row>
    <row r="155" spans="1:39" x14ac:dyDescent="0.3">
      <c r="A155" s="263" t="s">
        <v>479</v>
      </c>
      <c r="B155" s="264">
        <v>45981</v>
      </c>
      <c r="C155" s="265" t="s">
        <v>1739</v>
      </c>
      <c r="D155" s="265" t="s">
        <v>1196</v>
      </c>
      <c r="E155" s="265" t="s">
        <v>1197</v>
      </c>
      <c r="F155" s="265" t="s">
        <v>18</v>
      </c>
      <c r="G155" s="265" t="s">
        <v>19</v>
      </c>
      <c r="H155" s="265" t="s">
        <v>27</v>
      </c>
      <c r="I155" s="266">
        <v>200</v>
      </c>
      <c r="J155" s="267">
        <v>65040</v>
      </c>
      <c r="K155" s="266">
        <v>200</v>
      </c>
      <c r="L155" s="266">
        <v>200</v>
      </c>
      <c r="M155" s="264">
        <v>45981</v>
      </c>
      <c r="N155" s="267">
        <v>71004</v>
      </c>
      <c r="O155" s="265" t="s">
        <v>21</v>
      </c>
      <c r="P155" s="265" t="s">
        <v>22</v>
      </c>
      <c r="Q155" s="265" t="s">
        <v>660</v>
      </c>
      <c r="R155" s="265" t="str">
        <f>VLOOKUP('MIS Working 1'!$G155,Master!$H$3:$I$8,2,0)</f>
        <v>Finished Goods</v>
      </c>
      <c r="S155" s="265" t="str">
        <f>VLOOKUP('MIS Working 1'!$H155,Master!B:C,2,0)</f>
        <v>FG-PCB-CF</v>
      </c>
      <c r="T155" s="265" t="str">
        <f>VLOOKUP('MIS Working 1'!$S155,Master!E:F,2,0)</f>
        <v>FG-PCB-CF</v>
      </c>
      <c r="U155" s="268">
        <f>'MIS Working 1'!$N155-'MIS Working 1'!$AF155</f>
        <v>5912.0000000000073</v>
      </c>
      <c r="V155" s="269">
        <f>'MIS Working 1'!$U155/'MIS Working 1'!$N155</f>
        <v>8.3262914765365431E-2</v>
      </c>
      <c r="W155" s="265">
        <f>'MIS Working 1'!$N155/'MIS Working 1'!$L155</f>
        <v>355.02</v>
      </c>
      <c r="X155" s="270">
        <f>SUM('MIS Working 1'!$Y155:$AE155)</f>
        <v>354.76999999999992</v>
      </c>
      <c r="Y155" s="270">
        <f>SUMIFS('COGS Break up'!$E:$E,'COGS Break up'!$A:$A,'MIS Working 1'!$D155,'COGS Break up'!$D:$D,'MIS Working 1'!$Y$1)</f>
        <v>271.52999999999997</v>
      </c>
      <c r="Z155" s="270">
        <f>SUMIFS('COGS Break up'!$E:$E,'COGS Break up'!$A:$A,'MIS Working 1'!$D155,'COGS Break up'!$D:$D,'MIS Working 1'!$Z$1)</f>
        <v>23.84</v>
      </c>
      <c r="AA155" s="270">
        <f>SUMIFS('COGS Break up'!E:E,'COGS Break up'!A:A,'MIS Working 1'!$D:$D,'COGS Break up'!C:C,'MIS Working 1'!$AA$1)</f>
        <v>1.9500000000000002</v>
      </c>
      <c r="AB155" s="270">
        <f>SUMIFS('COGS Break up'!E:E,'COGS Break up'!A:A,'MIS Working 1'!$D:$D,'COGS Break up'!C:C,$AB$1)</f>
        <v>17.329999999999998</v>
      </c>
      <c r="AC155" s="270">
        <f>SUMIFS('COGS Break up'!E:E,'COGS Break up'!A:A,'MIS Working 1'!$D:$D,'COGS Break up'!C:C,$AC$1)</f>
        <v>10.290000000000001</v>
      </c>
      <c r="AD155" s="270">
        <f>SUMIFS('COGS Break up'!$E:$E,'COGS Break up'!$A:$A,'MIS Working 1'!$D155,'COGS Break up'!$D:$D,'MIS Working 1'!$AD$1)</f>
        <v>0.26</v>
      </c>
      <c r="AE155" s="270">
        <f>SUMIFS('COGS Break up'!$E:$E,'COGS Break up'!$A:$A,'MIS Working 1'!$D155,'COGS Break up'!$D:$D,'MIS Working 1'!$AE$1)</f>
        <v>29.569999999999997</v>
      </c>
      <c r="AF155" s="271">
        <f>'MIS Working 1'!$AG155+'MIS Working 1'!$AH155+'MIS Working 1'!$AM155+'MIS Working 1'!$AL155</f>
        <v>65091.999999999993</v>
      </c>
      <c r="AG155" s="270">
        <f>'MIS Working 1'!$L155*'MIS Working 1'!$Y155</f>
        <v>54305.999999999993</v>
      </c>
      <c r="AH155" s="270">
        <f>'MIS Working 1'!$L155*'MIS Working 1'!$Z155</f>
        <v>4768</v>
      </c>
      <c r="AI155" s="270">
        <f t="shared" si="6"/>
        <v>390.00000000000006</v>
      </c>
      <c r="AJ155" s="270">
        <f t="shared" si="7"/>
        <v>3465.9999999999995</v>
      </c>
      <c r="AK155" s="270">
        <f t="shared" si="8"/>
        <v>2058</v>
      </c>
      <c r="AL155" s="270">
        <f>'MIS Working 1'!$AD155*'MIS Working 1'!$L155</f>
        <v>52</v>
      </c>
      <c r="AM155" s="270">
        <f>'MIS Working 1'!$L155*'MIS Working 1'!$AE155+'MIS Working 1'!$AL155</f>
        <v>5965.9999999999991</v>
      </c>
    </row>
    <row r="156" spans="1:39" x14ac:dyDescent="0.3">
      <c r="A156" s="272" t="s">
        <v>479</v>
      </c>
      <c r="B156" s="273">
        <v>45981</v>
      </c>
      <c r="C156" s="274" t="s">
        <v>1736</v>
      </c>
      <c r="D156" s="274" t="s">
        <v>1196</v>
      </c>
      <c r="E156" s="274" t="s">
        <v>1197</v>
      </c>
      <c r="F156" s="274" t="s">
        <v>18</v>
      </c>
      <c r="G156" s="274" t="s">
        <v>19</v>
      </c>
      <c r="H156" s="274" t="s">
        <v>27</v>
      </c>
      <c r="I156" s="275">
        <v>100</v>
      </c>
      <c r="J156" s="276">
        <v>32520</v>
      </c>
      <c r="K156" s="275">
        <v>100</v>
      </c>
      <c r="L156" s="275">
        <v>100</v>
      </c>
      <c r="M156" s="273">
        <v>45981</v>
      </c>
      <c r="N156" s="276">
        <v>35502</v>
      </c>
      <c r="O156" s="274" t="s">
        <v>21</v>
      </c>
      <c r="P156" s="274" t="s">
        <v>22</v>
      </c>
      <c r="Q156" s="274" t="s">
        <v>660</v>
      </c>
      <c r="R156" s="274" t="str">
        <f>VLOOKUP('MIS Working 1'!$G156,Master!$H$3:$I$8,2,0)</f>
        <v>Finished Goods</v>
      </c>
      <c r="S156" s="274" t="str">
        <f>VLOOKUP('MIS Working 1'!$H156,Master!B:C,2,0)</f>
        <v>FG-PCB-CF</v>
      </c>
      <c r="T156" s="274" t="str">
        <f>VLOOKUP('MIS Working 1'!$S156,Master!E:F,2,0)</f>
        <v>FG-PCB-CF</v>
      </c>
      <c r="U156" s="277">
        <f>'MIS Working 1'!$N156-'MIS Working 1'!$AF156</f>
        <v>2956.0000000000036</v>
      </c>
      <c r="V156" s="278">
        <f>'MIS Working 1'!$U156/'MIS Working 1'!$N156</f>
        <v>8.3262914765365431E-2</v>
      </c>
      <c r="W156" s="274">
        <f>'MIS Working 1'!$N156/'MIS Working 1'!$L156</f>
        <v>355.02</v>
      </c>
      <c r="X156" s="279">
        <f>SUM('MIS Working 1'!$Y156:$AE156)</f>
        <v>354.76999999999992</v>
      </c>
      <c r="Y156" s="279">
        <f>SUMIFS('COGS Break up'!$E:$E,'COGS Break up'!$A:$A,'MIS Working 1'!$D156,'COGS Break up'!$D:$D,'MIS Working 1'!$Y$1)</f>
        <v>271.52999999999997</v>
      </c>
      <c r="Z156" s="279">
        <f>SUMIFS('COGS Break up'!$E:$E,'COGS Break up'!$A:$A,'MIS Working 1'!$D156,'COGS Break up'!$D:$D,'MIS Working 1'!$Z$1)</f>
        <v>23.84</v>
      </c>
      <c r="AA156" s="279">
        <f>SUMIFS('COGS Break up'!E:E,'COGS Break up'!A:A,'MIS Working 1'!$D:$D,'COGS Break up'!C:C,'MIS Working 1'!$AA$1)</f>
        <v>1.9500000000000002</v>
      </c>
      <c r="AB156" s="279">
        <f>SUMIFS('COGS Break up'!E:E,'COGS Break up'!A:A,'MIS Working 1'!$D:$D,'COGS Break up'!C:C,$AB$1)</f>
        <v>17.329999999999998</v>
      </c>
      <c r="AC156" s="279">
        <f>SUMIFS('COGS Break up'!E:E,'COGS Break up'!A:A,'MIS Working 1'!$D:$D,'COGS Break up'!C:C,$AC$1)</f>
        <v>10.290000000000001</v>
      </c>
      <c r="AD156" s="279">
        <f>SUMIFS('COGS Break up'!$E:$E,'COGS Break up'!$A:$A,'MIS Working 1'!$D156,'COGS Break up'!$D:$D,'MIS Working 1'!$AD$1)</f>
        <v>0.26</v>
      </c>
      <c r="AE156" s="279">
        <f>SUMIFS('COGS Break up'!$E:$E,'COGS Break up'!$A:$A,'MIS Working 1'!$D156,'COGS Break up'!$D:$D,'MIS Working 1'!$AE$1)</f>
        <v>29.569999999999997</v>
      </c>
      <c r="AF156" s="280">
        <f>'MIS Working 1'!$AG156+'MIS Working 1'!$AH156+'MIS Working 1'!$AM156+'MIS Working 1'!$AL156</f>
        <v>32545.999999999996</v>
      </c>
      <c r="AG156" s="279">
        <f>'MIS Working 1'!$L156*'MIS Working 1'!$Y156</f>
        <v>27152.999999999996</v>
      </c>
      <c r="AH156" s="279">
        <f>'MIS Working 1'!$L156*'MIS Working 1'!$Z156</f>
        <v>2384</v>
      </c>
      <c r="AI156" s="279">
        <f t="shared" si="6"/>
        <v>195.00000000000003</v>
      </c>
      <c r="AJ156" s="279">
        <f t="shared" si="7"/>
        <v>1732.9999999999998</v>
      </c>
      <c r="AK156" s="279">
        <f t="shared" si="8"/>
        <v>1029</v>
      </c>
      <c r="AL156" s="279">
        <f>'MIS Working 1'!$AD156*'MIS Working 1'!$L156</f>
        <v>26</v>
      </c>
      <c r="AM156" s="279">
        <f>'MIS Working 1'!$L156*'MIS Working 1'!$AE156+'MIS Working 1'!$AL156</f>
        <v>2982.9999999999995</v>
      </c>
    </row>
    <row r="157" spans="1:39" x14ac:dyDescent="0.3">
      <c r="A157" s="263" t="s">
        <v>479</v>
      </c>
      <c r="B157" s="264">
        <v>45981</v>
      </c>
      <c r="C157" s="265" t="s">
        <v>1740</v>
      </c>
      <c r="D157" s="265" t="s">
        <v>1687</v>
      </c>
      <c r="E157" s="265" t="s">
        <v>1688</v>
      </c>
      <c r="F157" s="265" t="s">
        <v>18</v>
      </c>
      <c r="G157" s="265" t="s">
        <v>19</v>
      </c>
      <c r="H157" s="265" t="s">
        <v>27</v>
      </c>
      <c r="I157" s="266">
        <v>840</v>
      </c>
      <c r="J157" s="267">
        <v>283122</v>
      </c>
      <c r="K157" s="266">
        <v>840</v>
      </c>
      <c r="L157" s="266">
        <v>840</v>
      </c>
      <c r="M157" s="264">
        <v>45981</v>
      </c>
      <c r="N157" s="267">
        <v>291244.79999999999</v>
      </c>
      <c r="O157" s="265" t="s">
        <v>21</v>
      </c>
      <c r="P157" s="265" t="s">
        <v>22</v>
      </c>
      <c r="Q157" s="265" t="s">
        <v>660</v>
      </c>
      <c r="R157" s="265" t="str">
        <f>VLOOKUP('MIS Working 1'!$G157,Master!$H$3:$I$8,2,0)</f>
        <v>Finished Goods</v>
      </c>
      <c r="S157" s="265" t="str">
        <f>VLOOKUP('MIS Working 1'!$H157,Master!B:C,2,0)</f>
        <v>FG-PCB-CF</v>
      </c>
      <c r="T157" s="265" t="str">
        <f>VLOOKUP('MIS Working 1'!$S157,Master!E:F,2,0)</f>
        <v>FG-PCB-CF</v>
      </c>
      <c r="U157" s="268">
        <f>'MIS Working 1'!$N157-'MIS Working 1'!$AF157</f>
        <v>7971.5999999999767</v>
      </c>
      <c r="V157" s="269">
        <f>'MIS Working 1'!$U157/'MIS Working 1'!$N157</f>
        <v>2.7370789109367712E-2</v>
      </c>
      <c r="W157" s="265">
        <f>'MIS Working 1'!$N157/'MIS Working 1'!$L157</f>
        <v>346.71999999999997</v>
      </c>
      <c r="X157" s="270">
        <f>SUM('MIS Working 1'!$Y157:$AE157)</f>
        <v>365.47</v>
      </c>
      <c r="Y157" s="270">
        <f>SUMIFS('COGS Break up'!$E:$E,'COGS Break up'!$A:$A,'MIS Working 1'!$D157,'COGS Break up'!$D:$D,'MIS Working 1'!$Y$1)</f>
        <v>287.83</v>
      </c>
      <c r="Z157" s="270">
        <f>SUMIFS('COGS Break up'!$E:$E,'COGS Break up'!$A:$A,'MIS Working 1'!$D157,'COGS Break up'!$D:$D,'MIS Working 1'!$Z$1)</f>
        <v>20.62</v>
      </c>
      <c r="AA157" s="270">
        <f>SUMIFS('COGS Break up'!E:E,'COGS Break up'!A:A,'MIS Working 1'!$D:$D,'COGS Break up'!C:C,'MIS Working 1'!$AA$1)</f>
        <v>2.21</v>
      </c>
      <c r="AB157" s="270">
        <f>SUMIFS('COGS Break up'!E:E,'COGS Break up'!A:A,'MIS Working 1'!$D:$D,'COGS Break up'!C:C,$AB$1)</f>
        <v>17.73</v>
      </c>
      <c r="AC157" s="270">
        <f>SUMIFS('COGS Break up'!E:E,'COGS Break up'!A:A,'MIS Working 1'!$D:$D,'COGS Break up'!C:C,$AC$1)</f>
        <v>8.48</v>
      </c>
      <c r="AD157" s="270">
        <f>SUMIFS('COGS Break up'!$E:$E,'COGS Break up'!$A:$A,'MIS Working 1'!$D157,'COGS Break up'!$D:$D,'MIS Working 1'!$AD$1)</f>
        <v>0.18</v>
      </c>
      <c r="AE157" s="270">
        <f>SUMIFS('COGS Break up'!$E:$E,'COGS Break up'!$A:$A,'MIS Working 1'!$D157,'COGS Break up'!$D:$D,'MIS Working 1'!$AE$1)</f>
        <v>28.42</v>
      </c>
      <c r="AF157" s="271">
        <f>'MIS Working 1'!$AG157+'MIS Working 1'!$AH157+'MIS Working 1'!$AM157+'MIS Working 1'!$AL157</f>
        <v>283273.2</v>
      </c>
      <c r="AG157" s="270">
        <f>'MIS Working 1'!$L157*'MIS Working 1'!$Y157</f>
        <v>241777.19999999998</v>
      </c>
      <c r="AH157" s="270">
        <f>'MIS Working 1'!$L157*'MIS Working 1'!$Z157</f>
        <v>17320.8</v>
      </c>
      <c r="AI157" s="270">
        <f t="shared" si="6"/>
        <v>1856.3999999999999</v>
      </c>
      <c r="AJ157" s="270">
        <f t="shared" si="7"/>
        <v>14893.2</v>
      </c>
      <c r="AK157" s="270">
        <f t="shared" si="8"/>
        <v>7123.2000000000007</v>
      </c>
      <c r="AL157" s="270">
        <f>'MIS Working 1'!$AD157*'MIS Working 1'!$L157</f>
        <v>151.19999999999999</v>
      </c>
      <c r="AM157" s="270">
        <f>'MIS Working 1'!$L157*'MIS Working 1'!$AE157+'MIS Working 1'!$AL157</f>
        <v>24024.000000000004</v>
      </c>
    </row>
    <row r="158" spans="1:39" x14ac:dyDescent="0.3">
      <c r="A158" s="272" t="s">
        <v>479</v>
      </c>
      <c r="B158" s="273">
        <v>45981</v>
      </c>
      <c r="C158" s="274" t="s">
        <v>1741</v>
      </c>
      <c r="D158" s="274" t="s">
        <v>1689</v>
      </c>
      <c r="E158" s="274" t="s">
        <v>1690</v>
      </c>
      <c r="F158" s="274" t="s">
        <v>18</v>
      </c>
      <c r="G158" s="274" t="s">
        <v>19</v>
      </c>
      <c r="H158" s="274" t="s">
        <v>1105</v>
      </c>
      <c r="I158" s="275">
        <v>54</v>
      </c>
      <c r="J158" s="276">
        <v>28355.4</v>
      </c>
      <c r="K158" s="275">
        <v>54</v>
      </c>
      <c r="L158" s="275">
        <v>54</v>
      </c>
      <c r="M158" s="273">
        <v>45981</v>
      </c>
      <c r="N158" s="276">
        <v>52641.36</v>
      </c>
      <c r="O158" s="274" t="s">
        <v>21</v>
      </c>
      <c r="P158" s="274" t="s">
        <v>22</v>
      </c>
      <c r="Q158" s="274" t="s">
        <v>660</v>
      </c>
      <c r="R158" s="274" t="str">
        <f>VLOOKUP('MIS Working 1'!$G158,Master!$H$3:$I$8,2,0)</f>
        <v>Finished Goods</v>
      </c>
      <c r="S158" s="274" t="str">
        <f>VLOOKUP('MIS Working 1'!$H158,Master!B:C,2,0)</f>
        <v>FG-PCB-Ped</v>
      </c>
      <c r="T158" s="274" t="str">
        <f>VLOOKUP('MIS Working 1'!$S158,Master!E:F,2,0)</f>
        <v>FG-PCB-Ped</v>
      </c>
      <c r="U158" s="277">
        <f>'MIS Working 1'!$N158-'MIS Working 1'!$AF158</f>
        <v>24268.679999999997</v>
      </c>
      <c r="V158" s="278">
        <f>'MIS Working 1'!$U158/'MIS Working 1'!$N158</f>
        <v>0.46101924418366086</v>
      </c>
      <c r="W158" s="274">
        <f>'MIS Working 1'!$N158/'MIS Working 1'!$L158</f>
        <v>974.84</v>
      </c>
      <c r="X158" s="279">
        <f>SUM('MIS Working 1'!$Y158:$AE158)</f>
        <v>571.57000000000016</v>
      </c>
      <c r="Y158" s="279">
        <f>SUMIFS('COGS Break up'!$E:$E,'COGS Break up'!$A:$A,'MIS Working 1'!$D158,'COGS Break up'!$D:$D,'MIS Working 1'!$Y$1)</f>
        <v>451.65000000000009</v>
      </c>
      <c r="Z158" s="279">
        <f>SUMIFS('COGS Break up'!$E:$E,'COGS Break up'!$A:$A,'MIS Working 1'!$D158,'COGS Break up'!$D:$D,'MIS Working 1'!$Z$1)</f>
        <v>26.66</v>
      </c>
      <c r="AA158" s="279">
        <f>SUMIFS('COGS Break up'!E:E,'COGS Break up'!A:A,'MIS Working 1'!$D:$D,'COGS Break up'!C:C,'MIS Working 1'!$AA$1)</f>
        <v>2.87</v>
      </c>
      <c r="AB158" s="279">
        <f>SUMIFS('COGS Break up'!E:E,'COGS Break up'!A:A,'MIS Working 1'!$D:$D,'COGS Break up'!C:C,$AB$1)</f>
        <v>22.919999999999998</v>
      </c>
      <c r="AC158" s="279">
        <f>SUMIFS('COGS Break up'!E:E,'COGS Break up'!A:A,'MIS Working 1'!$D:$D,'COGS Break up'!C:C,$AC$1)</f>
        <v>20.68</v>
      </c>
      <c r="AD158" s="279">
        <f>SUMIFS('COGS Break up'!$E:$E,'COGS Break up'!$A:$A,'MIS Working 1'!$D158,'COGS Break up'!$D:$D,'MIS Working 1'!$AD$1)</f>
        <v>0.32</v>
      </c>
      <c r="AE158" s="279">
        <f>SUMIFS('COGS Break up'!$E:$E,'COGS Break up'!$A:$A,'MIS Working 1'!$D158,'COGS Break up'!$D:$D,'MIS Working 1'!$AE$1)</f>
        <v>46.469999999999992</v>
      </c>
      <c r="AF158" s="280">
        <f>'MIS Working 1'!$AG158+'MIS Working 1'!$AH158+'MIS Working 1'!$AM158+'MIS Working 1'!$AL158</f>
        <v>28372.680000000004</v>
      </c>
      <c r="AG158" s="279">
        <f>'MIS Working 1'!$L158*'MIS Working 1'!$Y158</f>
        <v>24389.100000000006</v>
      </c>
      <c r="AH158" s="279">
        <f>'MIS Working 1'!$L158*'MIS Working 1'!$Z158</f>
        <v>1439.64</v>
      </c>
      <c r="AI158" s="279">
        <f t="shared" si="6"/>
        <v>154.98000000000002</v>
      </c>
      <c r="AJ158" s="279">
        <f t="shared" si="7"/>
        <v>1237.6799999999998</v>
      </c>
      <c r="AK158" s="279">
        <f t="shared" si="8"/>
        <v>1116.72</v>
      </c>
      <c r="AL158" s="279">
        <f>'MIS Working 1'!$AD158*'MIS Working 1'!$L158</f>
        <v>17.28</v>
      </c>
      <c r="AM158" s="279">
        <f>'MIS Working 1'!$L158*'MIS Working 1'!$AE158+'MIS Working 1'!$AL158</f>
        <v>2526.66</v>
      </c>
    </row>
    <row r="159" spans="1:39" x14ac:dyDescent="0.3">
      <c r="A159" s="263" t="s">
        <v>479</v>
      </c>
      <c r="B159" s="264">
        <v>45981</v>
      </c>
      <c r="C159" s="265" t="s">
        <v>1741</v>
      </c>
      <c r="D159" s="265" t="s">
        <v>1691</v>
      </c>
      <c r="E159" s="265" t="s">
        <v>1692</v>
      </c>
      <c r="F159" s="265" t="s">
        <v>18</v>
      </c>
      <c r="G159" s="265" t="s">
        <v>19</v>
      </c>
      <c r="H159" s="265" t="s">
        <v>1105</v>
      </c>
      <c r="I159" s="266">
        <v>52</v>
      </c>
      <c r="J159" s="267">
        <v>3163.16</v>
      </c>
      <c r="K159" s="266">
        <v>52</v>
      </c>
      <c r="L159" s="266">
        <v>52</v>
      </c>
      <c r="M159" s="264">
        <v>45981</v>
      </c>
      <c r="N159" s="267">
        <v>6283.68</v>
      </c>
      <c r="O159" s="265" t="s">
        <v>21</v>
      </c>
      <c r="P159" s="265" t="s">
        <v>22</v>
      </c>
      <c r="Q159" s="265" t="s">
        <v>660</v>
      </c>
      <c r="R159" s="265" t="str">
        <f>VLOOKUP('MIS Working 1'!$G159,Master!$H$3:$I$8,2,0)</f>
        <v>Finished Goods</v>
      </c>
      <c r="S159" s="265" t="str">
        <f>VLOOKUP('MIS Working 1'!$H159,Master!B:C,2,0)</f>
        <v>FG-PCB-Ped</v>
      </c>
      <c r="T159" s="265" t="str">
        <f>VLOOKUP('MIS Working 1'!$S159,Master!E:F,2,0)</f>
        <v>FG-PCB-Ped</v>
      </c>
      <c r="U159" s="268">
        <f>'MIS Working 1'!$N159-'MIS Working 1'!$AF159</f>
        <v>3119.4800000000005</v>
      </c>
      <c r="V159" s="269">
        <f>'MIS Working 1'!$U159/'MIS Working 1'!$N159</f>
        <v>0.49644157563720626</v>
      </c>
      <c r="W159" s="265">
        <f>'MIS Working 1'!$N159/'MIS Working 1'!$L159</f>
        <v>120.84</v>
      </c>
      <c r="X159" s="270">
        <f>SUM('MIS Working 1'!$Y159:$AE159)</f>
        <v>60.830000000000005</v>
      </c>
      <c r="Y159" s="270">
        <f>SUMIFS('COGS Break up'!$E:$E,'COGS Break up'!$A:$A,'MIS Working 1'!$D159,'COGS Break up'!$D:$D,'MIS Working 1'!$Y$1)</f>
        <v>48.79</v>
      </c>
      <c r="Z159" s="270">
        <f>SUMIFS('COGS Break up'!$E:$E,'COGS Break up'!$A:$A,'MIS Working 1'!$D159,'COGS Break up'!$D:$D,'MIS Working 1'!$Z$1)</f>
        <v>12.02</v>
      </c>
      <c r="AA159" s="270">
        <f>SUMIFS('COGS Break up'!E:E,'COGS Break up'!A:A,'MIS Working 1'!$D:$D,'COGS Break up'!C:C,'MIS Working 1'!$AA$1)</f>
        <v>0</v>
      </c>
      <c r="AB159" s="270">
        <f>SUMIFS('COGS Break up'!E:E,'COGS Break up'!A:A,'MIS Working 1'!$D:$D,'COGS Break up'!C:C,$AB$1)</f>
        <v>0</v>
      </c>
      <c r="AC159" s="270">
        <f>SUMIFS('COGS Break up'!E:E,'COGS Break up'!A:A,'MIS Working 1'!$D:$D,'COGS Break up'!C:C,$AC$1)</f>
        <v>0</v>
      </c>
      <c r="AD159" s="270">
        <f>SUMIFS('COGS Break up'!$E:$E,'COGS Break up'!$A:$A,'MIS Working 1'!$D159,'COGS Break up'!$D:$D,'MIS Working 1'!$AD$1)</f>
        <v>0.02</v>
      </c>
      <c r="AE159" s="270">
        <f>SUMIFS('COGS Break up'!$E:$E,'COGS Break up'!$A:$A,'MIS Working 1'!$D159,'COGS Break up'!$D:$D,'MIS Working 1'!$AE$1)</f>
        <v>0</v>
      </c>
      <c r="AF159" s="271">
        <f>'MIS Working 1'!$AG159+'MIS Working 1'!$AH159+'MIS Working 1'!$AM159+'MIS Working 1'!$AL159</f>
        <v>3164.2</v>
      </c>
      <c r="AG159" s="270">
        <f>'MIS Working 1'!$L159*'MIS Working 1'!$Y159</f>
        <v>2537.08</v>
      </c>
      <c r="AH159" s="270">
        <f>'MIS Working 1'!$L159*'MIS Working 1'!$Z159</f>
        <v>625.04</v>
      </c>
      <c r="AI159" s="270">
        <f t="shared" si="6"/>
        <v>0</v>
      </c>
      <c r="AJ159" s="270">
        <f t="shared" si="7"/>
        <v>0</v>
      </c>
      <c r="AK159" s="270">
        <f t="shared" si="8"/>
        <v>0</v>
      </c>
      <c r="AL159" s="270">
        <f>'MIS Working 1'!$AD159*'MIS Working 1'!$L159</f>
        <v>1.04</v>
      </c>
      <c r="AM159" s="270">
        <f>'MIS Working 1'!$L159*'MIS Working 1'!$AE159+'MIS Working 1'!$AL159</f>
        <v>1.04</v>
      </c>
    </row>
    <row r="160" spans="1:39" x14ac:dyDescent="0.3">
      <c r="A160" s="272" t="s">
        <v>1291</v>
      </c>
      <c r="B160" s="273">
        <v>45980</v>
      </c>
      <c r="C160" s="274" t="s">
        <v>1742</v>
      </c>
      <c r="D160" s="274" t="s">
        <v>36</v>
      </c>
      <c r="E160" s="274" t="s">
        <v>37</v>
      </c>
      <c r="F160" s="274" t="s">
        <v>18</v>
      </c>
      <c r="G160" s="274" t="s">
        <v>19</v>
      </c>
      <c r="H160" s="274" t="s">
        <v>20</v>
      </c>
      <c r="I160" s="275">
        <v>4000</v>
      </c>
      <c r="J160" s="276">
        <v>1845480</v>
      </c>
      <c r="K160" s="275">
        <v>4000</v>
      </c>
      <c r="L160" s="275">
        <v>4000</v>
      </c>
      <c r="M160" s="273">
        <v>45980</v>
      </c>
      <c r="N160" s="276">
        <v>2637240</v>
      </c>
      <c r="O160" s="274" t="s">
        <v>21</v>
      </c>
      <c r="P160" s="274" t="s">
        <v>22</v>
      </c>
      <c r="Q160" s="274" t="s">
        <v>660</v>
      </c>
      <c r="R160" s="274" t="str">
        <f>VLOOKUP('MIS Working 1'!$G160,Master!$H$3:$I$8,2,0)</f>
        <v>Finished Goods</v>
      </c>
      <c r="S160" s="274" t="str">
        <f>VLOOKUP('MIS Working 1'!$H160,Master!B:C,2,0)</f>
        <v>FG-PCB-Ref</v>
      </c>
      <c r="T160" s="274" t="str">
        <f>VLOOKUP('MIS Working 1'!$S160,Master!E:F,2,0)</f>
        <v>FG-PCB-Ref</v>
      </c>
      <c r="U160" s="277">
        <f>'MIS Working 1'!$N160-'MIS Working 1'!$AF160</f>
        <v>790799.99999999977</v>
      </c>
      <c r="V160" s="278">
        <f>'MIS Working 1'!$U160/'MIS Working 1'!$N160</f>
        <v>0.29985894344086989</v>
      </c>
      <c r="W160" s="274">
        <f>'MIS Working 1'!$N160/'MIS Working 1'!$L160</f>
        <v>659.31</v>
      </c>
      <c r="X160" s="279">
        <f>SUM('MIS Working 1'!$Y160:$AE160)</f>
        <v>492.59000000000003</v>
      </c>
      <c r="Y160" s="279">
        <f>SUMIFS('COGS Break up'!$E:$E,'COGS Break up'!$A:$A,'MIS Working 1'!$D160,'COGS Break up'!$D:$D,'MIS Working 1'!$Y$1)</f>
        <v>401.59000000000003</v>
      </c>
      <c r="Z160" s="279">
        <f>SUMIFS('COGS Break up'!$E:$E,'COGS Break up'!$A:$A,'MIS Working 1'!$D160,'COGS Break up'!$D:$D,'MIS Working 1'!$Z$1)</f>
        <v>28.32</v>
      </c>
      <c r="AA160" s="279">
        <f>SUMIFS('COGS Break up'!E:E,'COGS Break up'!A:A,'MIS Working 1'!$D:$D,'COGS Break up'!C:C,'MIS Working 1'!$AA$1)</f>
        <v>2.3199999999999998</v>
      </c>
      <c r="AB160" s="279">
        <f>SUMIFS('COGS Break up'!E:E,'COGS Break up'!A:A,'MIS Working 1'!$D:$D,'COGS Break up'!C:C,$AB$1)</f>
        <v>20.59</v>
      </c>
      <c r="AC160" s="279">
        <f>SUMIFS('COGS Break up'!E:E,'COGS Break up'!A:A,'MIS Working 1'!$D:$D,'COGS Break up'!C:C,$AC$1)</f>
        <v>8.31</v>
      </c>
      <c r="AD160" s="279">
        <f>SUMIFS('COGS Break up'!$E:$E,'COGS Break up'!$A:$A,'MIS Working 1'!$D160,'COGS Break up'!$D:$D,'MIS Working 1'!$AD$1)</f>
        <v>0.24</v>
      </c>
      <c r="AE160" s="279">
        <f>SUMIFS('COGS Break up'!$E:$E,'COGS Break up'!$A:$A,'MIS Working 1'!$D160,'COGS Break up'!$D:$D,'MIS Working 1'!$AE$1)</f>
        <v>31.22</v>
      </c>
      <c r="AF160" s="280">
        <f>'MIS Working 1'!$AG160+'MIS Working 1'!$AH160+'MIS Working 1'!$AM160+'MIS Working 1'!$AL160</f>
        <v>1846440.0000000002</v>
      </c>
      <c r="AG160" s="279">
        <f>'MIS Working 1'!$L160*'MIS Working 1'!$Y160</f>
        <v>1606360.0000000002</v>
      </c>
      <c r="AH160" s="279">
        <f>'MIS Working 1'!$L160*'MIS Working 1'!$Z160</f>
        <v>113280</v>
      </c>
      <c r="AI160" s="279">
        <f t="shared" si="6"/>
        <v>9280</v>
      </c>
      <c r="AJ160" s="279">
        <f t="shared" si="7"/>
        <v>82360</v>
      </c>
      <c r="AK160" s="279">
        <f t="shared" si="8"/>
        <v>33240</v>
      </c>
      <c r="AL160" s="279">
        <f>'MIS Working 1'!$AD160*'MIS Working 1'!$L160</f>
        <v>960</v>
      </c>
      <c r="AM160" s="279">
        <f>'MIS Working 1'!$L160*'MIS Working 1'!$AE160+'MIS Working 1'!$AL160</f>
        <v>125840</v>
      </c>
    </row>
    <row r="161" spans="1:39" x14ac:dyDescent="0.3">
      <c r="A161" s="263" t="s">
        <v>479</v>
      </c>
      <c r="B161" s="264">
        <v>45980</v>
      </c>
      <c r="C161" s="265" t="s">
        <v>1743</v>
      </c>
      <c r="D161" s="265" t="s">
        <v>40</v>
      </c>
      <c r="E161" s="265" t="s">
        <v>41</v>
      </c>
      <c r="F161" s="265" t="s">
        <v>18</v>
      </c>
      <c r="G161" s="265" t="s">
        <v>34</v>
      </c>
      <c r="H161" s="265" t="s">
        <v>772</v>
      </c>
      <c r="I161" s="266">
        <v>2240</v>
      </c>
      <c r="J161" s="267">
        <v>330780.79999999999</v>
      </c>
      <c r="K161" s="266">
        <v>2240</v>
      </c>
      <c r="L161" s="266">
        <v>2240</v>
      </c>
      <c r="M161" s="264">
        <v>45980</v>
      </c>
      <c r="N161" s="267">
        <v>364985.59999999998</v>
      </c>
      <c r="O161" s="265" t="s">
        <v>21</v>
      </c>
      <c r="P161" s="265" t="s">
        <v>22</v>
      </c>
      <c r="Q161" s="265" t="s">
        <v>660</v>
      </c>
      <c r="R161" s="265" t="str">
        <f>VLOOKUP('MIS Working 1'!$G161,Master!$H$3:$I$8,2,0)</f>
        <v>Semi-Finished Goods</v>
      </c>
      <c r="S161" s="265" t="str">
        <f>VLOOKUP('MIS Working 1'!$H161,Master!B:C,2,0)</f>
        <v>SFG-GV5 Stator</v>
      </c>
      <c r="T161" s="265" t="str">
        <f>VLOOKUP('MIS Working 1'!$S161,Master!E:F,2,0)</f>
        <v>Sub Ass.-Mech Stator</v>
      </c>
      <c r="U161" s="268">
        <f>'MIS Working 1'!$N161-'MIS Working 1'!$AF161</f>
        <v>34204.800000000047</v>
      </c>
      <c r="V161" s="269">
        <f>'MIS Working 1'!$U161/'MIS Working 1'!$N161</f>
        <v>9.3715478090094645E-2</v>
      </c>
      <c r="W161" s="265">
        <f>'MIS Working 1'!$N161/'MIS Working 1'!$L161</f>
        <v>162.94</v>
      </c>
      <c r="X161" s="270">
        <f>SUM('MIS Working 1'!$Y161:$AE161)</f>
        <v>149.61999999999998</v>
      </c>
      <c r="Y161" s="270">
        <f>SUMIFS('COGS Break up'!$E:$E,'COGS Break up'!$A:$A,'MIS Working 1'!$D161,'COGS Break up'!$D:$D,'MIS Working 1'!$Y$1)</f>
        <v>144.21999999999997</v>
      </c>
      <c r="Z161" s="270">
        <f>SUMIFS('COGS Break up'!$E:$E,'COGS Break up'!$A:$A,'MIS Working 1'!$D161,'COGS Break up'!$D:$D,'MIS Working 1'!$Z$1)</f>
        <v>1.5</v>
      </c>
      <c r="AA161" s="270">
        <f>SUMIFS('COGS Break up'!E:E,'COGS Break up'!A:A,'MIS Working 1'!$D:$D,'COGS Break up'!C:C,'MIS Working 1'!$AA$1)</f>
        <v>0.05</v>
      </c>
      <c r="AB161" s="270">
        <f>SUMIFS('COGS Break up'!E:E,'COGS Break up'!A:A,'MIS Working 1'!$D:$D,'COGS Break up'!C:C,$AB$1)</f>
        <v>0.4</v>
      </c>
      <c r="AC161" s="270">
        <f>SUMIFS('COGS Break up'!E:E,'COGS Break up'!A:A,'MIS Working 1'!$D:$D,'COGS Break up'!C:C,$AC$1)</f>
        <v>1.5</v>
      </c>
      <c r="AD161" s="270">
        <f>SUMIFS('COGS Break up'!$E:$E,'COGS Break up'!$A:$A,'MIS Working 1'!$D161,'COGS Break up'!$D:$D,'MIS Working 1'!$AD$1)</f>
        <v>0</v>
      </c>
      <c r="AE161" s="270">
        <f>SUMIFS('COGS Break up'!$E:$E,'COGS Break up'!$A:$A,'MIS Working 1'!$D161,'COGS Break up'!$D:$D,'MIS Working 1'!$AE$1)</f>
        <v>1.95</v>
      </c>
      <c r="AF161" s="271">
        <f>'MIS Working 1'!$AG161+'MIS Working 1'!$AH161+'MIS Working 1'!$AM161+'MIS Working 1'!$AL161</f>
        <v>330780.79999999993</v>
      </c>
      <c r="AG161" s="270">
        <f>'MIS Working 1'!$L161*'MIS Working 1'!$Y161</f>
        <v>323052.79999999993</v>
      </c>
      <c r="AH161" s="270">
        <f>'MIS Working 1'!$L161*'MIS Working 1'!$Z161</f>
        <v>3360</v>
      </c>
      <c r="AI161" s="270">
        <f t="shared" si="6"/>
        <v>112</v>
      </c>
      <c r="AJ161" s="270">
        <f t="shared" si="7"/>
        <v>896</v>
      </c>
      <c r="AK161" s="270">
        <f t="shared" si="8"/>
        <v>3360</v>
      </c>
      <c r="AL161" s="270">
        <f>'MIS Working 1'!$AD161*'MIS Working 1'!$L161</f>
        <v>0</v>
      </c>
      <c r="AM161" s="270">
        <f>'MIS Working 1'!$L161*'MIS Working 1'!$AE161+'MIS Working 1'!$AL161</f>
        <v>4368</v>
      </c>
    </row>
    <row r="162" spans="1:39" x14ac:dyDescent="0.3">
      <c r="A162" s="272" t="s">
        <v>479</v>
      </c>
      <c r="B162" s="273">
        <v>45980</v>
      </c>
      <c r="C162" s="274" t="s">
        <v>1744</v>
      </c>
      <c r="D162" s="274" t="s">
        <v>595</v>
      </c>
      <c r="E162" s="274" t="s">
        <v>596</v>
      </c>
      <c r="F162" s="274" t="s">
        <v>18</v>
      </c>
      <c r="G162" s="274" t="s">
        <v>34</v>
      </c>
      <c r="H162" s="274" t="s">
        <v>772</v>
      </c>
      <c r="I162" s="275">
        <v>1621</v>
      </c>
      <c r="J162" s="276">
        <v>202835.73</v>
      </c>
      <c r="K162" s="275">
        <v>1621</v>
      </c>
      <c r="L162" s="275">
        <v>1621</v>
      </c>
      <c r="M162" s="273">
        <v>45980</v>
      </c>
      <c r="N162" s="276">
        <v>214604.19</v>
      </c>
      <c r="O162" s="274" t="s">
        <v>21</v>
      </c>
      <c r="P162" s="274" t="s">
        <v>22</v>
      </c>
      <c r="Q162" s="274" t="s">
        <v>660</v>
      </c>
      <c r="R162" s="274" t="str">
        <f>VLOOKUP('MIS Working 1'!$G162,Master!$H$3:$I$8,2,0)</f>
        <v>Semi-Finished Goods</v>
      </c>
      <c r="S162" s="274" t="str">
        <f>VLOOKUP('MIS Working 1'!$H162,Master!B:C,2,0)</f>
        <v>SFG-GV5 Stator</v>
      </c>
      <c r="T162" s="274" t="str">
        <f>VLOOKUP('MIS Working 1'!$S162,Master!E:F,2,0)</f>
        <v>Sub Ass.-Mech Stator</v>
      </c>
      <c r="U162" s="277">
        <f>'MIS Working 1'!$N162-'MIS Working 1'!$AF162</f>
        <v>11768.459999999992</v>
      </c>
      <c r="V162" s="278">
        <f>'MIS Working 1'!$U162/'MIS Working 1'!$N162</f>
        <v>5.483797869929749E-2</v>
      </c>
      <c r="W162" s="274">
        <f>'MIS Working 1'!$N162/'MIS Working 1'!$L162</f>
        <v>132.39000000000001</v>
      </c>
      <c r="X162" s="279">
        <f>SUM('MIS Working 1'!$Y162:$AE162)</f>
        <v>127.08</v>
      </c>
      <c r="Y162" s="279">
        <f>SUMIFS('COGS Break up'!$E:$E,'COGS Break up'!$A:$A,'MIS Working 1'!$D162,'COGS Break up'!$D:$D,'MIS Working 1'!$Y$1)</f>
        <v>121.67999999999999</v>
      </c>
      <c r="Z162" s="279">
        <f>SUMIFS('COGS Break up'!$E:$E,'COGS Break up'!$A:$A,'MIS Working 1'!$D162,'COGS Break up'!$D:$D,'MIS Working 1'!$Z$1)</f>
        <v>1.5</v>
      </c>
      <c r="AA162" s="279">
        <f>SUMIFS('COGS Break up'!E:E,'COGS Break up'!A:A,'MIS Working 1'!$D:$D,'COGS Break up'!C:C,'MIS Working 1'!$AA$1)</f>
        <v>0.05</v>
      </c>
      <c r="AB162" s="279">
        <f>SUMIFS('COGS Break up'!E:E,'COGS Break up'!A:A,'MIS Working 1'!$D:$D,'COGS Break up'!C:C,$AB$1)</f>
        <v>0.4</v>
      </c>
      <c r="AC162" s="279">
        <f>SUMIFS('COGS Break up'!E:E,'COGS Break up'!A:A,'MIS Working 1'!$D:$D,'COGS Break up'!C:C,$AC$1)</f>
        <v>1.5</v>
      </c>
      <c r="AD162" s="279">
        <f>SUMIFS('COGS Break up'!$E:$E,'COGS Break up'!$A:$A,'MIS Working 1'!$D162,'COGS Break up'!$D:$D,'MIS Working 1'!$AD$1)</f>
        <v>0</v>
      </c>
      <c r="AE162" s="279">
        <f>SUMIFS('COGS Break up'!$E:$E,'COGS Break up'!$A:$A,'MIS Working 1'!$D162,'COGS Break up'!$D:$D,'MIS Working 1'!$AE$1)</f>
        <v>1.95</v>
      </c>
      <c r="AF162" s="280">
        <f>'MIS Working 1'!$AG162+'MIS Working 1'!$AH162+'MIS Working 1'!$AM162+'MIS Working 1'!$AL162</f>
        <v>202835.73</v>
      </c>
      <c r="AG162" s="279">
        <f>'MIS Working 1'!$L162*'MIS Working 1'!$Y162</f>
        <v>197243.28</v>
      </c>
      <c r="AH162" s="279">
        <f>'MIS Working 1'!$L162*'MIS Working 1'!$Z162</f>
        <v>2431.5</v>
      </c>
      <c r="AI162" s="279">
        <f t="shared" si="6"/>
        <v>81.050000000000011</v>
      </c>
      <c r="AJ162" s="279">
        <f t="shared" si="7"/>
        <v>648.40000000000009</v>
      </c>
      <c r="AK162" s="279">
        <f t="shared" si="8"/>
        <v>2431.5</v>
      </c>
      <c r="AL162" s="279">
        <f>'MIS Working 1'!$AD162*'MIS Working 1'!$L162</f>
        <v>0</v>
      </c>
      <c r="AM162" s="279">
        <f>'MIS Working 1'!$L162*'MIS Working 1'!$AE162+'MIS Working 1'!$AL162</f>
        <v>3160.95</v>
      </c>
    </row>
    <row r="163" spans="1:39" x14ac:dyDescent="0.3">
      <c r="A163" s="263" t="s">
        <v>479</v>
      </c>
      <c r="B163" s="264">
        <v>45980</v>
      </c>
      <c r="C163" s="265" t="s">
        <v>1745</v>
      </c>
      <c r="D163" s="265" t="s">
        <v>639</v>
      </c>
      <c r="E163" s="265" t="s">
        <v>640</v>
      </c>
      <c r="F163" s="265" t="s">
        <v>18</v>
      </c>
      <c r="G163" s="265" t="s">
        <v>19</v>
      </c>
      <c r="H163" s="265" t="s">
        <v>27</v>
      </c>
      <c r="I163" s="266">
        <v>105</v>
      </c>
      <c r="J163" s="267">
        <v>67728.149999999994</v>
      </c>
      <c r="K163" s="266">
        <v>105</v>
      </c>
      <c r="L163" s="266">
        <v>105</v>
      </c>
      <c r="M163" s="264">
        <v>45980</v>
      </c>
      <c r="N163" s="267">
        <v>76498.8</v>
      </c>
      <c r="O163" s="265" t="s">
        <v>21</v>
      </c>
      <c r="P163" s="265" t="s">
        <v>22</v>
      </c>
      <c r="Q163" s="265" t="s">
        <v>660</v>
      </c>
      <c r="R163" s="265" t="str">
        <f>VLOOKUP('MIS Working 1'!$G163,Master!$H$3:$I$8,2,0)</f>
        <v>Finished Goods</v>
      </c>
      <c r="S163" s="265" t="str">
        <f>VLOOKUP('MIS Working 1'!$H163,Master!B:C,2,0)</f>
        <v>FG-PCB-CF</v>
      </c>
      <c r="T163" s="265" t="str">
        <f>VLOOKUP('MIS Working 1'!$S163,Master!E:F,2,0)</f>
        <v>FG-PCB-CF</v>
      </c>
      <c r="U163" s="268">
        <f>'MIS Working 1'!$N163-'MIS Working 1'!$AF163</f>
        <v>8725.5000000000437</v>
      </c>
      <c r="V163" s="269">
        <f>'MIS Working 1'!$U163/'MIS Working 1'!$N163</f>
        <v>0.11406061271549414</v>
      </c>
      <c r="W163" s="265">
        <f>'MIS Working 1'!$N163/'MIS Working 1'!$L163</f>
        <v>728.56000000000006</v>
      </c>
      <c r="X163" s="270">
        <f>SUM('MIS Working 1'!$Y163:$AE163)</f>
        <v>677.50999999999965</v>
      </c>
      <c r="Y163" s="270">
        <f>SUMIFS('COGS Break up'!$E:$E,'COGS Break up'!$A:$A,'MIS Working 1'!$D163,'COGS Break up'!$D:$D,'MIS Working 1'!$Y$1)</f>
        <v>582.23999999999967</v>
      </c>
      <c r="Z163" s="270">
        <f>SUMIFS('COGS Break up'!$E:$E,'COGS Break up'!$A:$A,'MIS Working 1'!$D163,'COGS Break up'!$D:$D,'MIS Working 1'!$Z$1)</f>
        <v>29.88</v>
      </c>
      <c r="AA163" s="270">
        <f>SUMIFS('COGS Break up'!E:E,'COGS Break up'!A:A,'MIS Working 1'!$D:$D,'COGS Break up'!C:C,'MIS Working 1'!$AA$1)</f>
        <v>2.4500000000000002</v>
      </c>
      <c r="AB163" s="270">
        <f>SUMIFS('COGS Break up'!E:E,'COGS Break up'!A:A,'MIS Working 1'!$D:$D,'COGS Break up'!C:C,$AB$1)</f>
        <v>21.72</v>
      </c>
      <c r="AC163" s="270">
        <f>SUMIFS('COGS Break up'!E:E,'COGS Break up'!A:A,'MIS Working 1'!$D:$D,'COGS Break up'!C:C,$AC$1)</f>
        <v>8.31</v>
      </c>
      <c r="AD163" s="270">
        <f>SUMIFS('COGS Break up'!$E:$E,'COGS Break up'!$A:$A,'MIS Working 1'!$D163,'COGS Break up'!$D:$D,'MIS Working 1'!$AD$1)</f>
        <v>0.43</v>
      </c>
      <c r="AE163" s="270">
        <f>SUMIFS('COGS Break up'!$E:$E,'COGS Break up'!$A:$A,'MIS Working 1'!$D163,'COGS Break up'!$D:$D,'MIS Working 1'!$AE$1)</f>
        <v>32.480000000000004</v>
      </c>
      <c r="AF163" s="271">
        <f>'MIS Working 1'!$AG163+'MIS Working 1'!$AH163+'MIS Working 1'!$AM163+'MIS Working 1'!$AL163</f>
        <v>67773.299999999959</v>
      </c>
      <c r="AG163" s="270">
        <f>'MIS Working 1'!$L163*'MIS Working 1'!$Y163</f>
        <v>61135.199999999968</v>
      </c>
      <c r="AH163" s="270">
        <f>'MIS Working 1'!$L163*'MIS Working 1'!$Z163</f>
        <v>3137.4</v>
      </c>
      <c r="AI163" s="270">
        <f t="shared" si="6"/>
        <v>257.25</v>
      </c>
      <c r="AJ163" s="270">
        <f t="shared" si="7"/>
        <v>2280.6</v>
      </c>
      <c r="AK163" s="270">
        <f t="shared" si="8"/>
        <v>872.55000000000007</v>
      </c>
      <c r="AL163" s="270">
        <f>'MIS Working 1'!$AD163*'MIS Working 1'!$L163</f>
        <v>45.15</v>
      </c>
      <c r="AM163" s="270">
        <f>'MIS Working 1'!$L163*'MIS Working 1'!$AE163+'MIS Working 1'!$AL163</f>
        <v>3455.5500000000006</v>
      </c>
    </row>
    <row r="164" spans="1:39" x14ac:dyDescent="0.3">
      <c r="A164" s="272" t="s">
        <v>479</v>
      </c>
      <c r="B164" s="273">
        <v>45980</v>
      </c>
      <c r="C164" s="274" t="s">
        <v>1746</v>
      </c>
      <c r="D164" s="274" t="s">
        <v>639</v>
      </c>
      <c r="E164" s="274" t="s">
        <v>640</v>
      </c>
      <c r="F164" s="274" t="s">
        <v>18</v>
      </c>
      <c r="G164" s="274" t="s">
        <v>19</v>
      </c>
      <c r="H164" s="274" t="s">
        <v>27</v>
      </c>
      <c r="I164" s="275">
        <v>105</v>
      </c>
      <c r="J164" s="276">
        <v>67728.149999999994</v>
      </c>
      <c r="K164" s="275">
        <v>105</v>
      </c>
      <c r="L164" s="275">
        <v>105</v>
      </c>
      <c r="M164" s="273">
        <v>45980</v>
      </c>
      <c r="N164" s="276">
        <v>76498.8</v>
      </c>
      <c r="O164" s="274" t="s">
        <v>21</v>
      </c>
      <c r="P164" s="274" t="s">
        <v>22</v>
      </c>
      <c r="Q164" s="274" t="s">
        <v>660</v>
      </c>
      <c r="R164" s="274" t="str">
        <f>VLOOKUP('MIS Working 1'!$G164,Master!$H$3:$I$8,2,0)</f>
        <v>Finished Goods</v>
      </c>
      <c r="S164" s="274" t="str">
        <f>VLOOKUP('MIS Working 1'!$H164,Master!B:C,2,0)</f>
        <v>FG-PCB-CF</v>
      </c>
      <c r="T164" s="274" t="str">
        <f>VLOOKUP('MIS Working 1'!$S164,Master!E:F,2,0)</f>
        <v>FG-PCB-CF</v>
      </c>
      <c r="U164" s="277">
        <f>'MIS Working 1'!$N164-'MIS Working 1'!$AF164</f>
        <v>8725.5000000000437</v>
      </c>
      <c r="V164" s="278">
        <f>'MIS Working 1'!$U164/'MIS Working 1'!$N164</f>
        <v>0.11406061271549414</v>
      </c>
      <c r="W164" s="274">
        <f>'MIS Working 1'!$N164/'MIS Working 1'!$L164</f>
        <v>728.56000000000006</v>
      </c>
      <c r="X164" s="279">
        <f>SUM('MIS Working 1'!$Y164:$AE164)</f>
        <v>677.50999999999965</v>
      </c>
      <c r="Y164" s="279">
        <f>SUMIFS('COGS Break up'!$E:$E,'COGS Break up'!$A:$A,'MIS Working 1'!$D164,'COGS Break up'!$D:$D,'MIS Working 1'!$Y$1)</f>
        <v>582.23999999999967</v>
      </c>
      <c r="Z164" s="279">
        <f>SUMIFS('COGS Break up'!$E:$E,'COGS Break up'!$A:$A,'MIS Working 1'!$D164,'COGS Break up'!$D:$D,'MIS Working 1'!$Z$1)</f>
        <v>29.88</v>
      </c>
      <c r="AA164" s="279">
        <f>SUMIFS('COGS Break up'!E:E,'COGS Break up'!A:A,'MIS Working 1'!$D:$D,'COGS Break up'!C:C,'MIS Working 1'!$AA$1)</f>
        <v>2.4500000000000002</v>
      </c>
      <c r="AB164" s="279">
        <f>SUMIFS('COGS Break up'!E:E,'COGS Break up'!A:A,'MIS Working 1'!$D:$D,'COGS Break up'!C:C,$AB$1)</f>
        <v>21.72</v>
      </c>
      <c r="AC164" s="279">
        <f>SUMIFS('COGS Break up'!E:E,'COGS Break up'!A:A,'MIS Working 1'!$D:$D,'COGS Break up'!C:C,$AC$1)</f>
        <v>8.31</v>
      </c>
      <c r="AD164" s="279">
        <f>SUMIFS('COGS Break up'!$E:$E,'COGS Break up'!$A:$A,'MIS Working 1'!$D164,'COGS Break up'!$D:$D,'MIS Working 1'!$AD$1)</f>
        <v>0.43</v>
      </c>
      <c r="AE164" s="279">
        <f>SUMIFS('COGS Break up'!$E:$E,'COGS Break up'!$A:$A,'MIS Working 1'!$D164,'COGS Break up'!$D:$D,'MIS Working 1'!$AE$1)</f>
        <v>32.480000000000004</v>
      </c>
      <c r="AF164" s="280">
        <f>'MIS Working 1'!$AG164+'MIS Working 1'!$AH164+'MIS Working 1'!$AM164+'MIS Working 1'!$AL164</f>
        <v>67773.299999999959</v>
      </c>
      <c r="AG164" s="279">
        <f>'MIS Working 1'!$L164*'MIS Working 1'!$Y164</f>
        <v>61135.199999999968</v>
      </c>
      <c r="AH164" s="279">
        <f>'MIS Working 1'!$L164*'MIS Working 1'!$Z164</f>
        <v>3137.4</v>
      </c>
      <c r="AI164" s="279">
        <f t="shared" si="6"/>
        <v>257.25</v>
      </c>
      <c r="AJ164" s="279">
        <f t="shared" si="7"/>
        <v>2280.6</v>
      </c>
      <c r="AK164" s="279">
        <f t="shared" si="8"/>
        <v>872.55000000000007</v>
      </c>
      <c r="AL164" s="279">
        <f>'MIS Working 1'!$AD164*'MIS Working 1'!$L164</f>
        <v>45.15</v>
      </c>
      <c r="AM164" s="279">
        <f>'MIS Working 1'!$L164*'MIS Working 1'!$AE164+'MIS Working 1'!$AL164</f>
        <v>3455.5500000000006</v>
      </c>
    </row>
    <row r="165" spans="1:39" x14ac:dyDescent="0.3">
      <c r="A165" s="263" t="s">
        <v>479</v>
      </c>
      <c r="B165" s="264">
        <v>45980</v>
      </c>
      <c r="C165" s="265" t="s">
        <v>1745</v>
      </c>
      <c r="D165" s="265" t="s">
        <v>42</v>
      </c>
      <c r="E165" s="265" t="s">
        <v>43</v>
      </c>
      <c r="F165" s="265" t="s">
        <v>18</v>
      </c>
      <c r="G165" s="265" t="s">
        <v>19</v>
      </c>
      <c r="H165" s="265" t="s">
        <v>27</v>
      </c>
      <c r="I165" s="266">
        <v>1649</v>
      </c>
      <c r="J165" s="267">
        <v>539437.37</v>
      </c>
      <c r="K165" s="266">
        <v>1649</v>
      </c>
      <c r="L165" s="266">
        <v>1649</v>
      </c>
      <c r="M165" s="264">
        <v>45980</v>
      </c>
      <c r="N165" s="267">
        <v>562424.43000000005</v>
      </c>
      <c r="O165" s="265" t="s">
        <v>21</v>
      </c>
      <c r="P165" s="265" t="s">
        <v>22</v>
      </c>
      <c r="Q165" s="265" t="s">
        <v>660</v>
      </c>
      <c r="R165" s="265" t="str">
        <f>VLOOKUP('MIS Working 1'!$G165,Master!$H$3:$I$8,2,0)</f>
        <v>Finished Goods</v>
      </c>
      <c r="S165" s="265" t="str">
        <f>VLOOKUP('MIS Working 1'!$H165,Master!B:C,2,0)</f>
        <v>FG-PCB-CF</v>
      </c>
      <c r="T165" s="265" t="str">
        <f>VLOOKUP('MIS Working 1'!$S165,Master!E:F,2,0)</f>
        <v>FG-PCB-CF</v>
      </c>
      <c r="U165" s="268">
        <f>'MIS Working 1'!$N165-'MIS Working 1'!$AF165</f>
        <v>22706.729999999981</v>
      </c>
      <c r="V165" s="269">
        <f>'MIS Working 1'!$U165/'MIS Working 1'!$N165</f>
        <v>4.0372943970445913E-2</v>
      </c>
      <c r="W165" s="265">
        <f>'MIS Working 1'!$N165/'MIS Working 1'!$L165</f>
        <v>341.07000000000005</v>
      </c>
      <c r="X165" s="270">
        <f>SUM('MIS Working 1'!$Y165:$AE165)</f>
        <v>353.55</v>
      </c>
      <c r="Y165" s="270">
        <f>SUMIFS('COGS Break up'!$E:$E,'COGS Break up'!$A:$A,'MIS Working 1'!$D165,'COGS Break up'!$D:$D,'MIS Working 1'!$Y$1)</f>
        <v>278.14000000000004</v>
      </c>
      <c r="Z165" s="270">
        <f>SUMIFS('COGS Break up'!$E:$E,'COGS Break up'!$A:$A,'MIS Working 1'!$D165,'COGS Break up'!$D:$D,'MIS Working 1'!$Z$1)</f>
        <v>22.400000000000002</v>
      </c>
      <c r="AA165" s="270">
        <f>SUMIFS('COGS Break up'!E:E,'COGS Break up'!A:A,'MIS Working 1'!$D:$D,'COGS Break up'!C:C,'MIS Working 1'!$AA$1)</f>
        <v>1.8299999999999998</v>
      </c>
      <c r="AB165" s="270">
        <f>SUMIFS('COGS Break up'!E:E,'COGS Break up'!A:A,'MIS Working 1'!$D:$D,'COGS Break up'!C:C,$AB$1)</f>
        <v>16.28</v>
      </c>
      <c r="AC165" s="270">
        <f>SUMIFS('COGS Break up'!E:E,'COGS Break up'!A:A,'MIS Working 1'!$D:$D,'COGS Break up'!C:C,$AC$1)</f>
        <v>8.31</v>
      </c>
      <c r="AD165" s="270">
        <f>SUMIFS('COGS Break up'!$E:$E,'COGS Break up'!$A:$A,'MIS Working 1'!$D165,'COGS Break up'!$D:$D,'MIS Working 1'!$AD$1)</f>
        <v>0.17</v>
      </c>
      <c r="AE165" s="270">
        <f>SUMIFS('COGS Break up'!$E:$E,'COGS Break up'!$A:$A,'MIS Working 1'!$D165,'COGS Break up'!$D:$D,'MIS Working 1'!$AE$1)</f>
        <v>26.42</v>
      </c>
      <c r="AF165" s="271">
        <f>'MIS Working 1'!$AG165+'MIS Working 1'!$AH165+'MIS Working 1'!$AM165+'MIS Working 1'!$AL165</f>
        <v>539717.70000000007</v>
      </c>
      <c r="AG165" s="270">
        <f>'MIS Working 1'!$L165*'MIS Working 1'!$Y165</f>
        <v>458652.86000000004</v>
      </c>
      <c r="AH165" s="270">
        <f>'MIS Working 1'!$L165*'MIS Working 1'!$Z165</f>
        <v>36937.600000000006</v>
      </c>
      <c r="AI165" s="270">
        <f t="shared" si="6"/>
        <v>3017.6699999999996</v>
      </c>
      <c r="AJ165" s="270">
        <f t="shared" si="7"/>
        <v>26845.72</v>
      </c>
      <c r="AK165" s="270">
        <f t="shared" si="8"/>
        <v>13703.19</v>
      </c>
      <c r="AL165" s="270">
        <f>'MIS Working 1'!$AD165*'MIS Working 1'!$L165</f>
        <v>280.33000000000004</v>
      </c>
      <c r="AM165" s="270">
        <f>'MIS Working 1'!$L165*'MIS Working 1'!$AE165+'MIS Working 1'!$AL165</f>
        <v>43846.91</v>
      </c>
    </row>
    <row r="166" spans="1:39" x14ac:dyDescent="0.3">
      <c r="A166" s="272" t="s">
        <v>479</v>
      </c>
      <c r="B166" s="273">
        <v>45980</v>
      </c>
      <c r="C166" s="274" t="s">
        <v>1746</v>
      </c>
      <c r="D166" s="274" t="s">
        <v>23</v>
      </c>
      <c r="E166" s="274" t="s">
        <v>24</v>
      </c>
      <c r="F166" s="274" t="s">
        <v>18</v>
      </c>
      <c r="G166" s="274" t="s">
        <v>19</v>
      </c>
      <c r="H166" s="274" t="s">
        <v>27</v>
      </c>
      <c r="I166" s="275">
        <v>1240</v>
      </c>
      <c r="J166" s="276">
        <v>522548.4</v>
      </c>
      <c r="K166" s="275">
        <v>1240</v>
      </c>
      <c r="L166" s="275">
        <v>1240</v>
      </c>
      <c r="M166" s="273">
        <v>45980</v>
      </c>
      <c r="N166" s="276">
        <v>599118.4</v>
      </c>
      <c r="O166" s="274" t="s">
        <v>21</v>
      </c>
      <c r="P166" s="274" t="s">
        <v>22</v>
      </c>
      <c r="Q166" s="274" t="s">
        <v>660</v>
      </c>
      <c r="R166" s="274" t="str">
        <f>VLOOKUP('MIS Working 1'!$G166,Master!$H$3:$I$8,2,0)</f>
        <v>Finished Goods</v>
      </c>
      <c r="S166" s="274" t="str">
        <f>VLOOKUP('MIS Working 1'!$H166,Master!B:C,2,0)</f>
        <v>FG-PCB-CF</v>
      </c>
      <c r="T166" s="274" t="str">
        <f>VLOOKUP('MIS Working 1'!$S166,Master!E:F,2,0)</f>
        <v>FG-PCB-CF</v>
      </c>
      <c r="U166" s="277">
        <f>'MIS Working 1'!$N166-'MIS Working 1'!$AF166</f>
        <v>76247.600000000151</v>
      </c>
      <c r="V166" s="278">
        <f>'MIS Working 1'!$U166/'MIS Working 1'!$N166</f>
        <v>0.12726632999420506</v>
      </c>
      <c r="W166" s="274">
        <f>'MIS Working 1'!$N166/'MIS Working 1'!$L166</f>
        <v>483.16</v>
      </c>
      <c r="X166" s="279">
        <f>SUM('MIS Working 1'!$Y166:$AE166)</f>
        <v>447.50999999999988</v>
      </c>
      <c r="Y166" s="279">
        <f>SUMIFS('COGS Break up'!$E:$E,'COGS Break up'!$A:$A,'MIS Working 1'!$D166,'COGS Break up'!$D:$D,'MIS Working 1'!$Y$1)</f>
        <v>373.04999999999984</v>
      </c>
      <c r="Z166" s="279">
        <f>SUMIFS('COGS Break up'!$E:$E,'COGS Break up'!$A:$A,'MIS Working 1'!$D166,'COGS Break up'!$D:$D,'MIS Working 1'!$Z$1)</f>
        <v>22</v>
      </c>
      <c r="AA166" s="279">
        <f>SUMIFS('COGS Break up'!E:E,'COGS Break up'!A:A,'MIS Working 1'!$D:$D,'COGS Break up'!C:C,'MIS Working 1'!$AA$1)</f>
        <v>1.8</v>
      </c>
      <c r="AB166" s="279">
        <f>SUMIFS('COGS Break up'!E:E,'COGS Break up'!A:A,'MIS Working 1'!$D:$D,'COGS Break up'!C:C,$AB$1)</f>
        <v>15.99</v>
      </c>
      <c r="AC166" s="279">
        <f>SUMIFS('COGS Break up'!E:E,'COGS Break up'!A:A,'MIS Working 1'!$D:$D,'COGS Break up'!C:C,$AC$1)</f>
        <v>8.31</v>
      </c>
      <c r="AD166" s="279">
        <f>SUMIFS('COGS Break up'!$E:$E,'COGS Break up'!$A:$A,'MIS Working 1'!$D166,'COGS Break up'!$D:$D,'MIS Working 1'!$AD$1)</f>
        <v>0.26</v>
      </c>
      <c r="AE166" s="279">
        <f>SUMIFS('COGS Break up'!$E:$E,'COGS Break up'!$A:$A,'MIS Working 1'!$D166,'COGS Break up'!$D:$D,'MIS Working 1'!$AE$1)</f>
        <v>26.1</v>
      </c>
      <c r="AF166" s="280">
        <f>'MIS Working 1'!$AG166+'MIS Working 1'!$AH166+'MIS Working 1'!$AM166+'MIS Working 1'!$AL166</f>
        <v>522870.79999999987</v>
      </c>
      <c r="AG166" s="279">
        <f>'MIS Working 1'!$L166*'MIS Working 1'!$Y166</f>
        <v>462581.99999999983</v>
      </c>
      <c r="AH166" s="279">
        <f>'MIS Working 1'!$L166*'MIS Working 1'!$Z166</f>
        <v>27280</v>
      </c>
      <c r="AI166" s="279">
        <f t="shared" si="6"/>
        <v>2232</v>
      </c>
      <c r="AJ166" s="279">
        <f t="shared" si="7"/>
        <v>19827.599999999999</v>
      </c>
      <c r="AK166" s="279">
        <f t="shared" si="8"/>
        <v>10304.400000000001</v>
      </c>
      <c r="AL166" s="279">
        <f>'MIS Working 1'!$AD166*'MIS Working 1'!$L166</f>
        <v>322.40000000000003</v>
      </c>
      <c r="AM166" s="279">
        <f>'MIS Working 1'!$L166*'MIS Working 1'!$AE166+'MIS Working 1'!$AL166</f>
        <v>32686.400000000001</v>
      </c>
    </row>
    <row r="167" spans="1:39" x14ac:dyDescent="0.3">
      <c r="A167" s="263" t="s">
        <v>479</v>
      </c>
      <c r="B167" s="264">
        <v>45980</v>
      </c>
      <c r="C167" s="265" t="s">
        <v>1745</v>
      </c>
      <c r="D167" s="265" t="s">
        <v>1184</v>
      </c>
      <c r="E167" s="265" t="s">
        <v>1185</v>
      </c>
      <c r="F167" s="265" t="s">
        <v>18</v>
      </c>
      <c r="G167" s="265" t="s">
        <v>19</v>
      </c>
      <c r="H167" s="265" t="s">
        <v>27</v>
      </c>
      <c r="I167" s="266">
        <v>700</v>
      </c>
      <c r="J167" s="267">
        <v>294966</v>
      </c>
      <c r="K167" s="266">
        <v>700</v>
      </c>
      <c r="L167" s="266">
        <v>700</v>
      </c>
      <c r="M167" s="264">
        <v>45980</v>
      </c>
      <c r="N167" s="267">
        <v>338212</v>
      </c>
      <c r="O167" s="265" t="s">
        <v>21</v>
      </c>
      <c r="P167" s="265" t="s">
        <v>22</v>
      </c>
      <c r="Q167" s="265" t="s">
        <v>660</v>
      </c>
      <c r="R167" s="265" t="str">
        <f>VLOOKUP('MIS Working 1'!$G167,Master!$H$3:$I$8,2,0)</f>
        <v>Finished Goods</v>
      </c>
      <c r="S167" s="265" t="str">
        <f>VLOOKUP('MIS Working 1'!$H167,Master!B:C,2,0)</f>
        <v>FG-PCB-CF</v>
      </c>
      <c r="T167" s="265" t="str">
        <f>VLOOKUP('MIS Working 1'!$S167,Master!E:F,2,0)</f>
        <v>FG-PCB-CF</v>
      </c>
      <c r="U167" s="268">
        <f>'MIS Working 1'!$N167-'MIS Working 1'!$AF167</f>
        <v>43064.000000000116</v>
      </c>
      <c r="V167" s="269">
        <f>'MIS Working 1'!$U167/'MIS Working 1'!$N167</f>
        <v>0.12732842122692312</v>
      </c>
      <c r="W167" s="265">
        <f>'MIS Working 1'!$N167/'MIS Working 1'!$L167</f>
        <v>483.16</v>
      </c>
      <c r="X167" s="270">
        <f>SUM('MIS Working 1'!$Y167:$AE167)</f>
        <v>447.47999999999985</v>
      </c>
      <c r="Y167" s="270">
        <f>SUMIFS('COGS Break up'!$E:$E,'COGS Break up'!$A:$A,'MIS Working 1'!$D167,'COGS Break up'!$D:$D,'MIS Working 1'!$Y$1)</f>
        <v>373.01999999999981</v>
      </c>
      <c r="Z167" s="270">
        <f>SUMIFS('COGS Break up'!$E:$E,'COGS Break up'!$A:$A,'MIS Working 1'!$D167,'COGS Break up'!$D:$D,'MIS Working 1'!$Z$1)</f>
        <v>22</v>
      </c>
      <c r="AA167" s="270">
        <f>SUMIFS('COGS Break up'!E:E,'COGS Break up'!A:A,'MIS Working 1'!$D:$D,'COGS Break up'!C:C,'MIS Working 1'!$AA$1)</f>
        <v>1.8</v>
      </c>
      <c r="AB167" s="270">
        <f>SUMIFS('COGS Break up'!E:E,'COGS Break up'!A:A,'MIS Working 1'!$D:$D,'COGS Break up'!C:C,$AB$1)</f>
        <v>15.99</v>
      </c>
      <c r="AC167" s="270">
        <f>SUMIFS('COGS Break up'!E:E,'COGS Break up'!A:A,'MIS Working 1'!$D:$D,'COGS Break up'!C:C,$AC$1)</f>
        <v>8.31</v>
      </c>
      <c r="AD167" s="270">
        <f>SUMIFS('COGS Break up'!$E:$E,'COGS Break up'!$A:$A,'MIS Working 1'!$D167,'COGS Break up'!$D:$D,'MIS Working 1'!$AD$1)</f>
        <v>0.26</v>
      </c>
      <c r="AE167" s="270">
        <f>SUMIFS('COGS Break up'!$E:$E,'COGS Break up'!$A:$A,'MIS Working 1'!$D167,'COGS Break up'!$D:$D,'MIS Working 1'!$AE$1)</f>
        <v>26.1</v>
      </c>
      <c r="AF167" s="271">
        <f>'MIS Working 1'!$AG167+'MIS Working 1'!$AH167+'MIS Working 1'!$AM167+'MIS Working 1'!$AL167</f>
        <v>295147.99999999988</v>
      </c>
      <c r="AG167" s="270">
        <f>'MIS Working 1'!$L167*'MIS Working 1'!$Y167</f>
        <v>261113.99999999985</v>
      </c>
      <c r="AH167" s="270">
        <f>'MIS Working 1'!$L167*'MIS Working 1'!$Z167</f>
        <v>15400</v>
      </c>
      <c r="AI167" s="270">
        <f t="shared" si="6"/>
        <v>1260</v>
      </c>
      <c r="AJ167" s="270">
        <f t="shared" si="7"/>
        <v>11193</v>
      </c>
      <c r="AK167" s="270">
        <f t="shared" si="8"/>
        <v>5817</v>
      </c>
      <c r="AL167" s="270">
        <f>'MIS Working 1'!$AD167*'MIS Working 1'!$L167</f>
        <v>182</v>
      </c>
      <c r="AM167" s="270">
        <f>'MIS Working 1'!$L167*'MIS Working 1'!$AE167+'MIS Working 1'!$AL167</f>
        <v>18452</v>
      </c>
    </row>
    <row r="168" spans="1:39" x14ac:dyDescent="0.3">
      <c r="A168" s="272" t="s">
        <v>479</v>
      </c>
      <c r="B168" s="273">
        <v>45980</v>
      </c>
      <c r="C168" s="274" t="s">
        <v>1747</v>
      </c>
      <c r="D168" s="274" t="s">
        <v>1182</v>
      </c>
      <c r="E168" s="274" t="s">
        <v>1183</v>
      </c>
      <c r="F168" s="274" t="s">
        <v>18</v>
      </c>
      <c r="G168" s="274" t="s">
        <v>19</v>
      </c>
      <c r="H168" s="274" t="s">
        <v>27</v>
      </c>
      <c r="I168" s="275">
        <v>1135</v>
      </c>
      <c r="J168" s="276">
        <v>478266.3</v>
      </c>
      <c r="K168" s="275">
        <v>1135</v>
      </c>
      <c r="L168" s="275">
        <v>1135</v>
      </c>
      <c r="M168" s="273">
        <v>45980</v>
      </c>
      <c r="N168" s="276">
        <v>548386.6</v>
      </c>
      <c r="O168" s="274" t="s">
        <v>21</v>
      </c>
      <c r="P168" s="274" t="s">
        <v>22</v>
      </c>
      <c r="Q168" s="274" t="s">
        <v>660</v>
      </c>
      <c r="R168" s="274" t="str">
        <f>VLOOKUP('MIS Working 1'!$G168,Master!$H$3:$I$8,2,0)</f>
        <v>Finished Goods</v>
      </c>
      <c r="S168" s="274" t="str">
        <f>VLOOKUP('MIS Working 1'!$H168,Master!B:C,2,0)</f>
        <v>FG-PCB-CF</v>
      </c>
      <c r="T168" s="274" t="str">
        <f>VLOOKUP('MIS Working 1'!$S168,Master!E:F,2,0)</f>
        <v>FG-PCB-CF</v>
      </c>
      <c r="U168" s="277">
        <f>'MIS Working 1'!$N168-'MIS Working 1'!$AF168</f>
        <v>69825.200000000244</v>
      </c>
      <c r="V168" s="278">
        <f>'MIS Working 1'!$U168/'MIS Working 1'!$N168</f>
        <v>0.1273284212269232</v>
      </c>
      <c r="W168" s="274">
        <f>'MIS Working 1'!$N168/'MIS Working 1'!$L168</f>
        <v>483.15999999999997</v>
      </c>
      <c r="X168" s="279">
        <f>SUM('MIS Working 1'!$Y168:$AE168)</f>
        <v>447.47999999999985</v>
      </c>
      <c r="Y168" s="279">
        <f>SUMIFS('COGS Break up'!$E:$E,'COGS Break up'!$A:$A,'MIS Working 1'!$D168,'COGS Break up'!$D:$D,'MIS Working 1'!$Y$1)</f>
        <v>373.01999999999981</v>
      </c>
      <c r="Z168" s="279">
        <f>SUMIFS('COGS Break up'!$E:$E,'COGS Break up'!$A:$A,'MIS Working 1'!$D168,'COGS Break up'!$D:$D,'MIS Working 1'!$Z$1)</f>
        <v>22</v>
      </c>
      <c r="AA168" s="279">
        <f>SUMIFS('COGS Break up'!E:E,'COGS Break up'!A:A,'MIS Working 1'!$D:$D,'COGS Break up'!C:C,'MIS Working 1'!$AA$1)</f>
        <v>1.8</v>
      </c>
      <c r="AB168" s="279">
        <f>SUMIFS('COGS Break up'!E:E,'COGS Break up'!A:A,'MIS Working 1'!$D:$D,'COGS Break up'!C:C,$AB$1)</f>
        <v>15.99</v>
      </c>
      <c r="AC168" s="279">
        <f>SUMIFS('COGS Break up'!E:E,'COGS Break up'!A:A,'MIS Working 1'!$D:$D,'COGS Break up'!C:C,$AC$1)</f>
        <v>8.31</v>
      </c>
      <c r="AD168" s="279">
        <f>SUMIFS('COGS Break up'!$E:$E,'COGS Break up'!$A:$A,'MIS Working 1'!$D168,'COGS Break up'!$D:$D,'MIS Working 1'!$AD$1)</f>
        <v>0.26</v>
      </c>
      <c r="AE168" s="279">
        <f>SUMIFS('COGS Break up'!$E:$E,'COGS Break up'!$A:$A,'MIS Working 1'!$D168,'COGS Break up'!$D:$D,'MIS Working 1'!$AE$1)</f>
        <v>26.1</v>
      </c>
      <c r="AF168" s="280">
        <f>'MIS Working 1'!$AG168+'MIS Working 1'!$AH168+'MIS Working 1'!$AM168+'MIS Working 1'!$AL168</f>
        <v>478561.39999999973</v>
      </c>
      <c r="AG168" s="279">
        <f>'MIS Working 1'!$L168*'MIS Working 1'!$Y168</f>
        <v>423377.69999999978</v>
      </c>
      <c r="AH168" s="279">
        <f>'MIS Working 1'!$L168*'MIS Working 1'!$Z168</f>
        <v>24970</v>
      </c>
      <c r="AI168" s="279">
        <f t="shared" si="6"/>
        <v>2043</v>
      </c>
      <c r="AJ168" s="279">
        <f t="shared" si="7"/>
        <v>18148.650000000001</v>
      </c>
      <c r="AK168" s="279">
        <f t="shared" si="8"/>
        <v>9431.85</v>
      </c>
      <c r="AL168" s="279">
        <f>'MIS Working 1'!$AD168*'MIS Working 1'!$L168</f>
        <v>295.10000000000002</v>
      </c>
      <c r="AM168" s="279">
        <f>'MIS Working 1'!$L168*'MIS Working 1'!$AE168+'MIS Working 1'!$AL168</f>
        <v>29918.6</v>
      </c>
    </row>
    <row r="169" spans="1:39" x14ac:dyDescent="0.3">
      <c r="A169" s="263" t="s">
        <v>479</v>
      </c>
      <c r="B169" s="264">
        <v>45980</v>
      </c>
      <c r="C169" s="265" t="s">
        <v>1745</v>
      </c>
      <c r="D169" s="265" t="s">
        <v>38</v>
      </c>
      <c r="E169" s="265" t="s">
        <v>39</v>
      </c>
      <c r="F169" s="265" t="s">
        <v>18</v>
      </c>
      <c r="G169" s="265" t="s">
        <v>19</v>
      </c>
      <c r="H169" s="265" t="s">
        <v>27</v>
      </c>
      <c r="I169" s="266">
        <v>870</v>
      </c>
      <c r="J169" s="267">
        <v>284603.09999999998</v>
      </c>
      <c r="K169" s="266">
        <v>870</v>
      </c>
      <c r="L169" s="266">
        <v>870</v>
      </c>
      <c r="M169" s="264">
        <v>45980</v>
      </c>
      <c r="N169" s="267">
        <v>296730.90000000002</v>
      </c>
      <c r="O169" s="265" t="s">
        <v>21</v>
      </c>
      <c r="P169" s="265" t="s">
        <v>22</v>
      </c>
      <c r="Q169" s="265" t="s">
        <v>660</v>
      </c>
      <c r="R169" s="265" t="str">
        <f>VLOOKUP('MIS Working 1'!$G169,Master!$H$3:$I$8,2,0)</f>
        <v>Finished Goods</v>
      </c>
      <c r="S169" s="265" t="str">
        <f>VLOOKUP('MIS Working 1'!$H169,Master!B:C,2,0)</f>
        <v>FG-PCB-CF</v>
      </c>
      <c r="T169" s="265" t="str">
        <f>VLOOKUP('MIS Working 1'!$S169,Master!E:F,2,0)</f>
        <v>FG-PCB-CF</v>
      </c>
      <c r="U169" s="268">
        <f>'MIS Working 1'!$N169-'MIS Working 1'!$AF169</f>
        <v>11979.900000000023</v>
      </c>
      <c r="V169" s="269">
        <f>'MIS Working 1'!$U169/'MIS Working 1'!$N169</f>
        <v>4.0372943970446024E-2</v>
      </c>
      <c r="W169" s="265">
        <f>'MIS Working 1'!$N169/'MIS Working 1'!$L169</f>
        <v>341.07000000000005</v>
      </c>
      <c r="X169" s="270">
        <f>SUM('MIS Working 1'!$Y169:$AE169)</f>
        <v>353.55</v>
      </c>
      <c r="Y169" s="270">
        <f>SUMIFS('COGS Break up'!$E:$E,'COGS Break up'!$A:$A,'MIS Working 1'!$D169,'COGS Break up'!$D:$D,'MIS Working 1'!$Y$1)</f>
        <v>278.14</v>
      </c>
      <c r="Z169" s="270">
        <f>SUMIFS('COGS Break up'!$E:$E,'COGS Break up'!$A:$A,'MIS Working 1'!$D169,'COGS Break up'!$D:$D,'MIS Working 1'!$Z$1)</f>
        <v>22.400000000000002</v>
      </c>
      <c r="AA169" s="270">
        <f>SUMIFS('COGS Break up'!E:E,'COGS Break up'!A:A,'MIS Working 1'!$D:$D,'COGS Break up'!C:C,'MIS Working 1'!$AA$1)</f>
        <v>1.8299999999999998</v>
      </c>
      <c r="AB169" s="270">
        <f>SUMIFS('COGS Break up'!E:E,'COGS Break up'!A:A,'MIS Working 1'!$D:$D,'COGS Break up'!C:C,$AB$1)</f>
        <v>16.28</v>
      </c>
      <c r="AC169" s="270">
        <f>SUMIFS('COGS Break up'!E:E,'COGS Break up'!A:A,'MIS Working 1'!$D:$D,'COGS Break up'!C:C,$AC$1)</f>
        <v>8.31</v>
      </c>
      <c r="AD169" s="270">
        <f>SUMIFS('COGS Break up'!$E:$E,'COGS Break up'!$A:$A,'MIS Working 1'!$D169,'COGS Break up'!$D:$D,'MIS Working 1'!$AD$1)</f>
        <v>0.17</v>
      </c>
      <c r="AE169" s="270">
        <f>SUMIFS('COGS Break up'!$E:$E,'COGS Break up'!$A:$A,'MIS Working 1'!$D169,'COGS Break up'!$D:$D,'MIS Working 1'!$AE$1)</f>
        <v>26.42</v>
      </c>
      <c r="AF169" s="271">
        <f>'MIS Working 1'!$AG169+'MIS Working 1'!$AH169+'MIS Working 1'!$AM169+'MIS Working 1'!$AL169</f>
        <v>284751</v>
      </c>
      <c r="AG169" s="270">
        <f>'MIS Working 1'!$L169*'MIS Working 1'!$Y169</f>
        <v>241981.8</v>
      </c>
      <c r="AH169" s="270">
        <f>'MIS Working 1'!$L169*'MIS Working 1'!$Z169</f>
        <v>19488.000000000004</v>
      </c>
      <c r="AI169" s="270">
        <f t="shared" si="6"/>
        <v>1592.1</v>
      </c>
      <c r="AJ169" s="270">
        <f t="shared" si="7"/>
        <v>14163.6</v>
      </c>
      <c r="AK169" s="270">
        <f t="shared" si="8"/>
        <v>7229.7000000000007</v>
      </c>
      <c r="AL169" s="270">
        <f>'MIS Working 1'!$AD169*'MIS Working 1'!$L169</f>
        <v>147.9</v>
      </c>
      <c r="AM169" s="270">
        <f>'MIS Working 1'!$L169*'MIS Working 1'!$AE169+'MIS Working 1'!$AL169</f>
        <v>23133.300000000003</v>
      </c>
    </row>
    <row r="170" spans="1:39" x14ac:dyDescent="0.3">
      <c r="A170" s="272" t="s">
        <v>479</v>
      </c>
      <c r="B170" s="273">
        <v>45980</v>
      </c>
      <c r="C170" s="274" t="s">
        <v>1746</v>
      </c>
      <c r="D170" s="274" t="s">
        <v>380</v>
      </c>
      <c r="E170" s="274" t="s">
        <v>381</v>
      </c>
      <c r="F170" s="274" t="s">
        <v>18</v>
      </c>
      <c r="G170" s="274" t="s">
        <v>19</v>
      </c>
      <c r="H170" s="274" t="s">
        <v>27</v>
      </c>
      <c r="I170" s="275">
        <v>360</v>
      </c>
      <c r="J170" s="276">
        <v>77976</v>
      </c>
      <c r="K170" s="275">
        <v>360</v>
      </c>
      <c r="L170" s="275">
        <v>360</v>
      </c>
      <c r="M170" s="273">
        <v>45980</v>
      </c>
      <c r="N170" s="276">
        <v>79866</v>
      </c>
      <c r="O170" s="274" t="s">
        <v>21</v>
      </c>
      <c r="P170" s="274" t="s">
        <v>22</v>
      </c>
      <c r="Q170" s="274" t="s">
        <v>660</v>
      </c>
      <c r="R170" s="274" t="str">
        <f>VLOOKUP('MIS Working 1'!$G170,Master!$H$3:$I$8,2,0)</f>
        <v>Finished Goods</v>
      </c>
      <c r="S170" s="274" t="str">
        <f>VLOOKUP('MIS Working 1'!$H170,Master!B:C,2,0)</f>
        <v>FG-PCB-CF</v>
      </c>
      <c r="T170" s="274" t="str">
        <f>VLOOKUP('MIS Working 1'!$S170,Master!E:F,2,0)</f>
        <v>FG-PCB-CF</v>
      </c>
      <c r="U170" s="277">
        <f>'MIS Working 1'!$N170-'MIS Working 1'!$AF170</f>
        <v>1875.6000000000349</v>
      </c>
      <c r="V170" s="278">
        <f>'MIS Working 1'!$U170/'MIS Working 1'!$N170</f>
        <v>2.3484336263241364E-2</v>
      </c>
      <c r="W170" s="274">
        <f>'MIS Working 1'!$N170/'MIS Working 1'!$L170</f>
        <v>221.85</v>
      </c>
      <c r="X170" s="279">
        <f>SUM('MIS Working 1'!$Y170:$AE170)</f>
        <v>239.77999999999994</v>
      </c>
      <c r="Y170" s="279">
        <f>SUMIFS('COGS Break up'!$E:$E,'COGS Break up'!$A:$A,'MIS Working 1'!$D170,'COGS Break up'!$D:$D,'MIS Working 1'!$Y$1)</f>
        <v>174.98999999999995</v>
      </c>
      <c r="Z170" s="279">
        <f>SUMIFS('COGS Break up'!$E:$E,'COGS Break up'!$A:$A,'MIS Working 1'!$D170,'COGS Break up'!$D:$D,'MIS Working 1'!$Z$1)</f>
        <v>18.389999999999997</v>
      </c>
      <c r="AA170" s="279">
        <f>SUMIFS('COGS Break up'!E:E,'COGS Break up'!A:A,'MIS Working 1'!$D:$D,'COGS Break up'!C:C,'MIS Working 1'!$AA$1)</f>
        <v>1.5</v>
      </c>
      <c r="AB170" s="279">
        <f>SUMIFS('COGS Break up'!E:E,'COGS Break up'!A:A,'MIS Working 1'!$D:$D,'COGS Break up'!C:C,$AB$1)</f>
        <v>13.37</v>
      </c>
      <c r="AC170" s="279">
        <f>SUMIFS('COGS Break up'!E:E,'COGS Break up'!A:A,'MIS Working 1'!$D:$D,'COGS Break up'!C:C,$AC$1)</f>
        <v>8.31</v>
      </c>
      <c r="AD170" s="279">
        <f>SUMIFS('COGS Break up'!$E:$E,'COGS Break up'!$A:$A,'MIS Working 1'!$D170,'COGS Break up'!$D:$D,'MIS Working 1'!$AD$1)</f>
        <v>0.04</v>
      </c>
      <c r="AE170" s="279">
        <f>SUMIFS('COGS Break up'!$E:$E,'COGS Break up'!$A:$A,'MIS Working 1'!$D170,'COGS Break up'!$D:$D,'MIS Working 1'!$AE$1)</f>
        <v>23.18</v>
      </c>
      <c r="AF170" s="280">
        <f>'MIS Working 1'!$AG170+'MIS Working 1'!$AH170+'MIS Working 1'!$AM170+'MIS Working 1'!$AL170</f>
        <v>77990.399999999965</v>
      </c>
      <c r="AG170" s="279">
        <f>'MIS Working 1'!$L170*'MIS Working 1'!$Y170</f>
        <v>62996.39999999998</v>
      </c>
      <c r="AH170" s="279">
        <f>'MIS Working 1'!$L170*'MIS Working 1'!$Z170</f>
        <v>6620.3999999999987</v>
      </c>
      <c r="AI170" s="279">
        <f t="shared" si="6"/>
        <v>540</v>
      </c>
      <c r="AJ170" s="279">
        <f t="shared" si="7"/>
        <v>4813.2</v>
      </c>
      <c r="AK170" s="279">
        <f t="shared" si="8"/>
        <v>2991.6000000000004</v>
      </c>
      <c r="AL170" s="279">
        <f>'MIS Working 1'!$AD170*'MIS Working 1'!$L170</f>
        <v>14.4</v>
      </c>
      <c r="AM170" s="279">
        <f>'MIS Working 1'!$L170*'MIS Working 1'!$AE170+'MIS Working 1'!$AL170</f>
        <v>8359.1999999999989</v>
      </c>
    </row>
    <row r="171" spans="1:39" x14ac:dyDescent="0.3">
      <c r="A171" s="263" t="s">
        <v>479</v>
      </c>
      <c r="B171" s="264">
        <v>45980</v>
      </c>
      <c r="C171" s="265" t="s">
        <v>1748</v>
      </c>
      <c r="D171" s="265" t="s">
        <v>1687</v>
      </c>
      <c r="E171" s="265" t="s">
        <v>1688</v>
      </c>
      <c r="F171" s="265" t="s">
        <v>18</v>
      </c>
      <c r="G171" s="265" t="s">
        <v>19</v>
      </c>
      <c r="H171" s="265" t="s">
        <v>27</v>
      </c>
      <c r="I171" s="266">
        <v>1190</v>
      </c>
      <c r="J171" s="267">
        <v>401089.5</v>
      </c>
      <c r="K171" s="266">
        <v>1190</v>
      </c>
      <c r="L171" s="266">
        <v>1190</v>
      </c>
      <c r="M171" s="264">
        <v>45980</v>
      </c>
      <c r="N171" s="267">
        <v>412596.8</v>
      </c>
      <c r="O171" s="265" t="s">
        <v>21</v>
      </c>
      <c r="P171" s="265" t="s">
        <v>22</v>
      </c>
      <c r="Q171" s="265" t="s">
        <v>660</v>
      </c>
      <c r="R171" s="265" t="str">
        <f>VLOOKUP('MIS Working 1'!$G171,Master!$H$3:$I$8,2,0)</f>
        <v>Finished Goods</v>
      </c>
      <c r="S171" s="265" t="str">
        <f>VLOOKUP('MIS Working 1'!$H171,Master!B:C,2,0)</f>
        <v>FG-PCB-CF</v>
      </c>
      <c r="T171" s="265" t="str">
        <f>VLOOKUP('MIS Working 1'!$S171,Master!E:F,2,0)</f>
        <v>FG-PCB-CF</v>
      </c>
      <c r="U171" s="268">
        <f>'MIS Working 1'!$N171-'MIS Working 1'!$AF171</f>
        <v>11293.100000000035</v>
      </c>
      <c r="V171" s="269">
        <f>'MIS Working 1'!$U171/'MIS Working 1'!$N171</f>
        <v>2.7370789109367875E-2</v>
      </c>
      <c r="W171" s="265">
        <f>'MIS Working 1'!$N171/'MIS Working 1'!$L171</f>
        <v>346.71999999999997</v>
      </c>
      <c r="X171" s="270">
        <f>SUM('MIS Working 1'!$Y171:$AE171)</f>
        <v>365.47</v>
      </c>
      <c r="Y171" s="270">
        <f>SUMIFS('COGS Break up'!$E:$E,'COGS Break up'!$A:$A,'MIS Working 1'!$D171,'COGS Break up'!$D:$D,'MIS Working 1'!$Y$1)</f>
        <v>287.83</v>
      </c>
      <c r="Z171" s="270">
        <f>SUMIFS('COGS Break up'!$E:$E,'COGS Break up'!$A:$A,'MIS Working 1'!$D171,'COGS Break up'!$D:$D,'MIS Working 1'!$Z$1)</f>
        <v>20.62</v>
      </c>
      <c r="AA171" s="270">
        <f>SUMIFS('COGS Break up'!E:E,'COGS Break up'!A:A,'MIS Working 1'!$D:$D,'COGS Break up'!C:C,'MIS Working 1'!$AA$1)</f>
        <v>2.21</v>
      </c>
      <c r="AB171" s="270">
        <f>SUMIFS('COGS Break up'!E:E,'COGS Break up'!A:A,'MIS Working 1'!$D:$D,'COGS Break up'!C:C,$AB$1)</f>
        <v>17.73</v>
      </c>
      <c r="AC171" s="270">
        <f>SUMIFS('COGS Break up'!E:E,'COGS Break up'!A:A,'MIS Working 1'!$D:$D,'COGS Break up'!C:C,$AC$1)</f>
        <v>8.48</v>
      </c>
      <c r="AD171" s="270">
        <f>SUMIFS('COGS Break up'!$E:$E,'COGS Break up'!$A:$A,'MIS Working 1'!$D171,'COGS Break up'!$D:$D,'MIS Working 1'!$AD$1)</f>
        <v>0.18</v>
      </c>
      <c r="AE171" s="270">
        <f>SUMIFS('COGS Break up'!$E:$E,'COGS Break up'!$A:$A,'MIS Working 1'!$D171,'COGS Break up'!$D:$D,'MIS Working 1'!$AE$1)</f>
        <v>28.42</v>
      </c>
      <c r="AF171" s="271">
        <f>'MIS Working 1'!$AG171+'MIS Working 1'!$AH171+'MIS Working 1'!$AM171+'MIS Working 1'!$AL171</f>
        <v>401303.69999999995</v>
      </c>
      <c r="AG171" s="270">
        <f>'MIS Working 1'!$L171*'MIS Working 1'!$Y171</f>
        <v>342517.69999999995</v>
      </c>
      <c r="AH171" s="270">
        <f>'MIS Working 1'!$L171*'MIS Working 1'!$Z171</f>
        <v>24537.800000000003</v>
      </c>
      <c r="AI171" s="270">
        <f t="shared" si="6"/>
        <v>2629.9</v>
      </c>
      <c r="AJ171" s="270">
        <f t="shared" si="7"/>
        <v>21098.7</v>
      </c>
      <c r="AK171" s="270">
        <f t="shared" si="8"/>
        <v>10091.200000000001</v>
      </c>
      <c r="AL171" s="270">
        <f>'MIS Working 1'!$AD171*'MIS Working 1'!$L171</f>
        <v>214.2</v>
      </c>
      <c r="AM171" s="270">
        <f>'MIS Working 1'!$L171*'MIS Working 1'!$AE171+'MIS Working 1'!$AL171</f>
        <v>34034</v>
      </c>
    </row>
    <row r="172" spans="1:39" x14ac:dyDescent="0.3">
      <c r="A172" s="272" t="s">
        <v>1658</v>
      </c>
      <c r="B172" s="273">
        <v>45980</v>
      </c>
      <c r="C172" s="274" t="s">
        <v>1749</v>
      </c>
      <c r="D172" s="274" t="s">
        <v>1659</v>
      </c>
      <c r="E172" s="274" t="s">
        <v>1660</v>
      </c>
      <c r="F172" s="274" t="s">
        <v>18</v>
      </c>
      <c r="G172" s="274" t="s">
        <v>48</v>
      </c>
      <c r="H172" s="274" t="s">
        <v>229</v>
      </c>
      <c r="I172" s="275">
        <v>1500</v>
      </c>
      <c r="J172" s="276">
        <v>200584.05</v>
      </c>
      <c r="K172" s="275">
        <v>1500</v>
      </c>
      <c r="L172" s="275">
        <v>1500</v>
      </c>
      <c r="M172" s="273">
        <v>45980</v>
      </c>
      <c r="N172" s="276">
        <v>204615</v>
      </c>
      <c r="O172" s="274" t="s">
        <v>21</v>
      </c>
      <c r="P172" s="274" t="s">
        <v>22</v>
      </c>
      <c r="Q172" s="274" t="s">
        <v>1750</v>
      </c>
      <c r="R172" s="274" t="str">
        <f>VLOOKUP('MIS Working 1'!$G172,Master!$H$3:$I$8,2,0)</f>
        <v>Raw Material</v>
      </c>
      <c r="S172" s="274" t="str">
        <f>VLOOKUP('MIS Working 1'!$H172,Master!B:C,2,0)</f>
        <v>RM-Mech. Metal</v>
      </c>
      <c r="T172" s="274" t="str">
        <f>VLOOKUP('MIS Working 1'!$S172,Master!E:F,2,0)</f>
        <v>Raw Material</v>
      </c>
      <c r="U172" s="277">
        <f>'MIS Working 1'!$N172-'MIS Working 1'!$AF172</f>
        <v>204615</v>
      </c>
      <c r="V172" s="278">
        <f>'MIS Working 1'!$U172/'MIS Working 1'!$N172</f>
        <v>1</v>
      </c>
      <c r="W172" s="274">
        <f>'MIS Working 1'!$N172/'MIS Working 1'!$L172</f>
        <v>136.41</v>
      </c>
      <c r="X172" s="279">
        <f>SUM('MIS Working 1'!$Y172:$AE172)</f>
        <v>0</v>
      </c>
      <c r="Y172" s="279">
        <f>SUMIFS('COGS Break up'!$E:$E,'COGS Break up'!$A:$A,'MIS Working 1'!$D172,'COGS Break up'!$D:$D,'MIS Working 1'!$Y$1)</f>
        <v>0</v>
      </c>
      <c r="Z172" s="279">
        <f>SUMIFS('COGS Break up'!$E:$E,'COGS Break up'!$A:$A,'MIS Working 1'!$D172,'COGS Break up'!$D:$D,'MIS Working 1'!$Z$1)</f>
        <v>0</v>
      </c>
      <c r="AA172" s="279">
        <f>SUMIFS('COGS Break up'!E:E,'COGS Break up'!A:A,'MIS Working 1'!$D:$D,'COGS Break up'!C:C,'MIS Working 1'!$AA$1)</f>
        <v>0</v>
      </c>
      <c r="AB172" s="279">
        <f>SUMIFS('COGS Break up'!E:E,'COGS Break up'!A:A,'MIS Working 1'!$D:$D,'COGS Break up'!C:C,$AB$1)</f>
        <v>0</v>
      </c>
      <c r="AC172" s="279">
        <f>SUMIFS('COGS Break up'!E:E,'COGS Break up'!A:A,'MIS Working 1'!$D:$D,'COGS Break up'!C:C,$AC$1)</f>
        <v>0</v>
      </c>
      <c r="AD172" s="279">
        <f>SUMIFS('COGS Break up'!$E:$E,'COGS Break up'!$A:$A,'MIS Working 1'!$D172,'COGS Break up'!$D:$D,'MIS Working 1'!$AD$1)</f>
        <v>0</v>
      </c>
      <c r="AE172" s="279">
        <f>SUMIFS('COGS Break up'!$E:$E,'COGS Break up'!$A:$A,'MIS Working 1'!$D172,'COGS Break up'!$D:$D,'MIS Working 1'!$AE$1)</f>
        <v>0</v>
      </c>
      <c r="AF172" s="280">
        <f>'MIS Working 1'!$AG172+'MIS Working 1'!$AH172+'MIS Working 1'!$AM172+'MIS Working 1'!$AL172</f>
        <v>0</v>
      </c>
      <c r="AG172" s="279">
        <f>'MIS Working 1'!$L172*'MIS Working 1'!$Y172</f>
        <v>0</v>
      </c>
      <c r="AH172" s="279">
        <f>'MIS Working 1'!$L172*'MIS Working 1'!$Z172</f>
        <v>0</v>
      </c>
      <c r="AI172" s="279">
        <f t="shared" si="6"/>
        <v>0</v>
      </c>
      <c r="AJ172" s="279">
        <f t="shared" si="7"/>
        <v>0</v>
      </c>
      <c r="AK172" s="279">
        <f t="shared" si="8"/>
        <v>0</v>
      </c>
      <c r="AL172" s="279">
        <f>'MIS Working 1'!$AD172*'MIS Working 1'!$L172</f>
        <v>0</v>
      </c>
      <c r="AM172" s="279">
        <f>'MIS Working 1'!$L172*'MIS Working 1'!$AE172+'MIS Working 1'!$AL172</f>
        <v>0</v>
      </c>
    </row>
    <row r="173" spans="1:39" x14ac:dyDescent="0.3">
      <c r="A173" s="263" t="s">
        <v>1658</v>
      </c>
      <c r="B173" s="264">
        <v>45980</v>
      </c>
      <c r="C173" s="265" t="s">
        <v>1749</v>
      </c>
      <c r="D173" s="265" t="s">
        <v>1661</v>
      </c>
      <c r="E173" s="265" t="s">
        <v>1662</v>
      </c>
      <c r="F173" s="265" t="s">
        <v>18</v>
      </c>
      <c r="G173" s="265" t="s">
        <v>48</v>
      </c>
      <c r="H173" s="265" t="s">
        <v>223</v>
      </c>
      <c r="I173" s="266">
        <v>814</v>
      </c>
      <c r="J173" s="267">
        <v>32985.78</v>
      </c>
      <c r="K173" s="266">
        <v>814</v>
      </c>
      <c r="L173" s="266">
        <v>814</v>
      </c>
      <c r="M173" s="264">
        <v>45980</v>
      </c>
      <c r="N173" s="267">
        <v>34383.360000000001</v>
      </c>
      <c r="O173" s="265" t="s">
        <v>21</v>
      </c>
      <c r="P173" s="265" t="s">
        <v>22</v>
      </c>
      <c r="Q173" s="265" t="s">
        <v>1750</v>
      </c>
      <c r="R173" s="265" t="str">
        <f>VLOOKUP('MIS Working 1'!$G173,Master!$H$3:$I$8,2,0)</f>
        <v>Raw Material</v>
      </c>
      <c r="S173" s="265" t="str">
        <f>VLOOKUP('MIS Working 1'!$H173,Master!B:C,2,0)</f>
        <v>RM-Mech-Rotor</v>
      </c>
      <c r="T173" s="265" t="str">
        <f>VLOOKUP('MIS Working 1'!$S173,Master!E:F,2,0)</f>
        <v>Raw Material</v>
      </c>
      <c r="U173" s="268">
        <f>'MIS Working 1'!$N173-'MIS Working 1'!$AF173</f>
        <v>34383.360000000001</v>
      </c>
      <c r="V173" s="269">
        <f>'MIS Working 1'!$U173/'MIS Working 1'!$N173</f>
        <v>1</v>
      </c>
      <c r="W173" s="265">
        <f>'MIS Working 1'!$N173/'MIS Working 1'!$L173</f>
        <v>42.24</v>
      </c>
      <c r="X173" s="270">
        <f>SUM('MIS Working 1'!$Y173:$AE173)</f>
        <v>0</v>
      </c>
      <c r="Y173" s="270">
        <f>SUMIFS('COGS Break up'!$E:$E,'COGS Break up'!$A:$A,'MIS Working 1'!$D173,'COGS Break up'!$D:$D,'MIS Working 1'!$Y$1)</f>
        <v>0</v>
      </c>
      <c r="Z173" s="270">
        <f>SUMIFS('COGS Break up'!$E:$E,'COGS Break up'!$A:$A,'MIS Working 1'!$D173,'COGS Break up'!$D:$D,'MIS Working 1'!$Z$1)</f>
        <v>0</v>
      </c>
      <c r="AA173" s="270">
        <f>SUMIFS('COGS Break up'!E:E,'COGS Break up'!A:A,'MIS Working 1'!$D:$D,'COGS Break up'!C:C,'MIS Working 1'!$AA$1)</f>
        <v>0</v>
      </c>
      <c r="AB173" s="270">
        <f>SUMIFS('COGS Break up'!E:E,'COGS Break up'!A:A,'MIS Working 1'!$D:$D,'COGS Break up'!C:C,$AB$1)</f>
        <v>0</v>
      </c>
      <c r="AC173" s="270">
        <f>SUMIFS('COGS Break up'!E:E,'COGS Break up'!A:A,'MIS Working 1'!$D:$D,'COGS Break up'!C:C,$AC$1)</f>
        <v>0</v>
      </c>
      <c r="AD173" s="270">
        <f>SUMIFS('COGS Break up'!$E:$E,'COGS Break up'!$A:$A,'MIS Working 1'!$D173,'COGS Break up'!$D:$D,'MIS Working 1'!$AD$1)</f>
        <v>0</v>
      </c>
      <c r="AE173" s="270">
        <f>SUMIFS('COGS Break up'!$E:$E,'COGS Break up'!$A:$A,'MIS Working 1'!$D173,'COGS Break up'!$D:$D,'MIS Working 1'!$AE$1)</f>
        <v>0</v>
      </c>
      <c r="AF173" s="271">
        <f>'MIS Working 1'!$AG173+'MIS Working 1'!$AH173+'MIS Working 1'!$AM173+'MIS Working 1'!$AL173</f>
        <v>0</v>
      </c>
      <c r="AG173" s="270">
        <f>'MIS Working 1'!$L173*'MIS Working 1'!$Y173</f>
        <v>0</v>
      </c>
      <c r="AH173" s="270">
        <f>'MIS Working 1'!$L173*'MIS Working 1'!$Z173</f>
        <v>0</v>
      </c>
      <c r="AI173" s="270">
        <f t="shared" si="6"/>
        <v>0</v>
      </c>
      <c r="AJ173" s="270">
        <f t="shared" si="7"/>
        <v>0</v>
      </c>
      <c r="AK173" s="270">
        <f t="shared" si="8"/>
        <v>0</v>
      </c>
      <c r="AL173" s="270">
        <f>'MIS Working 1'!$AD173*'MIS Working 1'!$L173</f>
        <v>0</v>
      </c>
      <c r="AM173" s="270">
        <f>'MIS Working 1'!$L173*'MIS Working 1'!$AE173+'MIS Working 1'!$AL173</f>
        <v>0</v>
      </c>
    </row>
    <row r="174" spans="1:39" x14ac:dyDescent="0.3">
      <c r="A174" s="272" t="s">
        <v>479</v>
      </c>
      <c r="B174" s="273">
        <v>45979</v>
      </c>
      <c r="C174" s="274" t="s">
        <v>1751</v>
      </c>
      <c r="D174" s="274" t="s">
        <v>40</v>
      </c>
      <c r="E174" s="274" t="s">
        <v>41</v>
      </c>
      <c r="F174" s="274" t="s">
        <v>18</v>
      </c>
      <c r="G174" s="274" t="s">
        <v>34</v>
      </c>
      <c r="H174" s="274" t="s">
        <v>772</v>
      </c>
      <c r="I174" s="275">
        <v>2128</v>
      </c>
      <c r="J174" s="276">
        <v>314241.76</v>
      </c>
      <c r="K174" s="275">
        <v>2128</v>
      </c>
      <c r="L174" s="275">
        <v>2128</v>
      </c>
      <c r="M174" s="273">
        <v>45979</v>
      </c>
      <c r="N174" s="276">
        <v>346736.32</v>
      </c>
      <c r="O174" s="274" t="s">
        <v>21</v>
      </c>
      <c r="P174" s="274" t="s">
        <v>22</v>
      </c>
      <c r="Q174" s="274" t="s">
        <v>660</v>
      </c>
      <c r="R174" s="274" t="str">
        <f>VLOOKUP('MIS Working 1'!$G174,Master!$H$3:$I$8,2,0)</f>
        <v>Semi-Finished Goods</v>
      </c>
      <c r="S174" s="274" t="str">
        <f>VLOOKUP('MIS Working 1'!$H174,Master!B:C,2,0)</f>
        <v>SFG-GV5 Stator</v>
      </c>
      <c r="T174" s="274" t="str">
        <f>VLOOKUP('MIS Working 1'!$S174,Master!E:F,2,0)</f>
        <v>Sub Ass.-Mech Stator</v>
      </c>
      <c r="U174" s="277">
        <f>'MIS Working 1'!$N174-'MIS Working 1'!$AF174</f>
        <v>32494.560000000114</v>
      </c>
      <c r="V174" s="278">
        <f>'MIS Working 1'!$U174/'MIS Working 1'!$N174</f>
        <v>9.3715478090094839E-2</v>
      </c>
      <c r="W174" s="274">
        <f>'MIS Working 1'!$N174/'MIS Working 1'!$L174</f>
        <v>162.94</v>
      </c>
      <c r="X174" s="279">
        <f>SUM('MIS Working 1'!$Y174:$AE174)</f>
        <v>149.61999999999998</v>
      </c>
      <c r="Y174" s="279">
        <f>SUMIFS('COGS Break up'!$E:$E,'COGS Break up'!$A:$A,'MIS Working 1'!$D174,'COGS Break up'!$D:$D,'MIS Working 1'!$Y$1)</f>
        <v>144.21999999999997</v>
      </c>
      <c r="Z174" s="279">
        <f>SUMIFS('COGS Break up'!$E:$E,'COGS Break up'!$A:$A,'MIS Working 1'!$D174,'COGS Break up'!$D:$D,'MIS Working 1'!$Z$1)</f>
        <v>1.5</v>
      </c>
      <c r="AA174" s="279">
        <f>SUMIFS('COGS Break up'!E:E,'COGS Break up'!A:A,'MIS Working 1'!$D:$D,'COGS Break up'!C:C,'MIS Working 1'!$AA$1)</f>
        <v>0.05</v>
      </c>
      <c r="AB174" s="279">
        <f>SUMIFS('COGS Break up'!E:E,'COGS Break up'!A:A,'MIS Working 1'!$D:$D,'COGS Break up'!C:C,$AB$1)</f>
        <v>0.4</v>
      </c>
      <c r="AC174" s="279">
        <f>SUMIFS('COGS Break up'!E:E,'COGS Break up'!A:A,'MIS Working 1'!$D:$D,'COGS Break up'!C:C,$AC$1)</f>
        <v>1.5</v>
      </c>
      <c r="AD174" s="279">
        <f>SUMIFS('COGS Break up'!$E:$E,'COGS Break up'!$A:$A,'MIS Working 1'!$D174,'COGS Break up'!$D:$D,'MIS Working 1'!$AD$1)</f>
        <v>0</v>
      </c>
      <c r="AE174" s="279">
        <f>SUMIFS('COGS Break up'!$E:$E,'COGS Break up'!$A:$A,'MIS Working 1'!$D174,'COGS Break up'!$D:$D,'MIS Working 1'!$AE$1)</f>
        <v>1.95</v>
      </c>
      <c r="AF174" s="280">
        <f>'MIS Working 1'!$AG174+'MIS Working 1'!$AH174+'MIS Working 1'!$AM174+'MIS Working 1'!$AL174</f>
        <v>314241.75999999989</v>
      </c>
      <c r="AG174" s="279">
        <f>'MIS Working 1'!$L174*'MIS Working 1'!$Y174</f>
        <v>306900.15999999992</v>
      </c>
      <c r="AH174" s="279">
        <f>'MIS Working 1'!$L174*'MIS Working 1'!$Z174</f>
        <v>3192</v>
      </c>
      <c r="AI174" s="279">
        <f t="shared" si="6"/>
        <v>106.4</v>
      </c>
      <c r="AJ174" s="279">
        <f t="shared" si="7"/>
        <v>851.2</v>
      </c>
      <c r="AK174" s="279">
        <f t="shared" si="8"/>
        <v>3192</v>
      </c>
      <c r="AL174" s="279">
        <f>'MIS Working 1'!$AD174*'MIS Working 1'!$L174</f>
        <v>0</v>
      </c>
      <c r="AM174" s="279">
        <f>'MIS Working 1'!$L174*'MIS Working 1'!$AE174+'MIS Working 1'!$AL174</f>
        <v>4149.5999999999995</v>
      </c>
    </row>
    <row r="175" spans="1:39" x14ac:dyDescent="0.3">
      <c r="A175" s="263" t="s">
        <v>479</v>
      </c>
      <c r="B175" s="264">
        <v>45979</v>
      </c>
      <c r="C175" s="265" t="s">
        <v>1752</v>
      </c>
      <c r="D175" s="265" t="s">
        <v>595</v>
      </c>
      <c r="E175" s="265" t="s">
        <v>596</v>
      </c>
      <c r="F175" s="265" t="s">
        <v>18</v>
      </c>
      <c r="G175" s="265" t="s">
        <v>34</v>
      </c>
      <c r="H175" s="265" t="s">
        <v>772</v>
      </c>
      <c r="I175" s="266">
        <v>1932</v>
      </c>
      <c r="J175" s="267">
        <v>241751.16</v>
      </c>
      <c r="K175" s="266">
        <v>1932</v>
      </c>
      <c r="L175" s="266">
        <v>1932</v>
      </c>
      <c r="M175" s="264">
        <v>45979</v>
      </c>
      <c r="N175" s="267">
        <v>255777.48</v>
      </c>
      <c r="O175" s="265" t="s">
        <v>21</v>
      </c>
      <c r="P175" s="265" t="s">
        <v>22</v>
      </c>
      <c r="Q175" s="265" t="s">
        <v>660</v>
      </c>
      <c r="R175" s="265" t="str">
        <f>VLOOKUP('MIS Working 1'!$G175,Master!$H$3:$I$8,2,0)</f>
        <v>Semi-Finished Goods</v>
      </c>
      <c r="S175" s="265" t="str">
        <f>VLOOKUP('MIS Working 1'!$H175,Master!B:C,2,0)</f>
        <v>SFG-GV5 Stator</v>
      </c>
      <c r="T175" s="265" t="str">
        <f>VLOOKUP('MIS Working 1'!$S175,Master!E:F,2,0)</f>
        <v>Sub Ass.-Mech Stator</v>
      </c>
      <c r="U175" s="268">
        <f>'MIS Working 1'!$N175-'MIS Working 1'!$AF175</f>
        <v>14026.320000000036</v>
      </c>
      <c r="V175" s="269">
        <f>'MIS Working 1'!$U175/'MIS Working 1'!$N175</f>
        <v>5.4837978699297671E-2</v>
      </c>
      <c r="W175" s="265">
        <f>'MIS Working 1'!$N175/'MIS Working 1'!$L175</f>
        <v>132.39000000000001</v>
      </c>
      <c r="X175" s="270">
        <f>SUM('MIS Working 1'!$Y175:$AE175)</f>
        <v>127.08</v>
      </c>
      <c r="Y175" s="270">
        <f>SUMIFS('COGS Break up'!$E:$E,'COGS Break up'!$A:$A,'MIS Working 1'!$D175,'COGS Break up'!$D:$D,'MIS Working 1'!$Y$1)</f>
        <v>121.67999999999999</v>
      </c>
      <c r="Z175" s="270">
        <f>SUMIFS('COGS Break up'!$E:$E,'COGS Break up'!$A:$A,'MIS Working 1'!$D175,'COGS Break up'!$D:$D,'MIS Working 1'!$Z$1)</f>
        <v>1.5</v>
      </c>
      <c r="AA175" s="270">
        <f>SUMIFS('COGS Break up'!E:E,'COGS Break up'!A:A,'MIS Working 1'!$D:$D,'COGS Break up'!C:C,'MIS Working 1'!$AA$1)</f>
        <v>0.05</v>
      </c>
      <c r="AB175" s="270">
        <f>SUMIFS('COGS Break up'!E:E,'COGS Break up'!A:A,'MIS Working 1'!$D:$D,'COGS Break up'!C:C,$AB$1)</f>
        <v>0.4</v>
      </c>
      <c r="AC175" s="270">
        <f>SUMIFS('COGS Break up'!E:E,'COGS Break up'!A:A,'MIS Working 1'!$D:$D,'COGS Break up'!C:C,$AC$1)</f>
        <v>1.5</v>
      </c>
      <c r="AD175" s="270">
        <f>SUMIFS('COGS Break up'!$E:$E,'COGS Break up'!$A:$A,'MIS Working 1'!$D175,'COGS Break up'!$D:$D,'MIS Working 1'!$AD$1)</f>
        <v>0</v>
      </c>
      <c r="AE175" s="270">
        <f>SUMIFS('COGS Break up'!$E:$E,'COGS Break up'!$A:$A,'MIS Working 1'!$D175,'COGS Break up'!$D:$D,'MIS Working 1'!$AE$1)</f>
        <v>1.95</v>
      </c>
      <c r="AF175" s="271">
        <f>'MIS Working 1'!$AG175+'MIS Working 1'!$AH175+'MIS Working 1'!$AM175+'MIS Working 1'!$AL175</f>
        <v>241751.15999999997</v>
      </c>
      <c r="AG175" s="270">
        <f>'MIS Working 1'!$L175*'MIS Working 1'!$Y175</f>
        <v>235085.75999999998</v>
      </c>
      <c r="AH175" s="270">
        <f>'MIS Working 1'!$L175*'MIS Working 1'!$Z175</f>
        <v>2898</v>
      </c>
      <c r="AI175" s="270">
        <f t="shared" si="6"/>
        <v>96.600000000000009</v>
      </c>
      <c r="AJ175" s="270">
        <f t="shared" si="7"/>
        <v>772.80000000000007</v>
      </c>
      <c r="AK175" s="270">
        <f t="shared" si="8"/>
        <v>2898</v>
      </c>
      <c r="AL175" s="270">
        <f>'MIS Working 1'!$AD175*'MIS Working 1'!$L175</f>
        <v>0</v>
      </c>
      <c r="AM175" s="270">
        <f>'MIS Working 1'!$L175*'MIS Working 1'!$AE175+'MIS Working 1'!$AL175</f>
        <v>3767.4</v>
      </c>
    </row>
    <row r="176" spans="1:39" x14ac:dyDescent="0.3">
      <c r="A176" s="272" t="s">
        <v>479</v>
      </c>
      <c r="B176" s="273">
        <v>45979</v>
      </c>
      <c r="C176" s="274" t="s">
        <v>1753</v>
      </c>
      <c r="D176" s="274" t="s">
        <v>368</v>
      </c>
      <c r="E176" s="274" t="s">
        <v>369</v>
      </c>
      <c r="F176" s="274" t="s">
        <v>18</v>
      </c>
      <c r="G176" s="274" t="s">
        <v>19</v>
      </c>
      <c r="H176" s="274" t="s">
        <v>483</v>
      </c>
      <c r="I176" s="275">
        <v>324</v>
      </c>
      <c r="J176" s="276">
        <v>116549.28</v>
      </c>
      <c r="K176" s="275">
        <v>324</v>
      </c>
      <c r="L176" s="275">
        <v>324</v>
      </c>
      <c r="M176" s="273">
        <v>45979</v>
      </c>
      <c r="N176" s="276">
        <v>100235.88</v>
      </c>
      <c r="O176" s="274" t="s">
        <v>21</v>
      </c>
      <c r="P176" s="274" t="s">
        <v>22</v>
      </c>
      <c r="Q176" s="274" t="s">
        <v>660</v>
      </c>
      <c r="R176" s="274" t="str">
        <f>VLOOKUP('MIS Working 1'!$G176,Master!$H$3:$I$8,2,0)</f>
        <v>Finished Goods</v>
      </c>
      <c r="S176" s="274" t="str">
        <f>VLOOKUP('MIS Working 1'!$H176,Master!B:C,2,0)</f>
        <v>FG-PCB-MG</v>
      </c>
      <c r="T176" s="274" t="str">
        <f>VLOOKUP('MIS Working 1'!$S176,Master!E:F,2,0)</f>
        <v>FG-PCB-MG</v>
      </c>
      <c r="U176" s="277">
        <f>'MIS Working 1'!$N176-'MIS Working 1'!$AF176</f>
        <v>-16358.760000000009</v>
      </c>
      <c r="V176" s="278">
        <f>'MIS Working 1'!$U176/'MIS Working 1'!$N176</f>
        <v>-0.16320263761838583</v>
      </c>
      <c r="W176" s="274">
        <f>'MIS Working 1'!$N176/'MIS Working 1'!$L176</f>
        <v>309.37</v>
      </c>
      <c r="X176" s="279">
        <f>SUM('MIS Working 1'!$Y176:$AE176)</f>
        <v>427.55000000000007</v>
      </c>
      <c r="Y176" s="279">
        <f>SUMIFS('COGS Break up'!$E:$E,'COGS Break up'!$A:$A,'MIS Working 1'!$D176,'COGS Break up'!$D:$D,'MIS Working 1'!$Y$1)</f>
        <v>232.98000000000008</v>
      </c>
      <c r="Z176" s="279">
        <f>SUMIFS('COGS Break up'!$E:$E,'COGS Break up'!$A:$A,'MIS Working 1'!$D176,'COGS Break up'!$D:$D,'MIS Working 1'!$Z$1)</f>
        <v>58.8</v>
      </c>
      <c r="AA176" s="279">
        <f>SUMIFS('COGS Break up'!E:E,'COGS Break up'!A:A,'MIS Working 1'!$D:$D,'COGS Break up'!C:C,'MIS Working 1'!$AA$1)</f>
        <v>4.8099999999999996</v>
      </c>
      <c r="AB176" s="279">
        <f>SUMIFS('COGS Break up'!E:E,'COGS Break up'!A:A,'MIS Working 1'!$D:$D,'COGS Break up'!C:C,$AB$1)</f>
        <v>42.739999999999995</v>
      </c>
      <c r="AC176" s="279">
        <f>SUMIFS('COGS Break up'!E:E,'COGS Break up'!A:A,'MIS Working 1'!$D:$D,'COGS Break up'!C:C,$AC$1)</f>
        <v>20.27</v>
      </c>
      <c r="AD176" s="279">
        <f>SUMIFS('COGS Break up'!$E:$E,'COGS Break up'!$A:$A,'MIS Working 1'!$D176,'COGS Break up'!$D:$D,'MIS Working 1'!$AD$1)</f>
        <v>0.13</v>
      </c>
      <c r="AE176" s="279">
        <f>SUMIFS('COGS Break up'!$E:$E,'COGS Break up'!$A:$A,'MIS Working 1'!$D176,'COGS Break up'!$D:$D,'MIS Working 1'!$AE$1)</f>
        <v>67.819999999999993</v>
      </c>
      <c r="AF176" s="280">
        <f>'MIS Working 1'!$AG176+'MIS Working 1'!$AH176+'MIS Working 1'!$AM176+'MIS Working 1'!$AL176</f>
        <v>116594.64000000001</v>
      </c>
      <c r="AG176" s="279">
        <f>'MIS Working 1'!$L176*'MIS Working 1'!$Y176</f>
        <v>75485.520000000019</v>
      </c>
      <c r="AH176" s="279">
        <f>'MIS Working 1'!$L176*'MIS Working 1'!$Z176</f>
        <v>19051.2</v>
      </c>
      <c r="AI176" s="279">
        <f t="shared" si="6"/>
        <v>1558.4399999999998</v>
      </c>
      <c r="AJ176" s="279">
        <f t="shared" si="7"/>
        <v>13847.759999999998</v>
      </c>
      <c r="AK176" s="279">
        <f t="shared" si="8"/>
        <v>6567.48</v>
      </c>
      <c r="AL176" s="279">
        <f>'MIS Working 1'!$AD176*'MIS Working 1'!$L176</f>
        <v>42.120000000000005</v>
      </c>
      <c r="AM176" s="279">
        <f>'MIS Working 1'!$L176*'MIS Working 1'!$AE176+'MIS Working 1'!$AL176</f>
        <v>22015.799999999996</v>
      </c>
    </row>
    <row r="177" spans="1:39" x14ac:dyDescent="0.3">
      <c r="A177" s="263" t="s">
        <v>479</v>
      </c>
      <c r="B177" s="264">
        <v>45979</v>
      </c>
      <c r="C177" s="265" t="s">
        <v>1753</v>
      </c>
      <c r="D177" s="265" t="s">
        <v>366</v>
      </c>
      <c r="E177" s="265" t="s">
        <v>367</v>
      </c>
      <c r="F177" s="265" t="s">
        <v>18</v>
      </c>
      <c r="G177" s="265" t="s">
        <v>19</v>
      </c>
      <c r="H177" s="265" t="s">
        <v>483</v>
      </c>
      <c r="I177" s="266">
        <v>449</v>
      </c>
      <c r="J177" s="267">
        <v>137367.06</v>
      </c>
      <c r="K177" s="266">
        <v>449</v>
      </c>
      <c r="L177" s="266">
        <v>449</v>
      </c>
      <c r="M177" s="264">
        <v>45979</v>
      </c>
      <c r="N177" s="267">
        <v>141026.41</v>
      </c>
      <c r="O177" s="265" t="s">
        <v>21</v>
      </c>
      <c r="P177" s="265" t="s">
        <v>22</v>
      </c>
      <c r="Q177" s="265" t="s">
        <v>660</v>
      </c>
      <c r="R177" s="265" t="str">
        <f>VLOOKUP('MIS Working 1'!$G177,Master!$H$3:$I$8,2,0)</f>
        <v>Finished Goods</v>
      </c>
      <c r="S177" s="265" t="str">
        <f>VLOOKUP('MIS Working 1'!$H177,Master!B:C,2,0)</f>
        <v>FG-PCB-MG</v>
      </c>
      <c r="T177" s="265" t="str">
        <f>VLOOKUP('MIS Working 1'!$S177,Master!E:F,2,0)</f>
        <v>FG-PCB-MG</v>
      </c>
      <c r="U177" s="268">
        <f>'MIS Working 1'!$N177-'MIS Working 1'!$AF177</f>
        <v>3596.4899999999907</v>
      </c>
      <c r="V177" s="269">
        <f>'MIS Working 1'!$U177/'MIS Working 1'!$N177</f>
        <v>2.5502244579579034E-2</v>
      </c>
      <c r="W177" s="265">
        <f>'MIS Working 1'!$N177/'MIS Working 1'!$L177</f>
        <v>314.09000000000003</v>
      </c>
      <c r="X177" s="270">
        <f>SUM('MIS Working 1'!$Y177:$AE177)</f>
        <v>348.34000000000003</v>
      </c>
      <c r="Y177" s="270">
        <f>SUMIFS('COGS Break up'!$E:$E,'COGS Break up'!$A:$A,'MIS Working 1'!$D177,'COGS Break up'!$D:$D,'MIS Working 1'!$Y$1)</f>
        <v>236.08000000000004</v>
      </c>
      <c r="Z177" s="270">
        <f>SUMIFS('COGS Break up'!$E:$E,'COGS Break up'!$A:$A,'MIS Working 1'!$D177,'COGS Break up'!$D:$D,'MIS Working 1'!$Z$1)</f>
        <v>27.35</v>
      </c>
      <c r="AA177" s="270">
        <f>SUMIFS('COGS Break up'!E:E,'COGS Break up'!A:A,'MIS Working 1'!$D:$D,'COGS Break up'!C:C,'MIS Working 1'!$AA$1)</f>
        <v>2.2400000000000002</v>
      </c>
      <c r="AB177" s="270">
        <f>SUMIFS('COGS Break up'!E:E,'COGS Break up'!A:A,'MIS Working 1'!$D:$D,'COGS Break up'!C:C,$AB$1)</f>
        <v>19.88</v>
      </c>
      <c r="AC177" s="270">
        <f>SUMIFS('COGS Break up'!E:E,'COGS Break up'!A:A,'MIS Working 1'!$D:$D,'COGS Break up'!C:C,$AC$1)</f>
        <v>20.27</v>
      </c>
      <c r="AD177" s="270">
        <f>SUMIFS('COGS Break up'!$E:$E,'COGS Break up'!$A:$A,'MIS Working 1'!$D177,'COGS Break up'!$D:$D,'MIS Working 1'!$AD$1)</f>
        <v>0.13</v>
      </c>
      <c r="AE177" s="270">
        <f>SUMIFS('COGS Break up'!$E:$E,'COGS Break up'!$A:$A,'MIS Working 1'!$D177,'COGS Break up'!$D:$D,'MIS Working 1'!$AE$1)</f>
        <v>42.39</v>
      </c>
      <c r="AF177" s="271">
        <f>'MIS Working 1'!$AG177+'MIS Working 1'!$AH177+'MIS Working 1'!$AM177+'MIS Working 1'!$AL177</f>
        <v>137429.92000000001</v>
      </c>
      <c r="AG177" s="270">
        <f>'MIS Working 1'!$L177*'MIS Working 1'!$Y177</f>
        <v>105999.92000000001</v>
      </c>
      <c r="AH177" s="270">
        <f>'MIS Working 1'!$L177*'MIS Working 1'!$Z177</f>
        <v>12280.150000000001</v>
      </c>
      <c r="AI177" s="270">
        <f t="shared" si="6"/>
        <v>1005.7600000000001</v>
      </c>
      <c r="AJ177" s="270">
        <f t="shared" si="7"/>
        <v>8926.119999999999</v>
      </c>
      <c r="AK177" s="270">
        <f t="shared" si="8"/>
        <v>9101.23</v>
      </c>
      <c r="AL177" s="270">
        <f>'MIS Working 1'!$AD177*'MIS Working 1'!$L177</f>
        <v>58.370000000000005</v>
      </c>
      <c r="AM177" s="270">
        <f>'MIS Working 1'!$L177*'MIS Working 1'!$AE177+'MIS Working 1'!$AL177</f>
        <v>19091.48</v>
      </c>
    </row>
    <row r="178" spans="1:39" x14ac:dyDescent="0.3">
      <c r="A178" s="272" t="s">
        <v>479</v>
      </c>
      <c r="B178" s="273">
        <v>45979</v>
      </c>
      <c r="C178" s="274" t="s">
        <v>1754</v>
      </c>
      <c r="D178" s="274" t="s">
        <v>639</v>
      </c>
      <c r="E178" s="274" t="s">
        <v>640</v>
      </c>
      <c r="F178" s="274" t="s">
        <v>18</v>
      </c>
      <c r="G178" s="274" t="s">
        <v>19</v>
      </c>
      <c r="H178" s="274" t="s">
        <v>27</v>
      </c>
      <c r="I178" s="275">
        <v>83</v>
      </c>
      <c r="J178" s="276">
        <v>53537.49</v>
      </c>
      <c r="K178" s="275">
        <v>83</v>
      </c>
      <c r="L178" s="275">
        <v>83</v>
      </c>
      <c r="M178" s="273">
        <v>45979</v>
      </c>
      <c r="N178" s="276">
        <v>60470.48</v>
      </c>
      <c r="O178" s="274" t="s">
        <v>21</v>
      </c>
      <c r="P178" s="274" t="s">
        <v>22</v>
      </c>
      <c r="Q178" s="274" t="s">
        <v>660</v>
      </c>
      <c r="R178" s="274" t="str">
        <f>VLOOKUP('MIS Working 1'!$G178,Master!$H$3:$I$8,2,0)</f>
        <v>Finished Goods</v>
      </c>
      <c r="S178" s="274" t="str">
        <f>VLOOKUP('MIS Working 1'!$H178,Master!B:C,2,0)</f>
        <v>FG-PCB-CF</v>
      </c>
      <c r="T178" s="274" t="str">
        <f>VLOOKUP('MIS Working 1'!$S178,Master!E:F,2,0)</f>
        <v>FG-PCB-CF</v>
      </c>
      <c r="U178" s="277">
        <f>'MIS Working 1'!$N178-'MIS Working 1'!$AF178</f>
        <v>6897.300000000032</v>
      </c>
      <c r="V178" s="278">
        <f>'MIS Working 1'!$U178/'MIS Working 1'!$N178</f>
        <v>0.1140606127154941</v>
      </c>
      <c r="W178" s="274">
        <f>'MIS Working 1'!$N178/'MIS Working 1'!$L178</f>
        <v>728.56000000000006</v>
      </c>
      <c r="X178" s="279">
        <f>SUM('MIS Working 1'!$Y178:$AE178)</f>
        <v>677.50999999999965</v>
      </c>
      <c r="Y178" s="279">
        <f>SUMIFS('COGS Break up'!$E:$E,'COGS Break up'!$A:$A,'MIS Working 1'!$D178,'COGS Break up'!$D:$D,'MIS Working 1'!$Y$1)</f>
        <v>582.23999999999967</v>
      </c>
      <c r="Z178" s="279">
        <f>SUMIFS('COGS Break up'!$E:$E,'COGS Break up'!$A:$A,'MIS Working 1'!$D178,'COGS Break up'!$D:$D,'MIS Working 1'!$Z$1)</f>
        <v>29.88</v>
      </c>
      <c r="AA178" s="279">
        <f>SUMIFS('COGS Break up'!E:E,'COGS Break up'!A:A,'MIS Working 1'!$D:$D,'COGS Break up'!C:C,'MIS Working 1'!$AA$1)</f>
        <v>2.4500000000000002</v>
      </c>
      <c r="AB178" s="279">
        <f>SUMIFS('COGS Break up'!E:E,'COGS Break up'!A:A,'MIS Working 1'!$D:$D,'COGS Break up'!C:C,$AB$1)</f>
        <v>21.72</v>
      </c>
      <c r="AC178" s="279">
        <f>SUMIFS('COGS Break up'!E:E,'COGS Break up'!A:A,'MIS Working 1'!$D:$D,'COGS Break up'!C:C,$AC$1)</f>
        <v>8.31</v>
      </c>
      <c r="AD178" s="279">
        <f>SUMIFS('COGS Break up'!$E:$E,'COGS Break up'!$A:$A,'MIS Working 1'!$D178,'COGS Break up'!$D:$D,'MIS Working 1'!$AD$1)</f>
        <v>0.43</v>
      </c>
      <c r="AE178" s="279">
        <f>SUMIFS('COGS Break up'!$E:$E,'COGS Break up'!$A:$A,'MIS Working 1'!$D178,'COGS Break up'!$D:$D,'MIS Working 1'!$AE$1)</f>
        <v>32.480000000000004</v>
      </c>
      <c r="AF178" s="280">
        <f>'MIS Working 1'!$AG178+'MIS Working 1'!$AH178+'MIS Working 1'!$AM178+'MIS Working 1'!$AL178</f>
        <v>53573.179999999971</v>
      </c>
      <c r="AG178" s="279">
        <f>'MIS Working 1'!$L178*'MIS Working 1'!$Y178</f>
        <v>48325.919999999969</v>
      </c>
      <c r="AH178" s="279">
        <f>'MIS Working 1'!$L178*'MIS Working 1'!$Z178</f>
        <v>2480.04</v>
      </c>
      <c r="AI178" s="279">
        <f t="shared" si="6"/>
        <v>203.35000000000002</v>
      </c>
      <c r="AJ178" s="279">
        <f t="shared" si="7"/>
        <v>1802.76</v>
      </c>
      <c r="AK178" s="279">
        <f t="shared" si="8"/>
        <v>689.73</v>
      </c>
      <c r="AL178" s="279">
        <f>'MIS Working 1'!$AD178*'MIS Working 1'!$L178</f>
        <v>35.69</v>
      </c>
      <c r="AM178" s="279">
        <f>'MIS Working 1'!$L178*'MIS Working 1'!$AE178+'MIS Working 1'!$AL178</f>
        <v>2731.53</v>
      </c>
    </row>
    <row r="179" spans="1:39" x14ac:dyDescent="0.3">
      <c r="A179" s="263" t="s">
        <v>479</v>
      </c>
      <c r="B179" s="264">
        <v>45979</v>
      </c>
      <c r="C179" s="265" t="s">
        <v>1755</v>
      </c>
      <c r="D179" s="265" t="s">
        <v>23</v>
      </c>
      <c r="E179" s="265" t="s">
        <v>24</v>
      </c>
      <c r="F179" s="265" t="s">
        <v>18</v>
      </c>
      <c r="G179" s="265" t="s">
        <v>19</v>
      </c>
      <c r="H179" s="265" t="s">
        <v>27</v>
      </c>
      <c r="I179" s="266">
        <v>1045</v>
      </c>
      <c r="J179" s="267">
        <v>440373.45</v>
      </c>
      <c r="K179" s="266">
        <v>1045</v>
      </c>
      <c r="L179" s="266">
        <v>1045</v>
      </c>
      <c r="M179" s="264">
        <v>45979</v>
      </c>
      <c r="N179" s="267">
        <v>504902.2</v>
      </c>
      <c r="O179" s="265" t="s">
        <v>21</v>
      </c>
      <c r="P179" s="265" t="s">
        <v>22</v>
      </c>
      <c r="Q179" s="265" t="s">
        <v>660</v>
      </c>
      <c r="R179" s="265" t="str">
        <f>VLOOKUP('MIS Working 1'!$G179,Master!$H$3:$I$8,2,0)</f>
        <v>Finished Goods</v>
      </c>
      <c r="S179" s="265" t="str">
        <f>VLOOKUP('MIS Working 1'!$H179,Master!B:C,2,0)</f>
        <v>FG-PCB-CF</v>
      </c>
      <c r="T179" s="265" t="str">
        <f>VLOOKUP('MIS Working 1'!$S179,Master!E:F,2,0)</f>
        <v>FG-PCB-CF</v>
      </c>
      <c r="U179" s="268">
        <f>'MIS Working 1'!$N179-'MIS Working 1'!$AF179</f>
        <v>64257.050000000163</v>
      </c>
      <c r="V179" s="269">
        <f>'MIS Working 1'!$U179/'MIS Working 1'!$N179</f>
        <v>0.12726632999420515</v>
      </c>
      <c r="W179" s="265">
        <f>'MIS Working 1'!$N179/'MIS Working 1'!$L179</f>
        <v>483.16</v>
      </c>
      <c r="X179" s="270">
        <f>SUM('MIS Working 1'!$Y179:$AE179)</f>
        <v>447.50999999999988</v>
      </c>
      <c r="Y179" s="270">
        <f>SUMIFS('COGS Break up'!$E:$E,'COGS Break up'!$A:$A,'MIS Working 1'!$D179,'COGS Break up'!$D:$D,'MIS Working 1'!$Y$1)</f>
        <v>373.04999999999984</v>
      </c>
      <c r="Z179" s="270">
        <f>SUMIFS('COGS Break up'!$E:$E,'COGS Break up'!$A:$A,'MIS Working 1'!$D179,'COGS Break up'!$D:$D,'MIS Working 1'!$Z$1)</f>
        <v>22</v>
      </c>
      <c r="AA179" s="270">
        <f>SUMIFS('COGS Break up'!E:E,'COGS Break up'!A:A,'MIS Working 1'!$D:$D,'COGS Break up'!C:C,'MIS Working 1'!$AA$1)</f>
        <v>1.8</v>
      </c>
      <c r="AB179" s="270">
        <f>SUMIFS('COGS Break up'!E:E,'COGS Break up'!A:A,'MIS Working 1'!$D:$D,'COGS Break up'!C:C,$AB$1)</f>
        <v>15.99</v>
      </c>
      <c r="AC179" s="270">
        <f>SUMIFS('COGS Break up'!E:E,'COGS Break up'!A:A,'MIS Working 1'!$D:$D,'COGS Break up'!C:C,$AC$1)</f>
        <v>8.31</v>
      </c>
      <c r="AD179" s="270">
        <f>SUMIFS('COGS Break up'!$E:$E,'COGS Break up'!$A:$A,'MIS Working 1'!$D179,'COGS Break up'!$D:$D,'MIS Working 1'!$AD$1)</f>
        <v>0.26</v>
      </c>
      <c r="AE179" s="270">
        <f>SUMIFS('COGS Break up'!$E:$E,'COGS Break up'!$A:$A,'MIS Working 1'!$D179,'COGS Break up'!$D:$D,'MIS Working 1'!$AE$1)</f>
        <v>26.1</v>
      </c>
      <c r="AF179" s="271">
        <f>'MIS Working 1'!$AG179+'MIS Working 1'!$AH179+'MIS Working 1'!$AM179+'MIS Working 1'!$AL179</f>
        <v>440645.14999999985</v>
      </c>
      <c r="AG179" s="270">
        <f>'MIS Working 1'!$L179*'MIS Working 1'!$Y179</f>
        <v>389837.24999999983</v>
      </c>
      <c r="AH179" s="270">
        <f>'MIS Working 1'!$L179*'MIS Working 1'!$Z179</f>
        <v>22990</v>
      </c>
      <c r="AI179" s="270">
        <f t="shared" si="6"/>
        <v>1881</v>
      </c>
      <c r="AJ179" s="270">
        <f t="shared" si="7"/>
        <v>16709.55</v>
      </c>
      <c r="AK179" s="270">
        <f t="shared" si="8"/>
        <v>8683.9500000000007</v>
      </c>
      <c r="AL179" s="270">
        <f>'MIS Working 1'!$AD179*'MIS Working 1'!$L179</f>
        <v>271.7</v>
      </c>
      <c r="AM179" s="270">
        <f>'MIS Working 1'!$L179*'MIS Working 1'!$AE179+'MIS Working 1'!$AL179</f>
        <v>27546.2</v>
      </c>
    </row>
    <row r="180" spans="1:39" x14ac:dyDescent="0.3">
      <c r="A180" s="272" t="s">
        <v>479</v>
      </c>
      <c r="B180" s="273">
        <v>45979</v>
      </c>
      <c r="C180" s="274" t="s">
        <v>1756</v>
      </c>
      <c r="D180" s="274" t="s">
        <v>38</v>
      </c>
      <c r="E180" s="274" t="s">
        <v>39</v>
      </c>
      <c r="F180" s="274" t="s">
        <v>18</v>
      </c>
      <c r="G180" s="274" t="s">
        <v>19</v>
      </c>
      <c r="H180" s="274" t="s">
        <v>27</v>
      </c>
      <c r="I180" s="275">
        <v>2170</v>
      </c>
      <c r="J180" s="276">
        <v>709872.1</v>
      </c>
      <c r="K180" s="275">
        <v>2170</v>
      </c>
      <c r="L180" s="275">
        <v>2170</v>
      </c>
      <c r="M180" s="273">
        <v>45979</v>
      </c>
      <c r="N180" s="276">
        <v>740121.9</v>
      </c>
      <c r="O180" s="274" t="s">
        <v>21</v>
      </c>
      <c r="P180" s="274" t="s">
        <v>22</v>
      </c>
      <c r="Q180" s="274" t="s">
        <v>660</v>
      </c>
      <c r="R180" s="274" t="str">
        <f>VLOOKUP('MIS Working 1'!$G180,Master!$H$3:$I$8,2,0)</f>
        <v>Finished Goods</v>
      </c>
      <c r="S180" s="274" t="str">
        <f>VLOOKUP('MIS Working 1'!$H180,Master!B:C,2,0)</f>
        <v>FG-PCB-CF</v>
      </c>
      <c r="T180" s="274" t="str">
        <f>VLOOKUP('MIS Working 1'!$S180,Master!E:F,2,0)</f>
        <v>FG-PCB-CF</v>
      </c>
      <c r="U180" s="277">
        <f>'MIS Working 1'!$N180-'MIS Working 1'!$AF180</f>
        <v>29880.900000000023</v>
      </c>
      <c r="V180" s="278">
        <f>'MIS Working 1'!$U180/'MIS Working 1'!$N180</f>
        <v>4.0372943970445982E-2</v>
      </c>
      <c r="W180" s="274">
        <f>'MIS Working 1'!$N180/'MIS Working 1'!$L180</f>
        <v>341.07</v>
      </c>
      <c r="X180" s="279">
        <f>SUM('MIS Working 1'!$Y180:$AE180)</f>
        <v>353.55</v>
      </c>
      <c r="Y180" s="279">
        <f>SUMIFS('COGS Break up'!$E:$E,'COGS Break up'!$A:$A,'MIS Working 1'!$D180,'COGS Break up'!$D:$D,'MIS Working 1'!$Y$1)</f>
        <v>278.14</v>
      </c>
      <c r="Z180" s="279">
        <f>SUMIFS('COGS Break up'!$E:$E,'COGS Break up'!$A:$A,'MIS Working 1'!$D180,'COGS Break up'!$D:$D,'MIS Working 1'!$Z$1)</f>
        <v>22.400000000000002</v>
      </c>
      <c r="AA180" s="279">
        <f>SUMIFS('COGS Break up'!E:E,'COGS Break up'!A:A,'MIS Working 1'!$D:$D,'COGS Break up'!C:C,'MIS Working 1'!$AA$1)</f>
        <v>1.8299999999999998</v>
      </c>
      <c r="AB180" s="279">
        <f>SUMIFS('COGS Break up'!E:E,'COGS Break up'!A:A,'MIS Working 1'!$D:$D,'COGS Break up'!C:C,$AB$1)</f>
        <v>16.28</v>
      </c>
      <c r="AC180" s="279">
        <f>SUMIFS('COGS Break up'!E:E,'COGS Break up'!A:A,'MIS Working 1'!$D:$D,'COGS Break up'!C:C,$AC$1)</f>
        <v>8.31</v>
      </c>
      <c r="AD180" s="279">
        <f>SUMIFS('COGS Break up'!$E:$E,'COGS Break up'!$A:$A,'MIS Working 1'!$D180,'COGS Break up'!$D:$D,'MIS Working 1'!$AD$1)</f>
        <v>0.17</v>
      </c>
      <c r="AE180" s="279">
        <f>SUMIFS('COGS Break up'!$E:$E,'COGS Break up'!$A:$A,'MIS Working 1'!$D180,'COGS Break up'!$D:$D,'MIS Working 1'!$AE$1)</f>
        <v>26.42</v>
      </c>
      <c r="AF180" s="280">
        <f>'MIS Working 1'!$AG180+'MIS Working 1'!$AH180+'MIS Working 1'!$AM180+'MIS Working 1'!$AL180</f>
        <v>710241</v>
      </c>
      <c r="AG180" s="279">
        <f>'MIS Working 1'!$L180*'MIS Working 1'!$Y180</f>
        <v>603563.79999999993</v>
      </c>
      <c r="AH180" s="279">
        <f>'MIS Working 1'!$L180*'MIS Working 1'!$Z180</f>
        <v>48608.000000000007</v>
      </c>
      <c r="AI180" s="279">
        <f t="shared" si="6"/>
        <v>3971.0999999999995</v>
      </c>
      <c r="AJ180" s="279">
        <f t="shared" si="7"/>
        <v>35327.600000000006</v>
      </c>
      <c r="AK180" s="279">
        <f t="shared" si="8"/>
        <v>18032.7</v>
      </c>
      <c r="AL180" s="279">
        <f>'MIS Working 1'!$AD180*'MIS Working 1'!$L180</f>
        <v>368.90000000000003</v>
      </c>
      <c r="AM180" s="279">
        <f>'MIS Working 1'!$L180*'MIS Working 1'!$AE180+'MIS Working 1'!$AL180</f>
        <v>57700.3</v>
      </c>
    </row>
    <row r="181" spans="1:39" x14ac:dyDescent="0.3">
      <c r="A181" s="263" t="s">
        <v>479</v>
      </c>
      <c r="B181" s="264">
        <v>45979</v>
      </c>
      <c r="C181" s="265" t="s">
        <v>1755</v>
      </c>
      <c r="D181" s="265" t="s">
        <v>378</v>
      </c>
      <c r="E181" s="265" t="s">
        <v>379</v>
      </c>
      <c r="F181" s="265" t="s">
        <v>18</v>
      </c>
      <c r="G181" s="265" t="s">
        <v>19</v>
      </c>
      <c r="H181" s="265" t="s">
        <v>27</v>
      </c>
      <c r="I181" s="266">
        <v>1200</v>
      </c>
      <c r="J181" s="267">
        <v>390240</v>
      </c>
      <c r="K181" s="266">
        <v>1200</v>
      </c>
      <c r="L181" s="266">
        <v>1200</v>
      </c>
      <c r="M181" s="264">
        <v>45979</v>
      </c>
      <c r="N181" s="267">
        <v>426024</v>
      </c>
      <c r="O181" s="265" t="s">
        <v>21</v>
      </c>
      <c r="P181" s="265" t="s">
        <v>22</v>
      </c>
      <c r="Q181" s="265" t="s">
        <v>660</v>
      </c>
      <c r="R181" s="265" t="str">
        <f>VLOOKUP('MIS Working 1'!$G181,Master!$H$3:$I$8,2,0)</f>
        <v>Finished Goods</v>
      </c>
      <c r="S181" s="265" t="str">
        <f>VLOOKUP('MIS Working 1'!$H181,Master!B:C,2,0)</f>
        <v>FG-PCB-CF</v>
      </c>
      <c r="T181" s="265" t="str">
        <f>VLOOKUP('MIS Working 1'!$S181,Master!E:F,2,0)</f>
        <v>FG-PCB-CF</v>
      </c>
      <c r="U181" s="268">
        <f>'MIS Working 1'!$N181-'MIS Working 1'!$AF181</f>
        <v>35472.000000000058</v>
      </c>
      <c r="V181" s="269">
        <f>'MIS Working 1'!$U181/'MIS Working 1'!$N181</f>
        <v>8.3262914765365473E-2</v>
      </c>
      <c r="W181" s="265">
        <f>'MIS Working 1'!$N181/'MIS Working 1'!$L181</f>
        <v>355.02</v>
      </c>
      <c r="X181" s="270">
        <f>SUM('MIS Working 1'!$Y181:$AE181)</f>
        <v>354.76999999999992</v>
      </c>
      <c r="Y181" s="270">
        <f>SUMIFS('COGS Break up'!$E:$E,'COGS Break up'!$A:$A,'MIS Working 1'!$D181,'COGS Break up'!$D:$D,'MIS Working 1'!$Y$1)</f>
        <v>271.52999999999997</v>
      </c>
      <c r="Z181" s="270">
        <f>SUMIFS('COGS Break up'!$E:$E,'COGS Break up'!$A:$A,'MIS Working 1'!$D181,'COGS Break up'!$D:$D,'MIS Working 1'!$Z$1)</f>
        <v>23.84</v>
      </c>
      <c r="AA181" s="270">
        <f>SUMIFS('COGS Break up'!E:E,'COGS Break up'!A:A,'MIS Working 1'!$D:$D,'COGS Break up'!C:C,'MIS Working 1'!$AA$1)</f>
        <v>1.9500000000000002</v>
      </c>
      <c r="AB181" s="270">
        <f>SUMIFS('COGS Break up'!E:E,'COGS Break up'!A:A,'MIS Working 1'!$D:$D,'COGS Break up'!C:C,$AB$1)</f>
        <v>17.329999999999998</v>
      </c>
      <c r="AC181" s="270">
        <f>SUMIFS('COGS Break up'!E:E,'COGS Break up'!A:A,'MIS Working 1'!$D:$D,'COGS Break up'!C:C,$AC$1)</f>
        <v>10.29</v>
      </c>
      <c r="AD181" s="270">
        <f>SUMIFS('COGS Break up'!$E:$E,'COGS Break up'!$A:$A,'MIS Working 1'!$D181,'COGS Break up'!$D:$D,'MIS Working 1'!$AD$1)</f>
        <v>0.26</v>
      </c>
      <c r="AE181" s="270">
        <f>SUMIFS('COGS Break up'!$E:$E,'COGS Break up'!$A:$A,'MIS Working 1'!$D181,'COGS Break up'!$D:$D,'MIS Working 1'!$AE$1)</f>
        <v>29.569999999999997</v>
      </c>
      <c r="AF181" s="271">
        <f>'MIS Working 1'!$AG181+'MIS Working 1'!$AH181+'MIS Working 1'!$AM181+'MIS Working 1'!$AL181</f>
        <v>390551.99999999994</v>
      </c>
      <c r="AG181" s="270">
        <f>'MIS Working 1'!$L181*'MIS Working 1'!$Y181</f>
        <v>325835.99999999994</v>
      </c>
      <c r="AH181" s="270">
        <f>'MIS Working 1'!$L181*'MIS Working 1'!$Z181</f>
        <v>28608</v>
      </c>
      <c r="AI181" s="270">
        <f t="shared" si="6"/>
        <v>2340</v>
      </c>
      <c r="AJ181" s="270">
        <f t="shared" si="7"/>
        <v>20795.999999999996</v>
      </c>
      <c r="AK181" s="270">
        <f t="shared" si="8"/>
        <v>12347.999999999998</v>
      </c>
      <c r="AL181" s="270">
        <f>'MIS Working 1'!$AD181*'MIS Working 1'!$L181</f>
        <v>312</v>
      </c>
      <c r="AM181" s="270">
        <f>'MIS Working 1'!$L181*'MIS Working 1'!$AE181+'MIS Working 1'!$AL181</f>
        <v>35795.999999999993</v>
      </c>
    </row>
    <row r="182" spans="1:39" x14ac:dyDescent="0.3">
      <c r="A182" s="272" t="s">
        <v>479</v>
      </c>
      <c r="B182" s="273">
        <v>45979</v>
      </c>
      <c r="C182" s="274" t="s">
        <v>1757</v>
      </c>
      <c r="D182" s="274" t="s">
        <v>380</v>
      </c>
      <c r="E182" s="274" t="s">
        <v>381</v>
      </c>
      <c r="F182" s="274" t="s">
        <v>18</v>
      </c>
      <c r="G182" s="274" t="s">
        <v>19</v>
      </c>
      <c r="H182" s="274" t="s">
        <v>27</v>
      </c>
      <c r="I182" s="275">
        <v>239</v>
      </c>
      <c r="J182" s="276">
        <v>51767.4</v>
      </c>
      <c r="K182" s="275">
        <v>239</v>
      </c>
      <c r="L182" s="275">
        <v>239</v>
      </c>
      <c r="M182" s="273">
        <v>45979</v>
      </c>
      <c r="N182" s="276">
        <v>53022.15</v>
      </c>
      <c r="O182" s="274" t="s">
        <v>21</v>
      </c>
      <c r="P182" s="274" t="s">
        <v>22</v>
      </c>
      <c r="Q182" s="274" t="s">
        <v>660</v>
      </c>
      <c r="R182" s="274" t="str">
        <f>VLOOKUP('MIS Working 1'!$G182,Master!$H$3:$I$8,2,0)</f>
        <v>Finished Goods</v>
      </c>
      <c r="S182" s="274" t="str">
        <f>VLOOKUP('MIS Working 1'!$H182,Master!B:C,2,0)</f>
        <v>FG-PCB-CF</v>
      </c>
      <c r="T182" s="274" t="str">
        <f>VLOOKUP('MIS Working 1'!$S182,Master!E:F,2,0)</f>
        <v>FG-PCB-CF</v>
      </c>
      <c r="U182" s="277">
        <f>'MIS Working 1'!$N182-'MIS Working 1'!$AF182</f>
        <v>1245.1900000000169</v>
      </c>
      <c r="V182" s="278">
        <f>'MIS Working 1'!$U182/'MIS Working 1'!$N182</f>
        <v>2.3484336263241246E-2</v>
      </c>
      <c r="W182" s="274">
        <f>'MIS Working 1'!$N182/'MIS Working 1'!$L182</f>
        <v>221.85</v>
      </c>
      <c r="X182" s="279">
        <f>SUM('MIS Working 1'!$Y182:$AE182)</f>
        <v>239.77999999999994</v>
      </c>
      <c r="Y182" s="279">
        <f>SUMIFS('COGS Break up'!$E:$E,'COGS Break up'!$A:$A,'MIS Working 1'!$D182,'COGS Break up'!$D:$D,'MIS Working 1'!$Y$1)</f>
        <v>174.98999999999995</v>
      </c>
      <c r="Z182" s="279">
        <f>SUMIFS('COGS Break up'!$E:$E,'COGS Break up'!$A:$A,'MIS Working 1'!$D182,'COGS Break up'!$D:$D,'MIS Working 1'!$Z$1)</f>
        <v>18.389999999999997</v>
      </c>
      <c r="AA182" s="279">
        <f>SUMIFS('COGS Break up'!E:E,'COGS Break up'!A:A,'MIS Working 1'!$D:$D,'COGS Break up'!C:C,'MIS Working 1'!$AA$1)</f>
        <v>1.5</v>
      </c>
      <c r="AB182" s="279">
        <f>SUMIFS('COGS Break up'!E:E,'COGS Break up'!A:A,'MIS Working 1'!$D:$D,'COGS Break up'!C:C,$AB$1)</f>
        <v>13.37</v>
      </c>
      <c r="AC182" s="279">
        <f>SUMIFS('COGS Break up'!E:E,'COGS Break up'!A:A,'MIS Working 1'!$D:$D,'COGS Break up'!C:C,$AC$1)</f>
        <v>8.31</v>
      </c>
      <c r="AD182" s="279">
        <f>SUMIFS('COGS Break up'!$E:$E,'COGS Break up'!$A:$A,'MIS Working 1'!$D182,'COGS Break up'!$D:$D,'MIS Working 1'!$AD$1)</f>
        <v>0.04</v>
      </c>
      <c r="AE182" s="279">
        <f>SUMIFS('COGS Break up'!$E:$E,'COGS Break up'!$A:$A,'MIS Working 1'!$D182,'COGS Break up'!$D:$D,'MIS Working 1'!$AE$1)</f>
        <v>23.18</v>
      </c>
      <c r="AF182" s="280">
        <f>'MIS Working 1'!$AG182+'MIS Working 1'!$AH182+'MIS Working 1'!$AM182+'MIS Working 1'!$AL182</f>
        <v>51776.959999999985</v>
      </c>
      <c r="AG182" s="279">
        <f>'MIS Working 1'!$L182*'MIS Working 1'!$Y182</f>
        <v>41822.609999999986</v>
      </c>
      <c r="AH182" s="279">
        <f>'MIS Working 1'!$L182*'MIS Working 1'!$Z182</f>
        <v>4395.2099999999991</v>
      </c>
      <c r="AI182" s="279">
        <f t="shared" si="6"/>
        <v>358.5</v>
      </c>
      <c r="AJ182" s="279">
        <f t="shared" si="7"/>
        <v>3195.43</v>
      </c>
      <c r="AK182" s="279">
        <f t="shared" si="8"/>
        <v>1986.0900000000001</v>
      </c>
      <c r="AL182" s="279">
        <f>'MIS Working 1'!$AD182*'MIS Working 1'!$L182</f>
        <v>9.56</v>
      </c>
      <c r="AM182" s="279">
        <f>'MIS Working 1'!$L182*'MIS Working 1'!$AE182+'MIS Working 1'!$AL182</f>
        <v>5549.58</v>
      </c>
    </row>
    <row r="183" spans="1:39" x14ac:dyDescent="0.3">
      <c r="A183" s="263" t="s">
        <v>479</v>
      </c>
      <c r="B183" s="264">
        <v>45979</v>
      </c>
      <c r="C183" s="265" t="s">
        <v>1755</v>
      </c>
      <c r="D183" s="265" t="s">
        <v>380</v>
      </c>
      <c r="E183" s="265" t="s">
        <v>381</v>
      </c>
      <c r="F183" s="265" t="s">
        <v>18</v>
      </c>
      <c r="G183" s="265" t="s">
        <v>19</v>
      </c>
      <c r="H183" s="265" t="s">
        <v>27</v>
      </c>
      <c r="I183" s="266">
        <v>398</v>
      </c>
      <c r="J183" s="267">
        <v>86206.8</v>
      </c>
      <c r="K183" s="266">
        <v>398</v>
      </c>
      <c r="L183" s="266">
        <v>398</v>
      </c>
      <c r="M183" s="264">
        <v>45979</v>
      </c>
      <c r="N183" s="267">
        <v>88296.3</v>
      </c>
      <c r="O183" s="265" t="s">
        <v>21</v>
      </c>
      <c r="P183" s="265" t="s">
        <v>22</v>
      </c>
      <c r="Q183" s="265" t="s">
        <v>660</v>
      </c>
      <c r="R183" s="265" t="str">
        <f>VLOOKUP('MIS Working 1'!$G183,Master!$H$3:$I$8,2,0)</f>
        <v>Finished Goods</v>
      </c>
      <c r="S183" s="265" t="str">
        <f>VLOOKUP('MIS Working 1'!$H183,Master!B:C,2,0)</f>
        <v>FG-PCB-CF</v>
      </c>
      <c r="T183" s="265" t="str">
        <f>VLOOKUP('MIS Working 1'!$S183,Master!E:F,2,0)</f>
        <v>FG-PCB-CF</v>
      </c>
      <c r="U183" s="268">
        <f>'MIS Working 1'!$N183-'MIS Working 1'!$AF183</f>
        <v>2073.5800000000309</v>
      </c>
      <c r="V183" s="269">
        <f>'MIS Working 1'!$U183/'MIS Working 1'!$N183</f>
        <v>2.3484336263241277E-2</v>
      </c>
      <c r="W183" s="265">
        <f>'MIS Working 1'!$N183/'MIS Working 1'!$L183</f>
        <v>221.85</v>
      </c>
      <c r="X183" s="270">
        <f>SUM('MIS Working 1'!$Y183:$AE183)</f>
        <v>239.77999999999994</v>
      </c>
      <c r="Y183" s="270">
        <f>SUMIFS('COGS Break up'!$E:$E,'COGS Break up'!$A:$A,'MIS Working 1'!$D183,'COGS Break up'!$D:$D,'MIS Working 1'!$Y$1)</f>
        <v>174.98999999999995</v>
      </c>
      <c r="Z183" s="270">
        <f>SUMIFS('COGS Break up'!$E:$E,'COGS Break up'!$A:$A,'MIS Working 1'!$D183,'COGS Break up'!$D:$D,'MIS Working 1'!$Z$1)</f>
        <v>18.389999999999997</v>
      </c>
      <c r="AA183" s="270">
        <f>SUMIFS('COGS Break up'!E:E,'COGS Break up'!A:A,'MIS Working 1'!$D:$D,'COGS Break up'!C:C,'MIS Working 1'!$AA$1)</f>
        <v>1.5</v>
      </c>
      <c r="AB183" s="270">
        <f>SUMIFS('COGS Break up'!E:E,'COGS Break up'!A:A,'MIS Working 1'!$D:$D,'COGS Break up'!C:C,$AB$1)</f>
        <v>13.37</v>
      </c>
      <c r="AC183" s="270">
        <f>SUMIFS('COGS Break up'!E:E,'COGS Break up'!A:A,'MIS Working 1'!$D:$D,'COGS Break up'!C:C,$AC$1)</f>
        <v>8.31</v>
      </c>
      <c r="AD183" s="270">
        <f>SUMIFS('COGS Break up'!$E:$E,'COGS Break up'!$A:$A,'MIS Working 1'!$D183,'COGS Break up'!$D:$D,'MIS Working 1'!$AD$1)</f>
        <v>0.04</v>
      </c>
      <c r="AE183" s="270">
        <f>SUMIFS('COGS Break up'!$E:$E,'COGS Break up'!$A:$A,'MIS Working 1'!$D183,'COGS Break up'!$D:$D,'MIS Working 1'!$AE$1)</f>
        <v>23.18</v>
      </c>
      <c r="AF183" s="271">
        <f>'MIS Working 1'!$AG183+'MIS Working 1'!$AH183+'MIS Working 1'!$AM183+'MIS Working 1'!$AL183</f>
        <v>86222.719999999972</v>
      </c>
      <c r="AG183" s="270">
        <f>'MIS Working 1'!$L183*'MIS Working 1'!$Y183</f>
        <v>69646.019999999975</v>
      </c>
      <c r="AH183" s="270">
        <f>'MIS Working 1'!$L183*'MIS Working 1'!$Z183</f>
        <v>7319.2199999999984</v>
      </c>
      <c r="AI183" s="270">
        <f t="shared" si="6"/>
        <v>597</v>
      </c>
      <c r="AJ183" s="270">
        <f t="shared" si="7"/>
        <v>5321.2599999999993</v>
      </c>
      <c r="AK183" s="270">
        <f t="shared" si="8"/>
        <v>3307.38</v>
      </c>
      <c r="AL183" s="270">
        <f>'MIS Working 1'!$AD183*'MIS Working 1'!$L183</f>
        <v>15.92</v>
      </c>
      <c r="AM183" s="270">
        <f>'MIS Working 1'!$L183*'MIS Working 1'!$AE183+'MIS Working 1'!$AL183</f>
        <v>9241.56</v>
      </c>
    </row>
    <row r="184" spans="1:39" x14ac:dyDescent="0.3">
      <c r="A184" s="272" t="s">
        <v>479</v>
      </c>
      <c r="B184" s="273">
        <v>45979</v>
      </c>
      <c r="C184" s="274" t="s">
        <v>1758</v>
      </c>
      <c r="D184" s="274" t="s">
        <v>1679</v>
      </c>
      <c r="E184" s="274" t="s">
        <v>1680</v>
      </c>
      <c r="F184" s="274" t="s">
        <v>18</v>
      </c>
      <c r="G184" s="274" t="s">
        <v>19</v>
      </c>
      <c r="H184" s="274" t="s">
        <v>27</v>
      </c>
      <c r="I184" s="275">
        <v>1525</v>
      </c>
      <c r="J184" s="276">
        <v>292739</v>
      </c>
      <c r="K184" s="275">
        <v>1525</v>
      </c>
      <c r="L184" s="275">
        <v>1525</v>
      </c>
      <c r="M184" s="273">
        <v>45979</v>
      </c>
      <c r="N184" s="276">
        <v>754875</v>
      </c>
      <c r="O184" s="274" t="s">
        <v>21</v>
      </c>
      <c r="P184" s="274" t="s">
        <v>22</v>
      </c>
      <c r="Q184" s="274" t="s">
        <v>660</v>
      </c>
      <c r="R184" s="274" t="str">
        <f>VLOOKUP('MIS Working 1'!$G184,Master!$H$3:$I$8,2,0)</f>
        <v>Finished Goods</v>
      </c>
      <c r="S184" s="274" t="str">
        <f>VLOOKUP('MIS Working 1'!$H184,Master!B:C,2,0)</f>
        <v>FG-PCB-CF</v>
      </c>
      <c r="T184" s="274" t="str">
        <f>VLOOKUP('MIS Working 1'!$S184,Master!E:F,2,0)</f>
        <v>FG-PCB-CF</v>
      </c>
      <c r="U184" s="277">
        <f>'MIS Working 1'!$N184-'MIS Working 1'!$AF184</f>
        <v>462136</v>
      </c>
      <c r="V184" s="278">
        <f>'MIS Working 1'!$U184/'MIS Working 1'!$N184</f>
        <v>0.61220202020202019</v>
      </c>
      <c r="W184" s="274">
        <f>'MIS Working 1'!$N184/'MIS Working 1'!$L184</f>
        <v>495</v>
      </c>
      <c r="X184" s="279">
        <f>SUM('MIS Working 1'!$Y184:$AE184)</f>
        <v>226.71</v>
      </c>
      <c r="Y184" s="279">
        <f>SUMIFS('COGS Break up'!$E:$E,'COGS Break up'!$A:$A,'MIS Working 1'!$D184,'COGS Break up'!$D:$D,'MIS Working 1'!$Y$1)</f>
        <v>127.95</v>
      </c>
      <c r="Z184" s="279">
        <f>SUMIFS('COGS Break up'!$E:$E,'COGS Break up'!$A:$A,'MIS Working 1'!$D184,'COGS Break up'!$D:$D,'MIS Working 1'!$Z$1)</f>
        <v>29.26</v>
      </c>
      <c r="AA184" s="279">
        <f>SUMIFS('COGS Break up'!E:E,'COGS Break up'!A:A,'MIS Working 1'!$D:$D,'COGS Break up'!C:C,'MIS Working 1'!$AA$1)</f>
        <v>3.14</v>
      </c>
      <c r="AB184" s="279">
        <f>SUMIFS('COGS Break up'!E:E,'COGS Break up'!A:A,'MIS Working 1'!$D:$D,'COGS Break up'!C:C,$AB$1)</f>
        <v>25.15</v>
      </c>
      <c r="AC184" s="279">
        <f>SUMIFS('COGS Break up'!E:E,'COGS Break up'!A:A,'MIS Working 1'!$D:$D,'COGS Break up'!C:C,$AC$1)</f>
        <v>6.46</v>
      </c>
      <c r="AD184" s="279">
        <f>SUMIFS('COGS Break up'!$E:$E,'COGS Break up'!$A:$A,'MIS Working 1'!$D184,'COGS Break up'!$D:$D,'MIS Working 1'!$AD$1)</f>
        <v>0</v>
      </c>
      <c r="AE184" s="279">
        <f>SUMIFS('COGS Break up'!$E:$E,'COGS Break up'!$A:$A,'MIS Working 1'!$D184,'COGS Break up'!$D:$D,'MIS Working 1'!$AE$1)</f>
        <v>34.75</v>
      </c>
      <c r="AF184" s="280">
        <f>'MIS Working 1'!$AG184+'MIS Working 1'!$AH184+'MIS Working 1'!$AM184+'MIS Working 1'!$AL184</f>
        <v>292739</v>
      </c>
      <c r="AG184" s="279">
        <f>'MIS Working 1'!$L184*'MIS Working 1'!$Y184</f>
        <v>195123.75</v>
      </c>
      <c r="AH184" s="279">
        <f>'MIS Working 1'!$L184*'MIS Working 1'!$Z184</f>
        <v>44621.5</v>
      </c>
      <c r="AI184" s="279">
        <f t="shared" si="6"/>
        <v>4788.5</v>
      </c>
      <c r="AJ184" s="279">
        <f t="shared" si="7"/>
        <v>38353.75</v>
      </c>
      <c r="AK184" s="279">
        <f t="shared" si="8"/>
        <v>9851.5</v>
      </c>
      <c r="AL184" s="279">
        <f>'MIS Working 1'!$AD184*'MIS Working 1'!$L184</f>
        <v>0</v>
      </c>
      <c r="AM184" s="279">
        <f>'MIS Working 1'!$L184*'MIS Working 1'!$AE184+'MIS Working 1'!$AL184</f>
        <v>52993.75</v>
      </c>
    </row>
    <row r="185" spans="1:39" x14ac:dyDescent="0.3">
      <c r="A185" s="263" t="s">
        <v>479</v>
      </c>
      <c r="B185" s="264">
        <v>45979</v>
      </c>
      <c r="C185" s="265" t="s">
        <v>1759</v>
      </c>
      <c r="D185" s="265" t="s">
        <v>1687</v>
      </c>
      <c r="E185" s="265" t="s">
        <v>1688</v>
      </c>
      <c r="F185" s="265" t="s">
        <v>18</v>
      </c>
      <c r="G185" s="265" t="s">
        <v>19</v>
      </c>
      <c r="H185" s="265" t="s">
        <v>27</v>
      </c>
      <c r="I185" s="266">
        <v>105</v>
      </c>
      <c r="J185" s="267">
        <v>35390.25</v>
      </c>
      <c r="K185" s="266">
        <v>105</v>
      </c>
      <c r="L185" s="266">
        <v>105</v>
      </c>
      <c r="M185" s="264">
        <v>45979</v>
      </c>
      <c r="N185" s="267">
        <v>36405.599999999999</v>
      </c>
      <c r="O185" s="265" t="s">
        <v>21</v>
      </c>
      <c r="P185" s="265" t="s">
        <v>22</v>
      </c>
      <c r="Q185" s="265" t="s">
        <v>660</v>
      </c>
      <c r="R185" s="265" t="str">
        <f>VLOOKUP('MIS Working 1'!$G185,Master!$H$3:$I$8,2,0)</f>
        <v>Finished Goods</v>
      </c>
      <c r="S185" s="265" t="str">
        <f>VLOOKUP('MIS Working 1'!$H185,Master!B:C,2,0)</f>
        <v>FG-PCB-CF</v>
      </c>
      <c r="T185" s="265" t="str">
        <f>VLOOKUP('MIS Working 1'!$S185,Master!E:F,2,0)</f>
        <v>FG-PCB-CF</v>
      </c>
      <c r="U185" s="268">
        <f>'MIS Working 1'!$N185-'MIS Working 1'!$AF185</f>
        <v>996.44999999999709</v>
      </c>
      <c r="V185" s="269">
        <f>'MIS Working 1'!$U185/'MIS Working 1'!$N185</f>
        <v>2.7370789109367712E-2</v>
      </c>
      <c r="W185" s="265">
        <f>'MIS Working 1'!$N185/'MIS Working 1'!$L185</f>
        <v>346.71999999999997</v>
      </c>
      <c r="X185" s="270">
        <f>SUM('MIS Working 1'!$Y185:$AE185)</f>
        <v>365.47</v>
      </c>
      <c r="Y185" s="270">
        <f>SUMIFS('COGS Break up'!$E:$E,'COGS Break up'!$A:$A,'MIS Working 1'!$D185,'COGS Break up'!$D:$D,'MIS Working 1'!$Y$1)</f>
        <v>287.83</v>
      </c>
      <c r="Z185" s="270">
        <f>SUMIFS('COGS Break up'!$E:$E,'COGS Break up'!$A:$A,'MIS Working 1'!$D185,'COGS Break up'!$D:$D,'MIS Working 1'!$Z$1)</f>
        <v>20.62</v>
      </c>
      <c r="AA185" s="270">
        <f>SUMIFS('COGS Break up'!E:E,'COGS Break up'!A:A,'MIS Working 1'!$D:$D,'COGS Break up'!C:C,'MIS Working 1'!$AA$1)</f>
        <v>2.21</v>
      </c>
      <c r="AB185" s="270">
        <f>SUMIFS('COGS Break up'!E:E,'COGS Break up'!A:A,'MIS Working 1'!$D:$D,'COGS Break up'!C:C,$AB$1)</f>
        <v>17.73</v>
      </c>
      <c r="AC185" s="270">
        <f>SUMIFS('COGS Break up'!E:E,'COGS Break up'!A:A,'MIS Working 1'!$D:$D,'COGS Break up'!C:C,$AC$1)</f>
        <v>8.48</v>
      </c>
      <c r="AD185" s="270">
        <f>SUMIFS('COGS Break up'!$E:$E,'COGS Break up'!$A:$A,'MIS Working 1'!$D185,'COGS Break up'!$D:$D,'MIS Working 1'!$AD$1)</f>
        <v>0.18</v>
      </c>
      <c r="AE185" s="270">
        <f>SUMIFS('COGS Break up'!$E:$E,'COGS Break up'!$A:$A,'MIS Working 1'!$D185,'COGS Break up'!$D:$D,'MIS Working 1'!$AE$1)</f>
        <v>28.42</v>
      </c>
      <c r="AF185" s="271">
        <f>'MIS Working 1'!$AG185+'MIS Working 1'!$AH185+'MIS Working 1'!$AM185+'MIS Working 1'!$AL185</f>
        <v>35409.15</v>
      </c>
      <c r="AG185" s="270">
        <f>'MIS Working 1'!$L185*'MIS Working 1'!$Y185</f>
        <v>30222.149999999998</v>
      </c>
      <c r="AH185" s="270">
        <f>'MIS Working 1'!$L185*'MIS Working 1'!$Z185</f>
        <v>2165.1</v>
      </c>
      <c r="AI185" s="270">
        <f t="shared" si="6"/>
        <v>232.04999999999998</v>
      </c>
      <c r="AJ185" s="270">
        <f t="shared" si="7"/>
        <v>1861.65</v>
      </c>
      <c r="AK185" s="270">
        <f t="shared" si="8"/>
        <v>890.40000000000009</v>
      </c>
      <c r="AL185" s="270">
        <f>'MIS Working 1'!$AD185*'MIS Working 1'!$L185</f>
        <v>18.899999999999999</v>
      </c>
      <c r="AM185" s="270">
        <f>'MIS Working 1'!$L185*'MIS Working 1'!$AE185+'MIS Working 1'!$AL185</f>
        <v>3003.0000000000005</v>
      </c>
    </row>
    <row r="186" spans="1:39" x14ac:dyDescent="0.3">
      <c r="A186" s="272" t="s">
        <v>479</v>
      </c>
      <c r="B186" s="273">
        <v>45979</v>
      </c>
      <c r="C186" s="274" t="s">
        <v>1760</v>
      </c>
      <c r="D186" s="274" t="s">
        <v>1689</v>
      </c>
      <c r="E186" s="274" t="s">
        <v>1690</v>
      </c>
      <c r="F186" s="274" t="s">
        <v>18</v>
      </c>
      <c r="G186" s="274" t="s">
        <v>19</v>
      </c>
      <c r="H186" s="274" t="s">
        <v>1105</v>
      </c>
      <c r="I186" s="275">
        <v>52</v>
      </c>
      <c r="J186" s="276">
        <v>27305.200000000001</v>
      </c>
      <c r="K186" s="275">
        <v>52</v>
      </c>
      <c r="L186" s="275">
        <v>52</v>
      </c>
      <c r="M186" s="273">
        <v>45979</v>
      </c>
      <c r="N186" s="276">
        <v>50691.68</v>
      </c>
      <c r="O186" s="274" t="s">
        <v>21</v>
      </c>
      <c r="P186" s="274" t="s">
        <v>22</v>
      </c>
      <c r="Q186" s="274" t="s">
        <v>660</v>
      </c>
      <c r="R186" s="274" t="str">
        <f>VLOOKUP('MIS Working 1'!$G186,Master!$H$3:$I$8,2,0)</f>
        <v>Finished Goods</v>
      </c>
      <c r="S186" s="274" t="str">
        <f>VLOOKUP('MIS Working 1'!$H186,Master!B:C,2,0)</f>
        <v>FG-PCB-Ped</v>
      </c>
      <c r="T186" s="274" t="str">
        <f>VLOOKUP('MIS Working 1'!$S186,Master!E:F,2,0)</f>
        <v>FG-PCB-Ped</v>
      </c>
      <c r="U186" s="277">
        <f>'MIS Working 1'!$N186-'MIS Working 1'!$AF186</f>
        <v>23369.84</v>
      </c>
      <c r="V186" s="278">
        <f>'MIS Working 1'!$U186/'MIS Working 1'!$N186</f>
        <v>0.46101924418366091</v>
      </c>
      <c r="W186" s="274">
        <f>'MIS Working 1'!$N186/'MIS Working 1'!$L186</f>
        <v>974.84</v>
      </c>
      <c r="X186" s="279">
        <f>SUM('MIS Working 1'!$Y186:$AE186)</f>
        <v>571.57000000000016</v>
      </c>
      <c r="Y186" s="279">
        <f>SUMIFS('COGS Break up'!$E:$E,'COGS Break up'!$A:$A,'MIS Working 1'!$D186,'COGS Break up'!$D:$D,'MIS Working 1'!$Y$1)</f>
        <v>451.65000000000009</v>
      </c>
      <c r="Z186" s="279">
        <f>SUMIFS('COGS Break up'!$E:$E,'COGS Break up'!$A:$A,'MIS Working 1'!$D186,'COGS Break up'!$D:$D,'MIS Working 1'!$Z$1)</f>
        <v>26.66</v>
      </c>
      <c r="AA186" s="279">
        <f>SUMIFS('COGS Break up'!E:E,'COGS Break up'!A:A,'MIS Working 1'!$D:$D,'COGS Break up'!C:C,'MIS Working 1'!$AA$1)</f>
        <v>2.87</v>
      </c>
      <c r="AB186" s="279">
        <f>SUMIFS('COGS Break up'!E:E,'COGS Break up'!A:A,'MIS Working 1'!$D:$D,'COGS Break up'!C:C,$AB$1)</f>
        <v>22.919999999999998</v>
      </c>
      <c r="AC186" s="279">
        <f>SUMIFS('COGS Break up'!E:E,'COGS Break up'!A:A,'MIS Working 1'!$D:$D,'COGS Break up'!C:C,$AC$1)</f>
        <v>20.68</v>
      </c>
      <c r="AD186" s="279">
        <f>SUMIFS('COGS Break up'!$E:$E,'COGS Break up'!$A:$A,'MIS Working 1'!$D186,'COGS Break up'!$D:$D,'MIS Working 1'!$AD$1)</f>
        <v>0.32</v>
      </c>
      <c r="AE186" s="279">
        <f>SUMIFS('COGS Break up'!$E:$E,'COGS Break up'!$A:$A,'MIS Working 1'!$D186,'COGS Break up'!$D:$D,'MIS Working 1'!$AE$1)</f>
        <v>46.469999999999992</v>
      </c>
      <c r="AF186" s="280">
        <f>'MIS Working 1'!$AG186+'MIS Working 1'!$AH186+'MIS Working 1'!$AM186+'MIS Working 1'!$AL186</f>
        <v>27321.84</v>
      </c>
      <c r="AG186" s="279">
        <f>'MIS Working 1'!$L186*'MIS Working 1'!$Y186</f>
        <v>23485.800000000003</v>
      </c>
      <c r="AH186" s="279">
        <f>'MIS Working 1'!$L186*'MIS Working 1'!$Z186</f>
        <v>1386.32</v>
      </c>
      <c r="AI186" s="279">
        <f t="shared" si="6"/>
        <v>149.24</v>
      </c>
      <c r="AJ186" s="279">
        <f t="shared" si="7"/>
        <v>1191.8399999999999</v>
      </c>
      <c r="AK186" s="279">
        <f t="shared" si="8"/>
        <v>1075.3599999999999</v>
      </c>
      <c r="AL186" s="279">
        <f>'MIS Working 1'!$AD186*'MIS Working 1'!$L186</f>
        <v>16.64</v>
      </c>
      <c r="AM186" s="279">
        <f>'MIS Working 1'!$L186*'MIS Working 1'!$AE186+'MIS Working 1'!$AL186</f>
        <v>2433.0799999999995</v>
      </c>
    </row>
    <row r="187" spans="1:39" x14ac:dyDescent="0.3">
      <c r="A187" s="263" t="s">
        <v>479</v>
      </c>
      <c r="B187" s="264">
        <v>45979</v>
      </c>
      <c r="C187" s="265" t="s">
        <v>1760</v>
      </c>
      <c r="D187" s="265" t="s">
        <v>1691</v>
      </c>
      <c r="E187" s="265" t="s">
        <v>1692</v>
      </c>
      <c r="F187" s="265" t="s">
        <v>18</v>
      </c>
      <c r="G187" s="265" t="s">
        <v>19</v>
      </c>
      <c r="H187" s="265" t="s">
        <v>1105</v>
      </c>
      <c r="I187" s="266">
        <v>52</v>
      </c>
      <c r="J187" s="267">
        <v>3163.16</v>
      </c>
      <c r="K187" s="266">
        <v>52</v>
      </c>
      <c r="L187" s="266">
        <v>52</v>
      </c>
      <c r="M187" s="264">
        <v>45979</v>
      </c>
      <c r="N187" s="267">
        <v>6283.68</v>
      </c>
      <c r="O187" s="265" t="s">
        <v>21</v>
      </c>
      <c r="P187" s="265" t="s">
        <v>22</v>
      </c>
      <c r="Q187" s="265" t="s">
        <v>660</v>
      </c>
      <c r="R187" s="265" t="str">
        <f>VLOOKUP('MIS Working 1'!$G187,Master!$H$3:$I$8,2,0)</f>
        <v>Finished Goods</v>
      </c>
      <c r="S187" s="265" t="str">
        <f>VLOOKUP('MIS Working 1'!$H187,Master!B:C,2,0)</f>
        <v>FG-PCB-Ped</v>
      </c>
      <c r="T187" s="265" t="str">
        <f>VLOOKUP('MIS Working 1'!$S187,Master!E:F,2,0)</f>
        <v>FG-PCB-Ped</v>
      </c>
      <c r="U187" s="268">
        <f>'MIS Working 1'!$N187-'MIS Working 1'!$AF187</f>
        <v>3119.4800000000005</v>
      </c>
      <c r="V187" s="269">
        <f>'MIS Working 1'!$U187/'MIS Working 1'!$N187</f>
        <v>0.49644157563720626</v>
      </c>
      <c r="W187" s="265">
        <f>'MIS Working 1'!$N187/'MIS Working 1'!$L187</f>
        <v>120.84</v>
      </c>
      <c r="X187" s="270">
        <f>SUM('MIS Working 1'!$Y187:$AE187)</f>
        <v>60.830000000000005</v>
      </c>
      <c r="Y187" s="270">
        <f>SUMIFS('COGS Break up'!$E:$E,'COGS Break up'!$A:$A,'MIS Working 1'!$D187,'COGS Break up'!$D:$D,'MIS Working 1'!$Y$1)</f>
        <v>48.79</v>
      </c>
      <c r="Z187" s="270">
        <f>SUMIFS('COGS Break up'!$E:$E,'COGS Break up'!$A:$A,'MIS Working 1'!$D187,'COGS Break up'!$D:$D,'MIS Working 1'!$Z$1)</f>
        <v>12.02</v>
      </c>
      <c r="AA187" s="270">
        <f>SUMIFS('COGS Break up'!E:E,'COGS Break up'!A:A,'MIS Working 1'!$D:$D,'COGS Break up'!C:C,'MIS Working 1'!$AA$1)</f>
        <v>0</v>
      </c>
      <c r="AB187" s="270">
        <f>SUMIFS('COGS Break up'!E:E,'COGS Break up'!A:A,'MIS Working 1'!$D:$D,'COGS Break up'!C:C,$AB$1)</f>
        <v>0</v>
      </c>
      <c r="AC187" s="270">
        <f>SUMIFS('COGS Break up'!E:E,'COGS Break up'!A:A,'MIS Working 1'!$D:$D,'COGS Break up'!C:C,$AC$1)</f>
        <v>0</v>
      </c>
      <c r="AD187" s="270">
        <f>SUMIFS('COGS Break up'!$E:$E,'COGS Break up'!$A:$A,'MIS Working 1'!$D187,'COGS Break up'!$D:$D,'MIS Working 1'!$AD$1)</f>
        <v>0.02</v>
      </c>
      <c r="AE187" s="270">
        <f>SUMIFS('COGS Break up'!$E:$E,'COGS Break up'!$A:$A,'MIS Working 1'!$D187,'COGS Break up'!$D:$D,'MIS Working 1'!$AE$1)</f>
        <v>0</v>
      </c>
      <c r="AF187" s="271">
        <f>'MIS Working 1'!$AG187+'MIS Working 1'!$AH187+'MIS Working 1'!$AM187+'MIS Working 1'!$AL187</f>
        <v>3164.2</v>
      </c>
      <c r="AG187" s="270">
        <f>'MIS Working 1'!$L187*'MIS Working 1'!$Y187</f>
        <v>2537.08</v>
      </c>
      <c r="AH187" s="270">
        <f>'MIS Working 1'!$L187*'MIS Working 1'!$Z187</f>
        <v>625.04</v>
      </c>
      <c r="AI187" s="270">
        <f t="shared" si="6"/>
        <v>0</v>
      </c>
      <c r="AJ187" s="270">
        <f t="shared" si="7"/>
        <v>0</v>
      </c>
      <c r="AK187" s="270">
        <f t="shared" si="8"/>
        <v>0</v>
      </c>
      <c r="AL187" s="270">
        <f>'MIS Working 1'!$AD187*'MIS Working 1'!$L187</f>
        <v>1.04</v>
      </c>
      <c r="AM187" s="270">
        <f>'MIS Working 1'!$L187*'MIS Working 1'!$AE187+'MIS Working 1'!$AL187</f>
        <v>1.04</v>
      </c>
    </row>
    <row r="188" spans="1:39" x14ac:dyDescent="0.3">
      <c r="A188" s="272" t="s">
        <v>1212</v>
      </c>
      <c r="B188" s="273">
        <v>45979</v>
      </c>
      <c r="C188" s="274" t="s">
        <v>1761</v>
      </c>
      <c r="D188" s="274" t="s">
        <v>1664</v>
      </c>
      <c r="E188" s="274" t="s">
        <v>1665</v>
      </c>
      <c r="F188" s="274" t="s">
        <v>18</v>
      </c>
      <c r="G188" s="274" t="s">
        <v>48</v>
      </c>
      <c r="H188" s="274" t="s">
        <v>201</v>
      </c>
      <c r="I188" s="275">
        <v>30000</v>
      </c>
      <c r="J188" s="276">
        <v>19789.080000000002</v>
      </c>
      <c r="K188" s="275">
        <v>30000</v>
      </c>
      <c r="L188" s="275">
        <v>30000</v>
      </c>
      <c r="M188" s="273">
        <v>45979</v>
      </c>
      <c r="N188" s="276">
        <v>20100</v>
      </c>
      <c r="O188" s="274" t="s">
        <v>21</v>
      </c>
      <c r="P188" s="274" t="s">
        <v>22</v>
      </c>
      <c r="Q188" s="274" t="s">
        <v>1750</v>
      </c>
      <c r="R188" s="274" t="str">
        <f>VLOOKUP('MIS Working 1'!$G188,Master!$H$3:$I$8,2,0)</f>
        <v>Raw Material</v>
      </c>
      <c r="S188" s="274" t="str">
        <f>VLOOKUP('MIS Working 1'!$H188,Master!B:C,2,0)</f>
        <v>RM-Eletro-Diodes</v>
      </c>
      <c r="T188" s="274" t="str">
        <f>VLOOKUP('MIS Working 1'!$S188,Master!E:F,2,0)</f>
        <v>Raw Material</v>
      </c>
      <c r="U188" s="277">
        <f>'MIS Working 1'!$N188-'MIS Working 1'!$AF188</f>
        <v>20100</v>
      </c>
      <c r="V188" s="278">
        <f>'MIS Working 1'!$U188/'MIS Working 1'!$N188</f>
        <v>1</v>
      </c>
      <c r="W188" s="274">
        <f>'MIS Working 1'!$N188/'MIS Working 1'!$L188</f>
        <v>0.67</v>
      </c>
      <c r="X188" s="279">
        <f>SUM('MIS Working 1'!$Y188:$AE188)</f>
        <v>0</v>
      </c>
      <c r="Y188" s="279">
        <f>SUMIFS('COGS Break up'!$E:$E,'COGS Break up'!$A:$A,'MIS Working 1'!$D188,'COGS Break up'!$D:$D,'MIS Working 1'!$Y$1)</f>
        <v>0</v>
      </c>
      <c r="Z188" s="279">
        <f>SUMIFS('COGS Break up'!$E:$E,'COGS Break up'!$A:$A,'MIS Working 1'!$D188,'COGS Break up'!$D:$D,'MIS Working 1'!$Z$1)</f>
        <v>0</v>
      </c>
      <c r="AA188" s="279">
        <f>SUMIFS('COGS Break up'!E:E,'COGS Break up'!A:A,'MIS Working 1'!$D:$D,'COGS Break up'!C:C,'MIS Working 1'!$AA$1)</f>
        <v>0</v>
      </c>
      <c r="AB188" s="279">
        <f>SUMIFS('COGS Break up'!E:E,'COGS Break up'!A:A,'MIS Working 1'!$D:$D,'COGS Break up'!C:C,$AB$1)</f>
        <v>0</v>
      </c>
      <c r="AC188" s="279">
        <f>SUMIFS('COGS Break up'!E:E,'COGS Break up'!A:A,'MIS Working 1'!$D:$D,'COGS Break up'!C:C,$AC$1)</f>
        <v>0</v>
      </c>
      <c r="AD188" s="279">
        <f>SUMIFS('COGS Break up'!$E:$E,'COGS Break up'!$A:$A,'MIS Working 1'!$D188,'COGS Break up'!$D:$D,'MIS Working 1'!$AD$1)</f>
        <v>0</v>
      </c>
      <c r="AE188" s="279">
        <f>SUMIFS('COGS Break up'!$E:$E,'COGS Break up'!$A:$A,'MIS Working 1'!$D188,'COGS Break up'!$D:$D,'MIS Working 1'!$AE$1)</f>
        <v>0</v>
      </c>
      <c r="AF188" s="280">
        <f>'MIS Working 1'!$AG188+'MIS Working 1'!$AH188+'MIS Working 1'!$AM188+'MIS Working 1'!$AL188</f>
        <v>0</v>
      </c>
      <c r="AG188" s="279">
        <f>'MIS Working 1'!$L188*'MIS Working 1'!$Y188</f>
        <v>0</v>
      </c>
      <c r="AH188" s="279">
        <f>'MIS Working 1'!$L188*'MIS Working 1'!$Z188</f>
        <v>0</v>
      </c>
      <c r="AI188" s="279">
        <f t="shared" si="6"/>
        <v>0</v>
      </c>
      <c r="AJ188" s="279">
        <f t="shared" si="7"/>
        <v>0</v>
      </c>
      <c r="AK188" s="279">
        <f t="shared" si="8"/>
        <v>0</v>
      </c>
      <c r="AL188" s="279">
        <f>'MIS Working 1'!$AD188*'MIS Working 1'!$L188</f>
        <v>0</v>
      </c>
      <c r="AM188" s="279">
        <f>'MIS Working 1'!$L188*'MIS Working 1'!$AE188+'MIS Working 1'!$AL188</f>
        <v>0</v>
      </c>
    </row>
    <row r="189" spans="1:39" x14ac:dyDescent="0.3">
      <c r="A189" s="263" t="s">
        <v>479</v>
      </c>
      <c r="B189" s="264">
        <v>45978</v>
      </c>
      <c r="C189" s="265" t="s">
        <v>1762</v>
      </c>
      <c r="D189" s="265" t="s">
        <v>40</v>
      </c>
      <c r="E189" s="265" t="s">
        <v>41</v>
      </c>
      <c r="F189" s="265" t="s">
        <v>18</v>
      </c>
      <c r="G189" s="265" t="s">
        <v>34</v>
      </c>
      <c r="H189" s="265" t="s">
        <v>772</v>
      </c>
      <c r="I189" s="266">
        <v>2128</v>
      </c>
      <c r="J189" s="267">
        <v>314241.76</v>
      </c>
      <c r="K189" s="266">
        <v>2128</v>
      </c>
      <c r="L189" s="266">
        <v>2128</v>
      </c>
      <c r="M189" s="264">
        <v>45978</v>
      </c>
      <c r="N189" s="267">
        <v>346736.32</v>
      </c>
      <c r="O189" s="265" t="s">
        <v>21</v>
      </c>
      <c r="P189" s="265" t="s">
        <v>22</v>
      </c>
      <c r="Q189" s="265" t="s">
        <v>660</v>
      </c>
      <c r="R189" s="265" t="str">
        <f>VLOOKUP('MIS Working 1'!$G189,Master!$H$3:$I$8,2,0)</f>
        <v>Semi-Finished Goods</v>
      </c>
      <c r="S189" s="265" t="str">
        <f>VLOOKUP('MIS Working 1'!$H189,Master!B:C,2,0)</f>
        <v>SFG-GV5 Stator</v>
      </c>
      <c r="T189" s="265" t="str">
        <f>VLOOKUP('MIS Working 1'!$S189,Master!E:F,2,0)</f>
        <v>Sub Ass.-Mech Stator</v>
      </c>
      <c r="U189" s="268">
        <f>'MIS Working 1'!$N189-'MIS Working 1'!$AF189</f>
        <v>32494.560000000114</v>
      </c>
      <c r="V189" s="269">
        <f>'MIS Working 1'!$U189/'MIS Working 1'!$N189</f>
        <v>9.3715478090094839E-2</v>
      </c>
      <c r="W189" s="265">
        <f>'MIS Working 1'!$N189/'MIS Working 1'!$L189</f>
        <v>162.94</v>
      </c>
      <c r="X189" s="270">
        <f>SUM('MIS Working 1'!$Y189:$AE189)</f>
        <v>149.61999999999998</v>
      </c>
      <c r="Y189" s="270">
        <f>SUMIFS('COGS Break up'!$E:$E,'COGS Break up'!$A:$A,'MIS Working 1'!$D189,'COGS Break up'!$D:$D,'MIS Working 1'!$Y$1)</f>
        <v>144.21999999999997</v>
      </c>
      <c r="Z189" s="270">
        <f>SUMIFS('COGS Break up'!$E:$E,'COGS Break up'!$A:$A,'MIS Working 1'!$D189,'COGS Break up'!$D:$D,'MIS Working 1'!$Z$1)</f>
        <v>1.5</v>
      </c>
      <c r="AA189" s="270">
        <f>SUMIFS('COGS Break up'!E:E,'COGS Break up'!A:A,'MIS Working 1'!$D:$D,'COGS Break up'!C:C,'MIS Working 1'!$AA$1)</f>
        <v>0.05</v>
      </c>
      <c r="AB189" s="270">
        <f>SUMIFS('COGS Break up'!E:E,'COGS Break up'!A:A,'MIS Working 1'!$D:$D,'COGS Break up'!C:C,$AB$1)</f>
        <v>0.4</v>
      </c>
      <c r="AC189" s="270">
        <f>SUMIFS('COGS Break up'!E:E,'COGS Break up'!A:A,'MIS Working 1'!$D:$D,'COGS Break up'!C:C,$AC$1)</f>
        <v>1.5</v>
      </c>
      <c r="AD189" s="270">
        <f>SUMIFS('COGS Break up'!$E:$E,'COGS Break up'!$A:$A,'MIS Working 1'!$D189,'COGS Break up'!$D:$D,'MIS Working 1'!$AD$1)</f>
        <v>0</v>
      </c>
      <c r="AE189" s="270">
        <f>SUMIFS('COGS Break up'!$E:$E,'COGS Break up'!$A:$A,'MIS Working 1'!$D189,'COGS Break up'!$D:$D,'MIS Working 1'!$AE$1)</f>
        <v>1.95</v>
      </c>
      <c r="AF189" s="271">
        <f>'MIS Working 1'!$AG189+'MIS Working 1'!$AH189+'MIS Working 1'!$AM189+'MIS Working 1'!$AL189</f>
        <v>314241.75999999989</v>
      </c>
      <c r="AG189" s="270">
        <f>'MIS Working 1'!$L189*'MIS Working 1'!$Y189</f>
        <v>306900.15999999992</v>
      </c>
      <c r="AH189" s="270">
        <f>'MIS Working 1'!$L189*'MIS Working 1'!$Z189</f>
        <v>3192</v>
      </c>
      <c r="AI189" s="270">
        <f t="shared" si="6"/>
        <v>106.4</v>
      </c>
      <c r="AJ189" s="270">
        <f t="shared" si="7"/>
        <v>851.2</v>
      </c>
      <c r="AK189" s="270">
        <f t="shared" si="8"/>
        <v>3192</v>
      </c>
      <c r="AL189" s="270">
        <f>'MIS Working 1'!$AD189*'MIS Working 1'!$L189</f>
        <v>0</v>
      </c>
      <c r="AM189" s="270">
        <f>'MIS Working 1'!$L189*'MIS Working 1'!$AE189+'MIS Working 1'!$AL189</f>
        <v>4149.5999999999995</v>
      </c>
    </row>
    <row r="190" spans="1:39" x14ac:dyDescent="0.3">
      <c r="A190" s="272" t="s">
        <v>479</v>
      </c>
      <c r="B190" s="273">
        <v>45978</v>
      </c>
      <c r="C190" s="274" t="s">
        <v>1763</v>
      </c>
      <c r="D190" s="274" t="s">
        <v>1530</v>
      </c>
      <c r="E190" s="274" t="s">
        <v>1531</v>
      </c>
      <c r="F190" s="274" t="s">
        <v>18</v>
      </c>
      <c r="G190" s="274" t="s">
        <v>34</v>
      </c>
      <c r="H190" s="274" t="s">
        <v>772</v>
      </c>
      <c r="I190" s="275">
        <v>1120</v>
      </c>
      <c r="J190" s="276">
        <v>108673.60000000001</v>
      </c>
      <c r="K190" s="275">
        <v>1120</v>
      </c>
      <c r="L190" s="275">
        <v>1120</v>
      </c>
      <c r="M190" s="273">
        <v>45978</v>
      </c>
      <c r="N190" s="276">
        <v>142654.39999999999</v>
      </c>
      <c r="O190" s="274" t="s">
        <v>21</v>
      </c>
      <c r="P190" s="274" t="s">
        <v>22</v>
      </c>
      <c r="Q190" s="274" t="s">
        <v>660</v>
      </c>
      <c r="R190" s="274" t="str">
        <f>VLOOKUP('MIS Working 1'!$G190,Master!$H$3:$I$8,2,0)</f>
        <v>Semi-Finished Goods</v>
      </c>
      <c r="S190" s="274" t="str">
        <f>VLOOKUP('MIS Working 1'!$H190,Master!B:C,2,0)</f>
        <v>SFG-GV5 Stator</v>
      </c>
      <c r="T190" s="274" t="str">
        <f>VLOOKUP('MIS Working 1'!$S190,Master!E:F,2,0)</f>
        <v>Sub Ass.-Mech Stator</v>
      </c>
      <c r="U190" s="277">
        <f>'MIS Working 1'!$N190-'MIS Working 1'!$AF190</f>
        <v>33980.799999999974</v>
      </c>
      <c r="V190" s="278">
        <f>'MIS Working 1'!$U190/'MIS Working 1'!$N190</f>
        <v>0.23820365863233084</v>
      </c>
      <c r="W190" s="274">
        <f>'MIS Working 1'!$N190/'MIS Working 1'!$L190</f>
        <v>127.36999999999999</v>
      </c>
      <c r="X190" s="279">
        <f>SUM('MIS Working 1'!$Y190:$AE190)</f>
        <v>98.940000000000012</v>
      </c>
      <c r="Y190" s="279">
        <f>SUMIFS('COGS Break up'!$E:$E,'COGS Break up'!$A:$A,'MIS Working 1'!$D190,'COGS Break up'!$D:$D,'MIS Working 1'!$Y$1)</f>
        <v>93.490000000000009</v>
      </c>
      <c r="Z190" s="279">
        <f>SUMIFS('COGS Break up'!$E:$E,'COGS Break up'!$A:$A,'MIS Working 1'!$D190,'COGS Break up'!$D:$D,'MIS Working 1'!$Z$1)</f>
        <v>1.63</v>
      </c>
      <c r="AA190" s="279">
        <f>SUMIFS('COGS Break up'!E:E,'COGS Break up'!A:A,'MIS Working 1'!$D:$D,'COGS Break up'!C:C,'MIS Working 1'!$AA$1)</f>
        <v>0.04</v>
      </c>
      <c r="AB190" s="279">
        <f>SUMIFS('COGS Break up'!E:E,'COGS Break up'!A:A,'MIS Working 1'!$D:$D,'COGS Break up'!C:C,$AB$1)</f>
        <v>0.37</v>
      </c>
      <c r="AC190" s="279">
        <f>SUMIFS('COGS Break up'!E:E,'COGS Break up'!A:A,'MIS Working 1'!$D:$D,'COGS Break up'!C:C,$AC$1)</f>
        <v>1.5</v>
      </c>
      <c r="AD190" s="279">
        <f>SUMIFS('COGS Break up'!$E:$E,'COGS Break up'!$A:$A,'MIS Working 1'!$D190,'COGS Break up'!$D:$D,'MIS Working 1'!$AD$1)</f>
        <v>0</v>
      </c>
      <c r="AE190" s="279">
        <f>SUMIFS('COGS Break up'!$E:$E,'COGS Break up'!$A:$A,'MIS Working 1'!$D190,'COGS Break up'!$D:$D,'MIS Working 1'!$AE$1)</f>
        <v>1.9100000000000001</v>
      </c>
      <c r="AF190" s="280">
        <f>'MIS Working 1'!$AG190+'MIS Working 1'!$AH190+'MIS Working 1'!$AM190+'MIS Working 1'!$AL190</f>
        <v>108673.60000000002</v>
      </c>
      <c r="AG190" s="279">
        <f>'MIS Working 1'!$L190*'MIS Working 1'!$Y190</f>
        <v>104708.80000000002</v>
      </c>
      <c r="AH190" s="279">
        <f>'MIS Working 1'!$L190*'MIS Working 1'!$Z190</f>
        <v>1825.6</v>
      </c>
      <c r="AI190" s="279">
        <f t="shared" si="6"/>
        <v>44.800000000000004</v>
      </c>
      <c r="AJ190" s="279">
        <f t="shared" si="7"/>
        <v>414.4</v>
      </c>
      <c r="AK190" s="279">
        <f t="shared" si="8"/>
        <v>1680</v>
      </c>
      <c r="AL190" s="279">
        <f>'MIS Working 1'!$AD190*'MIS Working 1'!$L190</f>
        <v>0</v>
      </c>
      <c r="AM190" s="279">
        <f>'MIS Working 1'!$L190*'MIS Working 1'!$AE190+'MIS Working 1'!$AL190</f>
        <v>2139.2000000000003</v>
      </c>
    </row>
    <row r="191" spans="1:39" x14ac:dyDescent="0.3">
      <c r="A191" s="263" t="s">
        <v>479</v>
      </c>
      <c r="B191" s="264">
        <v>45978</v>
      </c>
      <c r="C191" s="265" t="s">
        <v>1765</v>
      </c>
      <c r="D191" s="265" t="s">
        <v>639</v>
      </c>
      <c r="E191" s="265" t="s">
        <v>640</v>
      </c>
      <c r="F191" s="265" t="s">
        <v>18</v>
      </c>
      <c r="G191" s="265" t="s">
        <v>19</v>
      </c>
      <c r="H191" s="265" t="s">
        <v>27</v>
      </c>
      <c r="I191" s="266">
        <v>60</v>
      </c>
      <c r="J191" s="267">
        <v>38701.800000000003</v>
      </c>
      <c r="K191" s="266">
        <v>60</v>
      </c>
      <c r="L191" s="266">
        <v>60</v>
      </c>
      <c r="M191" s="264">
        <v>45978</v>
      </c>
      <c r="N191" s="267">
        <v>43713.599999999999</v>
      </c>
      <c r="O191" s="265" t="s">
        <v>21</v>
      </c>
      <c r="P191" s="265" t="s">
        <v>22</v>
      </c>
      <c r="Q191" s="265" t="s">
        <v>660</v>
      </c>
      <c r="R191" s="265" t="str">
        <f>VLOOKUP('MIS Working 1'!$G191,Master!$H$3:$I$8,2,0)</f>
        <v>Finished Goods</v>
      </c>
      <c r="S191" s="265" t="str">
        <f>VLOOKUP('MIS Working 1'!$H191,Master!B:C,2,0)</f>
        <v>FG-PCB-CF</v>
      </c>
      <c r="T191" s="265" t="str">
        <f>VLOOKUP('MIS Working 1'!$S191,Master!E:F,2,0)</f>
        <v>FG-PCB-CF</v>
      </c>
      <c r="U191" s="268">
        <f>'MIS Working 1'!$N191-'MIS Working 1'!$AF191</f>
        <v>4986.0000000000146</v>
      </c>
      <c r="V191" s="269">
        <f>'MIS Working 1'!$U191/'MIS Working 1'!$N191</f>
        <v>0.11406061271549392</v>
      </c>
      <c r="W191" s="265">
        <f>'MIS Working 1'!$N191/'MIS Working 1'!$L191</f>
        <v>728.56</v>
      </c>
      <c r="X191" s="270">
        <f>SUM('MIS Working 1'!$Y191:$AE191)</f>
        <v>677.50999999999965</v>
      </c>
      <c r="Y191" s="270">
        <f>SUMIFS('COGS Break up'!$E:$E,'COGS Break up'!$A:$A,'MIS Working 1'!$D191,'COGS Break up'!$D:$D,'MIS Working 1'!$Y$1)</f>
        <v>582.23999999999967</v>
      </c>
      <c r="Z191" s="270">
        <f>SUMIFS('COGS Break up'!$E:$E,'COGS Break up'!$A:$A,'MIS Working 1'!$D191,'COGS Break up'!$D:$D,'MIS Working 1'!$Z$1)</f>
        <v>29.88</v>
      </c>
      <c r="AA191" s="270">
        <f>SUMIFS('COGS Break up'!E:E,'COGS Break up'!A:A,'MIS Working 1'!$D:$D,'COGS Break up'!C:C,'MIS Working 1'!$AA$1)</f>
        <v>2.4500000000000002</v>
      </c>
      <c r="AB191" s="270">
        <f>SUMIFS('COGS Break up'!E:E,'COGS Break up'!A:A,'MIS Working 1'!$D:$D,'COGS Break up'!C:C,$AB$1)</f>
        <v>21.72</v>
      </c>
      <c r="AC191" s="270">
        <f>SUMIFS('COGS Break up'!E:E,'COGS Break up'!A:A,'MIS Working 1'!$D:$D,'COGS Break up'!C:C,$AC$1)</f>
        <v>8.31</v>
      </c>
      <c r="AD191" s="270">
        <f>SUMIFS('COGS Break up'!$E:$E,'COGS Break up'!$A:$A,'MIS Working 1'!$D191,'COGS Break up'!$D:$D,'MIS Working 1'!$AD$1)</f>
        <v>0.43</v>
      </c>
      <c r="AE191" s="270">
        <f>SUMIFS('COGS Break up'!$E:$E,'COGS Break up'!$A:$A,'MIS Working 1'!$D191,'COGS Break up'!$D:$D,'MIS Working 1'!$AE$1)</f>
        <v>32.480000000000004</v>
      </c>
      <c r="AF191" s="271">
        <f>'MIS Working 1'!$AG191+'MIS Working 1'!$AH191+'MIS Working 1'!$AM191+'MIS Working 1'!$AL191</f>
        <v>38727.599999999984</v>
      </c>
      <c r="AG191" s="270">
        <f>'MIS Working 1'!$L191*'MIS Working 1'!$Y191</f>
        <v>34934.39999999998</v>
      </c>
      <c r="AH191" s="270">
        <f>'MIS Working 1'!$L191*'MIS Working 1'!$Z191</f>
        <v>1792.8</v>
      </c>
      <c r="AI191" s="270">
        <f t="shared" si="6"/>
        <v>147</v>
      </c>
      <c r="AJ191" s="270">
        <f t="shared" si="7"/>
        <v>1303.1999999999998</v>
      </c>
      <c r="AK191" s="270">
        <f t="shared" si="8"/>
        <v>498.6</v>
      </c>
      <c r="AL191" s="270">
        <f>'MIS Working 1'!$AD191*'MIS Working 1'!$L191</f>
        <v>25.8</v>
      </c>
      <c r="AM191" s="270">
        <f>'MIS Working 1'!$L191*'MIS Working 1'!$AE191+'MIS Working 1'!$AL191</f>
        <v>1974.6000000000001</v>
      </c>
    </row>
    <row r="192" spans="1:39" x14ac:dyDescent="0.3">
      <c r="A192" s="272" t="s">
        <v>479</v>
      </c>
      <c r="B192" s="273">
        <v>45978</v>
      </c>
      <c r="C192" s="274" t="s">
        <v>1764</v>
      </c>
      <c r="D192" s="274" t="s">
        <v>639</v>
      </c>
      <c r="E192" s="274" t="s">
        <v>640</v>
      </c>
      <c r="F192" s="274" t="s">
        <v>18</v>
      </c>
      <c r="G192" s="274" t="s">
        <v>19</v>
      </c>
      <c r="H192" s="274" t="s">
        <v>27</v>
      </c>
      <c r="I192" s="275">
        <v>150</v>
      </c>
      <c r="J192" s="276">
        <v>96754.5</v>
      </c>
      <c r="K192" s="275">
        <v>150</v>
      </c>
      <c r="L192" s="275">
        <v>150</v>
      </c>
      <c r="M192" s="273">
        <v>45978</v>
      </c>
      <c r="N192" s="276">
        <v>109284</v>
      </c>
      <c r="O192" s="274" t="s">
        <v>21</v>
      </c>
      <c r="P192" s="274" t="s">
        <v>22</v>
      </c>
      <c r="Q192" s="274" t="s">
        <v>660</v>
      </c>
      <c r="R192" s="274" t="str">
        <f>VLOOKUP('MIS Working 1'!$G192,Master!$H$3:$I$8,2,0)</f>
        <v>Finished Goods</v>
      </c>
      <c r="S192" s="274" t="str">
        <f>VLOOKUP('MIS Working 1'!$H192,Master!B:C,2,0)</f>
        <v>FG-PCB-CF</v>
      </c>
      <c r="T192" s="274" t="str">
        <f>VLOOKUP('MIS Working 1'!$S192,Master!E:F,2,0)</f>
        <v>FG-PCB-CF</v>
      </c>
      <c r="U192" s="277">
        <f>'MIS Working 1'!$N192-'MIS Working 1'!$AF192</f>
        <v>12465.000000000044</v>
      </c>
      <c r="V192" s="278">
        <f>'MIS Working 1'!$U192/'MIS Working 1'!$N192</f>
        <v>0.11406061271549398</v>
      </c>
      <c r="W192" s="274">
        <f>'MIS Working 1'!$N192/'MIS Working 1'!$L192</f>
        <v>728.56</v>
      </c>
      <c r="X192" s="279">
        <f>SUM('MIS Working 1'!$Y192:$AE192)</f>
        <v>677.50999999999965</v>
      </c>
      <c r="Y192" s="279">
        <f>SUMIFS('COGS Break up'!$E:$E,'COGS Break up'!$A:$A,'MIS Working 1'!$D192,'COGS Break up'!$D:$D,'MIS Working 1'!$Y$1)</f>
        <v>582.23999999999967</v>
      </c>
      <c r="Z192" s="279">
        <f>SUMIFS('COGS Break up'!$E:$E,'COGS Break up'!$A:$A,'MIS Working 1'!$D192,'COGS Break up'!$D:$D,'MIS Working 1'!$Z$1)</f>
        <v>29.88</v>
      </c>
      <c r="AA192" s="279">
        <f>SUMIFS('COGS Break up'!E:E,'COGS Break up'!A:A,'MIS Working 1'!$D:$D,'COGS Break up'!C:C,'MIS Working 1'!$AA$1)</f>
        <v>2.4500000000000002</v>
      </c>
      <c r="AB192" s="279">
        <f>SUMIFS('COGS Break up'!E:E,'COGS Break up'!A:A,'MIS Working 1'!$D:$D,'COGS Break up'!C:C,$AB$1)</f>
        <v>21.72</v>
      </c>
      <c r="AC192" s="279">
        <f>SUMIFS('COGS Break up'!E:E,'COGS Break up'!A:A,'MIS Working 1'!$D:$D,'COGS Break up'!C:C,$AC$1)</f>
        <v>8.31</v>
      </c>
      <c r="AD192" s="279">
        <f>SUMIFS('COGS Break up'!$E:$E,'COGS Break up'!$A:$A,'MIS Working 1'!$D192,'COGS Break up'!$D:$D,'MIS Working 1'!$AD$1)</f>
        <v>0.43</v>
      </c>
      <c r="AE192" s="279">
        <f>SUMIFS('COGS Break up'!$E:$E,'COGS Break up'!$A:$A,'MIS Working 1'!$D192,'COGS Break up'!$D:$D,'MIS Working 1'!$AE$1)</f>
        <v>32.480000000000004</v>
      </c>
      <c r="AF192" s="280">
        <f>'MIS Working 1'!$AG192+'MIS Working 1'!$AH192+'MIS Working 1'!$AM192+'MIS Working 1'!$AL192</f>
        <v>96818.999999999956</v>
      </c>
      <c r="AG192" s="279">
        <f>'MIS Working 1'!$L192*'MIS Working 1'!$Y192</f>
        <v>87335.999999999956</v>
      </c>
      <c r="AH192" s="279">
        <f>'MIS Working 1'!$L192*'MIS Working 1'!$Z192</f>
        <v>4482</v>
      </c>
      <c r="AI192" s="279">
        <f t="shared" si="6"/>
        <v>367.5</v>
      </c>
      <c r="AJ192" s="279">
        <f t="shared" si="7"/>
        <v>3258</v>
      </c>
      <c r="AK192" s="279">
        <f t="shared" si="8"/>
        <v>1246.5</v>
      </c>
      <c r="AL192" s="279">
        <f>'MIS Working 1'!$AD192*'MIS Working 1'!$L192</f>
        <v>64.5</v>
      </c>
      <c r="AM192" s="279">
        <f>'MIS Working 1'!$L192*'MIS Working 1'!$AE192+'MIS Working 1'!$AL192</f>
        <v>4936.5000000000009</v>
      </c>
    </row>
    <row r="193" spans="1:39" x14ac:dyDescent="0.3">
      <c r="A193" s="263" t="s">
        <v>479</v>
      </c>
      <c r="B193" s="264">
        <v>45978</v>
      </c>
      <c r="C193" s="265" t="s">
        <v>1766</v>
      </c>
      <c r="D193" s="265" t="s">
        <v>23</v>
      </c>
      <c r="E193" s="265" t="s">
        <v>24</v>
      </c>
      <c r="F193" s="265" t="s">
        <v>18</v>
      </c>
      <c r="G193" s="265" t="s">
        <v>19</v>
      </c>
      <c r="H193" s="265" t="s">
        <v>27</v>
      </c>
      <c r="I193" s="266">
        <v>945</v>
      </c>
      <c r="J193" s="267">
        <v>398232.45</v>
      </c>
      <c r="K193" s="266">
        <v>945</v>
      </c>
      <c r="L193" s="266">
        <v>945</v>
      </c>
      <c r="M193" s="264">
        <v>45978</v>
      </c>
      <c r="N193" s="267">
        <v>456586.2</v>
      </c>
      <c r="O193" s="265" t="s">
        <v>21</v>
      </c>
      <c r="P193" s="265" t="s">
        <v>22</v>
      </c>
      <c r="Q193" s="265" t="s">
        <v>660</v>
      </c>
      <c r="R193" s="265" t="str">
        <f>VLOOKUP('MIS Working 1'!$G193,Master!$H$3:$I$8,2,0)</f>
        <v>Finished Goods</v>
      </c>
      <c r="S193" s="265" t="str">
        <f>VLOOKUP('MIS Working 1'!$H193,Master!B:C,2,0)</f>
        <v>FG-PCB-CF</v>
      </c>
      <c r="T193" s="265" t="str">
        <f>VLOOKUP('MIS Working 1'!$S193,Master!E:F,2,0)</f>
        <v>FG-PCB-CF</v>
      </c>
      <c r="U193" s="268">
        <f>'MIS Working 1'!$N193-'MIS Working 1'!$AF193</f>
        <v>58108.050000000163</v>
      </c>
      <c r="V193" s="269">
        <f>'MIS Working 1'!$U193/'MIS Working 1'!$N193</f>
        <v>0.12726632999420517</v>
      </c>
      <c r="W193" s="265">
        <f>'MIS Working 1'!$N193/'MIS Working 1'!$L193</f>
        <v>483.16</v>
      </c>
      <c r="X193" s="270">
        <f>SUM('MIS Working 1'!$Y193:$AE193)</f>
        <v>447.50999999999988</v>
      </c>
      <c r="Y193" s="270">
        <f>SUMIFS('COGS Break up'!$E:$E,'COGS Break up'!$A:$A,'MIS Working 1'!$D193,'COGS Break up'!$D:$D,'MIS Working 1'!$Y$1)</f>
        <v>373.04999999999984</v>
      </c>
      <c r="Z193" s="270">
        <f>SUMIFS('COGS Break up'!$E:$E,'COGS Break up'!$A:$A,'MIS Working 1'!$D193,'COGS Break up'!$D:$D,'MIS Working 1'!$Z$1)</f>
        <v>22</v>
      </c>
      <c r="AA193" s="270">
        <f>SUMIFS('COGS Break up'!E:E,'COGS Break up'!A:A,'MIS Working 1'!$D:$D,'COGS Break up'!C:C,'MIS Working 1'!$AA$1)</f>
        <v>1.8</v>
      </c>
      <c r="AB193" s="270">
        <f>SUMIFS('COGS Break up'!E:E,'COGS Break up'!A:A,'MIS Working 1'!$D:$D,'COGS Break up'!C:C,$AB$1)</f>
        <v>15.99</v>
      </c>
      <c r="AC193" s="270">
        <f>SUMIFS('COGS Break up'!E:E,'COGS Break up'!A:A,'MIS Working 1'!$D:$D,'COGS Break up'!C:C,$AC$1)</f>
        <v>8.31</v>
      </c>
      <c r="AD193" s="270">
        <f>SUMIFS('COGS Break up'!$E:$E,'COGS Break up'!$A:$A,'MIS Working 1'!$D193,'COGS Break up'!$D:$D,'MIS Working 1'!$AD$1)</f>
        <v>0.26</v>
      </c>
      <c r="AE193" s="270">
        <f>SUMIFS('COGS Break up'!$E:$E,'COGS Break up'!$A:$A,'MIS Working 1'!$D193,'COGS Break up'!$D:$D,'MIS Working 1'!$AE$1)</f>
        <v>26.1</v>
      </c>
      <c r="AF193" s="271">
        <f>'MIS Working 1'!$AG193+'MIS Working 1'!$AH193+'MIS Working 1'!$AM193+'MIS Working 1'!$AL193</f>
        <v>398478.14999999985</v>
      </c>
      <c r="AG193" s="270">
        <f>'MIS Working 1'!$L193*'MIS Working 1'!$Y193</f>
        <v>352532.24999999983</v>
      </c>
      <c r="AH193" s="270">
        <f>'MIS Working 1'!$L193*'MIS Working 1'!$Z193</f>
        <v>20790</v>
      </c>
      <c r="AI193" s="270">
        <f t="shared" si="6"/>
        <v>1701</v>
      </c>
      <c r="AJ193" s="270">
        <f t="shared" si="7"/>
        <v>15110.550000000001</v>
      </c>
      <c r="AK193" s="270">
        <f t="shared" si="8"/>
        <v>7852.9500000000007</v>
      </c>
      <c r="AL193" s="270">
        <f>'MIS Working 1'!$AD193*'MIS Working 1'!$L193</f>
        <v>245.70000000000002</v>
      </c>
      <c r="AM193" s="270">
        <f>'MIS Working 1'!$L193*'MIS Working 1'!$AE193+'MIS Working 1'!$AL193</f>
        <v>24910.2</v>
      </c>
    </row>
    <row r="194" spans="1:39" x14ac:dyDescent="0.3">
      <c r="A194" s="272" t="s">
        <v>479</v>
      </c>
      <c r="B194" s="273">
        <v>45978</v>
      </c>
      <c r="C194" s="274" t="s">
        <v>1765</v>
      </c>
      <c r="D194" s="274" t="s">
        <v>23</v>
      </c>
      <c r="E194" s="274" t="s">
        <v>24</v>
      </c>
      <c r="F194" s="274" t="s">
        <v>18</v>
      </c>
      <c r="G194" s="274" t="s">
        <v>19</v>
      </c>
      <c r="H194" s="274" t="s">
        <v>27</v>
      </c>
      <c r="I194" s="275">
        <v>840</v>
      </c>
      <c r="J194" s="276">
        <v>353984.4</v>
      </c>
      <c r="K194" s="275">
        <v>840</v>
      </c>
      <c r="L194" s="275">
        <v>840</v>
      </c>
      <c r="M194" s="273">
        <v>45978</v>
      </c>
      <c r="N194" s="276">
        <v>405854.4</v>
      </c>
      <c r="O194" s="274" t="s">
        <v>21</v>
      </c>
      <c r="P194" s="274" t="s">
        <v>22</v>
      </c>
      <c r="Q194" s="274" t="s">
        <v>660</v>
      </c>
      <c r="R194" s="274" t="str">
        <f>VLOOKUP('MIS Working 1'!$G194,Master!$H$3:$I$8,2,0)</f>
        <v>Finished Goods</v>
      </c>
      <c r="S194" s="274" t="str">
        <f>VLOOKUP('MIS Working 1'!$H194,Master!B:C,2,0)</f>
        <v>FG-PCB-CF</v>
      </c>
      <c r="T194" s="274" t="str">
        <f>VLOOKUP('MIS Working 1'!$S194,Master!E:F,2,0)</f>
        <v>FG-PCB-CF</v>
      </c>
      <c r="U194" s="277">
        <f>'MIS Working 1'!$N194-'MIS Working 1'!$AF194</f>
        <v>51651.600000000093</v>
      </c>
      <c r="V194" s="278">
        <f>'MIS Working 1'!$U194/'MIS Working 1'!$N194</f>
        <v>0.12726632999420504</v>
      </c>
      <c r="W194" s="274">
        <f>'MIS Working 1'!$N194/'MIS Working 1'!$L194</f>
        <v>483.16</v>
      </c>
      <c r="X194" s="279">
        <f>SUM('MIS Working 1'!$Y194:$AE194)</f>
        <v>447.50999999999988</v>
      </c>
      <c r="Y194" s="279">
        <f>SUMIFS('COGS Break up'!$E:$E,'COGS Break up'!$A:$A,'MIS Working 1'!$D194,'COGS Break up'!$D:$D,'MIS Working 1'!$Y$1)</f>
        <v>373.04999999999984</v>
      </c>
      <c r="Z194" s="279">
        <f>SUMIFS('COGS Break up'!$E:$E,'COGS Break up'!$A:$A,'MIS Working 1'!$D194,'COGS Break up'!$D:$D,'MIS Working 1'!$Z$1)</f>
        <v>22</v>
      </c>
      <c r="AA194" s="279">
        <f>SUMIFS('COGS Break up'!E:E,'COGS Break up'!A:A,'MIS Working 1'!$D:$D,'COGS Break up'!C:C,'MIS Working 1'!$AA$1)</f>
        <v>1.8</v>
      </c>
      <c r="AB194" s="279">
        <f>SUMIFS('COGS Break up'!E:E,'COGS Break up'!A:A,'MIS Working 1'!$D:$D,'COGS Break up'!C:C,$AB$1)</f>
        <v>15.99</v>
      </c>
      <c r="AC194" s="279">
        <f>SUMIFS('COGS Break up'!E:E,'COGS Break up'!A:A,'MIS Working 1'!$D:$D,'COGS Break up'!C:C,$AC$1)</f>
        <v>8.31</v>
      </c>
      <c r="AD194" s="279">
        <f>SUMIFS('COGS Break up'!$E:$E,'COGS Break up'!$A:$A,'MIS Working 1'!$D194,'COGS Break up'!$D:$D,'MIS Working 1'!$AD$1)</f>
        <v>0.26</v>
      </c>
      <c r="AE194" s="279">
        <f>SUMIFS('COGS Break up'!$E:$E,'COGS Break up'!$A:$A,'MIS Working 1'!$D194,'COGS Break up'!$D:$D,'MIS Working 1'!$AE$1)</f>
        <v>26.1</v>
      </c>
      <c r="AF194" s="280">
        <f>'MIS Working 1'!$AG194+'MIS Working 1'!$AH194+'MIS Working 1'!$AM194+'MIS Working 1'!$AL194</f>
        <v>354202.79999999993</v>
      </c>
      <c r="AG194" s="279">
        <f>'MIS Working 1'!$L194*'MIS Working 1'!$Y194</f>
        <v>313361.99999999988</v>
      </c>
      <c r="AH194" s="279">
        <f>'MIS Working 1'!$L194*'MIS Working 1'!$Z194</f>
        <v>18480</v>
      </c>
      <c r="AI194" s="279">
        <f t="shared" ref="AI194:AI257" si="9">AA194*$L194</f>
        <v>1512</v>
      </c>
      <c r="AJ194" s="279">
        <f t="shared" ref="AJ194:AJ257" si="10">AB194*$L194</f>
        <v>13431.6</v>
      </c>
      <c r="AK194" s="279">
        <f t="shared" ref="AK194:AK257" si="11">AC194*$L194</f>
        <v>6980.4000000000005</v>
      </c>
      <c r="AL194" s="279">
        <f>'MIS Working 1'!$AD194*'MIS Working 1'!$L194</f>
        <v>218.4</v>
      </c>
      <c r="AM194" s="279">
        <f>'MIS Working 1'!$L194*'MIS Working 1'!$AE194+'MIS Working 1'!$AL194</f>
        <v>22142.400000000001</v>
      </c>
    </row>
    <row r="195" spans="1:39" x14ac:dyDescent="0.3">
      <c r="A195" s="263" t="s">
        <v>479</v>
      </c>
      <c r="B195" s="264">
        <v>45978</v>
      </c>
      <c r="C195" s="265" t="s">
        <v>1767</v>
      </c>
      <c r="D195" s="265" t="s">
        <v>1184</v>
      </c>
      <c r="E195" s="265" t="s">
        <v>1185</v>
      </c>
      <c r="F195" s="265" t="s">
        <v>18</v>
      </c>
      <c r="G195" s="265" t="s">
        <v>19</v>
      </c>
      <c r="H195" s="265" t="s">
        <v>27</v>
      </c>
      <c r="I195" s="266">
        <v>585</v>
      </c>
      <c r="J195" s="267">
        <v>246507.3</v>
      </c>
      <c r="K195" s="266">
        <v>585</v>
      </c>
      <c r="L195" s="266">
        <v>585</v>
      </c>
      <c r="M195" s="264">
        <v>45978</v>
      </c>
      <c r="N195" s="267">
        <v>282648.59999999998</v>
      </c>
      <c r="O195" s="265" t="s">
        <v>21</v>
      </c>
      <c r="P195" s="265" t="s">
        <v>22</v>
      </c>
      <c r="Q195" s="265" t="s">
        <v>660</v>
      </c>
      <c r="R195" s="265" t="str">
        <f>VLOOKUP('MIS Working 1'!$G195,Master!$H$3:$I$8,2,0)</f>
        <v>Finished Goods</v>
      </c>
      <c r="S195" s="265" t="str">
        <f>VLOOKUP('MIS Working 1'!$H195,Master!B:C,2,0)</f>
        <v>FG-PCB-CF</v>
      </c>
      <c r="T195" s="265" t="str">
        <f>VLOOKUP('MIS Working 1'!$S195,Master!E:F,2,0)</f>
        <v>FG-PCB-CF</v>
      </c>
      <c r="U195" s="268">
        <f>'MIS Working 1'!$N195-'MIS Working 1'!$AF195</f>
        <v>35989.20000000007</v>
      </c>
      <c r="V195" s="269">
        <f>'MIS Working 1'!$U195/'MIS Working 1'!$N195</f>
        <v>0.12732842122692301</v>
      </c>
      <c r="W195" s="265">
        <f>'MIS Working 1'!$N195/'MIS Working 1'!$L195</f>
        <v>483.15999999999997</v>
      </c>
      <c r="X195" s="270">
        <f>SUM('MIS Working 1'!$Y195:$AE195)</f>
        <v>447.47999999999985</v>
      </c>
      <c r="Y195" s="270">
        <f>SUMIFS('COGS Break up'!$E:$E,'COGS Break up'!$A:$A,'MIS Working 1'!$D195,'COGS Break up'!$D:$D,'MIS Working 1'!$Y$1)</f>
        <v>373.01999999999981</v>
      </c>
      <c r="Z195" s="270">
        <f>SUMIFS('COGS Break up'!$E:$E,'COGS Break up'!$A:$A,'MIS Working 1'!$D195,'COGS Break up'!$D:$D,'MIS Working 1'!$Z$1)</f>
        <v>22</v>
      </c>
      <c r="AA195" s="270">
        <f>SUMIFS('COGS Break up'!E:E,'COGS Break up'!A:A,'MIS Working 1'!$D:$D,'COGS Break up'!C:C,'MIS Working 1'!$AA$1)</f>
        <v>1.8</v>
      </c>
      <c r="AB195" s="270">
        <f>SUMIFS('COGS Break up'!E:E,'COGS Break up'!A:A,'MIS Working 1'!$D:$D,'COGS Break up'!C:C,$AB$1)</f>
        <v>15.99</v>
      </c>
      <c r="AC195" s="270">
        <f>SUMIFS('COGS Break up'!E:E,'COGS Break up'!A:A,'MIS Working 1'!$D:$D,'COGS Break up'!C:C,$AC$1)</f>
        <v>8.31</v>
      </c>
      <c r="AD195" s="270">
        <f>SUMIFS('COGS Break up'!$E:$E,'COGS Break up'!$A:$A,'MIS Working 1'!$D195,'COGS Break up'!$D:$D,'MIS Working 1'!$AD$1)</f>
        <v>0.26</v>
      </c>
      <c r="AE195" s="270">
        <f>SUMIFS('COGS Break up'!$E:$E,'COGS Break up'!$A:$A,'MIS Working 1'!$D195,'COGS Break up'!$D:$D,'MIS Working 1'!$AE$1)</f>
        <v>26.1</v>
      </c>
      <c r="AF195" s="271">
        <f>'MIS Working 1'!$AG195+'MIS Working 1'!$AH195+'MIS Working 1'!$AM195+'MIS Working 1'!$AL195</f>
        <v>246659.39999999991</v>
      </c>
      <c r="AG195" s="270">
        <f>'MIS Working 1'!$L195*'MIS Working 1'!$Y195</f>
        <v>218216.6999999999</v>
      </c>
      <c r="AH195" s="270">
        <f>'MIS Working 1'!$L195*'MIS Working 1'!$Z195</f>
        <v>12870</v>
      </c>
      <c r="AI195" s="270">
        <f t="shared" si="9"/>
        <v>1053</v>
      </c>
      <c r="AJ195" s="270">
        <f t="shared" si="10"/>
        <v>9354.15</v>
      </c>
      <c r="AK195" s="270">
        <f t="shared" si="11"/>
        <v>4861.3500000000004</v>
      </c>
      <c r="AL195" s="270">
        <f>'MIS Working 1'!$AD195*'MIS Working 1'!$L195</f>
        <v>152.1</v>
      </c>
      <c r="AM195" s="270">
        <f>'MIS Working 1'!$L195*'MIS Working 1'!$AE195+'MIS Working 1'!$AL195</f>
        <v>15420.6</v>
      </c>
    </row>
    <row r="196" spans="1:39" x14ac:dyDescent="0.3">
      <c r="A196" s="272" t="s">
        <v>479</v>
      </c>
      <c r="B196" s="273">
        <v>45978</v>
      </c>
      <c r="C196" s="274" t="s">
        <v>1766</v>
      </c>
      <c r="D196" s="274" t="s">
        <v>1184</v>
      </c>
      <c r="E196" s="274" t="s">
        <v>1185</v>
      </c>
      <c r="F196" s="274" t="s">
        <v>18</v>
      </c>
      <c r="G196" s="274" t="s">
        <v>19</v>
      </c>
      <c r="H196" s="274" t="s">
        <v>27</v>
      </c>
      <c r="I196" s="275">
        <v>500</v>
      </c>
      <c r="J196" s="276">
        <v>210690</v>
      </c>
      <c r="K196" s="275">
        <v>500</v>
      </c>
      <c r="L196" s="275">
        <v>500</v>
      </c>
      <c r="M196" s="273">
        <v>45978</v>
      </c>
      <c r="N196" s="276">
        <v>241580</v>
      </c>
      <c r="O196" s="274" t="s">
        <v>21</v>
      </c>
      <c r="P196" s="274" t="s">
        <v>22</v>
      </c>
      <c r="Q196" s="274" t="s">
        <v>660</v>
      </c>
      <c r="R196" s="274" t="str">
        <f>VLOOKUP('MIS Working 1'!$G196,Master!$H$3:$I$8,2,0)</f>
        <v>Finished Goods</v>
      </c>
      <c r="S196" s="274" t="str">
        <f>VLOOKUP('MIS Working 1'!$H196,Master!B:C,2,0)</f>
        <v>FG-PCB-CF</v>
      </c>
      <c r="T196" s="274" t="str">
        <f>VLOOKUP('MIS Working 1'!$S196,Master!E:F,2,0)</f>
        <v>FG-PCB-CF</v>
      </c>
      <c r="U196" s="277">
        <f>'MIS Working 1'!$N196-'MIS Working 1'!$AF196</f>
        <v>30760.000000000087</v>
      </c>
      <c r="V196" s="278">
        <f>'MIS Working 1'!$U196/'MIS Working 1'!$N196</f>
        <v>0.12732842122692312</v>
      </c>
      <c r="W196" s="274">
        <f>'MIS Working 1'!$N196/'MIS Working 1'!$L196</f>
        <v>483.16</v>
      </c>
      <c r="X196" s="279">
        <f>SUM('MIS Working 1'!$Y196:$AE196)</f>
        <v>447.47999999999985</v>
      </c>
      <c r="Y196" s="279">
        <f>SUMIFS('COGS Break up'!$E:$E,'COGS Break up'!$A:$A,'MIS Working 1'!$D196,'COGS Break up'!$D:$D,'MIS Working 1'!$Y$1)</f>
        <v>373.01999999999981</v>
      </c>
      <c r="Z196" s="279">
        <f>SUMIFS('COGS Break up'!$E:$E,'COGS Break up'!$A:$A,'MIS Working 1'!$D196,'COGS Break up'!$D:$D,'MIS Working 1'!$Z$1)</f>
        <v>22</v>
      </c>
      <c r="AA196" s="279">
        <f>SUMIFS('COGS Break up'!E:E,'COGS Break up'!A:A,'MIS Working 1'!$D:$D,'COGS Break up'!C:C,'MIS Working 1'!$AA$1)</f>
        <v>1.8</v>
      </c>
      <c r="AB196" s="279">
        <f>SUMIFS('COGS Break up'!E:E,'COGS Break up'!A:A,'MIS Working 1'!$D:$D,'COGS Break up'!C:C,$AB$1)</f>
        <v>15.99</v>
      </c>
      <c r="AC196" s="279">
        <f>SUMIFS('COGS Break up'!E:E,'COGS Break up'!A:A,'MIS Working 1'!$D:$D,'COGS Break up'!C:C,$AC$1)</f>
        <v>8.31</v>
      </c>
      <c r="AD196" s="279">
        <f>SUMIFS('COGS Break up'!$E:$E,'COGS Break up'!$A:$A,'MIS Working 1'!$D196,'COGS Break up'!$D:$D,'MIS Working 1'!$AD$1)</f>
        <v>0.26</v>
      </c>
      <c r="AE196" s="279">
        <f>SUMIFS('COGS Break up'!$E:$E,'COGS Break up'!$A:$A,'MIS Working 1'!$D196,'COGS Break up'!$D:$D,'MIS Working 1'!$AE$1)</f>
        <v>26.1</v>
      </c>
      <c r="AF196" s="280">
        <f>'MIS Working 1'!$AG196+'MIS Working 1'!$AH196+'MIS Working 1'!$AM196+'MIS Working 1'!$AL196</f>
        <v>210819.99999999991</v>
      </c>
      <c r="AG196" s="279">
        <f>'MIS Working 1'!$L196*'MIS Working 1'!$Y196</f>
        <v>186509.99999999991</v>
      </c>
      <c r="AH196" s="279">
        <f>'MIS Working 1'!$L196*'MIS Working 1'!$Z196</f>
        <v>11000</v>
      </c>
      <c r="AI196" s="279">
        <f t="shared" si="9"/>
        <v>900</v>
      </c>
      <c r="AJ196" s="279">
        <f t="shared" si="10"/>
        <v>7995</v>
      </c>
      <c r="AK196" s="279">
        <f t="shared" si="11"/>
        <v>4155</v>
      </c>
      <c r="AL196" s="279">
        <f>'MIS Working 1'!$AD196*'MIS Working 1'!$L196</f>
        <v>130</v>
      </c>
      <c r="AM196" s="279">
        <f>'MIS Working 1'!$L196*'MIS Working 1'!$AE196+'MIS Working 1'!$AL196</f>
        <v>13180</v>
      </c>
    </row>
    <row r="197" spans="1:39" x14ac:dyDescent="0.3">
      <c r="A197" s="263" t="s">
        <v>479</v>
      </c>
      <c r="B197" s="264">
        <v>45978</v>
      </c>
      <c r="C197" s="265" t="s">
        <v>1764</v>
      </c>
      <c r="D197" s="265" t="s">
        <v>1179</v>
      </c>
      <c r="E197" s="265" t="s">
        <v>1180</v>
      </c>
      <c r="F197" s="265" t="s">
        <v>18</v>
      </c>
      <c r="G197" s="265" t="s">
        <v>19</v>
      </c>
      <c r="H197" s="265" t="s">
        <v>27</v>
      </c>
      <c r="I197" s="266">
        <v>140</v>
      </c>
      <c r="J197" s="267">
        <v>58993.2</v>
      </c>
      <c r="K197" s="266">
        <v>140</v>
      </c>
      <c r="L197" s="266">
        <v>140</v>
      </c>
      <c r="M197" s="264">
        <v>45978</v>
      </c>
      <c r="N197" s="267">
        <v>67642.399999999994</v>
      </c>
      <c r="O197" s="265" t="s">
        <v>21</v>
      </c>
      <c r="P197" s="265" t="s">
        <v>22</v>
      </c>
      <c r="Q197" s="265" t="s">
        <v>660</v>
      </c>
      <c r="R197" s="265" t="str">
        <f>VLOOKUP('MIS Working 1'!$G197,Master!$H$3:$I$8,2,0)</f>
        <v>Finished Goods</v>
      </c>
      <c r="S197" s="265" t="str">
        <f>VLOOKUP('MIS Working 1'!$H197,Master!B:C,2,0)</f>
        <v>FG-PCB-CF</v>
      </c>
      <c r="T197" s="265" t="str">
        <f>VLOOKUP('MIS Working 1'!$S197,Master!E:F,2,0)</f>
        <v>FG-PCB-CF</v>
      </c>
      <c r="U197" s="268">
        <f>'MIS Working 1'!$N197-'MIS Working 1'!$AF197</f>
        <v>8612.8000000000175</v>
      </c>
      <c r="V197" s="269">
        <f>'MIS Working 1'!$U197/'MIS Working 1'!$N197</f>
        <v>0.12732842122692303</v>
      </c>
      <c r="W197" s="265">
        <f>'MIS Working 1'!$N197/'MIS Working 1'!$L197</f>
        <v>483.15999999999997</v>
      </c>
      <c r="X197" s="270">
        <f>SUM('MIS Working 1'!$Y197:$AE197)</f>
        <v>447.47999999999985</v>
      </c>
      <c r="Y197" s="270">
        <f>SUMIFS('COGS Break up'!$E:$E,'COGS Break up'!$A:$A,'MIS Working 1'!$D197,'COGS Break up'!$D:$D,'MIS Working 1'!$Y$1)</f>
        <v>373.01999999999981</v>
      </c>
      <c r="Z197" s="270">
        <f>SUMIFS('COGS Break up'!$E:$E,'COGS Break up'!$A:$A,'MIS Working 1'!$D197,'COGS Break up'!$D:$D,'MIS Working 1'!$Z$1)</f>
        <v>22</v>
      </c>
      <c r="AA197" s="270">
        <f>SUMIFS('COGS Break up'!E:E,'COGS Break up'!A:A,'MIS Working 1'!$D:$D,'COGS Break up'!C:C,'MIS Working 1'!$AA$1)</f>
        <v>1.8</v>
      </c>
      <c r="AB197" s="270">
        <f>SUMIFS('COGS Break up'!E:E,'COGS Break up'!A:A,'MIS Working 1'!$D:$D,'COGS Break up'!C:C,$AB$1)</f>
        <v>15.99</v>
      </c>
      <c r="AC197" s="270">
        <f>SUMIFS('COGS Break up'!E:E,'COGS Break up'!A:A,'MIS Working 1'!$D:$D,'COGS Break up'!C:C,$AC$1)</f>
        <v>8.31</v>
      </c>
      <c r="AD197" s="270">
        <f>SUMIFS('COGS Break up'!$E:$E,'COGS Break up'!$A:$A,'MIS Working 1'!$D197,'COGS Break up'!$D:$D,'MIS Working 1'!$AD$1)</f>
        <v>0.26</v>
      </c>
      <c r="AE197" s="270">
        <f>SUMIFS('COGS Break up'!$E:$E,'COGS Break up'!$A:$A,'MIS Working 1'!$D197,'COGS Break up'!$D:$D,'MIS Working 1'!$AE$1)</f>
        <v>26.1</v>
      </c>
      <c r="AF197" s="271">
        <f>'MIS Working 1'!$AG197+'MIS Working 1'!$AH197+'MIS Working 1'!$AM197+'MIS Working 1'!$AL197</f>
        <v>59029.599999999977</v>
      </c>
      <c r="AG197" s="270">
        <f>'MIS Working 1'!$L197*'MIS Working 1'!$Y197</f>
        <v>52222.799999999974</v>
      </c>
      <c r="AH197" s="270">
        <f>'MIS Working 1'!$L197*'MIS Working 1'!$Z197</f>
        <v>3080</v>
      </c>
      <c r="AI197" s="270">
        <f t="shared" si="9"/>
        <v>252</v>
      </c>
      <c r="AJ197" s="270">
        <f t="shared" si="10"/>
        <v>2238.6</v>
      </c>
      <c r="AK197" s="270">
        <f t="shared" si="11"/>
        <v>1163.4000000000001</v>
      </c>
      <c r="AL197" s="270">
        <f>'MIS Working 1'!$AD197*'MIS Working 1'!$L197</f>
        <v>36.4</v>
      </c>
      <c r="AM197" s="270">
        <f>'MIS Working 1'!$L197*'MIS Working 1'!$AE197+'MIS Working 1'!$AL197</f>
        <v>3690.4</v>
      </c>
    </row>
    <row r="198" spans="1:39" x14ac:dyDescent="0.3">
      <c r="A198" s="272" t="s">
        <v>479</v>
      </c>
      <c r="B198" s="273">
        <v>45978</v>
      </c>
      <c r="C198" s="274" t="s">
        <v>1766</v>
      </c>
      <c r="D198" s="274" t="s">
        <v>1179</v>
      </c>
      <c r="E198" s="274" t="s">
        <v>1180</v>
      </c>
      <c r="F198" s="274" t="s">
        <v>18</v>
      </c>
      <c r="G198" s="274" t="s">
        <v>19</v>
      </c>
      <c r="H198" s="274" t="s">
        <v>27</v>
      </c>
      <c r="I198" s="275">
        <v>455</v>
      </c>
      <c r="J198" s="276">
        <v>191727.9</v>
      </c>
      <c r="K198" s="275">
        <v>455</v>
      </c>
      <c r="L198" s="275">
        <v>455</v>
      </c>
      <c r="M198" s="273">
        <v>45978</v>
      </c>
      <c r="N198" s="276">
        <v>219837.8</v>
      </c>
      <c r="O198" s="274" t="s">
        <v>21</v>
      </c>
      <c r="P198" s="274" t="s">
        <v>22</v>
      </c>
      <c r="Q198" s="274" t="s">
        <v>660</v>
      </c>
      <c r="R198" s="274" t="str">
        <f>VLOOKUP('MIS Working 1'!$G198,Master!$H$3:$I$8,2,0)</f>
        <v>Finished Goods</v>
      </c>
      <c r="S198" s="274" t="str">
        <f>VLOOKUP('MIS Working 1'!$H198,Master!B:C,2,0)</f>
        <v>FG-PCB-CF</v>
      </c>
      <c r="T198" s="274" t="str">
        <f>VLOOKUP('MIS Working 1'!$S198,Master!E:F,2,0)</f>
        <v>FG-PCB-CF</v>
      </c>
      <c r="U198" s="277">
        <f>'MIS Working 1'!$N198-'MIS Working 1'!$AF198</f>
        <v>27991.600000000093</v>
      </c>
      <c r="V198" s="278">
        <f>'MIS Working 1'!$U198/'MIS Working 1'!$N198</f>
        <v>0.1273284212269232</v>
      </c>
      <c r="W198" s="274">
        <f>'MIS Working 1'!$N198/'MIS Working 1'!$L198</f>
        <v>483.15999999999997</v>
      </c>
      <c r="X198" s="279">
        <f>SUM('MIS Working 1'!$Y198:$AE198)</f>
        <v>447.47999999999985</v>
      </c>
      <c r="Y198" s="279">
        <f>SUMIFS('COGS Break up'!$E:$E,'COGS Break up'!$A:$A,'MIS Working 1'!$D198,'COGS Break up'!$D:$D,'MIS Working 1'!$Y$1)</f>
        <v>373.01999999999981</v>
      </c>
      <c r="Z198" s="279">
        <f>SUMIFS('COGS Break up'!$E:$E,'COGS Break up'!$A:$A,'MIS Working 1'!$D198,'COGS Break up'!$D:$D,'MIS Working 1'!$Z$1)</f>
        <v>22</v>
      </c>
      <c r="AA198" s="279">
        <f>SUMIFS('COGS Break up'!E:E,'COGS Break up'!A:A,'MIS Working 1'!$D:$D,'COGS Break up'!C:C,'MIS Working 1'!$AA$1)</f>
        <v>1.8</v>
      </c>
      <c r="AB198" s="279">
        <f>SUMIFS('COGS Break up'!E:E,'COGS Break up'!A:A,'MIS Working 1'!$D:$D,'COGS Break up'!C:C,$AB$1)</f>
        <v>15.99</v>
      </c>
      <c r="AC198" s="279">
        <f>SUMIFS('COGS Break up'!E:E,'COGS Break up'!A:A,'MIS Working 1'!$D:$D,'COGS Break up'!C:C,$AC$1)</f>
        <v>8.31</v>
      </c>
      <c r="AD198" s="279">
        <f>SUMIFS('COGS Break up'!$E:$E,'COGS Break up'!$A:$A,'MIS Working 1'!$D198,'COGS Break up'!$D:$D,'MIS Working 1'!$AD$1)</f>
        <v>0.26</v>
      </c>
      <c r="AE198" s="279">
        <f>SUMIFS('COGS Break up'!$E:$E,'COGS Break up'!$A:$A,'MIS Working 1'!$D198,'COGS Break up'!$D:$D,'MIS Working 1'!$AE$1)</f>
        <v>26.1</v>
      </c>
      <c r="AF198" s="280">
        <f>'MIS Working 1'!$AG198+'MIS Working 1'!$AH198+'MIS Working 1'!$AM198+'MIS Working 1'!$AL198</f>
        <v>191846.1999999999</v>
      </c>
      <c r="AG198" s="279">
        <f>'MIS Working 1'!$L198*'MIS Working 1'!$Y198</f>
        <v>169724.09999999992</v>
      </c>
      <c r="AH198" s="279">
        <f>'MIS Working 1'!$L198*'MIS Working 1'!$Z198</f>
        <v>10010</v>
      </c>
      <c r="AI198" s="279">
        <f t="shared" si="9"/>
        <v>819</v>
      </c>
      <c r="AJ198" s="279">
        <f t="shared" si="10"/>
        <v>7275.45</v>
      </c>
      <c r="AK198" s="279">
        <f t="shared" si="11"/>
        <v>3781.05</v>
      </c>
      <c r="AL198" s="279">
        <f>'MIS Working 1'!$AD198*'MIS Working 1'!$L198</f>
        <v>118.3</v>
      </c>
      <c r="AM198" s="279">
        <f>'MIS Working 1'!$L198*'MIS Working 1'!$AE198+'MIS Working 1'!$AL198</f>
        <v>11993.8</v>
      </c>
    </row>
    <row r="199" spans="1:39" x14ac:dyDescent="0.3">
      <c r="A199" s="263" t="s">
        <v>479</v>
      </c>
      <c r="B199" s="264">
        <v>45978</v>
      </c>
      <c r="C199" s="265" t="s">
        <v>1767</v>
      </c>
      <c r="D199" s="265" t="s">
        <v>378</v>
      </c>
      <c r="E199" s="265" t="s">
        <v>379</v>
      </c>
      <c r="F199" s="265" t="s">
        <v>18</v>
      </c>
      <c r="G199" s="265" t="s">
        <v>19</v>
      </c>
      <c r="H199" s="265" t="s">
        <v>27</v>
      </c>
      <c r="I199" s="266">
        <v>1433</v>
      </c>
      <c r="J199" s="267">
        <v>466011.6</v>
      </c>
      <c r="K199" s="266">
        <v>1433</v>
      </c>
      <c r="L199" s="266">
        <v>1433</v>
      </c>
      <c r="M199" s="264">
        <v>45978</v>
      </c>
      <c r="N199" s="267">
        <v>508743.66</v>
      </c>
      <c r="O199" s="265" t="s">
        <v>21</v>
      </c>
      <c r="P199" s="265" t="s">
        <v>22</v>
      </c>
      <c r="Q199" s="265" t="s">
        <v>660</v>
      </c>
      <c r="R199" s="265" t="str">
        <f>VLOOKUP('MIS Working 1'!$G199,Master!$H$3:$I$8,2,0)</f>
        <v>Finished Goods</v>
      </c>
      <c r="S199" s="265" t="str">
        <f>VLOOKUP('MIS Working 1'!$H199,Master!B:C,2,0)</f>
        <v>FG-PCB-CF</v>
      </c>
      <c r="T199" s="265" t="str">
        <f>VLOOKUP('MIS Working 1'!$S199,Master!E:F,2,0)</f>
        <v>FG-PCB-CF</v>
      </c>
      <c r="U199" s="268">
        <f>'MIS Working 1'!$N199-'MIS Working 1'!$AF199</f>
        <v>42359.479999999981</v>
      </c>
      <c r="V199" s="269">
        <f>'MIS Working 1'!$U199/'MIS Working 1'!$N199</f>
        <v>8.3262914765365292E-2</v>
      </c>
      <c r="W199" s="265">
        <f>'MIS Working 1'!$N199/'MIS Working 1'!$L199</f>
        <v>355.02</v>
      </c>
      <c r="X199" s="270">
        <f>SUM('MIS Working 1'!$Y199:$AE199)</f>
        <v>354.76999999999992</v>
      </c>
      <c r="Y199" s="270">
        <f>SUMIFS('COGS Break up'!$E:$E,'COGS Break up'!$A:$A,'MIS Working 1'!$D199,'COGS Break up'!$D:$D,'MIS Working 1'!$Y$1)</f>
        <v>271.52999999999997</v>
      </c>
      <c r="Z199" s="270">
        <f>SUMIFS('COGS Break up'!$E:$E,'COGS Break up'!$A:$A,'MIS Working 1'!$D199,'COGS Break up'!$D:$D,'MIS Working 1'!$Z$1)</f>
        <v>23.84</v>
      </c>
      <c r="AA199" s="270">
        <f>SUMIFS('COGS Break up'!E:E,'COGS Break up'!A:A,'MIS Working 1'!$D:$D,'COGS Break up'!C:C,'MIS Working 1'!$AA$1)</f>
        <v>1.9500000000000002</v>
      </c>
      <c r="AB199" s="270">
        <f>SUMIFS('COGS Break up'!E:E,'COGS Break up'!A:A,'MIS Working 1'!$D:$D,'COGS Break up'!C:C,$AB$1)</f>
        <v>17.329999999999998</v>
      </c>
      <c r="AC199" s="270">
        <f>SUMIFS('COGS Break up'!E:E,'COGS Break up'!A:A,'MIS Working 1'!$D:$D,'COGS Break up'!C:C,$AC$1)</f>
        <v>10.29</v>
      </c>
      <c r="AD199" s="270">
        <f>SUMIFS('COGS Break up'!$E:$E,'COGS Break up'!$A:$A,'MIS Working 1'!$D199,'COGS Break up'!$D:$D,'MIS Working 1'!$AD$1)</f>
        <v>0.26</v>
      </c>
      <c r="AE199" s="270">
        <f>SUMIFS('COGS Break up'!$E:$E,'COGS Break up'!$A:$A,'MIS Working 1'!$D199,'COGS Break up'!$D:$D,'MIS Working 1'!$AE$1)</f>
        <v>29.569999999999997</v>
      </c>
      <c r="AF199" s="271">
        <f>'MIS Working 1'!$AG199+'MIS Working 1'!$AH199+'MIS Working 1'!$AM199+'MIS Working 1'!$AL199</f>
        <v>466384.18</v>
      </c>
      <c r="AG199" s="270">
        <f>'MIS Working 1'!$L199*'MIS Working 1'!$Y199</f>
        <v>389102.48999999993</v>
      </c>
      <c r="AH199" s="270">
        <f>'MIS Working 1'!$L199*'MIS Working 1'!$Z199</f>
        <v>34162.720000000001</v>
      </c>
      <c r="AI199" s="270">
        <f t="shared" si="9"/>
        <v>2794.3500000000004</v>
      </c>
      <c r="AJ199" s="270">
        <f t="shared" si="10"/>
        <v>24833.889999999996</v>
      </c>
      <c r="AK199" s="270">
        <f t="shared" si="11"/>
        <v>14745.569999999998</v>
      </c>
      <c r="AL199" s="270">
        <f>'MIS Working 1'!$AD199*'MIS Working 1'!$L199</f>
        <v>372.58000000000004</v>
      </c>
      <c r="AM199" s="270">
        <f>'MIS Working 1'!$L199*'MIS Working 1'!$AE199+'MIS Working 1'!$AL199</f>
        <v>42746.39</v>
      </c>
    </row>
    <row r="200" spans="1:39" x14ac:dyDescent="0.3">
      <c r="A200" s="272" t="s">
        <v>479</v>
      </c>
      <c r="B200" s="273">
        <v>45978</v>
      </c>
      <c r="C200" s="274" t="s">
        <v>1765</v>
      </c>
      <c r="D200" s="274" t="s">
        <v>378</v>
      </c>
      <c r="E200" s="274" t="s">
        <v>379</v>
      </c>
      <c r="F200" s="274" t="s">
        <v>18</v>
      </c>
      <c r="G200" s="274" t="s">
        <v>19</v>
      </c>
      <c r="H200" s="274" t="s">
        <v>27</v>
      </c>
      <c r="I200" s="275">
        <v>600</v>
      </c>
      <c r="J200" s="276">
        <v>195120</v>
      </c>
      <c r="K200" s="275">
        <v>600</v>
      </c>
      <c r="L200" s="275">
        <v>600</v>
      </c>
      <c r="M200" s="273">
        <v>45978</v>
      </c>
      <c r="N200" s="276">
        <v>213012</v>
      </c>
      <c r="O200" s="274" t="s">
        <v>21</v>
      </c>
      <c r="P200" s="274" t="s">
        <v>22</v>
      </c>
      <c r="Q200" s="274" t="s">
        <v>660</v>
      </c>
      <c r="R200" s="274" t="str">
        <f>VLOOKUP('MIS Working 1'!$G200,Master!$H$3:$I$8,2,0)</f>
        <v>Finished Goods</v>
      </c>
      <c r="S200" s="274" t="str">
        <f>VLOOKUP('MIS Working 1'!$H200,Master!B:C,2,0)</f>
        <v>FG-PCB-CF</v>
      </c>
      <c r="T200" s="274" t="str">
        <f>VLOOKUP('MIS Working 1'!$S200,Master!E:F,2,0)</f>
        <v>FG-PCB-CF</v>
      </c>
      <c r="U200" s="277">
        <f>'MIS Working 1'!$N200-'MIS Working 1'!$AF200</f>
        <v>17736.000000000029</v>
      </c>
      <c r="V200" s="278">
        <f>'MIS Working 1'!$U200/'MIS Working 1'!$N200</f>
        <v>8.3262914765365473E-2</v>
      </c>
      <c r="W200" s="274">
        <f>'MIS Working 1'!$N200/'MIS Working 1'!$L200</f>
        <v>355.02</v>
      </c>
      <c r="X200" s="279">
        <f>SUM('MIS Working 1'!$Y200:$AE200)</f>
        <v>354.76999999999992</v>
      </c>
      <c r="Y200" s="279">
        <f>SUMIFS('COGS Break up'!$E:$E,'COGS Break up'!$A:$A,'MIS Working 1'!$D200,'COGS Break up'!$D:$D,'MIS Working 1'!$Y$1)</f>
        <v>271.52999999999997</v>
      </c>
      <c r="Z200" s="279">
        <f>SUMIFS('COGS Break up'!$E:$E,'COGS Break up'!$A:$A,'MIS Working 1'!$D200,'COGS Break up'!$D:$D,'MIS Working 1'!$Z$1)</f>
        <v>23.84</v>
      </c>
      <c r="AA200" s="279">
        <f>SUMIFS('COGS Break up'!E:E,'COGS Break up'!A:A,'MIS Working 1'!$D:$D,'COGS Break up'!C:C,'MIS Working 1'!$AA$1)</f>
        <v>1.9500000000000002</v>
      </c>
      <c r="AB200" s="279">
        <f>SUMIFS('COGS Break up'!E:E,'COGS Break up'!A:A,'MIS Working 1'!$D:$D,'COGS Break up'!C:C,$AB$1)</f>
        <v>17.329999999999998</v>
      </c>
      <c r="AC200" s="279">
        <f>SUMIFS('COGS Break up'!E:E,'COGS Break up'!A:A,'MIS Working 1'!$D:$D,'COGS Break up'!C:C,$AC$1)</f>
        <v>10.29</v>
      </c>
      <c r="AD200" s="279">
        <f>SUMIFS('COGS Break up'!$E:$E,'COGS Break up'!$A:$A,'MIS Working 1'!$D200,'COGS Break up'!$D:$D,'MIS Working 1'!$AD$1)</f>
        <v>0.26</v>
      </c>
      <c r="AE200" s="279">
        <f>SUMIFS('COGS Break up'!$E:$E,'COGS Break up'!$A:$A,'MIS Working 1'!$D200,'COGS Break up'!$D:$D,'MIS Working 1'!$AE$1)</f>
        <v>29.569999999999997</v>
      </c>
      <c r="AF200" s="280">
        <f>'MIS Working 1'!$AG200+'MIS Working 1'!$AH200+'MIS Working 1'!$AM200+'MIS Working 1'!$AL200</f>
        <v>195275.99999999997</v>
      </c>
      <c r="AG200" s="279">
        <f>'MIS Working 1'!$L200*'MIS Working 1'!$Y200</f>
        <v>162917.99999999997</v>
      </c>
      <c r="AH200" s="279">
        <f>'MIS Working 1'!$L200*'MIS Working 1'!$Z200</f>
        <v>14304</v>
      </c>
      <c r="AI200" s="279">
        <f t="shared" si="9"/>
        <v>1170</v>
      </c>
      <c r="AJ200" s="279">
        <f t="shared" si="10"/>
        <v>10397.999999999998</v>
      </c>
      <c r="AK200" s="279">
        <f t="shared" si="11"/>
        <v>6173.9999999999991</v>
      </c>
      <c r="AL200" s="279">
        <f>'MIS Working 1'!$AD200*'MIS Working 1'!$L200</f>
        <v>156</v>
      </c>
      <c r="AM200" s="279">
        <f>'MIS Working 1'!$L200*'MIS Working 1'!$AE200+'MIS Working 1'!$AL200</f>
        <v>17897.999999999996</v>
      </c>
    </row>
    <row r="201" spans="1:39" x14ac:dyDescent="0.3">
      <c r="A201" s="263" t="s">
        <v>479</v>
      </c>
      <c r="B201" s="264">
        <v>45978</v>
      </c>
      <c r="C201" s="265" t="s">
        <v>1768</v>
      </c>
      <c r="D201" s="265" t="s">
        <v>380</v>
      </c>
      <c r="E201" s="265" t="s">
        <v>381</v>
      </c>
      <c r="F201" s="265" t="s">
        <v>18</v>
      </c>
      <c r="G201" s="265" t="s">
        <v>19</v>
      </c>
      <c r="H201" s="265" t="s">
        <v>27</v>
      </c>
      <c r="I201" s="266">
        <v>240</v>
      </c>
      <c r="J201" s="267">
        <v>51984</v>
      </c>
      <c r="K201" s="266">
        <v>240</v>
      </c>
      <c r="L201" s="266">
        <v>240</v>
      </c>
      <c r="M201" s="264">
        <v>45978</v>
      </c>
      <c r="N201" s="267">
        <v>53244</v>
      </c>
      <c r="O201" s="265" t="s">
        <v>21</v>
      </c>
      <c r="P201" s="265" t="s">
        <v>22</v>
      </c>
      <c r="Q201" s="265" t="s">
        <v>660</v>
      </c>
      <c r="R201" s="265" t="str">
        <f>VLOOKUP('MIS Working 1'!$G201,Master!$H$3:$I$8,2,0)</f>
        <v>Finished Goods</v>
      </c>
      <c r="S201" s="265" t="str">
        <f>VLOOKUP('MIS Working 1'!$H201,Master!B:C,2,0)</f>
        <v>FG-PCB-CF</v>
      </c>
      <c r="T201" s="265" t="str">
        <f>VLOOKUP('MIS Working 1'!$S201,Master!E:F,2,0)</f>
        <v>FG-PCB-CF</v>
      </c>
      <c r="U201" s="268">
        <f>'MIS Working 1'!$N201-'MIS Working 1'!$AF201</f>
        <v>1250.4000000000087</v>
      </c>
      <c r="V201" s="269">
        <f>'MIS Working 1'!$U201/'MIS Working 1'!$N201</f>
        <v>2.3484336263241094E-2</v>
      </c>
      <c r="W201" s="265">
        <f>'MIS Working 1'!$N201/'MIS Working 1'!$L201</f>
        <v>221.85</v>
      </c>
      <c r="X201" s="270">
        <f>SUM('MIS Working 1'!$Y201:$AE201)</f>
        <v>239.77999999999994</v>
      </c>
      <c r="Y201" s="270">
        <f>SUMIFS('COGS Break up'!$E:$E,'COGS Break up'!$A:$A,'MIS Working 1'!$D201,'COGS Break up'!$D:$D,'MIS Working 1'!$Y$1)</f>
        <v>174.98999999999995</v>
      </c>
      <c r="Z201" s="270">
        <f>SUMIFS('COGS Break up'!$E:$E,'COGS Break up'!$A:$A,'MIS Working 1'!$D201,'COGS Break up'!$D:$D,'MIS Working 1'!$Z$1)</f>
        <v>18.389999999999997</v>
      </c>
      <c r="AA201" s="270">
        <f>SUMIFS('COGS Break up'!E:E,'COGS Break up'!A:A,'MIS Working 1'!$D:$D,'COGS Break up'!C:C,'MIS Working 1'!$AA$1)</f>
        <v>1.5</v>
      </c>
      <c r="AB201" s="270">
        <f>SUMIFS('COGS Break up'!E:E,'COGS Break up'!A:A,'MIS Working 1'!$D:$D,'COGS Break up'!C:C,$AB$1)</f>
        <v>13.37</v>
      </c>
      <c r="AC201" s="270">
        <f>SUMIFS('COGS Break up'!E:E,'COGS Break up'!A:A,'MIS Working 1'!$D:$D,'COGS Break up'!C:C,$AC$1)</f>
        <v>8.31</v>
      </c>
      <c r="AD201" s="270">
        <f>SUMIFS('COGS Break up'!$E:$E,'COGS Break up'!$A:$A,'MIS Working 1'!$D201,'COGS Break up'!$D:$D,'MIS Working 1'!$AD$1)</f>
        <v>0.04</v>
      </c>
      <c r="AE201" s="270">
        <f>SUMIFS('COGS Break up'!$E:$E,'COGS Break up'!$A:$A,'MIS Working 1'!$D201,'COGS Break up'!$D:$D,'MIS Working 1'!$AE$1)</f>
        <v>23.18</v>
      </c>
      <c r="AF201" s="271">
        <f>'MIS Working 1'!$AG201+'MIS Working 1'!$AH201+'MIS Working 1'!$AM201+'MIS Working 1'!$AL201</f>
        <v>51993.599999999991</v>
      </c>
      <c r="AG201" s="270">
        <f>'MIS Working 1'!$L201*'MIS Working 1'!$Y201</f>
        <v>41997.599999999991</v>
      </c>
      <c r="AH201" s="270">
        <f>'MIS Working 1'!$L201*'MIS Working 1'!$Z201</f>
        <v>4413.5999999999995</v>
      </c>
      <c r="AI201" s="270">
        <f t="shared" si="9"/>
        <v>360</v>
      </c>
      <c r="AJ201" s="270">
        <f t="shared" si="10"/>
        <v>3208.7999999999997</v>
      </c>
      <c r="AK201" s="270">
        <f t="shared" si="11"/>
        <v>1994.4</v>
      </c>
      <c r="AL201" s="270">
        <f>'MIS Working 1'!$AD201*'MIS Working 1'!$L201</f>
        <v>9.6</v>
      </c>
      <c r="AM201" s="270">
        <f>'MIS Working 1'!$L201*'MIS Working 1'!$AE201+'MIS Working 1'!$AL201</f>
        <v>5572.8</v>
      </c>
    </row>
    <row r="202" spans="1:39" x14ac:dyDescent="0.3">
      <c r="A202" s="272" t="s">
        <v>479</v>
      </c>
      <c r="B202" s="273">
        <v>45978</v>
      </c>
      <c r="C202" s="274" t="s">
        <v>1766</v>
      </c>
      <c r="D202" s="274" t="s">
        <v>380</v>
      </c>
      <c r="E202" s="274" t="s">
        <v>381</v>
      </c>
      <c r="F202" s="274" t="s">
        <v>18</v>
      </c>
      <c r="G202" s="274" t="s">
        <v>19</v>
      </c>
      <c r="H202" s="274" t="s">
        <v>27</v>
      </c>
      <c r="I202" s="275">
        <v>120</v>
      </c>
      <c r="J202" s="276">
        <v>25992</v>
      </c>
      <c r="K202" s="275">
        <v>120</v>
      </c>
      <c r="L202" s="275">
        <v>120</v>
      </c>
      <c r="M202" s="273">
        <v>45978</v>
      </c>
      <c r="N202" s="276">
        <v>26622</v>
      </c>
      <c r="O202" s="274" t="s">
        <v>21</v>
      </c>
      <c r="P202" s="274" t="s">
        <v>22</v>
      </c>
      <c r="Q202" s="274" t="s">
        <v>660</v>
      </c>
      <c r="R202" s="274" t="str">
        <f>VLOOKUP('MIS Working 1'!$G202,Master!$H$3:$I$8,2,0)</f>
        <v>Finished Goods</v>
      </c>
      <c r="S202" s="274" t="str">
        <f>VLOOKUP('MIS Working 1'!$H202,Master!B:C,2,0)</f>
        <v>FG-PCB-CF</v>
      </c>
      <c r="T202" s="274" t="str">
        <f>VLOOKUP('MIS Working 1'!$S202,Master!E:F,2,0)</f>
        <v>FG-PCB-CF</v>
      </c>
      <c r="U202" s="277">
        <f>'MIS Working 1'!$N202-'MIS Working 1'!$AF202</f>
        <v>625.20000000000437</v>
      </c>
      <c r="V202" s="278">
        <f>'MIS Working 1'!$U202/'MIS Working 1'!$N202</f>
        <v>2.3484336263241094E-2</v>
      </c>
      <c r="W202" s="274">
        <f>'MIS Working 1'!$N202/'MIS Working 1'!$L202</f>
        <v>221.85</v>
      </c>
      <c r="X202" s="279">
        <f>SUM('MIS Working 1'!$Y202:$AE202)</f>
        <v>239.77999999999994</v>
      </c>
      <c r="Y202" s="279">
        <f>SUMIFS('COGS Break up'!$E:$E,'COGS Break up'!$A:$A,'MIS Working 1'!$D202,'COGS Break up'!$D:$D,'MIS Working 1'!$Y$1)</f>
        <v>174.98999999999995</v>
      </c>
      <c r="Z202" s="279">
        <f>SUMIFS('COGS Break up'!$E:$E,'COGS Break up'!$A:$A,'MIS Working 1'!$D202,'COGS Break up'!$D:$D,'MIS Working 1'!$Z$1)</f>
        <v>18.389999999999997</v>
      </c>
      <c r="AA202" s="279">
        <f>SUMIFS('COGS Break up'!E:E,'COGS Break up'!A:A,'MIS Working 1'!$D:$D,'COGS Break up'!C:C,'MIS Working 1'!$AA$1)</f>
        <v>1.5</v>
      </c>
      <c r="AB202" s="279">
        <f>SUMIFS('COGS Break up'!E:E,'COGS Break up'!A:A,'MIS Working 1'!$D:$D,'COGS Break up'!C:C,$AB$1)</f>
        <v>13.37</v>
      </c>
      <c r="AC202" s="279">
        <f>SUMIFS('COGS Break up'!E:E,'COGS Break up'!A:A,'MIS Working 1'!$D:$D,'COGS Break up'!C:C,$AC$1)</f>
        <v>8.31</v>
      </c>
      <c r="AD202" s="279">
        <f>SUMIFS('COGS Break up'!$E:$E,'COGS Break up'!$A:$A,'MIS Working 1'!$D202,'COGS Break up'!$D:$D,'MIS Working 1'!$AD$1)</f>
        <v>0.04</v>
      </c>
      <c r="AE202" s="279">
        <f>SUMIFS('COGS Break up'!$E:$E,'COGS Break up'!$A:$A,'MIS Working 1'!$D202,'COGS Break up'!$D:$D,'MIS Working 1'!$AE$1)</f>
        <v>23.18</v>
      </c>
      <c r="AF202" s="280">
        <f>'MIS Working 1'!$AG202+'MIS Working 1'!$AH202+'MIS Working 1'!$AM202+'MIS Working 1'!$AL202</f>
        <v>25996.799999999996</v>
      </c>
      <c r="AG202" s="279">
        <f>'MIS Working 1'!$L202*'MIS Working 1'!$Y202</f>
        <v>20998.799999999996</v>
      </c>
      <c r="AH202" s="279">
        <f>'MIS Working 1'!$L202*'MIS Working 1'!$Z202</f>
        <v>2206.7999999999997</v>
      </c>
      <c r="AI202" s="279">
        <f t="shared" si="9"/>
        <v>180</v>
      </c>
      <c r="AJ202" s="279">
        <f t="shared" si="10"/>
        <v>1604.3999999999999</v>
      </c>
      <c r="AK202" s="279">
        <f t="shared" si="11"/>
        <v>997.2</v>
      </c>
      <c r="AL202" s="279">
        <f>'MIS Working 1'!$AD202*'MIS Working 1'!$L202</f>
        <v>4.8</v>
      </c>
      <c r="AM202" s="279">
        <f>'MIS Working 1'!$L202*'MIS Working 1'!$AE202+'MIS Working 1'!$AL202</f>
        <v>2786.4</v>
      </c>
    </row>
    <row r="203" spans="1:39" x14ac:dyDescent="0.3">
      <c r="A203" s="263" t="s">
        <v>479</v>
      </c>
      <c r="B203" s="264">
        <v>45978</v>
      </c>
      <c r="C203" s="265" t="s">
        <v>1764</v>
      </c>
      <c r="D203" s="265" t="s">
        <v>380</v>
      </c>
      <c r="E203" s="265" t="s">
        <v>381</v>
      </c>
      <c r="F203" s="265" t="s">
        <v>18</v>
      </c>
      <c r="G203" s="265" t="s">
        <v>19</v>
      </c>
      <c r="H203" s="265" t="s">
        <v>27</v>
      </c>
      <c r="I203" s="266">
        <v>489</v>
      </c>
      <c r="J203" s="267">
        <v>105917.4</v>
      </c>
      <c r="K203" s="266">
        <v>489</v>
      </c>
      <c r="L203" s="266">
        <v>489</v>
      </c>
      <c r="M203" s="264">
        <v>45978</v>
      </c>
      <c r="N203" s="267">
        <v>108484.65</v>
      </c>
      <c r="O203" s="265" t="s">
        <v>21</v>
      </c>
      <c r="P203" s="265" t="s">
        <v>22</v>
      </c>
      <c r="Q203" s="265" t="s">
        <v>660</v>
      </c>
      <c r="R203" s="265" t="str">
        <f>VLOOKUP('MIS Working 1'!$G203,Master!$H$3:$I$8,2,0)</f>
        <v>Finished Goods</v>
      </c>
      <c r="S203" s="265" t="str">
        <f>VLOOKUP('MIS Working 1'!$H203,Master!B:C,2,0)</f>
        <v>FG-PCB-CF</v>
      </c>
      <c r="T203" s="265" t="str">
        <f>VLOOKUP('MIS Working 1'!$S203,Master!E:F,2,0)</f>
        <v>FG-PCB-CF</v>
      </c>
      <c r="U203" s="268">
        <f>'MIS Working 1'!$N203-'MIS Working 1'!$AF203</f>
        <v>2547.6900000000169</v>
      </c>
      <c r="V203" s="269">
        <f>'MIS Working 1'!$U203/'MIS Working 1'!$N203</f>
        <v>2.3484336263241087E-2</v>
      </c>
      <c r="W203" s="265">
        <f>'MIS Working 1'!$N203/'MIS Working 1'!$L203</f>
        <v>221.85</v>
      </c>
      <c r="X203" s="270">
        <f>SUM('MIS Working 1'!$Y203:$AE203)</f>
        <v>239.77999999999994</v>
      </c>
      <c r="Y203" s="270">
        <f>SUMIFS('COGS Break up'!$E:$E,'COGS Break up'!$A:$A,'MIS Working 1'!$D203,'COGS Break up'!$D:$D,'MIS Working 1'!$Y$1)</f>
        <v>174.98999999999995</v>
      </c>
      <c r="Z203" s="270">
        <f>SUMIFS('COGS Break up'!$E:$E,'COGS Break up'!$A:$A,'MIS Working 1'!$D203,'COGS Break up'!$D:$D,'MIS Working 1'!$Z$1)</f>
        <v>18.389999999999997</v>
      </c>
      <c r="AA203" s="270">
        <f>SUMIFS('COGS Break up'!E:E,'COGS Break up'!A:A,'MIS Working 1'!$D:$D,'COGS Break up'!C:C,'MIS Working 1'!$AA$1)</f>
        <v>1.5</v>
      </c>
      <c r="AB203" s="270">
        <f>SUMIFS('COGS Break up'!E:E,'COGS Break up'!A:A,'MIS Working 1'!$D:$D,'COGS Break up'!C:C,$AB$1)</f>
        <v>13.37</v>
      </c>
      <c r="AC203" s="270">
        <f>SUMIFS('COGS Break up'!E:E,'COGS Break up'!A:A,'MIS Working 1'!$D:$D,'COGS Break up'!C:C,$AC$1)</f>
        <v>8.31</v>
      </c>
      <c r="AD203" s="270">
        <f>SUMIFS('COGS Break up'!$E:$E,'COGS Break up'!$A:$A,'MIS Working 1'!$D203,'COGS Break up'!$D:$D,'MIS Working 1'!$AD$1)</f>
        <v>0.04</v>
      </c>
      <c r="AE203" s="270">
        <f>SUMIFS('COGS Break up'!$E:$E,'COGS Break up'!$A:$A,'MIS Working 1'!$D203,'COGS Break up'!$D:$D,'MIS Working 1'!$AE$1)</f>
        <v>23.18</v>
      </c>
      <c r="AF203" s="271">
        <f>'MIS Working 1'!$AG203+'MIS Working 1'!$AH203+'MIS Working 1'!$AM203+'MIS Working 1'!$AL203</f>
        <v>105936.95999999998</v>
      </c>
      <c r="AG203" s="270">
        <f>'MIS Working 1'!$L203*'MIS Working 1'!$Y203</f>
        <v>85570.109999999971</v>
      </c>
      <c r="AH203" s="270">
        <f>'MIS Working 1'!$L203*'MIS Working 1'!$Z203</f>
        <v>8992.7099999999991</v>
      </c>
      <c r="AI203" s="270">
        <f t="shared" si="9"/>
        <v>733.5</v>
      </c>
      <c r="AJ203" s="270">
        <f t="shared" si="10"/>
        <v>6537.9299999999994</v>
      </c>
      <c r="AK203" s="270">
        <f t="shared" si="11"/>
        <v>4063.59</v>
      </c>
      <c r="AL203" s="270">
        <f>'MIS Working 1'!$AD203*'MIS Working 1'!$L203</f>
        <v>19.559999999999999</v>
      </c>
      <c r="AM203" s="270">
        <f>'MIS Working 1'!$L203*'MIS Working 1'!$AE203+'MIS Working 1'!$AL203</f>
        <v>11354.58</v>
      </c>
    </row>
    <row r="204" spans="1:39" x14ac:dyDescent="0.3">
      <c r="A204" s="272" t="s">
        <v>1291</v>
      </c>
      <c r="B204" s="273">
        <v>45978</v>
      </c>
      <c r="C204" s="274" t="s">
        <v>1769</v>
      </c>
      <c r="D204" s="274" t="s">
        <v>535</v>
      </c>
      <c r="E204" s="274" t="s">
        <v>536</v>
      </c>
      <c r="F204" s="274" t="s">
        <v>18</v>
      </c>
      <c r="G204" s="274" t="s">
        <v>34</v>
      </c>
      <c r="H204" s="274" t="s">
        <v>832</v>
      </c>
      <c r="I204" s="275">
        <v>504</v>
      </c>
      <c r="J204" s="276">
        <v>45450.720000000001</v>
      </c>
      <c r="K204" s="275">
        <v>504</v>
      </c>
      <c r="L204" s="275">
        <v>504</v>
      </c>
      <c r="M204" s="273">
        <v>45978</v>
      </c>
      <c r="N204" s="276">
        <v>82353.600000000006</v>
      </c>
      <c r="O204" s="274" t="s">
        <v>21</v>
      </c>
      <c r="P204" s="274" t="s">
        <v>22</v>
      </c>
      <c r="Q204" s="274" t="s">
        <v>660</v>
      </c>
      <c r="R204" s="274" t="str">
        <f>VLOOKUP('MIS Working 1'!$G204,Master!$H$3:$I$8,2,0)</f>
        <v>Semi-Finished Goods</v>
      </c>
      <c r="S204" s="274" t="str">
        <f>VLOOKUP('MIS Working 1'!$H204,Master!B:C,2,0)</f>
        <v>SFG-Ref Rotor</v>
      </c>
      <c r="T204" s="274" t="str">
        <f>VLOOKUP('MIS Working 1'!$S204,Master!E:F,2,0)</f>
        <v>SFG-Ref Rotor</v>
      </c>
      <c r="U204" s="277">
        <f>'MIS Working 1'!$N204-'MIS Working 1'!$AF204</f>
        <v>36902.879999999997</v>
      </c>
      <c r="V204" s="278">
        <f>'MIS Working 1'!$U204/'MIS Working 1'!$N204</f>
        <v>0.44810281517747852</v>
      </c>
      <c r="W204" s="274">
        <f>'MIS Working 1'!$N204/'MIS Working 1'!$L204</f>
        <v>163.4</v>
      </c>
      <c r="X204" s="279">
        <f>SUM('MIS Working 1'!$Y204:$AE204)</f>
        <v>92.13000000000001</v>
      </c>
      <c r="Y204" s="279">
        <f>SUMIFS('COGS Break up'!$E:$E,'COGS Break up'!$A:$A,'MIS Working 1'!$D204,'COGS Break up'!$D:$D,'MIS Working 1'!$Y$1)</f>
        <v>86.73</v>
      </c>
      <c r="Z204" s="279">
        <f>SUMIFS('COGS Break up'!$E:$E,'COGS Break up'!$A:$A,'MIS Working 1'!$D204,'COGS Break up'!$D:$D,'MIS Working 1'!$Z$1)</f>
        <v>1.5</v>
      </c>
      <c r="AA204" s="279">
        <f>SUMIFS('COGS Break up'!E:E,'COGS Break up'!A:A,'MIS Working 1'!$D:$D,'COGS Break up'!C:C,'MIS Working 1'!$AA$1)</f>
        <v>0.05</v>
      </c>
      <c r="AB204" s="279">
        <f>SUMIFS('COGS Break up'!E:E,'COGS Break up'!A:A,'MIS Working 1'!$D:$D,'COGS Break up'!C:C,$AB$1)</f>
        <v>0.4</v>
      </c>
      <c r="AC204" s="279">
        <f>SUMIFS('COGS Break up'!E:E,'COGS Break up'!A:A,'MIS Working 1'!$D:$D,'COGS Break up'!C:C,$AC$1)</f>
        <v>1.5</v>
      </c>
      <c r="AD204" s="279">
        <f>SUMIFS('COGS Break up'!$E:$E,'COGS Break up'!$A:$A,'MIS Working 1'!$D204,'COGS Break up'!$D:$D,'MIS Working 1'!$AD$1)</f>
        <v>0</v>
      </c>
      <c r="AE204" s="279">
        <f>SUMIFS('COGS Break up'!$E:$E,'COGS Break up'!$A:$A,'MIS Working 1'!$D204,'COGS Break up'!$D:$D,'MIS Working 1'!$AE$1)</f>
        <v>1.95</v>
      </c>
      <c r="AF204" s="280">
        <f>'MIS Working 1'!$AG204+'MIS Working 1'!$AH204+'MIS Working 1'!$AM204+'MIS Working 1'!$AL204</f>
        <v>45450.720000000008</v>
      </c>
      <c r="AG204" s="279">
        <f>'MIS Working 1'!$L204*'MIS Working 1'!$Y204</f>
        <v>43711.920000000006</v>
      </c>
      <c r="AH204" s="279">
        <f>'MIS Working 1'!$L204*'MIS Working 1'!$Z204</f>
        <v>756</v>
      </c>
      <c r="AI204" s="279">
        <f t="shared" si="9"/>
        <v>25.200000000000003</v>
      </c>
      <c r="AJ204" s="279">
        <f t="shared" si="10"/>
        <v>201.60000000000002</v>
      </c>
      <c r="AK204" s="279">
        <f t="shared" si="11"/>
        <v>756</v>
      </c>
      <c r="AL204" s="279">
        <f>'MIS Working 1'!$AD204*'MIS Working 1'!$L204</f>
        <v>0</v>
      </c>
      <c r="AM204" s="279">
        <f>'MIS Working 1'!$L204*'MIS Working 1'!$AE204+'MIS Working 1'!$AL204</f>
        <v>982.8</v>
      </c>
    </row>
    <row r="205" spans="1:39" x14ac:dyDescent="0.3">
      <c r="A205" s="263" t="s">
        <v>1291</v>
      </c>
      <c r="B205" s="264">
        <v>45978</v>
      </c>
      <c r="C205" s="265" t="s">
        <v>1769</v>
      </c>
      <c r="D205" s="265" t="s">
        <v>533</v>
      </c>
      <c r="E205" s="265" t="s">
        <v>534</v>
      </c>
      <c r="F205" s="265" t="s">
        <v>18</v>
      </c>
      <c r="G205" s="265" t="s">
        <v>34</v>
      </c>
      <c r="H205" s="265" t="s">
        <v>773</v>
      </c>
      <c r="I205" s="266">
        <v>504</v>
      </c>
      <c r="J205" s="267">
        <v>268082.64</v>
      </c>
      <c r="K205" s="266">
        <v>504</v>
      </c>
      <c r="L205" s="266">
        <v>504</v>
      </c>
      <c r="M205" s="264">
        <v>45978</v>
      </c>
      <c r="N205" s="267">
        <v>312984</v>
      </c>
      <c r="O205" s="265" t="s">
        <v>21</v>
      </c>
      <c r="P205" s="265" t="s">
        <v>22</v>
      </c>
      <c r="Q205" s="265" t="s">
        <v>660</v>
      </c>
      <c r="R205" s="265" t="str">
        <f>VLOOKUP('MIS Working 1'!$G205,Master!$H$3:$I$8,2,0)</f>
        <v>Semi-Finished Goods</v>
      </c>
      <c r="S205" s="265" t="str">
        <f>VLOOKUP('MIS Working 1'!$H205,Master!B:C,2,0)</f>
        <v>SFG-Ref Stator</v>
      </c>
      <c r="T205" s="265" t="str">
        <f>VLOOKUP('MIS Working 1'!$S205,Master!E:F,2,0)</f>
        <v>SFG-Ref Stator</v>
      </c>
      <c r="U205" s="268">
        <f>'MIS Working 1'!$N205-'MIS Working 1'!$AF205</f>
        <v>44901.359999999986</v>
      </c>
      <c r="V205" s="269">
        <f>'MIS Working 1'!$U205/'MIS Working 1'!$N205</f>
        <v>0.14346215780998386</v>
      </c>
      <c r="W205" s="265">
        <f>'MIS Working 1'!$N205/'MIS Working 1'!$L205</f>
        <v>621</v>
      </c>
      <c r="X205" s="270">
        <f>SUM('MIS Working 1'!$Y205:$AE205)</f>
        <v>533.86</v>
      </c>
      <c r="Y205" s="270">
        <f>SUMIFS('COGS Break up'!$E:$E,'COGS Break up'!$A:$A,'MIS Working 1'!$D205,'COGS Break up'!$D:$D,'MIS Working 1'!$Y$1)</f>
        <v>528.46</v>
      </c>
      <c r="Z205" s="270">
        <f>SUMIFS('COGS Break up'!$E:$E,'COGS Break up'!$A:$A,'MIS Working 1'!$D205,'COGS Break up'!$D:$D,'MIS Working 1'!$Z$1)</f>
        <v>1.5</v>
      </c>
      <c r="AA205" s="270">
        <f>SUMIFS('COGS Break up'!E:E,'COGS Break up'!A:A,'MIS Working 1'!$D:$D,'COGS Break up'!C:C,'MIS Working 1'!$AA$1)</f>
        <v>0.05</v>
      </c>
      <c r="AB205" s="270">
        <f>SUMIFS('COGS Break up'!E:E,'COGS Break up'!A:A,'MIS Working 1'!$D:$D,'COGS Break up'!C:C,$AB$1)</f>
        <v>0.4</v>
      </c>
      <c r="AC205" s="270">
        <f>SUMIFS('COGS Break up'!E:E,'COGS Break up'!A:A,'MIS Working 1'!$D:$D,'COGS Break up'!C:C,$AC$1)</f>
        <v>1.5</v>
      </c>
      <c r="AD205" s="270">
        <f>SUMIFS('COGS Break up'!$E:$E,'COGS Break up'!$A:$A,'MIS Working 1'!$D205,'COGS Break up'!$D:$D,'MIS Working 1'!$AD$1)</f>
        <v>0</v>
      </c>
      <c r="AE205" s="270">
        <f>SUMIFS('COGS Break up'!$E:$E,'COGS Break up'!$A:$A,'MIS Working 1'!$D205,'COGS Break up'!$D:$D,'MIS Working 1'!$AE$1)</f>
        <v>1.95</v>
      </c>
      <c r="AF205" s="271">
        <f>'MIS Working 1'!$AG205+'MIS Working 1'!$AH205+'MIS Working 1'!$AM205+'MIS Working 1'!$AL205</f>
        <v>268082.64</v>
      </c>
      <c r="AG205" s="270">
        <f>'MIS Working 1'!$L205*'MIS Working 1'!$Y205</f>
        <v>266343.84000000003</v>
      </c>
      <c r="AH205" s="270">
        <f>'MIS Working 1'!$L205*'MIS Working 1'!$Z205</f>
        <v>756</v>
      </c>
      <c r="AI205" s="270">
        <f t="shared" si="9"/>
        <v>25.200000000000003</v>
      </c>
      <c r="AJ205" s="270">
        <f t="shared" si="10"/>
        <v>201.60000000000002</v>
      </c>
      <c r="AK205" s="270">
        <f t="shared" si="11"/>
        <v>756</v>
      </c>
      <c r="AL205" s="270">
        <f>'MIS Working 1'!$AD205*'MIS Working 1'!$L205</f>
        <v>0</v>
      </c>
      <c r="AM205" s="270">
        <f>'MIS Working 1'!$L205*'MIS Working 1'!$AE205+'MIS Working 1'!$AL205</f>
        <v>982.8</v>
      </c>
    </row>
    <row r="206" spans="1:39" x14ac:dyDescent="0.3">
      <c r="A206" s="272" t="s">
        <v>1658</v>
      </c>
      <c r="B206" s="273">
        <v>45977</v>
      </c>
      <c r="C206" s="274" t="s">
        <v>1770</v>
      </c>
      <c r="D206" s="274" t="s">
        <v>1659</v>
      </c>
      <c r="E206" s="274" t="s">
        <v>1660</v>
      </c>
      <c r="F206" s="274" t="s">
        <v>18</v>
      </c>
      <c r="G206" s="274" t="s">
        <v>48</v>
      </c>
      <c r="H206" s="274" t="s">
        <v>229</v>
      </c>
      <c r="I206" s="275">
        <v>2266</v>
      </c>
      <c r="J206" s="276">
        <v>306798.83</v>
      </c>
      <c r="K206" s="275">
        <v>2266</v>
      </c>
      <c r="L206" s="275">
        <v>2266</v>
      </c>
      <c r="M206" s="273">
        <v>45977</v>
      </c>
      <c r="N206" s="276">
        <v>309105.06</v>
      </c>
      <c r="O206" s="274" t="s">
        <v>21</v>
      </c>
      <c r="P206" s="274" t="s">
        <v>22</v>
      </c>
      <c r="Q206" s="274" t="s">
        <v>1750</v>
      </c>
      <c r="R206" s="274" t="str">
        <f>VLOOKUP('MIS Working 1'!$G206,Master!$H$3:$I$8,2,0)</f>
        <v>Raw Material</v>
      </c>
      <c r="S206" s="274" t="str">
        <f>VLOOKUP('MIS Working 1'!$H206,Master!B:C,2,0)</f>
        <v>RM-Mech. Metal</v>
      </c>
      <c r="T206" s="274" t="str">
        <f>VLOOKUP('MIS Working 1'!$S206,Master!E:F,2,0)</f>
        <v>Raw Material</v>
      </c>
      <c r="U206" s="277">
        <f>'MIS Working 1'!$N206-'MIS Working 1'!$AF206</f>
        <v>309105.06</v>
      </c>
      <c r="V206" s="278">
        <f>'MIS Working 1'!$U206/'MIS Working 1'!$N206</f>
        <v>1</v>
      </c>
      <c r="W206" s="274">
        <f>'MIS Working 1'!$N206/'MIS Working 1'!$L206</f>
        <v>136.41</v>
      </c>
      <c r="X206" s="279">
        <f>SUM('MIS Working 1'!$Y206:$AE206)</f>
        <v>0</v>
      </c>
      <c r="Y206" s="279">
        <f>SUMIFS('COGS Break up'!$E:$E,'COGS Break up'!$A:$A,'MIS Working 1'!$D206,'COGS Break up'!$D:$D,'MIS Working 1'!$Y$1)</f>
        <v>0</v>
      </c>
      <c r="Z206" s="279">
        <f>SUMIFS('COGS Break up'!$E:$E,'COGS Break up'!$A:$A,'MIS Working 1'!$D206,'COGS Break up'!$D:$D,'MIS Working 1'!$Z$1)</f>
        <v>0</v>
      </c>
      <c r="AA206" s="279">
        <f>SUMIFS('COGS Break up'!E:E,'COGS Break up'!A:A,'MIS Working 1'!$D:$D,'COGS Break up'!C:C,'MIS Working 1'!$AA$1)</f>
        <v>0</v>
      </c>
      <c r="AB206" s="279">
        <f>SUMIFS('COGS Break up'!E:E,'COGS Break up'!A:A,'MIS Working 1'!$D:$D,'COGS Break up'!C:C,$AB$1)</f>
        <v>0</v>
      </c>
      <c r="AC206" s="279">
        <f>SUMIFS('COGS Break up'!E:E,'COGS Break up'!A:A,'MIS Working 1'!$D:$D,'COGS Break up'!C:C,$AC$1)</f>
        <v>0</v>
      </c>
      <c r="AD206" s="279">
        <f>SUMIFS('COGS Break up'!$E:$E,'COGS Break up'!$A:$A,'MIS Working 1'!$D206,'COGS Break up'!$D:$D,'MIS Working 1'!$AD$1)</f>
        <v>0</v>
      </c>
      <c r="AE206" s="279">
        <f>SUMIFS('COGS Break up'!$E:$E,'COGS Break up'!$A:$A,'MIS Working 1'!$D206,'COGS Break up'!$D:$D,'MIS Working 1'!$AE$1)</f>
        <v>0</v>
      </c>
      <c r="AF206" s="280">
        <f>'MIS Working 1'!$AG206+'MIS Working 1'!$AH206+'MIS Working 1'!$AM206+'MIS Working 1'!$AL206</f>
        <v>0</v>
      </c>
      <c r="AG206" s="279">
        <f>'MIS Working 1'!$L206*'MIS Working 1'!$Y206</f>
        <v>0</v>
      </c>
      <c r="AH206" s="279">
        <f>'MIS Working 1'!$L206*'MIS Working 1'!$Z206</f>
        <v>0</v>
      </c>
      <c r="AI206" s="279">
        <f t="shared" si="9"/>
        <v>0</v>
      </c>
      <c r="AJ206" s="279">
        <f t="shared" si="10"/>
        <v>0</v>
      </c>
      <c r="AK206" s="279">
        <f t="shared" si="11"/>
        <v>0</v>
      </c>
      <c r="AL206" s="279">
        <f>'MIS Working 1'!$AD206*'MIS Working 1'!$L206</f>
        <v>0</v>
      </c>
      <c r="AM206" s="279">
        <f>'MIS Working 1'!$L206*'MIS Working 1'!$AE206+'MIS Working 1'!$AL206</f>
        <v>0</v>
      </c>
    </row>
    <row r="207" spans="1:39" x14ac:dyDescent="0.3">
      <c r="A207" s="263" t="s">
        <v>1291</v>
      </c>
      <c r="B207" s="264">
        <v>45976</v>
      </c>
      <c r="C207" s="265" t="s">
        <v>1771</v>
      </c>
      <c r="D207" s="265" t="s">
        <v>36</v>
      </c>
      <c r="E207" s="265" t="s">
        <v>37</v>
      </c>
      <c r="F207" s="265" t="s">
        <v>18</v>
      </c>
      <c r="G207" s="265" t="s">
        <v>19</v>
      </c>
      <c r="H207" s="265" t="s">
        <v>20</v>
      </c>
      <c r="I207" s="266">
        <v>5000</v>
      </c>
      <c r="J207" s="267">
        <v>2306850</v>
      </c>
      <c r="K207" s="266">
        <v>5000</v>
      </c>
      <c r="L207" s="266">
        <v>5000</v>
      </c>
      <c r="M207" s="264">
        <v>45976</v>
      </c>
      <c r="N207" s="267">
        <v>3296550</v>
      </c>
      <c r="O207" s="265" t="s">
        <v>21</v>
      </c>
      <c r="P207" s="265" t="s">
        <v>22</v>
      </c>
      <c r="Q207" s="265" t="s">
        <v>660</v>
      </c>
      <c r="R207" s="265" t="str">
        <f>VLOOKUP('MIS Working 1'!$G207,Master!$H$3:$I$8,2,0)</f>
        <v>Finished Goods</v>
      </c>
      <c r="S207" s="265" t="str">
        <f>VLOOKUP('MIS Working 1'!$H207,Master!B:C,2,0)</f>
        <v>FG-PCB-Ref</v>
      </c>
      <c r="T207" s="265" t="str">
        <f>VLOOKUP('MIS Working 1'!$S207,Master!E:F,2,0)</f>
        <v>FG-PCB-Ref</v>
      </c>
      <c r="U207" s="268">
        <f>'MIS Working 1'!$N207-'MIS Working 1'!$AF207</f>
        <v>988500</v>
      </c>
      <c r="V207" s="269">
        <f>'MIS Working 1'!$U207/'MIS Working 1'!$N207</f>
        <v>0.29985894344087</v>
      </c>
      <c r="W207" s="265">
        <f>'MIS Working 1'!$N207/'MIS Working 1'!$L207</f>
        <v>659.31</v>
      </c>
      <c r="X207" s="270">
        <f>SUM('MIS Working 1'!$Y207:$AE207)</f>
        <v>492.59000000000003</v>
      </c>
      <c r="Y207" s="270">
        <f>SUMIFS('COGS Break up'!$E:$E,'COGS Break up'!$A:$A,'MIS Working 1'!$D207,'COGS Break up'!$D:$D,'MIS Working 1'!$Y$1)</f>
        <v>401.59000000000003</v>
      </c>
      <c r="Z207" s="270">
        <f>SUMIFS('COGS Break up'!$E:$E,'COGS Break up'!$A:$A,'MIS Working 1'!$D207,'COGS Break up'!$D:$D,'MIS Working 1'!$Z$1)</f>
        <v>28.32</v>
      </c>
      <c r="AA207" s="270">
        <f>SUMIFS('COGS Break up'!E:E,'COGS Break up'!A:A,'MIS Working 1'!$D:$D,'COGS Break up'!C:C,'MIS Working 1'!$AA$1)</f>
        <v>2.3199999999999998</v>
      </c>
      <c r="AB207" s="270">
        <f>SUMIFS('COGS Break up'!E:E,'COGS Break up'!A:A,'MIS Working 1'!$D:$D,'COGS Break up'!C:C,$AB$1)</f>
        <v>20.59</v>
      </c>
      <c r="AC207" s="270">
        <f>SUMIFS('COGS Break up'!E:E,'COGS Break up'!A:A,'MIS Working 1'!$D:$D,'COGS Break up'!C:C,$AC$1)</f>
        <v>8.31</v>
      </c>
      <c r="AD207" s="270">
        <f>SUMIFS('COGS Break up'!$E:$E,'COGS Break up'!$A:$A,'MIS Working 1'!$D207,'COGS Break up'!$D:$D,'MIS Working 1'!$AD$1)</f>
        <v>0.24</v>
      </c>
      <c r="AE207" s="270">
        <f>SUMIFS('COGS Break up'!$E:$E,'COGS Break up'!$A:$A,'MIS Working 1'!$D207,'COGS Break up'!$D:$D,'MIS Working 1'!$AE$1)</f>
        <v>31.22</v>
      </c>
      <c r="AF207" s="271">
        <f>'MIS Working 1'!$AG207+'MIS Working 1'!$AH207+'MIS Working 1'!$AM207+'MIS Working 1'!$AL207</f>
        <v>2308050</v>
      </c>
      <c r="AG207" s="270">
        <f>'MIS Working 1'!$L207*'MIS Working 1'!$Y207</f>
        <v>2007950.0000000002</v>
      </c>
      <c r="AH207" s="270">
        <f>'MIS Working 1'!$L207*'MIS Working 1'!$Z207</f>
        <v>141600</v>
      </c>
      <c r="AI207" s="270">
        <f t="shared" si="9"/>
        <v>11600</v>
      </c>
      <c r="AJ207" s="270">
        <f t="shared" si="10"/>
        <v>102950</v>
      </c>
      <c r="AK207" s="270">
        <f t="shared" si="11"/>
        <v>41550</v>
      </c>
      <c r="AL207" s="270">
        <f>'MIS Working 1'!$AD207*'MIS Working 1'!$L207</f>
        <v>1200</v>
      </c>
      <c r="AM207" s="270">
        <f>'MIS Working 1'!$L207*'MIS Working 1'!$AE207+'MIS Working 1'!$AL207</f>
        <v>157300</v>
      </c>
    </row>
    <row r="208" spans="1:39" x14ac:dyDescent="0.3">
      <c r="A208" s="272" t="s">
        <v>479</v>
      </c>
      <c r="B208" s="273">
        <v>45976</v>
      </c>
      <c r="C208" s="274" t="s">
        <v>1772</v>
      </c>
      <c r="D208" s="274" t="s">
        <v>40</v>
      </c>
      <c r="E208" s="274" t="s">
        <v>41</v>
      </c>
      <c r="F208" s="274" t="s">
        <v>18</v>
      </c>
      <c r="G208" s="274" t="s">
        <v>34</v>
      </c>
      <c r="H208" s="274" t="s">
        <v>772</v>
      </c>
      <c r="I208" s="275">
        <v>3248</v>
      </c>
      <c r="J208" s="276">
        <v>479632.16</v>
      </c>
      <c r="K208" s="275">
        <v>3248</v>
      </c>
      <c r="L208" s="275">
        <v>3248</v>
      </c>
      <c r="M208" s="273">
        <v>45976</v>
      </c>
      <c r="N208" s="276">
        <v>529229.12</v>
      </c>
      <c r="O208" s="274" t="s">
        <v>21</v>
      </c>
      <c r="P208" s="274" t="s">
        <v>22</v>
      </c>
      <c r="Q208" s="274" t="s">
        <v>660</v>
      </c>
      <c r="R208" s="274" t="str">
        <f>VLOOKUP('MIS Working 1'!$G208,Master!$H$3:$I$8,2,0)</f>
        <v>Semi-Finished Goods</v>
      </c>
      <c r="S208" s="274" t="str">
        <f>VLOOKUP('MIS Working 1'!$H208,Master!B:C,2,0)</f>
        <v>SFG-GV5 Stator</v>
      </c>
      <c r="T208" s="274" t="str">
        <f>VLOOKUP('MIS Working 1'!$S208,Master!E:F,2,0)</f>
        <v>Sub Ass.-Mech Stator</v>
      </c>
      <c r="U208" s="277">
        <f>'MIS Working 1'!$N208-'MIS Working 1'!$AF208</f>
        <v>49596.960000000137</v>
      </c>
      <c r="V208" s="278">
        <f>'MIS Working 1'!$U208/'MIS Working 1'!$N208</f>
        <v>9.371547809009477E-2</v>
      </c>
      <c r="W208" s="274">
        <f>'MIS Working 1'!$N208/'MIS Working 1'!$L208</f>
        <v>162.94</v>
      </c>
      <c r="X208" s="279">
        <f>SUM('MIS Working 1'!$Y208:$AE208)</f>
        <v>149.61999999999998</v>
      </c>
      <c r="Y208" s="279">
        <f>SUMIFS('COGS Break up'!$E:$E,'COGS Break up'!$A:$A,'MIS Working 1'!$D208,'COGS Break up'!$D:$D,'MIS Working 1'!$Y$1)</f>
        <v>144.21999999999997</v>
      </c>
      <c r="Z208" s="279">
        <f>SUMIFS('COGS Break up'!$E:$E,'COGS Break up'!$A:$A,'MIS Working 1'!$D208,'COGS Break up'!$D:$D,'MIS Working 1'!$Z$1)</f>
        <v>1.5</v>
      </c>
      <c r="AA208" s="279">
        <f>SUMIFS('COGS Break up'!E:E,'COGS Break up'!A:A,'MIS Working 1'!$D:$D,'COGS Break up'!C:C,'MIS Working 1'!$AA$1)</f>
        <v>0.05</v>
      </c>
      <c r="AB208" s="279">
        <f>SUMIFS('COGS Break up'!E:E,'COGS Break up'!A:A,'MIS Working 1'!$D:$D,'COGS Break up'!C:C,$AB$1)</f>
        <v>0.4</v>
      </c>
      <c r="AC208" s="279">
        <f>SUMIFS('COGS Break up'!E:E,'COGS Break up'!A:A,'MIS Working 1'!$D:$D,'COGS Break up'!C:C,$AC$1)</f>
        <v>1.5</v>
      </c>
      <c r="AD208" s="279">
        <f>SUMIFS('COGS Break up'!$E:$E,'COGS Break up'!$A:$A,'MIS Working 1'!$D208,'COGS Break up'!$D:$D,'MIS Working 1'!$AD$1)</f>
        <v>0</v>
      </c>
      <c r="AE208" s="279">
        <f>SUMIFS('COGS Break up'!$E:$E,'COGS Break up'!$A:$A,'MIS Working 1'!$D208,'COGS Break up'!$D:$D,'MIS Working 1'!$AE$1)</f>
        <v>1.95</v>
      </c>
      <c r="AF208" s="280">
        <f>'MIS Working 1'!$AG208+'MIS Working 1'!$AH208+'MIS Working 1'!$AM208+'MIS Working 1'!$AL208</f>
        <v>479632.15999999986</v>
      </c>
      <c r="AG208" s="279">
        <f>'MIS Working 1'!$L208*'MIS Working 1'!$Y208</f>
        <v>468426.55999999988</v>
      </c>
      <c r="AH208" s="279">
        <f>'MIS Working 1'!$L208*'MIS Working 1'!$Z208</f>
        <v>4872</v>
      </c>
      <c r="AI208" s="279">
        <f t="shared" si="9"/>
        <v>162.4</v>
      </c>
      <c r="AJ208" s="279">
        <f t="shared" si="10"/>
        <v>1299.2</v>
      </c>
      <c r="AK208" s="279">
        <f t="shared" si="11"/>
        <v>4872</v>
      </c>
      <c r="AL208" s="279">
        <f>'MIS Working 1'!$AD208*'MIS Working 1'!$L208</f>
        <v>0</v>
      </c>
      <c r="AM208" s="279">
        <f>'MIS Working 1'!$L208*'MIS Working 1'!$AE208+'MIS Working 1'!$AL208</f>
        <v>6333.5999999999995</v>
      </c>
    </row>
    <row r="209" spans="1:39" x14ac:dyDescent="0.3">
      <c r="A209" s="263" t="s">
        <v>479</v>
      </c>
      <c r="B209" s="264">
        <v>45976</v>
      </c>
      <c r="C209" s="265" t="s">
        <v>1773</v>
      </c>
      <c r="D209" s="265" t="s">
        <v>595</v>
      </c>
      <c r="E209" s="265" t="s">
        <v>596</v>
      </c>
      <c r="F209" s="265" t="s">
        <v>18</v>
      </c>
      <c r="G209" s="265" t="s">
        <v>34</v>
      </c>
      <c r="H209" s="265" t="s">
        <v>772</v>
      </c>
      <c r="I209" s="266">
        <v>924</v>
      </c>
      <c r="J209" s="267">
        <v>115620.12</v>
      </c>
      <c r="K209" s="266">
        <v>924</v>
      </c>
      <c r="L209" s="266">
        <v>924</v>
      </c>
      <c r="M209" s="264">
        <v>45976</v>
      </c>
      <c r="N209" s="267">
        <v>122328.36</v>
      </c>
      <c r="O209" s="265" t="s">
        <v>21</v>
      </c>
      <c r="P209" s="265" t="s">
        <v>22</v>
      </c>
      <c r="Q209" s="265" t="s">
        <v>660</v>
      </c>
      <c r="R209" s="265" t="str">
        <f>VLOOKUP('MIS Working 1'!$G209,Master!$H$3:$I$8,2,0)</f>
        <v>Semi-Finished Goods</v>
      </c>
      <c r="S209" s="265" t="str">
        <f>VLOOKUP('MIS Working 1'!$H209,Master!B:C,2,0)</f>
        <v>SFG-GV5 Stator</v>
      </c>
      <c r="T209" s="265" t="str">
        <f>VLOOKUP('MIS Working 1'!$S209,Master!E:F,2,0)</f>
        <v>Sub Ass.-Mech Stator</v>
      </c>
      <c r="U209" s="268">
        <f>'MIS Working 1'!$N209-'MIS Working 1'!$AF209</f>
        <v>6708.2400000000052</v>
      </c>
      <c r="V209" s="269">
        <f>'MIS Working 1'!$U209/'MIS Working 1'!$N209</f>
        <v>5.4837978699297574E-2</v>
      </c>
      <c r="W209" s="265">
        <f>'MIS Working 1'!$N209/'MIS Working 1'!$L209</f>
        <v>132.39000000000001</v>
      </c>
      <c r="X209" s="270">
        <f>SUM('MIS Working 1'!$Y209:$AE209)</f>
        <v>127.08</v>
      </c>
      <c r="Y209" s="270">
        <f>SUMIFS('COGS Break up'!$E:$E,'COGS Break up'!$A:$A,'MIS Working 1'!$D209,'COGS Break up'!$D:$D,'MIS Working 1'!$Y$1)</f>
        <v>121.67999999999999</v>
      </c>
      <c r="Z209" s="270">
        <f>SUMIFS('COGS Break up'!$E:$E,'COGS Break up'!$A:$A,'MIS Working 1'!$D209,'COGS Break up'!$D:$D,'MIS Working 1'!$Z$1)</f>
        <v>1.5</v>
      </c>
      <c r="AA209" s="270">
        <f>SUMIFS('COGS Break up'!E:E,'COGS Break up'!A:A,'MIS Working 1'!$D:$D,'COGS Break up'!C:C,'MIS Working 1'!$AA$1)</f>
        <v>0.05</v>
      </c>
      <c r="AB209" s="270">
        <f>SUMIFS('COGS Break up'!E:E,'COGS Break up'!A:A,'MIS Working 1'!$D:$D,'COGS Break up'!C:C,$AB$1)</f>
        <v>0.4</v>
      </c>
      <c r="AC209" s="270">
        <f>SUMIFS('COGS Break up'!E:E,'COGS Break up'!A:A,'MIS Working 1'!$D:$D,'COGS Break up'!C:C,$AC$1)</f>
        <v>1.5</v>
      </c>
      <c r="AD209" s="270">
        <f>SUMIFS('COGS Break up'!$E:$E,'COGS Break up'!$A:$A,'MIS Working 1'!$D209,'COGS Break up'!$D:$D,'MIS Working 1'!$AD$1)</f>
        <v>0</v>
      </c>
      <c r="AE209" s="270">
        <f>SUMIFS('COGS Break up'!$E:$E,'COGS Break up'!$A:$A,'MIS Working 1'!$D209,'COGS Break up'!$D:$D,'MIS Working 1'!$AE$1)</f>
        <v>1.95</v>
      </c>
      <c r="AF209" s="271">
        <f>'MIS Working 1'!$AG209+'MIS Working 1'!$AH209+'MIS Working 1'!$AM209+'MIS Working 1'!$AL209</f>
        <v>115620.12</v>
      </c>
      <c r="AG209" s="270">
        <f>'MIS Working 1'!$L209*'MIS Working 1'!$Y209</f>
        <v>112432.31999999999</v>
      </c>
      <c r="AH209" s="270">
        <f>'MIS Working 1'!$L209*'MIS Working 1'!$Z209</f>
        <v>1386</v>
      </c>
      <c r="AI209" s="270">
        <f t="shared" si="9"/>
        <v>46.2</v>
      </c>
      <c r="AJ209" s="270">
        <f t="shared" si="10"/>
        <v>369.6</v>
      </c>
      <c r="AK209" s="270">
        <f t="shared" si="11"/>
        <v>1386</v>
      </c>
      <c r="AL209" s="270">
        <f>'MIS Working 1'!$AD209*'MIS Working 1'!$L209</f>
        <v>0</v>
      </c>
      <c r="AM209" s="270">
        <f>'MIS Working 1'!$L209*'MIS Working 1'!$AE209+'MIS Working 1'!$AL209</f>
        <v>1801.8</v>
      </c>
    </row>
    <row r="210" spans="1:39" x14ac:dyDescent="0.3">
      <c r="A210" s="272" t="s">
        <v>479</v>
      </c>
      <c r="B210" s="273">
        <v>45976</v>
      </c>
      <c r="C210" s="274" t="s">
        <v>1774</v>
      </c>
      <c r="D210" s="274" t="s">
        <v>1530</v>
      </c>
      <c r="E210" s="274" t="s">
        <v>1531</v>
      </c>
      <c r="F210" s="274" t="s">
        <v>18</v>
      </c>
      <c r="G210" s="274" t="s">
        <v>34</v>
      </c>
      <c r="H210" s="274" t="s">
        <v>772</v>
      </c>
      <c r="I210" s="275">
        <v>896</v>
      </c>
      <c r="J210" s="276">
        <v>86938.880000000005</v>
      </c>
      <c r="K210" s="275">
        <v>896</v>
      </c>
      <c r="L210" s="275">
        <v>896</v>
      </c>
      <c r="M210" s="273">
        <v>45976</v>
      </c>
      <c r="N210" s="276">
        <v>114123.52</v>
      </c>
      <c r="O210" s="274" t="s">
        <v>21</v>
      </c>
      <c r="P210" s="274" t="s">
        <v>22</v>
      </c>
      <c r="Q210" s="274" t="s">
        <v>660</v>
      </c>
      <c r="R210" s="274" t="str">
        <f>VLOOKUP('MIS Working 1'!$G210,Master!$H$3:$I$8,2,0)</f>
        <v>Semi-Finished Goods</v>
      </c>
      <c r="S210" s="274" t="str">
        <f>VLOOKUP('MIS Working 1'!$H210,Master!B:C,2,0)</f>
        <v>SFG-GV5 Stator</v>
      </c>
      <c r="T210" s="274" t="str">
        <f>VLOOKUP('MIS Working 1'!$S210,Master!E:F,2,0)</f>
        <v>Sub Ass.-Mech Stator</v>
      </c>
      <c r="U210" s="277">
        <f>'MIS Working 1'!$N210-'MIS Working 1'!$AF210</f>
        <v>27184.639999999999</v>
      </c>
      <c r="V210" s="278">
        <f>'MIS Working 1'!$U210/'MIS Working 1'!$N210</f>
        <v>0.23820365863233098</v>
      </c>
      <c r="W210" s="274">
        <f>'MIS Working 1'!$N210/'MIS Working 1'!$L210</f>
        <v>127.37</v>
      </c>
      <c r="X210" s="279">
        <f>SUM('MIS Working 1'!$Y210:$AE210)</f>
        <v>98.940000000000012</v>
      </c>
      <c r="Y210" s="279">
        <f>SUMIFS('COGS Break up'!$E:$E,'COGS Break up'!$A:$A,'MIS Working 1'!$D210,'COGS Break up'!$D:$D,'MIS Working 1'!$Y$1)</f>
        <v>93.490000000000009</v>
      </c>
      <c r="Z210" s="279">
        <f>SUMIFS('COGS Break up'!$E:$E,'COGS Break up'!$A:$A,'MIS Working 1'!$D210,'COGS Break up'!$D:$D,'MIS Working 1'!$Z$1)</f>
        <v>1.63</v>
      </c>
      <c r="AA210" s="279">
        <f>SUMIFS('COGS Break up'!E:E,'COGS Break up'!A:A,'MIS Working 1'!$D:$D,'COGS Break up'!C:C,'MIS Working 1'!$AA$1)</f>
        <v>0.04</v>
      </c>
      <c r="AB210" s="279">
        <f>SUMIFS('COGS Break up'!E:E,'COGS Break up'!A:A,'MIS Working 1'!$D:$D,'COGS Break up'!C:C,$AB$1)</f>
        <v>0.37</v>
      </c>
      <c r="AC210" s="279">
        <f>SUMIFS('COGS Break up'!E:E,'COGS Break up'!A:A,'MIS Working 1'!$D:$D,'COGS Break up'!C:C,$AC$1)</f>
        <v>1.5</v>
      </c>
      <c r="AD210" s="279">
        <f>SUMIFS('COGS Break up'!$E:$E,'COGS Break up'!$A:$A,'MIS Working 1'!$D210,'COGS Break up'!$D:$D,'MIS Working 1'!$AD$1)</f>
        <v>0</v>
      </c>
      <c r="AE210" s="279">
        <f>SUMIFS('COGS Break up'!$E:$E,'COGS Break up'!$A:$A,'MIS Working 1'!$D210,'COGS Break up'!$D:$D,'MIS Working 1'!$AE$1)</f>
        <v>1.9100000000000001</v>
      </c>
      <c r="AF210" s="280">
        <f>'MIS Working 1'!$AG210+'MIS Working 1'!$AH210+'MIS Working 1'!$AM210+'MIS Working 1'!$AL210</f>
        <v>86938.880000000005</v>
      </c>
      <c r="AG210" s="279">
        <f>'MIS Working 1'!$L210*'MIS Working 1'!$Y210</f>
        <v>83767.040000000008</v>
      </c>
      <c r="AH210" s="279">
        <f>'MIS Working 1'!$L210*'MIS Working 1'!$Z210</f>
        <v>1460.48</v>
      </c>
      <c r="AI210" s="279">
        <f t="shared" si="9"/>
        <v>35.840000000000003</v>
      </c>
      <c r="AJ210" s="279">
        <f t="shared" si="10"/>
        <v>331.52</v>
      </c>
      <c r="AK210" s="279">
        <f t="shared" si="11"/>
        <v>1344</v>
      </c>
      <c r="AL210" s="279">
        <f>'MIS Working 1'!$AD210*'MIS Working 1'!$L210</f>
        <v>0</v>
      </c>
      <c r="AM210" s="279">
        <f>'MIS Working 1'!$L210*'MIS Working 1'!$AE210+'MIS Working 1'!$AL210</f>
        <v>1711.3600000000001</v>
      </c>
    </row>
    <row r="211" spans="1:39" x14ac:dyDescent="0.3">
      <c r="A211" s="263" t="s">
        <v>479</v>
      </c>
      <c r="B211" s="264">
        <v>45976</v>
      </c>
      <c r="C211" s="265" t="s">
        <v>1775</v>
      </c>
      <c r="D211" s="265" t="s">
        <v>639</v>
      </c>
      <c r="E211" s="265" t="s">
        <v>640</v>
      </c>
      <c r="F211" s="265" t="s">
        <v>18</v>
      </c>
      <c r="G211" s="265" t="s">
        <v>19</v>
      </c>
      <c r="H211" s="265" t="s">
        <v>27</v>
      </c>
      <c r="I211" s="266">
        <v>444</v>
      </c>
      <c r="J211" s="267">
        <v>286393.32</v>
      </c>
      <c r="K211" s="266">
        <v>444</v>
      </c>
      <c r="L211" s="266">
        <v>444</v>
      </c>
      <c r="M211" s="264">
        <v>45976</v>
      </c>
      <c r="N211" s="267">
        <v>323480.64</v>
      </c>
      <c r="O211" s="265" t="s">
        <v>21</v>
      </c>
      <c r="P211" s="265" t="s">
        <v>22</v>
      </c>
      <c r="Q211" s="265" t="s">
        <v>660</v>
      </c>
      <c r="R211" s="265" t="str">
        <f>VLOOKUP('MIS Working 1'!$G211,Master!$H$3:$I$8,2,0)</f>
        <v>Finished Goods</v>
      </c>
      <c r="S211" s="265" t="str">
        <f>VLOOKUP('MIS Working 1'!$H211,Master!B:C,2,0)</f>
        <v>FG-PCB-CF</v>
      </c>
      <c r="T211" s="265" t="str">
        <f>VLOOKUP('MIS Working 1'!$S211,Master!E:F,2,0)</f>
        <v>FG-PCB-CF</v>
      </c>
      <c r="U211" s="268">
        <f>'MIS Working 1'!$N211-'MIS Working 1'!$AF211</f>
        <v>36896.400000000198</v>
      </c>
      <c r="V211" s="269">
        <f>'MIS Working 1'!$U211/'MIS Working 1'!$N211</f>
        <v>0.11406061271549418</v>
      </c>
      <c r="W211" s="265">
        <f>'MIS Working 1'!$N211/'MIS Working 1'!$L211</f>
        <v>728.56000000000006</v>
      </c>
      <c r="X211" s="270">
        <f>SUM('MIS Working 1'!$Y211:$AE211)</f>
        <v>677.50999999999965</v>
      </c>
      <c r="Y211" s="270">
        <f>SUMIFS('COGS Break up'!$E:$E,'COGS Break up'!$A:$A,'MIS Working 1'!$D211,'COGS Break up'!$D:$D,'MIS Working 1'!$Y$1)</f>
        <v>582.23999999999967</v>
      </c>
      <c r="Z211" s="270">
        <f>SUMIFS('COGS Break up'!$E:$E,'COGS Break up'!$A:$A,'MIS Working 1'!$D211,'COGS Break up'!$D:$D,'MIS Working 1'!$Z$1)</f>
        <v>29.88</v>
      </c>
      <c r="AA211" s="270">
        <f>SUMIFS('COGS Break up'!E:E,'COGS Break up'!A:A,'MIS Working 1'!$D:$D,'COGS Break up'!C:C,'MIS Working 1'!$AA$1)</f>
        <v>2.4500000000000002</v>
      </c>
      <c r="AB211" s="270">
        <f>SUMIFS('COGS Break up'!E:E,'COGS Break up'!A:A,'MIS Working 1'!$D:$D,'COGS Break up'!C:C,$AB$1)</f>
        <v>21.72</v>
      </c>
      <c r="AC211" s="270">
        <f>SUMIFS('COGS Break up'!E:E,'COGS Break up'!A:A,'MIS Working 1'!$D:$D,'COGS Break up'!C:C,$AC$1)</f>
        <v>8.31</v>
      </c>
      <c r="AD211" s="270">
        <f>SUMIFS('COGS Break up'!$E:$E,'COGS Break up'!$A:$A,'MIS Working 1'!$D211,'COGS Break up'!$D:$D,'MIS Working 1'!$AD$1)</f>
        <v>0.43</v>
      </c>
      <c r="AE211" s="270">
        <f>SUMIFS('COGS Break up'!$E:$E,'COGS Break up'!$A:$A,'MIS Working 1'!$D211,'COGS Break up'!$D:$D,'MIS Working 1'!$AE$1)</f>
        <v>32.480000000000004</v>
      </c>
      <c r="AF211" s="271">
        <f>'MIS Working 1'!$AG211+'MIS Working 1'!$AH211+'MIS Working 1'!$AM211+'MIS Working 1'!$AL211</f>
        <v>286584.23999999982</v>
      </c>
      <c r="AG211" s="270">
        <f>'MIS Working 1'!$L211*'MIS Working 1'!$Y211</f>
        <v>258514.55999999985</v>
      </c>
      <c r="AH211" s="270">
        <f>'MIS Working 1'!$L211*'MIS Working 1'!$Z211</f>
        <v>13266.72</v>
      </c>
      <c r="AI211" s="270">
        <f t="shared" si="9"/>
        <v>1087.8000000000002</v>
      </c>
      <c r="AJ211" s="270">
        <f t="shared" si="10"/>
        <v>9643.68</v>
      </c>
      <c r="AK211" s="270">
        <f t="shared" si="11"/>
        <v>3689.6400000000003</v>
      </c>
      <c r="AL211" s="270">
        <f>'MIS Working 1'!$AD211*'MIS Working 1'!$L211</f>
        <v>190.92</v>
      </c>
      <c r="AM211" s="270">
        <f>'MIS Working 1'!$L211*'MIS Working 1'!$AE211+'MIS Working 1'!$AL211</f>
        <v>14612.040000000003</v>
      </c>
    </row>
    <row r="212" spans="1:39" x14ac:dyDescent="0.3">
      <c r="A212" s="272" t="s">
        <v>479</v>
      </c>
      <c r="B212" s="273">
        <v>45976</v>
      </c>
      <c r="C212" s="274" t="s">
        <v>1775</v>
      </c>
      <c r="D212" s="274" t="s">
        <v>42</v>
      </c>
      <c r="E212" s="274" t="s">
        <v>43</v>
      </c>
      <c r="F212" s="274" t="s">
        <v>18</v>
      </c>
      <c r="G212" s="274" t="s">
        <v>19</v>
      </c>
      <c r="H212" s="274" t="s">
        <v>27</v>
      </c>
      <c r="I212" s="275">
        <v>1290</v>
      </c>
      <c r="J212" s="276">
        <v>421997.7</v>
      </c>
      <c r="K212" s="275">
        <v>1290</v>
      </c>
      <c r="L212" s="275">
        <v>1290</v>
      </c>
      <c r="M212" s="273">
        <v>45976</v>
      </c>
      <c r="N212" s="276">
        <v>439980.3</v>
      </c>
      <c r="O212" s="274" t="s">
        <v>21</v>
      </c>
      <c r="P212" s="274" t="s">
        <v>22</v>
      </c>
      <c r="Q212" s="274" t="s">
        <v>660</v>
      </c>
      <c r="R212" s="274" t="str">
        <f>VLOOKUP('MIS Working 1'!$G212,Master!$H$3:$I$8,2,0)</f>
        <v>Finished Goods</v>
      </c>
      <c r="S212" s="274" t="str">
        <f>VLOOKUP('MIS Working 1'!$H212,Master!B:C,2,0)</f>
        <v>FG-PCB-CF</v>
      </c>
      <c r="T212" s="274" t="str">
        <f>VLOOKUP('MIS Working 1'!$S212,Master!E:F,2,0)</f>
        <v>FG-PCB-CF</v>
      </c>
      <c r="U212" s="277">
        <f>'MIS Working 1'!$N212-'MIS Working 1'!$AF212</f>
        <v>17763.29999999993</v>
      </c>
      <c r="V212" s="278">
        <f>'MIS Working 1'!$U212/'MIS Working 1'!$N212</f>
        <v>4.0372943970445795E-2</v>
      </c>
      <c r="W212" s="274">
        <f>'MIS Working 1'!$N212/'MIS Working 1'!$L212</f>
        <v>341.07</v>
      </c>
      <c r="X212" s="279">
        <f>SUM('MIS Working 1'!$Y212:$AE212)</f>
        <v>353.55</v>
      </c>
      <c r="Y212" s="279">
        <f>SUMIFS('COGS Break up'!$E:$E,'COGS Break up'!$A:$A,'MIS Working 1'!$D212,'COGS Break up'!$D:$D,'MIS Working 1'!$Y$1)</f>
        <v>278.14000000000004</v>
      </c>
      <c r="Z212" s="279">
        <f>SUMIFS('COGS Break up'!$E:$E,'COGS Break up'!$A:$A,'MIS Working 1'!$D212,'COGS Break up'!$D:$D,'MIS Working 1'!$Z$1)</f>
        <v>22.400000000000002</v>
      </c>
      <c r="AA212" s="279">
        <f>SUMIFS('COGS Break up'!E:E,'COGS Break up'!A:A,'MIS Working 1'!$D:$D,'COGS Break up'!C:C,'MIS Working 1'!$AA$1)</f>
        <v>1.8299999999999998</v>
      </c>
      <c r="AB212" s="279">
        <f>SUMIFS('COGS Break up'!E:E,'COGS Break up'!A:A,'MIS Working 1'!$D:$D,'COGS Break up'!C:C,$AB$1)</f>
        <v>16.28</v>
      </c>
      <c r="AC212" s="279">
        <f>SUMIFS('COGS Break up'!E:E,'COGS Break up'!A:A,'MIS Working 1'!$D:$D,'COGS Break up'!C:C,$AC$1)</f>
        <v>8.31</v>
      </c>
      <c r="AD212" s="279">
        <f>SUMIFS('COGS Break up'!$E:$E,'COGS Break up'!$A:$A,'MIS Working 1'!$D212,'COGS Break up'!$D:$D,'MIS Working 1'!$AD$1)</f>
        <v>0.17</v>
      </c>
      <c r="AE212" s="279">
        <f>SUMIFS('COGS Break up'!$E:$E,'COGS Break up'!$A:$A,'MIS Working 1'!$D212,'COGS Break up'!$D:$D,'MIS Working 1'!$AE$1)</f>
        <v>26.42</v>
      </c>
      <c r="AF212" s="280">
        <f>'MIS Working 1'!$AG212+'MIS Working 1'!$AH212+'MIS Working 1'!$AM212+'MIS Working 1'!$AL212</f>
        <v>422217.00000000006</v>
      </c>
      <c r="AG212" s="279">
        <f>'MIS Working 1'!$L212*'MIS Working 1'!$Y212</f>
        <v>358800.60000000003</v>
      </c>
      <c r="AH212" s="279">
        <f>'MIS Working 1'!$L212*'MIS Working 1'!$Z212</f>
        <v>28896.000000000004</v>
      </c>
      <c r="AI212" s="279">
        <f t="shared" si="9"/>
        <v>2360.6999999999998</v>
      </c>
      <c r="AJ212" s="279">
        <f t="shared" si="10"/>
        <v>21001.200000000001</v>
      </c>
      <c r="AK212" s="279">
        <f t="shared" si="11"/>
        <v>10719.900000000001</v>
      </c>
      <c r="AL212" s="279">
        <f>'MIS Working 1'!$AD212*'MIS Working 1'!$L212</f>
        <v>219.3</v>
      </c>
      <c r="AM212" s="279">
        <f>'MIS Working 1'!$L212*'MIS Working 1'!$AE212+'MIS Working 1'!$AL212</f>
        <v>34301.100000000006</v>
      </c>
    </row>
    <row r="213" spans="1:39" x14ac:dyDescent="0.3">
      <c r="A213" s="263" t="s">
        <v>479</v>
      </c>
      <c r="B213" s="264">
        <v>45976</v>
      </c>
      <c r="C213" s="265" t="s">
        <v>1777</v>
      </c>
      <c r="D213" s="265" t="s">
        <v>42</v>
      </c>
      <c r="E213" s="265" t="s">
        <v>43</v>
      </c>
      <c r="F213" s="265" t="s">
        <v>18</v>
      </c>
      <c r="G213" s="265" t="s">
        <v>19</v>
      </c>
      <c r="H213" s="265" t="s">
        <v>27</v>
      </c>
      <c r="I213" s="266">
        <v>2390</v>
      </c>
      <c r="J213" s="267">
        <v>781840.7</v>
      </c>
      <c r="K213" s="266">
        <v>2390</v>
      </c>
      <c r="L213" s="266">
        <v>2390</v>
      </c>
      <c r="M213" s="264">
        <v>45976</v>
      </c>
      <c r="N213" s="267">
        <v>815157.3</v>
      </c>
      <c r="O213" s="265" t="s">
        <v>21</v>
      </c>
      <c r="P213" s="265" t="s">
        <v>22</v>
      </c>
      <c r="Q213" s="265" t="s">
        <v>660</v>
      </c>
      <c r="R213" s="265" t="str">
        <f>VLOOKUP('MIS Working 1'!$G213,Master!$H$3:$I$8,2,0)</f>
        <v>Finished Goods</v>
      </c>
      <c r="S213" s="265" t="str">
        <f>VLOOKUP('MIS Working 1'!$H213,Master!B:C,2,0)</f>
        <v>FG-PCB-CF</v>
      </c>
      <c r="T213" s="265" t="str">
        <f>VLOOKUP('MIS Working 1'!$S213,Master!E:F,2,0)</f>
        <v>FG-PCB-CF</v>
      </c>
      <c r="U213" s="268">
        <f>'MIS Working 1'!$N213-'MIS Working 1'!$AF213</f>
        <v>32910.29999999993</v>
      </c>
      <c r="V213" s="269">
        <f>'MIS Working 1'!$U213/'MIS Working 1'!$N213</f>
        <v>4.0372943970445864E-2</v>
      </c>
      <c r="W213" s="265">
        <f>'MIS Working 1'!$N213/'MIS Working 1'!$L213</f>
        <v>341.07</v>
      </c>
      <c r="X213" s="270">
        <f>SUM('MIS Working 1'!$Y213:$AE213)</f>
        <v>353.55</v>
      </c>
      <c r="Y213" s="270">
        <f>SUMIFS('COGS Break up'!$E:$E,'COGS Break up'!$A:$A,'MIS Working 1'!$D213,'COGS Break up'!$D:$D,'MIS Working 1'!$Y$1)</f>
        <v>278.14000000000004</v>
      </c>
      <c r="Z213" s="270">
        <f>SUMIFS('COGS Break up'!$E:$E,'COGS Break up'!$A:$A,'MIS Working 1'!$D213,'COGS Break up'!$D:$D,'MIS Working 1'!$Z$1)</f>
        <v>22.400000000000002</v>
      </c>
      <c r="AA213" s="270">
        <f>SUMIFS('COGS Break up'!E:E,'COGS Break up'!A:A,'MIS Working 1'!$D:$D,'COGS Break up'!C:C,'MIS Working 1'!$AA$1)</f>
        <v>1.8299999999999998</v>
      </c>
      <c r="AB213" s="270">
        <f>SUMIFS('COGS Break up'!E:E,'COGS Break up'!A:A,'MIS Working 1'!$D:$D,'COGS Break up'!C:C,$AB$1)</f>
        <v>16.28</v>
      </c>
      <c r="AC213" s="270">
        <f>SUMIFS('COGS Break up'!E:E,'COGS Break up'!A:A,'MIS Working 1'!$D:$D,'COGS Break up'!C:C,$AC$1)</f>
        <v>8.31</v>
      </c>
      <c r="AD213" s="270">
        <f>SUMIFS('COGS Break up'!$E:$E,'COGS Break up'!$A:$A,'MIS Working 1'!$D213,'COGS Break up'!$D:$D,'MIS Working 1'!$AD$1)</f>
        <v>0.17</v>
      </c>
      <c r="AE213" s="270">
        <f>SUMIFS('COGS Break up'!$E:$E,'COGS Break up'!$A:$A,'MIS Working 1'!$D213,'COGS Break up'!$D:$D,'MIS Working 1'!$AE$1)</f>
        <v>26.42</v>
      </c>
      <c r="AF213" s="271">
        <f>'MIS Working 1'!$AG213+'MIS Working 1'!$AH213+'MIS Working 1'!$AM213+'MIS Working 1'!$AL213</f>
        <v>782247.00000000012</v>
      </c>
      <c r="AG213" s="270">
        <f>'MIS Working 1'!$L213*'MIS Working 1'!$Y213</f>
        <v>664754.60000000009</v>
      </c>
      <c r="AH213" s="270">
        <f>'MIS Working 1'!$L213*'MIS Working 1'!$Z213</f>
        <v>53536.000000000007</v>
      </c>
      <c r="AI213" s="270">
        <f t="shared" si="9"/>
        <v>4373.7</v>
      </c>
      <c r="AJ213" s="270">
        <f t="shared" si="10"/>
        <v>38909.200000000004</v>
      </c>
      <c r="AK213" s="270">
        <f t="shared" si="11"/>
        <v>19860.900000000001</v>
      </c>
      <c r="AL213" s="270">
        <f>'MIS Working 1'!$AD213*'MIS Working 1'!$L213</f>
        <v>406.3</v>
      </c>
      <c r="AM213" s="270">
        <f>'MIS Working 1'!$L213*'MIS Working 1'!$AE213+'MIS Working 1'!$AL213</f>
        <v>63550.100000000006</v>
      </c>
    </row>
    <row r="214" spans="1:39" x14ac:dyDescent="0.3">
      <c r="A214" s="272" t="s">
        <v>479</v>
      </c>
      <c r="B214" s="273">
        <v>45976</v>
      </c>
      <c r="C214" s="274" t="s">
        <v>1776</v>
      </c>
      <c r="D214" s="274" t="s">
        <v>42</v>
      </c>
      <c r="E214" s="274" t="s">
        <v>43</v>
      </c>
      <c r="F214" s="274" t="s">
        <v>18</v>
      </c>
      <c r="G214" s="274" t="s">
        <v>19</v>
      </c>
      <c r="H214" s="274" t="s">
        <v>27</v>
      </c>
      <c r="I214" s="275">
        <v>840</v>
      </c>
      <c r="J214" s="276">
        <v>274789.2</v>
      </c>
      <c r="K214" s="275">
        <v>840</v>
      </c>
      <c r="L214" s="275">
        <v>840</v>
      </c>
      <c r="M214" s="273">
        <v>45976</v>
      </c>
      <c r="N214" s="276">
        <v>286498.8</v>
      </c>
      <c r="O214" s="274" t="s">
        <v>21</v>
      </c>
      <c r="P214" s="274" t="s">
        <v>22</v>
      </c>
      <c r="Q214" s="274" t="s">
        <v>660</v>
      </c>
      <c r="R214" s="274" t="str">
        <f>VLOOKUP('MIS Working 1'!$G214,Master!$H$3:$I$8,2,0)</f>
        <v>Finished Goods</v>
      </c>
      <c r="S214" s="274" t="str">
        <f>VLOOKUP('MIS Working 1'!$H214,Master!B:C,2,0)</f>
        <v>FG-PCB-CF</v>
      </c>
      <c r="T214" s="274" t="str">
        <f>VLOOKUP('MIS Working 1'!$S214,Master!E:F,2,0)</f>
        <v>FG-PCB-CF</v>
      </c>
      <c r="U214" s="277">
        <f>'MIS Working 1'!$N214-'MIS Working 1'!$AF214</f>
        <v>11566.799999999988</v>
      </c>
      <c r="V214" s="278">
        <f>'MIS Working 1'!$U214/'MIS Working 1'!$N214</f>
        <v>4.0372943970445913E-2</v>
      </c>
      <c r="W214" s="274">
        <f>'MIS Working 1'!$N214/'MIS Working 1'!$L214</f>
        <v>341.07</v>
      </c>
      <c r="X214" s="279">
        <f>SUM('MIS Working 1'!$Y214:$AE214)</f>
        <v>353.55</v>
      </c>
      <c r="Y214" s="279">
        <f>SUMIFS('COGS Break up'!$E:$E,'COGS Break up'!$A:$A,'MIS Working 1'!$D214,'COGS Break up'!$D:$D,'MIS Working 1'!$Y$1)</f>
        <v>278.14000000000004</v>
      </c>
      <c r="Z214" s="279">
        <f>SUMIFS('COGS Break up'!$E:$E,'COGS Break up'!$A:$A,'MIS Working 1'!$D214,'COGS Break up'!$D:$D,'MIS Working 1'!$Z$1)</f>
        <v>22.400000000000002</v>
      </c>
      <c r="AA214" s="279">
        <f>SUMIFS('COGS Break up'!E:E,'COGS Break up'!A:A,'MIS Working 1'!$D:$D,'COGS Break up'!C:C,'MIS Working 1'!$AA$1)</f>
        <v>1.8299999999999998</v>
      </c>
      <c r="AB214" s="279">
        <f>SUMIFS('COGS Break up'!E:E,'COGS Break up'!A:A,'MIS Working 1'!$D:$D,'COGS Break up'!C:C,$AB$1)</f>
        <v>16.28</v>
      </c>
      <c r="AC214" s="279">
        <f>SUMIFS('COGS Break up'!E:E,'COGS Break up'!A:A,'MIS Working 1'!$D:$D,'COGS Break up'!C:C,$AC$1)</f>
        <v>8.31</v>
      </c>
      <c r="AD214" s="279">
        <f>SUMIFS('COGS Break up'!$E:$E,'COGS Break up'!$A:$A,'MIS Working 1'!$D214,'COGS Break up'!$D:$D,'MIS Working 1'!$AD$1)</f>
        <v>0.17</v>
      </c>
      <c r="AE214" s="279">
        <f>SUMIFS('COGS Break up'!$E:$E,'COGS Break up'!$A:$A,'MIS Working 1'!$D214,'COGS Break up'!$D:$D,'MIS Working 1'!$AE$1)</f>
        <v>26.42</v>
      </c>
      <c r="AF214" s="280">
        <f>'MIS Working 1'!$AG214+'MIS Working 1'!$AH214+'MIS Working 1'!$AM214+'MIS Working 1'!$AL214</f>
        <v>274932</v>
      </c>
      <c r="AG214" s="279">
        <f>'MIS Working 1'!$L214*'MIS Working 1'!$Y214</f>
        <v>233637.60000000003</v>
      </c>
      <c r="AH214" s="279">
        <f>'MIS Working 1'!$L214*'MIS Working 1'!$Z214</f>
        <v>18816</v>
      </c>
      <c r="AI214" s="279">
        <f t="shared" si="9"/>
        <v>1537.1999999999998</v>
      </c>
      <c r="AJ214" s="279">
        <f t="shared" si="10"/>
        <v>13675.2</v>
      </c>
      <c r="AK214" s="279">
        <f t="shared" si="11"/>
        <v>6980.4000000000005</v>
      </c>
      <c r="AL214" s="279">
        <f>'MIS Working 1'!$AD214*'MIS Working 1'!$L214</f>
        <v>142.80000000000001</v>
      </c>
      <c r="AM214" s="279">
        <f>'MIS Working 1'!$L214*'MIS Working 1'!$AE214+'MIS Working 1'!$AL214</f>
        <v>22335.600000000002</v>
      </c>
    </row>
    <row r="215" spans="1:39" x14ac:dyDescent="0.3">
      <c r="A215" s="263" t="s">
        <v>479</v>
      </c>
      <c r="B215" s="264">
        <v>45976</v>
      </c>
      <c r="C215" s="265" t="s">
        <v>1777</v>
      </c>
      <c r="D215" s="265" t="s">
        <v>23</v>
      </c>
      <c r="E215" s="265" t="s">
        <v>24</v>
      </c>
      <c r="F215" s="265" t="s">
        <v>18</v>
      </c>
      <c r="G215" s="265" t="s">
        <v>19</v>
      </c>
      <c r="H215" s="265" t="s">
        <v>27</v>
      </c>
      <c r="I215" s="266">
        <v>1330</v>
      </c>
      <c r="J215" s="267">
        <v>560475.30000000005</v>
      </c>
      <c r="K215" s="266">
        <v>1330</v>
      </c>
      <c r="L215" s="266">
        <v>1330</v>
      </c>
      <c r="M215" s="264">
        <v>45976</v>
      </c>
      <c r="N215" s="267">
        <v>642602.80000000005</v>
      </c>
      <c r="O215" s="265" t="s">
        <v>21</v>
      </c>
      <c r="P215" s="265" t="s">
        <v>22</v>
      </c>
      <c r="Q215" s="265" t="s">
        <v>660</v>
      </c>
      <c r="R215" s="265" t="str">
        <f>VLOOKUP('MIS Working 1'!$G215,Master!$H$3:$I$8,2,0)</f>
        <v>Finished Goods</v>
      </c>
      <c r="S215" s="265" t="str">
        <f>VLOOKUP('MIS Working 1'!$H215,Master!B:C,2,0)</f>
        <v>FG-PCB-CF</v>
      </c>
      <c r="T215" s="265" t="str">
        <f>VLOOKUP('MIS Working 1'!$S215,Master!E:F,2,0)</f>
        <v>FG-PCB-CF</v>
      </c>
      <c r="U215" s="268">
        <f>'MIS Working 1'!$N215-'MIS Working 1'!$AF215</f>
        <v>81781.700000000186</v>
      </c>
      <c r="V215" s="269">
        <f>'MIS Working 1'!$U215/'MIS Working 1'!$N215</f>
        <v>0.12726632999420509</v>
      </c>
      <c r="W215" s="265">
        <f>'MIS Working 1'!$N215/'MIS Working 1'!$L215</f>
        <v>483.16</v>
      </c>
      <c r="X215" s="270">
        <f>SUM('MIS Working 1'!$Y215:$AE215)</f>
        <v>447.50999999999988</v>
      </c>
      <c r="Y215" s="270">
        <f>SUMIFS('COGS Break up'!$E:$E,'COGS Break up'!$A:$A,'MIS Working 1'!$D215,'COGS Break up'!$D:$D,'MIS Working 1'!$Y$1)</f>
        <v>373.04999999999984</v>
      </c>
      <c r="Z215" s="270">
        <f>SUMIFS('COGS Break up'!$E:$E,'COGS Break up'!$A:$A,'MIS Working 1'!$D215,'COGS Break up'!$D:$D,'MIS Working 1'!$Z$1)</f>
        <v>22</v>
      </c>
      <c r="AA215" s="270">
        <f>SUMIFS('COGS Break up'!E:E,'COGS Break up'!A:A,'MIS Working 1'!$D:$D,'COGS Break up'!C:C,'MIS Working 1'!$AA$1)</f>
        <v>1.8</v>
      </c>
      <c r="AB215" s="270">
        <f>SUMIFS('COGS Break up'!E:E,'COGS Break up'!A:A,'MIS Working 1'!$D:$D,'COGS Break up'!C:C,$AB$1)</f>
        <v>15.99</v>
      </c>
      <c r="AC215" s="270">
        <f>SUMIFS('COGS Break up'!E:E,'COGS Break up'!A:A,'MIS Working 1'!$D:$D,'COGS Break up'!C:C,$AC$1)</f>
        <v>8.31</v>
      </c>
      <c r="AD215" s="270">
        <f>SUMIFS('COGS Break up'!$E:$E,'COGS Break up'!$A:$A,'MIS Working 1'!$D215,'COGS Break up'!$D:$D,'MIS Working 1'!$AD$1)</f>
        <v>0.26</v>
      </c>
      <c r="AE215" s="270">
        <f>SUMIFS('COGS Break up'!$E:$E,'COGS Break up'!$A:$A,'MIS Working 1'!$D215,'COGS Break up'!$D:$D,'MIS Working 1'!$AE$1)</f>
        <v>26.1</v>
      </c>
      <c r="AF215" s="271">
        <f>'MIS Working 1'!$AG215+'MIS Working 1'!$AH215+'MIS Working 1'!$AM215+'MIS Working 1'!$AL215</f>
        <v>560821.09999999986</v>
      </c>
      <c r="AG215" s="270">
        <f>'MIS Working 1'!$L215*'MIS Working 1'!$Y215</f>
        <v>496156.49999999977</v>
      </c>
      <c r="AH215" s="270">
        <f>'MIS Working 1'!$L215*'MIS Working 1'!$Z215</f>
        <v>29260</v>
      </c>
      <c r="AI215" s="270">
        <f t="shared" si="9"/>
        <v>2394</v>
      </c>
      <c r="AJ215" s="270">
        <f t="shared" si="10"/>
        <v>21266.7</v>
      </c>
      <c r="AK215" s="270">
        <f t="shared" si="11"/>
        <v>11052.300000000001</v>
      </c>
      <c r="AL215" s="270">
        <f>'MIS Working 1'!$AD215*'MIS Working 1'!$L215</f>
        <v>345.8</v>
      </c>
      <c r="AM215" s="270">
        <f>'MIS Working 1'!$L215*'MIS Working 1'!$AE215+'MIS Working 1'!$AL215</f>
        <v>35058.800000000003</v>
      </c>
    </row>
    <row r="216" spans="1:39" x14ac:dyDescent="0.3">
      <c r="A216" s="272" t="s">
        <v>479</v>
      </c>
      <c r="B216" s="273">
        <v>45976</v>
      </c>
      <c r="C216" s="274" t="s">
        <v>1776</v>
      </c>
      <c r="D216" s="274" t="s">
        <v>1184</v>
      </c>
      <c r="E216" s="274" t="s">
        <v>1185</v>
      </c>
      <c r="F216" s="274" t="s">
        <v>18</v>
      </c>
      <c r="G216" s="274" t="s">
        <v>19</v>
      </c>
      <c r="H216" s="274" t="s">
        <v>27</v>
      </c>
      <c r="I216" s="275">
        <v>755</v>
      </c>
      <c r="J216" s="276">
        <v>318141.90000000002</v>
      </c>
      <c r="K216" s="275">
        <v>755</v>
      </c>
      <c r="L216" s="275">
        <v>755</v>
      </c>
      <c r="M216" s="273">
        <v>45976</v>
      </c>
      <c r="N216" s="276">
        <v>364785.8</v>
      </c>
      <c r="O216" s="274" t="s">
        <v>21</v>
      </c>
      <c r="P216" s="274" t="s">
        <v>22</v>
      </c>
      <c r="Q216" s="274" t="s">
        <v>660</v>
      </c>
      <c r="R216" s="274" t="str">
        <f>VLOOKUP('MIS Working 1'!$G216,Master!$H$3:$I$8,2,0)</f>
        <v>Finished Goods</v>
      </c>
      <c r="S216" s="274" t="str">
        <f>VLOOKUP('MIS Working 1'!$H216,Master!B:C,2,0)</f>
        <v>FG-PCB-CF</v>
      </c>
      <c r="T216" s="274" t="str">
        <f>VLOOKUP('MIS Working 1'!$S216,Master!E:F,2,0)</f>
        <v>FG-PCB-CF</v>
      </c>
      <c r="U216" s="277">
        <f>'MIS Working 1'!$N216-'MIS Working 1'!$AF216</f>
        <v>46447.600000000151</v>
      </c>
      <c r="V216" s="278">
        <f>'MIS Working 1'!$U216/'MIS Working 1'!$N216</f>
        <v>0.12732842122692317</v>
      </c>
      <c r="W216" s="274">
        <f>'MIS Working 1'!$N216/'MIS Working 1'!$L216</f>
        <v>483.15999999999997</v>
      </c>
      <c r="X216" s="279">
        <f>SUM('MIS Working 1'!$Y216:$AE216)</f>
        <v>447.47999999999985</v>
      </c>
      <c r="Y216" s="279">
        <f>SUMIFS('COGS Break up'!$E:$E,'COGS Break up'!$A:$A,'MIS Working 1'!$D216,'COGS Break up'!$D:$D,'MIS Working 1'!$Y$1)</f>
        <v>373.01999999999981</v>
      </c>
      <c r="Z216" s="279">
        <f>SUMIFS('COGS Break up'!$E:$E,'COGS Break up'!$A:$A,'MIS Working 1'!$D216,'COGS Break up'!$D:$D,'MIS Working 1'!$Z$1)</f>
        <v>22</v>
      </c>
      <c r="AA216" s="279">
        <f>SUMIFS('COGS Break up'!E:E,'COGS Break up'!A:A,'MIS Working 1'!$D:$D,'COGS Break up'!C:C,'MIS Working 1'!$AA$1)</f>
        <v>1.8</v>
      </c>
      <c r="AB216" s="279">
        <f>SUMIFS('COGS Break up'!E:E,'COGS Break up'!A:A,'MIS Working 1'!$D:$D,'COGS Break up'!C:C,$AB$1)</f>
        <v>15.99</v>
      </c>
      <c r="AC216" s="279">
        <f>SUMIFS('COGS Break up'!E:E,'COGS Break up'!A:A,'MIS Working 1'!$D:$D,'COGS Break up'!C:C,$AC$1)</f>
        <v>8.31</v>
      </c>
      <c r="AD216" s="279">
        <f>SUMIFS('COGS Break up'!$E:$E,'COGS Break up'!$A:$A,'MIS Working 1'!$D216,'COGS Break up'!$D:$D,'MIS Working 1'!$AD$1)</f>
        <v>0.26</v>
      </c>
      <c r="AE216" s="279">
        <f>SUMIFS('COGS Break up'!$E:$E,'COGS Break up'!$A:$A,'MIS Working 1'!$D216,'COGS Break up'!$D:$D,'MIS Working 1'!$AE$1)</f>
        <v>26.1</v>
      </c>
      <c r="AF216" s="280">
        <f>'MIS Working 1'!$AG216+'MIS Working 1'!$AH216+'MIS Working 1'!$AM216+'MIS Working 1'!$AL216</f>
        <v>318338.19999999984</v>
      </c>
      <c r="AG216" s="279">
        <f>'MIS Working 1'!$L216*'MIS Working 1'!$Y216</f>
        <v>281630.09999999986</v>
      </c>
      <c r="AH216" s="279">
        <f>'MIS Working 1'!$L216*'MIS Working 1'!$Z216</f>
        <v>16610</v>
      </c>
      <c r="AI216" s="279">
        <f t="shared" si="9"/>
        <v>1359</v>
      </c>
      <c r="AJ216" s="279">
        <f t="shared" si="10"/>
        <v>12072.45</v>
      </c>
      <c r="AK216" s="279">
        <f t="shared" si="11"/>
        <v>6274.05</v>
      </c>
      <c r="AL216" s="279">
        <f>'MIS Working 1'!$AD216*'MIS Working 1'!$L216</f>
        <v>196.3</v>
      </c>
      <c r="AM216" s="279">
        <f>'MIS Working 1'!$L216*'MIS Working 1'!$AE216+'MIS Working 1'!$AL216</f>
        <v>19901.8</v>
      </c>
    </row>
    <row r="217" spans="1:39" x14ac:dyDescent="0.3">
      <c r="A217" s="263" t="s">
        <v>479</v>
      </c>
      <c r="B217" s="264">
        <v>45976</v>
      </c>
      <c r="C217" s="265" t="s">
        <v>1777</v>
      </c>
      <c r="D217" s="265" t="s">
        <v>1184</v>
      </c>
      <c r="E217" s="265" t="s">
        <v>1185</v>
      </c>
      <c r="F217" s="265" t="s">
        <v>18</v>
      </c>
      <c r="G217" s="265" t="s">
        <v>19</v>
      </c>
      <c r="H217" s="265" t="s">
        <v>27</v>
      </c>
      <c r="I217" s="266">
        <v>207</v>
      </c>
      <c r="J217" s="267">
        <v>87225.66</v>
      </c>
      <c r="K217" s="266">
        <v>207</v>
      </c>
      <c r="L217" s="266">
        <v>207</v>
      </c>
      <c r="M217" s="264">
        <v>45976</v>
      </c>
      <c r="N217" s="267">
        <v>100014.12</v>
      </c>
      <c r="O217" s="265" t="s">
        <v>21</v>
      </c>
      <c r="P217" s="265" t="s">
        <v>22</v>
      </c>
      <c r="Q217" s="265" t="s">
        <v>660</v>
      </c>
      <c r="R217" s="265" t="str">
        <f>VLOOKUP('MIS Working 1'!$G217,Master!$H$3:$I$8,2,0)</f>
        <v>Finished Goods</v>
      </c>
      <c r="S217" s="265" t="str">
        <f>VLOOKUP('MIS Working 1'!$H217,Master!B:C,2,0)</f>
        <v>FG-PCB-CF</v>
      </c>
      <c r="T217" s="265" t="str">
        <f>VLOOKUP('MIS Working 1'!$S217,Master!E:F,2,0)</f>
        <v>FG-PCB-CF</v>
      </c>
      <c r="U217" s="268">
        <f>'MIS Working 1'!$N217-'MIS Working 1'!$AF217</f>
        <v>12734.640000000029</v>
      </c>
      <c r="V217" s="269">
        <f>'MIS Working 1'!$U217/'MIS Working 1'!$N217</f>
        <v>0.12732842122692306</v>
      </c>
      <c r="W217" s="265">
        <f>'MIS Working 1'!$N217/'MIS Working 1'!$L217</f>
        <v>483.15999999999997</v>
      </c>
      <c r="X217" s="270">
        <f>SUM('MIS Working 1'!$Y217:$AE217)</f>
        <v>447.47999999999985</v>
      </c>
      <c r="Y217" s="270">
        <f>SUMIFS('COGS Break up'!$E:$E,'COGS Break up'!$A:$A,'MIS Working 1'!$D217,'COGS Break up'!$D:$D,'MIS Working 1'!$Y$1)</f>
        <v>373.01999999999981</v>
      </c>
      <c r="Z217" s="270">
        <f>SUMIFS('COGS Break up'!$E:$E,'COGS Break up'!$A:$A,'MIS Working 1'!$D217,'COGS Break up'!$D:$D,'MIS Working 1'!$Z$1)</f>
        <v>22</v>
      </c>
      <c r="AA217" s="270">
        <f>SUMIFS('COGS Break up'!E:E,'COGS Break up'!A:A,'MIS Working 1'!$D:$D,'COGS Break up'!C:C,'MIS Working 1'!$AA$1)</f>
        <v>1.8</v>
      </c>
      <c r="AB217" s="270">
        <f>SUMIFS('COGS Break up'!E:E,'COGS Break up'!A:A,'MIS Working 1'!$D:$D,'COGS Break up'!C:C,$AB$1)</f>
        <v>15.99</v>
      </c>
      <c r="AC217" s="270">
        <f>SUMIFS('COGS Break up'!E:E,'COGS Break up'!A:A,'MIS Working 1'!$D:$D,'COGS Break up'!C:C,$AC$1)</f>
        <v>8.31</v>
      </c>
      <c r="AD217" s="270">
        <f>SUMIFS('COGS Break up'!$E:$E,'COGS Break up'!$A:$A,'MIS Working 1'!$D217,'COGS Break up'!$D:$D,'MIS Working 1'!$AD$1)</f>
        <v>0.26</v>
      </c>
      <c r="AE217" s="270">
        <f>SUMIFS('COGS Break up'!$E:$E,'COGS Break up'!$A:$A,'MIS Working 1'!$D217,'COGS Break up'!$D:$D,'MIS Working 1'!$AE$1)</f>
        <v>26.1</v>
      </c>
      <c r="AF217" s="271">
        <f>'MIS Working 1'!$AG217+'MIS Working 1'!$AH217+'MIS Working 1'!$AM217+'MIS Working 1'!$AL217</f>
        <v>87279.479999999967</v>
      </c>
      <c r="AG217" s="270">
        <f>'MIS Working 1'!$L217*'MIS Working 1'!$Y217</f>
        <v>77215.139999999956</v>
      </c>
      <c r="AH217" s="270">
        <f>'MIS Working 1'!$L217*'MIS Working 1'!$Z217</f>
        <v>4554</v>
      </c>
      <c r="AI217" s="270">
        <f t="shared" si="9"/>
        <v>372.6</v>
      </c>
      <c r="AJ217" s="270">
        <f t="shared" si="10"/>
        <v>3309.93</v>
      </c>
      <c r="AK217" s="270">
        <f t="shared" si="11"/>
        <v>1720.17</v>
      </c>
      <c r="AL217" s="270">
        <f>'MIS Working 1'!$AD217*'MIS Working 1'!$L217</f>
        <v>53.82</v>
      </c>
      <c r="AM217" s="270">
        <f>'MIS Working 1'!$L217*'MIS Working 1'!$AE217+'MIS Working 1'!$AL217</f>
        <v>5456.52</v>
      </c>
    </row>
    <row r="218" spans="1:39" x14ac:dyDescent="0.3">
      <c r="A218" s="272" t="s">
        <v>479</v>
      </c>
      <c r="B218" s="273">
        <v>45976</v>
      </c>
      <c r="C218" s="274" t="s">
        <v>1778</v>
      </c>
      <c r="D218" s="274" t="s">
        <v>1184</v>
      </c>
      <c r="E218" s="274" t="s">
        <v>1185</v>
      </c>
      <c r="F218" s="274" t="s">
        <v>18</v>
      </c>
      <c r="G218" s="274" t="s">
        <v>19</v>
      </c>
      <c r="H218" s="274" t="s">
        <v>27</v>
      </c>
      <c r="I218" s="275">
        <v>175</v>
      </c>
      <c r="J218" s="276">
        <v>73741.5</v>
      </c>
      <c r="K218" s="275">
        <v>175</v>
      </c>
      <c r="L218" s="275">
        <v>175</v>
      </c>
      <c r="M218" s="273">
        <v>45976</v>
      </c>
      <c r="N218" s="276">
        <v>84553</v>
      </c>
      <c r="O218" s="274" t="s">
        <v>21</v>
      </c>
      <c r="P218" s="274" t="s">
        <v>22</v>
      </c>
      <c r="Q218" s="274" t="s">
        <v>660</v>
      </c>
      <c r="R218" s="274" t="str">
        <f>VLOOKUP('MIS Working 1'!$G218,Master!$H$3:$I$8,2,0)</f>
        <v>Finished Goods</v>
      </c>
      <c r="S218" s="274" t="str">
        <f>VLOOKUP('MIS Working 1'!$H218,Master!B:C,2,0)</f>
        <v>FG-PCB-CF</v>
      </c>
      <c r="T218" s="274" t="str">
        <f>VLOOKUP('MIS Working 1'!$S218,Master!E:F,2,0)</f>
        <v>FG-PCB-CF</v>
      </c>
      <c r="U218" s="277">
        <f>'MIS Working 1'!$N218-'MIS Working 1'!$AF218</f>
        <v>10766.000000000029</v>
      </c>
      <c r="V218" s="278">
        <f>'MIS Working 1'!$U218/'MIS Working 1'!$N218</f>
        <v>0.12732842122692312</v>
      </c>
      <c r="W218" s="274">
        <f>'MIS Working 1'!$N218/'MIS Working 1'!$L218</f>
        <v>483.16</v>
      </c>
      <c r="X218" s="279">
        <f>SUM('MIS Working 1'!$Y218:$AE218)</f>
        <v>447.47999999999985</v>
      </c>
      <c r="Y218" s="279">
        <f>SUMIFS('COGS Break up'!$E:$E,'COGS Break up'!$A:$A,'MIS Working 1'!$D218,'COGS Break up'!$D:$D,'MIS Working 1'!$Y$1)</f>
        <v>373.01999999999981</v>
      </c>
      <c r="Z218" s="279">
        <f>SUMIFS('COGS Break up'!$E:$E,'COGS Break up'!$A:$A,'MIS Working 1'!$D218,'COGS Break up'!$D:$D,'MIS Working 1'!$Z$1)</f>
        <v>22</v>
      </c>
      <c r="AA218" s="279">
        <f>SUMIFS('COGS Break up'!E:E,'COGS Break up'!A:A,'MIS Working 1'!$D:$D,'COGS Break up'!C:C,'MIS Working 1'!$AA$1)</f>
        <v>1.8</v>
      </c>
      <c r="AB218" s="279">
        <f>SUMIFS('COGS Break up'!E:E,'COGS Break up'!A:A,'MIS Working 1'!$D:$D,'COGS Break up'!C:C,$AB$1)</f>
        <v>15.99</v>
      </c>
      <c r="AC218" s="279">
        <f>SUMIFS('COGS Break up'!E:E,'COGS Break up'!A:A,'MIS Working 1'!$D:$D,'COGS Break up'!C:C,$AC$1)</f>
        <v>8.31</v>
      </c>
      <c r="AD218" s="279">
        <f>SUMIFS('COGS Break up'!$E:$E,'COGS Break up'!$A:$A,'MIS Working 1'!$D218,'COGS Break up'!$D:$D,'MIS Working 1'!$AD$1)</f>
        <v>0.26</v>
      </c>
      <c r="AE218" s="279">
        <f>SUMIFS('COGS Break up'!$E:$E,'COGS Break up'!$A:$A,'MIS Working 1'!$D218,'COGS Break up'!$D:$D,'MIS Working 1'!$AE$1)</f>
        <v>26.1</v>
      </c>
      <c r="AF218" s="280">
        <f>'MIS Working 1'!$AG218+'MIS Working 1'!$AH218+'MIS Working 1'!$AM218+'MIS Working 1'!$AL218</f>
        <v>73786.999999999971</v>
      </c>
      <c r="AG218" s="279">
        <f>'MIS Working 1'!$L218*'MIS Working 1'!$Y218</f>
        <v>65278.499999999964</v>
      </c>
      <c r="AH218" s="279">
        <f>'MIS Working 1'!$L218*'MIS Working 1'!$Z218</f>
        <v>3850</v>
      </c>
      <c r="AI218" s="279">
        <f t="shared" si="9"/>
        <v>315</v>
      </c>
      <c r="AJ218" s="279">
        <f t="shared" si="10"/>
        <v>2798.25</v>
      </c>
      <c r="AK218" s="279">
        <f t="shared" si="11"/>
        <v>1454.25</v>
      </c>
      <c r="AL218" s="279">
        <f>'MIS Working 1'!$AD218*'MIS Working 1'!$L218</f>
        <v>45.5</v>
      </c>
      <c r="AM218" s="279">
        <f>'MIS Working 1'!$L218*'MIS Working 1'!$AE218+'MIS Working 1'!$AL218</f>
        <v>4613</v>
      </c>
    </row>
    <row r="219" spans="1:39" x14ac:dyDescent="0.3">
      <c r="A219" s="263" t="s">
        <v>479</v>
      </c>
      <c r="B219" s="264">
        <v>45976</v>
      </c>
      <c r="C219" s="265" t="s">
        <v>1775</v>
      </c>
      <c r="D219" s="265" t="s">
        <v>378</v>
      </c>
      <c r="E219" s="265" t="s">
        <v>379</v>
      </c>
      <c r="F219" s="265" t="s">
        <v>18</v>
      </c>
      <c r="G219" s="265" t="s">
        <v>19</v>
      </c>
      <c r="H219" s="265" t="s">
        <v>27</v>
      </c>
      <c r="I219" s="266">
        <v>1188</v>
      </c>
      <c r="J219" s="267">
        <v>386337.6</v>
      </c>
      <c r="K219" s="266">
        <v>1188</v>
      </c>
      <c r="L219" s="266">
        <v>1188</v>
      </c>
      <c r="M219" s="264">
        <v>45976</v>
      </c>
      <c r="N219" s="267">
        <v>421763.76</v>
      </c>
      <c r="O219" s="265" t="s">
        <v>21</v>
      </c>
      <c r="P219" s="265" t="s">
        <v>22</v>
      </c>
      <c r="Q219" s="265" t="s">
        <v>660</v>
      </c>
      <c r="R219" s="265" t="str">
        <f>VLOOKUP('MIS Working 1'!$G219,Master!$H$3:$I$8,2,0)</f>
        <v>Finished Goods</v>
      </c>
      <c r="S219" s="265" t="str">
        <f>VLOOKUP('MIS Working 1'!$H219,Master!B:C,2,0)</f>
        <v>FG-PCB-CF</v>
      </c>
      <c r="T219" s="265" t="str">
        <f>VLOOKUP('MIS Working 1'!$S219,Master!E:F,2,0)</f>
        <v>FG-PCB-CF</v>
      </c>
      <c r="U219" s="268">
        <f>'MIS Working 1'!$N219-'MIS Working 1'!$AF219</f>
        <v>35117.280000000086</v>
      </c>
      <c r="V219" s="269">
        <f>'MIS Working 1'!$U219/'MIS Working 1'!$N219</f>
        <v>8.3262914765365528E-2</v>
      </c>
      <c r="W219" s="265">
        <f>'MIS Working 1'!$N219/'MIS Working 1'!$L219</f>
        <v>355.02</v>
      </c>
      <c r="X219" s="270">
        <f>SUM('MIS Working 1'!$Y219:$AE219)</f>
        <v>354.76999999999992</v>
      </c>
      <c r="Y219" s="270">
        <f>SUMIFS('COGS Break up'!$E:$E,'COGS Break up'!$A:$A,'MIS Working 1'!$D219,'COGS Break up'!$D:$D,'MIS Working 1'!$Y$1)</f>
        <v>271.52999999999997</v>
      </c>
      <c r="Z219" s="270">
        <f>SUMIFS('COGS Break up'!$E:$E,'COGS Break up'!$A:$A,'MIS Working 1'!$D219,'COGS Break up'!$D:$D,'MIS Working 1'!$Z$1)</f>
        <v>23.84</v>
      </c>
      <c r="AA219" s="270">
        <f>SUMIFS('COGS Break up'!E:E,'COGS Break up'!A:A,'MIS Working 1'!$D:$D,'COGS Break up'!C:C,'MIS Working 1'!$AA$1)</f>
        <v>1.9500000000000002</v>
      </c>
      <c r="AB219" s="270">
        <f>SUMIFS('COGS Break up'!E:E,'COGS Break up'!A:A,'MIS Working 1'!$D:$D,'COGS Break up'!C:C,$AB$1)</f>
        <v>17.329999999999998</v>
      </c>
      <c r="AC219" s="270">
        <f>SUMIFS('COGS Break up'!E:E,'COGS Break up'!A:A,'MIS Working 1'!$D:$D,'COGS Break up'!C:C,$AC$1)</f>
        <v>10.29</v>
      </c>
      <c r="AD219" s="270">
        <f>SUMIFS('COGS Break up'!$E:$E,'COGS Break up'!$A:$A,'MIS Working 1'!$D219,'COGS Break up'!$D:$D,'MIS Working 1'!$AD$1)</f>
        <v>0.26</v>
      </c>
      <c r="AE219" s="270">
        <f>SUMIFS('COGS Break up'!$E:$E,'COGS Break up'!$A:$A,'MIS Working 1'!$D219,'COGS Break up'!$D:$D,'MIS Working 1'!$AE$1)</f>
        <v>29.569999999999997</v>
      </c>
      <c r="AF219" s="271">
        <f>'MIS Working 1'!$AG219+'MIS Working 1'!$AH219+'MIS Working 1'!$AM219+'MIS Working 1'!$AL219</f>
        <v>386646.47999999992</v>
      </c>
      <c r="AG219" s="270">
        <f>'MIS Working 1'!$L219*'MIS Working 1'!$Y219</f>
        <v>322577.63999999996</v>
      </c>
      <c r="AH219" s="270">
        <f>'MIS Working 1'!$L219*'MIS Working 1'!$Z219</f>
        <v>28321.919999999998</v>
      </c>
      <c r="AI219" s="270">
        <f t="shared" si="9"/>
        <v>2316.6000000000004</v>
      </c>
      <c r="AJ219" s="270">
        <f t="shared" si="10"/>
        <v>20588.039999999997</v>
      </c>
      <c r="AK219" s="270">
        <f t="shared" si="11"/>
        <v>12224.519999999999</v>
      </c>
      <c r="AL219" s="270">
        <f>'MIS Working 1'!$AD219*'MIS Working 1'!$L219</f>
        <v>308.88</v>
      </c>
      <c r="AM219" s="270">
        <f>'MIS Working 1'!$L219*'MIS Working 1'!$AE219+'MIS Working 1'!$AL219</f>
        <v>35438.039999999994</v>
      </c>
    </row>
    <row r="220" spans="1:39" x14ac:dyDescent="0.3">
      <c r="A220" s="272" t="s">
        <v>479</v>
      </c>
      <c r="B220" s="273">
        <v>45976</v>
      </c>
      <c r="C220" s="274" t="s">
        <v>1777</v>
      </c>
      <c r="D220" s="274" t="s">
        <v>380</v>
      </c>
      <c r="E220" s="274" t="s">
        <v>381</v>
      </c>
      <c r="F220" s="274" t="s">
        <v>18</v>
      </c>
      <c r="G220" s="274" t="s">
        <v>19</v>
      </c>
      <c r="H220" s="274" t="s">
        <v>27</v>
      </c>
      <c r="I220" s="275">
        <v>744</v>
      </c>
      <c r="J220" s="276">
        <v>161150.39999999999</v>
      </c>
      <c r="K220" s="275">
        <v>744</v>
      </c>
      <c r="L220" s="275">
        <v>744</v>
      </c>
      <c r="M220" s="273">
        <v>45976</v>
      </c>
      <c r="N220" s="276">
        <v>165056.4</v>
      </c>
      <c r="O220" s="274" t="s">
        <v>21</v>
      </c>
      <c r="P220" s="274" t="s">
        <v>22</v>
      </c>
      <c r="Q220" s="274" t="s">
        <v>660</v>
      </c>
      <c r="R220" s="274" t="str">
        <f>VLOOKUP('MIS Working 1'!$G220,Master!$H$3:$I$8,2,0)</f>
        <v>Finished Goods</v>
      </c>
      <c r="S220" s="274" t="str">
        <f>VLOOKUP('MIS Working 1'!$H220,Master!B:C,2,0)</f>
        <v>FG-PCB-CF</v>
      </c>
      <c r="T220" s="274" t="str">
        <f>VLOOKUP('MIS Working 1'!$S220,Master!E:F,2,0)</f>
        <v>FG-PCB-CF</v>
      </c>
      <c r="U220" s="277">
        <f>'MIS Working 1'!$N220-'MIS Working 1'!$AF220</f>
        <v>3876.2400000000198</v>
      </c>
      <c r="V220" s="278">
        <f>'MIS Working 1'!$U220/'MIS Working 1'!$N220</f>
        <v>2.3484336263241049E-2</v>
      </c>
      <c r="W220" s="274">
        <f>'MIS Working 1'!$N220/'MIS Working 1'!$L220</f>
        <v>221.85</v>
      </c>
      <c r="X220" s="279">
        <f>SUM('MIS Working 1'!$Y220:$AE220)</f>
        <v>239.77999999999994</v>
      </c>
      <c r="Y220" s="279">
        <f>SUMIFS('COGS Break up'!$E:$E,'COGS Break up'!$A:$A,'MIS Working 1'!$D220,'COGS Break up'!$D:$D,'MIS Working 1'!$Y$1)</f>
        <v>174.98999999999995</v>
      </c>
      <c r="Z220" s="279">
        <f>SUMIFS('COGS Break up'!$E:$E,'COGS Break up'!$A:$A,'MIS Working 1'!$D220,'COGS Break up'!$D:$D,'MIS Working 1'!$Z$1)</f>
        <v>18.389999999999997</v>
      </c>
      <c r="AA220" s="279">
        <f>SUMIFS('COGS Break up'!E:E,'COGS Break up'!A:A,'MIS Working 1'!$D:$D,'COGS Break up'!C:C,'MIS Working 1'!$AA$1)</f>
        <v>1.5</v>
      </c>
      <c r="AB220" s="279">
        <f>SUMIFS('COGS Break up'!E:E,'COGS Break up'!A:A,'MIS Working 1'!$D:$D,'COGS Break up'!C:C,$AB$1)</f>
        <v>13.37</v>
      </c>
      <c r="AC220" s="279">
        <f>SUMIFS('COGS Break up'!E:E,'COGS Break up'!A:A,'MIS Working 1'!$D:$D,'COGS Break up'!C:C,$AC$1)</f>
        <v>8.31</v>
      </c>
      <c r="AD220" s="279">
        <f>SUMIFS('COGS Break up'!$E:$E,'COGS Break up'!$A:$A,'MIS Working 1'!$D220,'COGS Break up'!$D:$D,'MIS Working 1'!$AD$1)</f>
        <v>0.04</v>
      </c>
      <c r="AE220" s="279">
        <f>SUMIFS('COGS Break up'!$E:$E,'COGS Break up'!$A:$A,'MIS Working 1'!$D220,'COGS Break up'!$D:$D,'MIS Working 1'!$AE$1)</f>
        <v>23.18</v>
      </c>
      <c r="AF220" s="280">
        <f>'MIS Working 1'!$AG220+'MIS Working 1'!$AH220+'MIS Working 1'!$AM220+'MIS Working 1'!$AL220</f>
        <v>161180.15999999997</v>
      </c>
      <c r="AG220" s="279">
        <f>'MIS Working 1'!$L220*'MIS Working 1'!$Y220</f>
        <v>130192.55999999997</v>
      </c>
      <c r="AH220" s="279">
        <f>'MIS Working 1'!$L220*'MIS Working 1'!$Z220</f>
        <v>13682.159999999998</v>
      </c>
      <c r="AI220" s="279">
        <f t="shared" si="9"/>
        <v>1116</v>
      </c>
      <c r="AJ220" s="279">
        <f t="shared" si="10"/>
        <v>9947.2799999999988</v>
      </c>
      <c r="AK220" s="279">
        <f t="shared" si="11"/>
        <v>6182.64</v>
      </c>
      <c r="AL220" s="279">
        <f>'MIS Working 1'!$AD220*'MIS Working 1'!$L220</f>
        <v>29.76</v>
      </c>
      <c r="AM220" s="279">
        <f>'MIS Working 1'!$L220*'MIS Working 1'!$AE220+'MIS Working 1'!$AL220</f>
        <v>17275.679999999997</v>
      </c>
    </row>
    <row r="221" spans="1:39" x14ac:dyDescent="0.3">
      <c r="A221" s="263" t="s">
        <v>479</v>
      </c>
      <c r="B221" s="264">
        <v>45976</v>
      </c>
      <c r="C221" s="265" t="s">
        <v>1778</v>
      </c>
      <c r="D221" s="265" t="s">
        <v>380</v>
      </c>
      <c r="E221" s="265" t="s">
        <v>381</v>
      </c>
      <c r="F221" s="265" t="s">
        <v>18</v>
      </c>
      <c r="G221" s="265" t="s">
        <v>19</v>
      </c>
      <c r="H221" s="265" t="s">
        <v>27</v>
      </c>
      <c r="I221" s="266">
        <v>220</v>
      </c>
      <c r="J221" s="267">
        <v>47652</v>
      </c>
      <c r="K221" s="266">
        <v>220</v>
      </c>
      <c r="L221" s="266">
        <v>220</v>
      </c>
      <c r="M221" s="264">
        <v>45976</v>
      </c>
      <c r="N221" s="267">
        <v>48807</v>
      </c>
      <c r="O221" s="265" t="s">
        <v>21</v>
      </c>
      <c r="P221" s="265" t="s">
        <v>22</v>
      </c>
      <c r="Q221" s="265" t="s">
        <v>660</v>
      </c>
      <c r="R221" s="265" t="str">
        <f>VLOOKUP('MIS Working 1'!$G221,Master!$H$3:$I$8,2,0)</f>
        <v>Finished Goods</v>
      </c>
      <c r="S221" s="265" t="str">
        <f>VLOOKUP('MIS Working 1'!$H221,Master!B:C,2,0)</f>
        <v>FG-PCB-CF</v>
      </c>
      <c r="T221" s="265" t="str">
        <f>VLOOKUP('MIS Working 1'!$S221,Master!E:F,2,0)</f>
        <v>FG-PCB-CF</v>
      </c>
      <c r="U221" s="268">
        <f>'MIS Working 1'!$N221-'MIS Working 1'!$AF221</f>
        <v>1146.2000000000044</v>
      </c>
      <c r="V221" s="269">
        <f>'MIS Working 1'!$U221/'MIS Working 1'!$N221</f>
        <v>2.3484336263241017E-2</v>
      </c>
      <c r="W221" s="265">
        <f>'MIS Working 1'!$N221/'MIS Working 1'!$L221</f>
        <v>221.85</v>
      </c>
      <c r="X221" s="270">
        <f>SUM('MIS Working 1'!$Y221:$AE221)</f>
        <v>239.77999999999994</v>
      </c>
      <c r="Y221" s="270">
        <f>SUMIFS('COGS Break up'!$E:$E,'COGS Break up'!$A:$A,'MIS Working 1'!$D221,'COGS Break up'!$D:$D,'MIS Working 1'!$Y$1)</f>
        <v>174.98999999999995</v>
      </c>
      <c r="Z221" s="270">
        <f>SUMIFS('COGS Break up'!$E:$E,'COGS Break up'!$A:$A,'MIS Working 1'!$D221,'COGS Break up'!$D:$D,'MIS Working 1'!$Z$1)</f>
        <v>18.389999999999997</v>
      </c>
      <c r="AA221" s="270">
        <f>SUMIFS('COGS Break up'!E:E,'COGS Break up'!A:A,'MIS Working 1'!$D:$D,'COGS Break up'!C:C,'MIS Working 1'!$AA$1)</f>
        <v>1.5</v>
      </c>
      <c r="AB221" s="270">
        <f>SUMIFS('COGS Break up'!E:E,'COGS Break up'!A:A,'MIS Working 1'!$D:$D,'COGS Break up'!C:C,$AB$1)</f>
        <v>13.37</v>
      </c>
      <c r="AC221" s="270">
        <f>SUMIFS('COGS Break up'!E:E,'COGS Break up'!A:A,'MIS Working 1'!$D:$D,'COGS Break up'!C:C,$AC$1)</f>
        <v>8.31</v>
      </c>
      <c r="AD221" s="270">
        <f>SUMIFS('COGS Break up'!$E:$E,'COGS Break up'!$A:$A,'MIS Working 1'!$D221,'COGS Break up'!$D:$D,'MIS Working 1'!$AD$1)</f>
        <v>0.04</v>
      </c>
      <c r="AE221" s="270">
        <f>SUMIFS('COGS Break up'!$E:$E,'COGS Break up'!$A:$A,'MIS Working 1'!$D221,'COGS Break up'!$D:$D,'MIS Working 1'!$AE$1)</f>
        <v>23.18</v>
      </c>
      <c r="AF221" s="271">
        <f>'MIS Working 1'!$AG221+'MIS Working 1'!$AH221+'MIS Working 1'!$AM221+'MIS Working 1'!$AL221</f>
        <v>47660.799999999996</v>
      </c>
      <c r="AG221" s="270">
        <f>'MIS Working 1'!$L221*'MIS Working 1'!$Y221</f>
        <v>38497.799999999988</v>
      </c>
      <c r="AH221" s="270">
        <f>'MIS Working 1'!$L221*'MIS Working 1'!$Z221</f>
        <v>4045.7999999999993</v>
      </c>
      <c r="AI221" s="270">
        <f t="shared" si="9"/>
        <v>330</v>
      </c>
      <c r="AJ221" s="270">
        <f t="shared" si="10"/>
        <v>2941.3999999999996</v>
      </c>
      <c r="AK221" s="270">
        <f t="shared" si="11"/>
        <v>1828.2</v>
      </c>
      <c r="AL221" s="270">
        <f>'MIS Working 1'!$AD221*'MIS Working 1'!$L221</f>
        <v>8.8000000000000007</v>
      </c>
      <c r="AM221" s="270">
        <f>'MIS Working 1'!$L221*'MIS Working 1'!$AE221+'MIS Working 1'!$AL221</f>
        <v>5108.4000000000005</v>
      </c>
    </row>
    <row r="222" spans="1:39" x14ac:dyDescent="0.3">
      <c r="A222" s="272" t="s">
        <v>1625</v>
      </c>
      <c r="B222" s="273">
        <v>45976</v>
      </c>
      <c r="C222" s="274" t="s">
        <v>1779</v>
      </c>
      <c r="D222" s="274" t="s">
        <v>1668</v>
      </c>
      <c r="E222" s="274" t="s">
        <v>1669</v>
      </c>
      <c r="F222" s="274" t="s">
        <v>18</v>
      </c>
      <c r="G222" s="274" t="s">
        <v>48</v>
      </c>
      <c r="H222" s="274" t="s">
        <v>205</v>
      </c>
      <c r="I222" s="275">
        <v>3000</v>
      </c>
      <c r="J222" s="276">
        <v>1384.64</v>
      </c>
      <c r="K222" s="275">
        <v>3000</v>
      </c>
      <c r="L222" s="275">
        <v>3000</v>
      </c>
      <c r="M222" s="273">
        <v>45976</v>
      </c>
      <c r="N222" s="276">
        <v>1380</v>
      </c>
      <c r="O222" s="274" t="s">
        <v>21</v>
      </c>
      <c r="P222" s="274" t="s">
        <v>22</v>
      </c>
      <c r="Q222" s="274" t="s">
        <v>1750</v>
      </c>
      <c r="R222" s="274" t="str">
        <f>VLOOKUP('MIS Working 1'!$G222,Master!$H$3:$I$8,2,0)</f>
        <v>Raw Material</v>
      </c>
      <c r="S222" s="274" t="str">
        <f>VLOOKUP('MIS Working 1'!$H222,Master!B:C,2,0)</f>
        <v>RM-Eletro-Transistor</v>
      </c>
      <c r="T222" s="274" t="str">
        <f>VLOOKUP('MIS Working 1'!$S222,Master!E:F,2,0)</f>
        <v>Raw Material</v>
      </c>
      <c r="U222" s="277">
        <f>'MIS Working 1'!$N222-'MIS Working 1'!$AF222</f>
        <v>1380</v>
      </c>
      <c r="V222" s="278">
        <f>'MIS Working 1'!$U222/'MIS Working 1'!$N222</f>
        <v>1</v>
      </c>
      <c r="W222" s="274">
        <f>'MIS Working 1'!$N222/'MIS Working 1'!$L222</f>
        <v>0.46</v>
      </c>
      <c r="X222" s="279">
        <f>SUM('MIS Working 1'!$Y222:$AE222)</f>
        <v>0</v>
      </c>
      <c r="Y222" s="279">
        <f>SUMIFS('COGS Break up'!$E:$E,'COGS Break up'!$A:$A,'MIS Working 1'!$D222,'COGS Break up'!$D:$D,'MIS Working 1'!$Y$1)</f>
        <v>0</v>
      </c>
      <c r="Z222" s="279">
        <f>SUMIFS('COGS Break up'!$E:$E,'COGS Break up'!$A:$A,'MIS Working 1'!$D222,'COGS Break up'!$D:$D,'MIS Working 1'!$Z$1)</f>
        <v>0</v>
      </c>
      <c r="AA222" s="279">
        <f>SUMIFS('COGS Break up'!E:E,'COGS Break up'!A:A,'MIS Working 1'!$D:$D,'COGS Break up'!C:C,'MIS Working 1'!$AA$1)</f>
        <v>0</v>
      </c>
      <c r="AB222" s="279">
        <f>SUMIFS('COGS Break up'!E:E,'COGS Break up'!A:A,'MIS Working 1'!$D:$D,'COGS Break up'!C:C,$AB$1)</f>
        <v>0</v>
      </c>
      <c r="AC222" s="279">
        <f>SUMIFS('COGS Break up'!E:E,'COGS Break up'!A:A,'MIS Working 1'!$D:$D,'COGS Break up'!C:C,$AC$1)</f>
        <v>0</v>
      </c>
      <c r="AD222" s="279">
        <f>SUMIFS('COGS Break up'!$E:$E,'COGS Break up'!$A:$A,'MIS Working 1'!$D222,'COGS Break up'!$D:$D,'MIS Working 1'!$AD$1)</f>
        <v>0</v>
      </c>
      <c r="AE222" s="279">
        <f>SUMIFS('COGS Break up'!$E:$E,'COGS Break up'!$A:$A,'MIS Working 1'!$D222,'COGS Break up'!$D:$D,'MIS Working 1'!$AE$1)</f>
        <v>0</v>
      </c>
      <c r="AF222" s="280">
        <f>'MIS Working 1'!$AG222+'MIS Working 1'!$AH222+'MIS Working 1'!$AM222+'MIS Working 1'!$AL222</f>
        <v>0</v>
      </c>
      <c r="AG222" s="279">
        <f>'MIS Working 1'!$L222*'MIS Working 1'!$Y222</f>
        <v>0</v>
      </c>
      <c r="AH222" s="279">
        <f>'MIS Working 1'!$L222*'MIS Working 1'!$Z222</f>
        <v>0</v>
      </c>
      <c r="AI222" s="279">
        <f t="shared" si="9"/>
        <v>0</v>
      </c>
      <c r="AJ222" s="279">
        <f t="shared" si="10"/>
        <v>0</v>
      </c>
      <c r="AK222" s="279">
        <f t="shared" si="11"/>
        <v>0</v>
      </c>
      <c r="AL222" s="279">
        <f>'MIS Working 1'!$AD222*'MIS Working 1'!$L222</f>
        <v>0</v>
      </c>
      <c r="AM222" s="279">
        <f>'MIS Working 1'!$L222*'MIS Working 1'!$AE222+'MIS Working 1'!$AL222</f>
        <v>0</v>
      </c>
    </row>
    <row r="223" spans="1:39" x14ac:dyDescent="0.3">
      <c r="A223" s="263" t="s">
        <v>1625</v>
      </c>
      <c r="B223" s="264">
        <v>45976</v>
      </c>
      <c r="C223" s="265" t="s">
        <v>1779</v>
      </c>
      <c r="D223" s="265" t="s">
        <v>1681</v>
      </c>
      <c r="E223" s="265" t="s">
        <v>1682</v>
      </c>
      <c r="F223" s="265" t="s">
        <v>18</v>
      </c>
      <c r="G223" s="265" t="s">
        <v>48</v>
      </c>
      <c r="H223" s="265" t="s">
        <v>201</v>
      </c>
      <c r="I223" s="266">
        <v>30000</v>
      </c>
      <c r="J223" s="267">
        <v>19566.150000000001</v>
      </c>
      <c r="K223" s="266">
        <v>30000</v>
      </c>
      <c r="L223" s="266">
        <v>30000</v>
      </c>
      <c r="M223" s="264">
        <v>45976</v>
      </c>
      <c r="N223" s="267">
        <v>19800</v>
      </c>
      <c r="O223" s="265" t="s">
        <v>21</v>
      </c>
      <c r="P223" s="265" t="s">
        <v>22</v>
      </c>
      <c r="Q223" s="265" t="s">
        <v>1750</v>
      </c>
      <c r="R223" s="265" t="str">
        <f>VLOOKUP('MIS Working 1'!$G223,Master!$H$3:$I$8,2,0)</f>
        <v>Raw Material</v>
      </c>
      <c r="S223" s="265" t="str">
        <f>VLOOKUP('MIS Working 1'!$H223,Master!B:C,2,0)</f>
        <v>RM-Eletro-Diodes</v>
      </c>
      <c r="T223" s="265" t="str">
        <f>VLOOKUP('MIS Working 1'!$S223,Master!E:F,2,0)</f>
        <v>Raw Material</v>
      </c>
      <c r="U223" s="268">
        <f>'MIS Working 1'!$N223-'MIS Working 1'!$AF223</f>
        <v>19800</v>
      </c>
      <c r="V223" s="269">
        <f>'MIS Working 1'!$U223/'MIS Working 1'!$N223</f>
        <v>1</v>
      </c>
      <c r="W223" s="265">
        <f>'MIS Working 1'!$N223/'MIS Working 1'!$L223</f>
        <v>0.66</v>
      </c>
      <c r="X223" s="270">
        <f>SUM('MIS Working 1'!$Y223:$AE223)</f>
        <v>0</v>
      </c>
      <c r="Y223" s="270">
        <f>SUMIFS('COGS Break up'!$E:$E,'COGS Break up'!$A:$A,'MIS Working 1'!$D223,'COGS Break up'!$D:$D,'MIS Working 1'!$Y$1)</f>
        <v>0</v>
      </c>
      <c r="Z223" s="270">
        <f>SUMIFS('COGS Break up'!$E:$E,'COGS Break up'!$A:$A,'MIS Working 1'!$D223,'COGS Break up'!$D:$D,'MIS Working 1'!$Z$1)</f>
        <v>0</v>
      </c>
      <c r="AA223" s="270">
        <f>SUMIFS('COGS Break up'!E:E,'COGS Break up'!A:A,'MIS Working 1'!$D:$D,'COGS Break up'!C:C,'MIS Working 1'!$AA$1)</f>
        <v>0</v>
      </c>
      <c r="AB223" s="270">
        <f>SUMIFS('COGS Break up'!E:E,'COGS Break up'!A:A,'MIS Working 1'!$D:$D,'COGS Break up'!C:C,$AB$1)</f>
        <v>0</v>
      </c>
      <c r="AC223" s="270">
        <f>SUMIFS('COGS Break up'!E:E,'COGS Break up'!A:A,'MIS Working 1'!$D:$D,'COGS Break up'!C:C,$AC$1)</f>
        <v>0</v>
      </c>
      <c r="AD223" s="270">
        <f>SUMIFS('COGS Break up'!$E:$E,'COGS Break up'!$A:$A,'MIS Working 1'!$D223,'COGS Break up'!$D:$D,'MIS Working 1'!$AD$1)</f>
        <v>0</v>
      </c>
      <c r="AE223" s="270">
        <f>SUMIFS('COGS Break up'!$E:$E,'COGS Break up'!$A:$A,'MIS Working 1'!$D223,'COGS Break up'!$D:$D,'MIS Working 1'!$AE$1)</f>
        <v>0</v>
      </c>
      <c r="AF223" s="271">
        <f>'MIS Working 1'!$AG223+'MIS Working 1'!$AH223+'MIS Working 1'!$AM223+'MIS Working 1'!$AL223</f>
        <v>0</v>
      </c>
      <c r="AG223" s="270">
        <f>'MIS Working 1'!$L223*'MIS Working 1'!$Y223</f>
        <v>0</v>
      </c>
      <c r="AH223" s="270">
        <f>'MIS Working 1'!$L223*'MIS Working 1'!$Z223</f>
        <v>0</v>
      </c>
      <c r="AI223" s="270">
        <f t="shared" si="9"/>
        <v>0</v>
      </c>
      <c r="AJ223" s="270">
        <f t="shared" si="10"/>
        <v>0</v>
      </c>
      <c r="AK223" s="270">
        <f t="shared" si="11"/>
        <v>0</v>
      </c>
      <c r="AL223" s="270">
        <f>'MIS Working 1'!$AD223*'MIS Working 1'!$L223</f>
        <v>0</v>
      </c>
      <c r="AM223" s="270">
        <f>'MIS Working 1'!$L223*'MIS Working 1'!$AE223+'MIS Working 1'!$AL223</f>
        <v>0</v>
      </c>
    </row>
    <row r="224" spans="1:39" x14ac:dyDescent="0.3">
      <c r="A224" s="272" t="s">
        <v>1625</v>
      </c>
      <c r="B224" s="273">
        <v>45976</v>
      </c>
      <c r="C224" s="274" t="s">
        <v>1779</v>
      </c>
      <c r="D224" s="274" t="s">
        <v>1279</v>
      </c>
      <c r="E224" s="274" t="s">
        <v>1280</v>
      </c>
      <c r="F224" s="274" t="s">
        <v>18</v>
      </c>
      <c r="G224" s="274" t="s">
        <v>48</v>
      </c>
      <c r="H224" s="274" t="s">
        <v>168</v>
      </c>
      <c r="I224" s="275">
        <v>6000</v>
      </c>
      <c r="J224" s="276">
        <v>3007.29</v>
      </c>
      <c r="K224" s="275">
        <v>6000</v>
      </c>
      <c r="L224" s="275">
        <v>6000</v>
      </c>
      <c r="M224" s="273">
        <v>45976</v>
      </c>
      <c r="N224" s="276">
        <v>3000</v>
      </c>
      <c r="O224" s="274" t="s">
        <v>21</v>
      </c>
      <c r="P224" s="274" t="s">
        <v>22</v>
      </c>
      <c r="Q224" s="274" t="s">
        <v>1750</v>
      </c>
      <c r="R224" s="274" t="str">
        <f>VLOOKUP('MIS Working 1'!$G224,Master!$H$3:$I$8,2,0)</f>
        <v>Raw Material</v>
      </c>
      <c r="S224" s="274" t="str">
        <f>VLOOKUP('MIS Working 1'!$H224,Master!B:C,2,0)</f>
        <v>Raw Materials</v>
      </c>
      <c r="T224" s="274" t="str">
        <f>VLOOKUP('MIS Working 1'!$S224,Master!E:F,2,0)</f>
        <v>Raw Material</v>
      </c>
      <c r="U224" s="277">
        <f>'MIS Working 1'!$N224-'MIS Working 1'!$AF224</f>
        <v>3000</v>
      </c>
      <c r="V224" s="278">
        <f>'MIS Working 1'!$U224/'MIS Working 1'!$N224</f>
        <v>1</v>
      </c>
      <c r="W224" s="274">
        <f>'MIS Working 1'!$N224/'MIS Working 1'!$L224</f>
        <v>0.5</v>
      </c>
      <c r="X224" s="279">
        <f>SUM('MIS Working 1'!$Y224:$AE224)</f>
        <v>0</v>
      </c>
      <c r="Y224" s="279">
        <f>SUMIFS('COGS Break up'!$E:$E,'COGS Break up'!$A:$A,'MIS Working 1'!$D224,'COGS Break up'!$D:$D,'MIS Working 1'!$Y$1)</f>
        <v>0</v>
      </c>
      <c r="Z224" s="279">
        <f>SUMIFS('COGS Break up'!$E:$E,'COGS Break up'!$A:$A,'MIS Working 1'!$D224,'COGS Break up'!$D:$D,'MIS Working 1'!$Z$1)</f>
        <v>0</v>
      </c>
      <c r="AA224" s="279">
        <f>SUMIFS('COGS Break up'!E:E,'COGS Break up'!A:A,'MIS Working 1'!$D:$D,'COGS Break up'!C:C,'MIS Working 1'!$AA$1)</f>
        <v>0</v>
      </c>
      <c r="AB224" s="279">
        <f>SUMIFS('COGS Break up'!E:E,'COGS Break up'!A:A,'MIS Working 1'!$D:$D,'COGS Break up'!C:C,$AB$1)</f>
        <v>0</v>
      </c>
      <c r="AC224" s="279">
        <f>SUMIFS('COGS Break up'!E:E,'COGS Break up'!A:A,'MIS Working 1'!$D:$D,'COGS Break up'!C:C,$AC$1)</f>
        <v>0</v>
      </c>
      <c r="AD224" s="279">
        <f>SUMIFS('COGS Break up'!$E:$E,'COGS Break up'!$A:$A,'MIS Working 1'!$D224,'COGS Break up'!$D:$D,'MIS Working 1'!$AD$1)</f>
        <v>0</v>
      </c>
      <c r="AE224" s="279">
        <f>SUMIFS('COGS Break up'!$E:$E,'COGS Break up'!$A:$A,'MIS Working 1'!$D224,'COGS Break up'!$D:$D,'MIS Working 1'!$AE$1)</f>
        <v>0</v>
      </c>
      <c r="AF224" s="280">
        <f>'MIS Working 1'!$AG224+'MIS Working 1'!$AH224+'MIS Working 1'!$AM224+'MIS Working 1'!$AL224</f>
        <v>0</v>
      </c>
      <c r="AG224" s="279">
        <f>'MIS Working 1'!$L224*'MIS Working 1'!$Y224</f>
        <v>0</v>
      </c>
      <c r="AH224" s="279">
        <f>'MIS Working 1'!$L224*'MIS Working 1'!$Z224</f>
        <v>0</v>
      </c>
      <c r="AI224" s="279">
        <f t="shared" si="9"/>
        <v>0</v>
      </c>
      <c r="AJ224" s="279">
        <f t="shared" si="10"/>
        <v>0</v>
      </c>
      <c r="AK224" s="279">
        <f t="shared" si="11"/>
        <v>0</v>
      </c>
      <c r="AL224" s="279">
        <f>'MIS Working 1'!$AD224*'MIS Working 1'!$L224</f>
        <v>0</v>
      </c>
      <c r="AM224" s="279">
        <f>'MIS Working 1'!$L224*'MIS Working 1'!$AE224+'MIS Working 1'!$AL224</f>
        <v>0</v>
      </c>
    </row>
    <row r="225" spans="1:39" x14ac:dyDescent="0.3">
      <c r="A225" s="263" t="s">
        <v>1625</v>
      </c>
      <c r="B225" s="264">
        <v>45976</v>
      </c>
      <c r="C225" s="265" t="s">
        <v>1780</v>
      </c>
      <c r="D225" s="265" t="s">
        <v>1453</v>
      </c>
      <c r="E225" s="265" t="s">
        <v>1454</v>
      </c>
      <c r="F225" s="265" t="s">
        <v>18</v>
      </c>
      <c r="G225" s="265" t="s">
        <v>48</v>
      </c>
      <c r="H225" s="265" t="s">
        <v>202</v>
      </c>
      <c r="I225" s="266">
        <v>20000</v>
      </c>
      <c r="J225" s="267">
        <v>183220.06</v>
      </c>
      <c r="K225" s="266">
        <v>20000</v>
      </c>
      <c r="L225" s="266">
        <v>20000</v>
      </c>
      <c r="M225" s="264">
        <v>45976</v>
      </c>
      <c r="N225" s="267">
        <v>183600</v>
      </c>
      <c r="O225" s="265" t="s">
        <v>21</v>
      </c>
      <c r="P225" s="265" t="s">
        <v>22</v>
      </c>
      <c r="Q225" s="265" t="s">
        <v>1750</v>
      </c>
      <c r="R225" s="265" t="str">
        <f>VLOOKUP('MIS Working 1'!$G225,Master!$H$3:$I$8,2,0)</f>
        <v>Raw Material</v>
      </c>
      <c r="S225" s="265" t="str">
        <f>VLOOKUP('MIS Working 1'!$H225,Master!B:C,2,0)</f>
        <v>RM-Eletro-IC</v>
      </c>
      <c r="T225" s="265" t="str">
        <f>VLOOKUP('MIS Working 1'!$S225,Master!E:F,2,0)</f>
        <v>Raw Material</v>
      </c>
      <c r="U225" s="268">
        <f>'MIS Working 1'!$N225-'MIS Working 1'!$AF225</f>
        <v>183600</v>
      </c>
      <c r="V225" s="269">
        <f>'MIS Working 1'!$U225/'MIS Working 1'!$N225</f>
        <v>1</v>
      </c>
      <c r="W225" s="265">
        <f>'MIS Working 1'!$N225/'MIS Working 1'!$L225</f>
        <v>9.18</v>
      </c>
      <c r="X225" s="270">
        <f>SUM('MIS Working 1'!$Y225:$AE225)</f>
        <v>0</v>
      </c>
      <c r="Y225" s="270">
        <f>SUMIFS('COGS Break up'!$E:$E,'COGS Break up'!$A:$A,'MIS Working 1'!$D225,'COGS Break up'!$D:$D,'MIS Working 1'!$Y$1)</f>
        <v>0</v>
      </c>
      <c r="Z225" s="270">
        <f>SUMIFS('COGS Break up'!$E:$E,'COGS Break up'!$A:$A,'MIS Working 1'!$D225,'COGS Break up'!$D:$D,'MIS Working 1'!$Z$1)</f>
        <v>0</v>
      </c>
      <c r="AA225" s="270">
        <f>SUMIFS('COGS Break up'!E:E,'COGS Break up'!A:A,'MIS Working 1'!$D:$D,'COGS Break up'!C:C,'MIS Working 1'!$AA$1)</f>
        <v>0</v>
      </c>
      <c r="AB225" s="270">
        <f>SUMIFS('COGS Break up'!E:E,'COGS Break up'!A:A,'MIS Working 1'!$D:$D,'COGS Break up'!C:C,$AB$1)</f>
        <v>0</v>
      </c>
      <c r="AC225" s="270">
        <f>SUMIFS('COGS Break up'!E:E,'COGS Break up'!A:A,'MIS Working 1'!$D:$D,'COGS Break up'!C:C,$AC$1)</f>
        <v>0</v>
      </c>
      <c r="AD225" s="270">
        <f>SUMIFS('COGS Break up'!$E:$E,'COGS Break up'!$A:$A,'MIS Working 1'!$D225,'COGS Break up'!$D:$D,'MIS Working 1'!$AD$1)</f>
        <v>0</v>
      </c>
      <c r="AE225" s="270">
        <f>SUMIFS('COGS Break up'!$E:$E,'COGS Break up'!$A:$A,'MIS Working 1'!$D225,'COGS Break up'!$D:$D,'MIS Working 1'!$AE$1)</f>
        <v>0</v>
      </c>
      <c r="AF225" s="271">
        <f>'MIS Working 1'!$AG225+'MIS Working 1'!$AH225+'MIS Working 1'!$AM225+'MIS Working 1'!$AL225</f>
        <v>0</v>
      </c>
      <c r="AG225" s="270">
        <f>'MIS Working 1'!$L225*'MIS Working 1'!$Y225</f>
        <v>0</v>
      </c>
      <c r="AH225" s="270">
        <f>'MIS Working 1'!$L225*'MIS Working 1'!$Z225</f>
        <v>0</v>
      </c>
      <c r="AI225" s="270">
        <f t="shared" si="9"/>
        <v>0</v>
      </c>
      <c r="AJ225" s="270">
        <f t="shared" si="10"/>
        <v>0</v>
      </c>
      <c r="AK225" s="270">
        <f t="shared" si="11"/>
        <v>0</v>
      </c>
      <c r="AL225" s="270">
        <f>'MIS Working 1'!$AD225*'MIS Working 1'!$L225</f>
        <v>0</v>
      </c>
      <c r="AM225" s="270">
        <f>'MIS Working 1'!$L225*'MIS Working 1'!$AE225+'MIS Working 1'!$AL225</f>
        <v>0</v>
      </c>
    </row>
    <row r="226" spans="1:39" x14ac:dyDescent="0.3">
      <c r="A226" s="272" t="s">
        <v>479</v>
      </c>
      <c r="B226" s="273">
        <v>45975</v>
      </c>
      <c r="C226" s="274" t="s">
        <v>1781</v>
      </c>
      <c r="D226" s="274" t="s">
        <v>40</v>
      </c>
      <c r="E226" s="274" t="s">
        <v>41</v>
      </c>
      <c r="F226" s="274" t="s">
        <v>18</v>
      </c>
      <c r="G226" s="274" t="s">
        <v>34</v>
      </c>
      <c r="H226" s="274" t="s">
        <v>772</v>
      </c>
      <c r="I226" s="275">
        <v>2128</v>
      </c>
      <c r="J226" s="276">
        <v>314241.76</v>
      </c>
      <c r="K226" s="275">
        <v>2128</v>
      </c>
      <c r="L226" s="275">
        <v>2128</v>
      </c>
      <c r="M226" s="273">
        <v>45975</v>
      </c>
      <c r="N226" s="276">
        <v>346736.32</v>
      </c>
      <c r="O226" s="274" t="s">
        <v>21</v>
      </c>
      <c r="P226" s="274" t="s">
        <v>22</v>
      </c>
      <c r="Q226" s="274" t="s">
        <v>660</v>
      </c>
      <c r="R226" s="274" t="str">
        <f>VLOOKUP('MIS Working 1'!$G226,Master!$H$3:$I$8,2,0)</f>
        <v>Semi-Finished Goods</v>
      </c>
      <c r="S226" s="274" t="str">
        <f>VLOOKUP('MIS Working 1'!$H226,Master!B:C,2,0)</f>
        <v>SFG-GV5 Stator</v>
      </c>
      <c r="T226" s="274" t="str">
        <f>VLOOKUP('MIS Working 1'!$S226,Master!E:F,2,0)</f>
        <v>Sub Ass.-Mech Stator</v>
      </c>
      <c r="U226" s="277">
        <f>'MIS Working 1'!$N226-'MIS Working 1'!$AF226</f>
        <v>32494.560000000114</v>
      </c>
      <c r="V226" s="278">
        <f>'MIS Working 1'!$U226/'MIS Working 1'!$N226</f>
        <v>9.3715478090094839E-2</v>
      </c>
      <c r="W226" s="274">
        <f>'MIS Working 1'!$N226/'MIS Working 1'!$L226</f>
        <v>162.94</v>
      </c>
      <c r="X226" s="279">
        <f>SUM('MIS Working 1'!$Y226:$AE226)</f>
        <v>149.61999999999998</v>
      </c>
      <c r="Y226" s="279">
        <f>SUMIFS('COGS Break up'!$E:$E,'COGS Break up'!$A:$A,'MIS Working 1'!$D226,'COGS Break up'!$D:$D,'MIS Working 1'!$Y$1)</f>
        <v>144.21999999999997</v>
      </c>
      <c r="Z226" s="279">
        <f>SUMIFS('COGS Break up'!$E:$E,'COGS Break up'!$A:$A,'MIS Working 1'!$D226,'COGS Break up'!$D:$D,'MIS Working 1'!$Z$1)</f>
        <v>1.5</v>
      </c>
      <c r="AA226" s="279">
        <f>SUMIFS('COGS Break up'!E:E,'COGS Break up'!A:A,'MIS Working 1'!$D:$D,'COGS Break up'!C:C,'MIS Working 1'!$AA$1)</f>
        <v>0.05</v>
      </c>
      <c r="AB226" s="279">
        <f>SUMIFS('COGS Break up'!E:E,'COGS Break up'!A:A,'MIS Working 1'!$D:$D,'COGS Break up'!C:C,$AB$1)</f>
        <v>0.4</v>
      </c>
      <c r="AC226" s="279">
        <f>SUMIFS('COGS Break up'!E:E,'COGS Break up'!A:A,'MIS Working 1'!$D:$D,'COGS Break up'!C:C,$AC$1)</f>
        <v>1.5</v>
      </c>
      <c r="AD226" s="279">
        <f>SUMIFS('COGS Break up'!$E:$E,'COGS Break up'!$A:$A,'MIS Working 1'!$D226,'COGS Break up'!$D:$D,'MIS Working 1'!$AD$1)</f>
        <v>0</v>
      </c>
      <c r="AE226" s="279">
        <f>SUMIFS('COGS Break up'!$E:$E,'COGS Break up'!$A:$A,'MIS Working 1'!$D226,'COGS Break up'!$D:$D,'MIS Working 1'!$AE$1)</f>
        <v>1.95</v>
      </c>
      <c r="AF226" s="280">
        <f>'MIS Working 1'!$AG226+'MIS Working 1'!$AH226+'MIS Working 1'!$AM226+'MIS Working 1'!$AL226</f>
        <v>314241.75999999989</v>
      </c>
      <c r="AG226" s="279">
        <f>'MIS Working 1'!$L226*'MIS Working 1'!$Y226</f>
        <v>306900.15999999992</v>
      </c>
      <c r="AH226" s="279">
        <f>'MIS Working 1'!$L226*'MIS Working 1'!$Z226</f>
        <v>3192</v>
      </c>
      <c r="AI226" s="279">
        <f t="shared" si="9"/>
        <v>106.4</v>
      </c>
      <c r="AJ226" s="279">
        <f t="shared" si="10"/>
        <v>851.2</v>
      </c>
      <c r="AK226" s="279">
        <f t="shared" si="11"/>
        <v>3192</v>
      </c>
      <c r="AL226" s="279">
        <f>'MIS Working 1'!$AD226*'MIS Working 1'!$L226</f>
        <v>0</v>
      </c>
      <c r="AM226" s="279">
        <f>'MIS Working 1'!$L226*'MIS Working 1'!$AE226+'MIS Working 1'!$AL226</f>
        <v>4149.5999999999995</v>
      </c>
    </row>
    <row r="227" spans="1:39" x14ac:dyDescent="0.3">
      <c r="A227" s="263" t="s">
        <v>479</v>
      </c>
      <c r="B227" s="264">
        <v>45975</v>
      </c>
      <c r="C227" s="265" t="s">
        <v>1783</v>
      </c>
      <c r="D227" s="265" t="s">
        <v>639</v>
      </c>
      <c r="E227" s="265" t="s">
        <v>640</v>
      </c>
      <c r="F227" s="265" t="s">
        <v>18</v>
      </c>
      <c r="G227" s="265" t="s">
        <v>19</v>
      </c>
      <c r="H227" s="265" t="s">
        <v>27</v>
      </c>
      <c r="I227" s="266">
        <v>337</v>
      </c>
      <c r="J227" s="267">
        <v>217375.11</v>
      </c>
      <c r="K227" s="266">
        <v>337</v>
      </c>
      <c r="L227" s="266">
        <v>337</v>
      </c>
      <c r="M227" s="264">
        <v>45975</v>
      </c>
      <c r="N227" s="267">
        <v>245524.72</v>
      </c>
      <c r="O227" s="265" t="s">
        <v>21</v>
      </c>
      <c r="P227" s="265" t="s">
        <v>22</v>
      </c>
      <c r="Q227" s="265" t="s">
        <v>660</v>
      </c>
      <c r="R227" s="265" t="str">
        <f>VLOOKUP('MIS Working 1'!$G227,Master!$H$3:$I$8,2,0)</f>
        <v>Finished Goods</v>
      </c>
      <c r="S227" s="265" t="str">
        <f>VLOOKUP('MIS Working 1'!$H227,Master!B:C,2,0)</f>
        <v>FG-PCB-CF</v>
      </c>
      <c r="T227" s="265" t="str">
        <f>VLOOKUP('MIS Working 1'!$S227,Master!E:F,2,0)</f>
        <v>FG-PCB-CF</v>
      </c>
      <c r="U227" s="268">
        <f>'MIS Working 1'!$N227-'MIS Working 1'!$AF227</f>
        <v>28004.700000000099</v>
      </c>
      <c r="V227" s="269">
        <f>'MIS Working 1'!$U227/'MIS Working 1'!$N227</f>
        <v>0.11406061271549398</v>
      </c>
      <c r="W227" s="265">
        <f>'MIS Working 1'!$N227/'MIS Working 1'!$L227</f>
        <v>728.56000000000006</v>
      </c>
      <c r="X227" s="270">
        <f>SUM('MIS Working 1'!$Y227:$AE227)</f>
        <v>677.50999999999965</v>
      </c>
      <c r="Y227" s="270">
        <f>SUMIFS('COGS Break up'!$E:$E,'COGS Break up'!$A:$A,'MIS Working 1'!$D227,'COGS Break up'!$D:$D,'MIS Working 1'!$Y$1)</f>
        <v>582.23999999999967</v>
      </c>
      <c r="Z227" s="270">
        <f>SUMIFS('COGS Break up'!$E:$E,'COGS Break up'!$A:$A,'MIS Working 1'!$D227,'COGS Break up'!$D:$D,'MIS Working 1'!$Z$1)</f>
        <v>29.88</v>
      </c>
      <c r="AA227" s="270">
        <f>SUMIFS('COGS Break up'!E:E,'COGS Break up'!A:A,'MIS Working 1'!$D:$D,'COGS Break up'!C:C,'MIS Working 1'!$AA$1)</f>
        <v>2.4500000000000002</v>
      </c>
      <c r="AB227" s="270">
        <f>SUMIFS('COGS Break up'!E:E,'COGS Break up'!A:A,'MIS Working 1'!$D:$D,'COGS Break up'!C:C,$AB$1)</f>
        <v>21.72</v>
      </c>
      <c r="AC227" s="270">
        <f>SUMIFS('COGS Break up'!E:E,'COGS Break up'!A:A,'MIS Working 1'!$D:$D,'COGS Break up'!C:C,$AC$1)</f>
        <v>8.31</v>
      </c>
      <c r="AD227" s="270">
        <f>SUMIFS('COGS Break up'!$E:$E,'COGS Break up'!$A:$A,'MIS Working 1'!$D227,'COGS Break up'!$D:$D,'MIS Working 1'!$AD$1)</f>
        <v>0.43</v>
      </c>
      <c r="AE227" s="270">
        <f>SUMIFS('COGS Break up'!$E:$E,'COGS Break up'!$A:$A,'MIS Working 1'!$D227,'COGS Break up'!$D:$D,'MIS Working 1'!$AE$1)</f>
        <v>32.480000000000004</v>
      </c>
      <c r="AF227" s="271">
        <f>'MIS Working 1'!$AG227+'MIS Working 1'!$AH227+'MIS Working 1'!$AM227+'MIS Working 1'!$AL227</f>
        <v>217520.0199999999</v>
      </c>
      <c r="AG227" s="270">
        <f>'MIS Working 1'!$L227*'MIS Working 1'!$Y227</f>
        <v>196214.87999999989</v>
      </c>
      <c r="AH227" s="270">
        <f>'MIS Working 1'!$L227*'MIS Working 1'!$Z227</f>
        <v>10069.56</v>
      </c>
      <c r="AI227" s="270">
        <f t="shared" si="9"/>
        <v>825.65000000000009</v>
      </c>
      <c r="AJ227" s="270">
        <f t="shared" si="10"/>
        <v>7319.6399999999994</v>
      </c>
      <c r="AK227" s="270">
        <f t="shared" si="11"/>
        <v>2800.4700000000003</v>
      </c>
      <c r="AL227" s="270">
        <f>'MIS Working 1'!$AD227*'MIS Working 1'!$L227</f>
        <v>144.91</v>
      </c>
      <c r="AM227" s="270">
        <f>'MIS Working 1'!$L227*'MIS Working 1'!$AE227+'MIS Working 1'!$AL227</f>
        <v>11090.670000000002</v>
      </c>
    </row>
    <row r="228" spans="1:39" x14ac:dyDescent="0.3">
      <c r="A228" s="272" t="s">
        <v>479</v>
      </c>
      <c r="B228" s="273">
        <v>45975</v>
      </c>
      <c r="C228" s="274" t="s">
        <v>1782</v>
      </c>
      <c r="D228" s="274" t="s">
        <v>639</v>
      </c>
      <c r="E228" s="274" t="s">
        <v>640</v>
      </c>
      <c r="F228" s="274" t="s">
        <v>18</v>
      </c>
      <c r="G228" s="274" t="s">
        <v>19</v>
      </c>
      <c r="H228" s="274" t="s">
        <v>27</v>
      </c>
      <c r="I228" s="275">
        <v>290</v>
      </c>
      <c r="J228" s="276">
        <v>187058.7</v>
      </c>
      <c r="K228" s="275">
        <v>290</v>
      </c>
      <c r="L228" s="275">
        <v>290</v>
      </c>
      <c r="M228" s="273">
        <v>45975</v>
      </c>
      <c r="N228" s="276">
        <v>211282.4</v>
      </c>
      <c r="O228" s="274" t="s">
        <v>21</v>
      </c>
      <c r="P228" s="274" t="s">
        <v>22</v>
      </c>
      <c r="Q228" s="274" t="s">
        <v>660</v>
      </c>
      <c r="R228" s="274" t="str">
        <f>VLOOKUP('MIS Working 1'!$G228,Master!$H$3:$I$8,2,0)</f>
        <v>Finished Goods</v>
      </c>
      <c r="S228" s="274" t="str">
        <f>VLOOKUP('MIS Working 1'!$H228,Master!B:C,2,0)</f>
        <v>FG-PCB-CF</v>
      </c>
      <c r="T228" s="274" t="str">
        <f>VLOOKUP('MIS Working 1'!$S228,Master!E:F,2,0)</f>
        <v>FG-PCB-CF</v>
      </c>
      <c r="U228" s="277">
        <f>'MIS Working 1'!$N228-'MIS Working 1'!$AF228</f>
        <v>24099.000000000087</v>
      </c>
      <c r="V228" s="278">
        <f>'MIS Working 1'!$U228/'MIS Working 1'!$N228</f>
        <v>0.11406061271549399</v>
      </c>
      <c r="W228" s="274">
        <f>'MIS Working 1'!$N228/'MIS Working 1'!$L228</f>
        <v>728.56</v>
      </c>
      <c r="X228" s="279">
        <f>SUM('MIS Working 1'!$Y228:$AE228)</f>
        <v>677.50999999999965</v>
      </c>
      <c r="Y228" s="279">
        <f>SUMIFS('COGS Break up'!$E:$E,'COGS Break up'!$A:$A,'MIS Working 1'!$D228,'COGS Break up'!$D:$D,'MIS Working 1'!$Y$1)</f>
        <v>582.23999999999967</v>
      </c>
      <c r="Z228" s="279">
        <f>SUMIFS('COGS Break up'!$E:$E,'COGS Break up'!$A:$A,'MIS Working 1'!$D228,'COGS Break up'!$D:$D,'MIS Working 1'!$Z$1)</f>
        <v>29.88</v>
      </c>
      <c r="AA228" s="279">
        <f>SUMIFS('COGS Break up'!E:E,'COGS Break up'!A:A,'MIS Working 1'!$D:$D,'COGS Break up'!C:C,'MIS Working 1'!$AA$1)</f>
        <v>2.4500000000000002</v>
      </c>
      <c r="AB228" s="279">
        <f>SUMIFS('COGS Break up'!E:E,'COGS Break up'!A:A,'MIS Working 1'!$D:$D,'COGS Break up'!C:C,$AB$1)</f>
        <v>21.72</v>
      </c>
      <c r="AC228" s="279">
        <f>SUMIFS('COGS Break up'!E:E,'COGS Break up'!A:A,'MIS Working 1'!$D:$D,'COGS Break up'!C:C,$AC$1)</f>
        <v>8.31</v>
      </c>
      <c r="AD228" s="279">
        <f>SUMIFS('COGS Break up'!$E:$E,'COGS Break up'!$A:$A,'MIS Working 1'!$D228,'COGS Break up'!$D:$D,'MIS Working 1'!$AD$1)</f>
        <v>0.43</v>
      </c>
      <c r="AE228" s="279">
        <f>SUMIFS('COGS Break up'!$E:$E,'COGS Break up'!$A:$A,'MIS Working 1'!$D228,'COGS Break up'!$D:$D,'MIS Working 1'!$AE$1)</f>
        <v>32.480000000000004</v>
      </c>
      <c r="AF228" s="280">
        <f>'MIS Working 1'!$AG228+'MIS Working 1'!$AH228+'MIS Working 1'!$AM228+'MIS Working 1'!$AL228</f>
        <v>187183.39999999991</v>
      </c>
      <c r="AG228" s="279">
        <f>'MIS Working 1'!$L228*'MIS Working 1'!$Y228</f>
        <v>168849.59999999989</v>
      </c>
      <c r="AH228" s="279">
        <f>'MIS Working 1'!$L228*'MIS Working 1'!$Z228</f>
        <v>8665.1999999999989</v>
      </c>
      <c r="AI228" s="279">
        <f t="shared" si="9"/>
        <v>710.5</v>
      </c>
      <c r="AJ228" s="279">
        <f t="shared" si="10"/>
        <v>6298.7999999999993</v>
      </c>
      <c r="AK228" s="279">
        <f t="shared" si="11"/>
        <v>2409.9</v>
      </c>
      <c r="AL228" s="279">
        <f>'MIS Working 1'!$AD228*'MIS Working 1'!$L228</f>
        <v>124.7</v>
      </c>
      <c r="AM228" s="279">
        <f>'MIS Working 1'!$L228*'MIS Working 1'!$AE228+'MIS Working 1'!$AL228</f>
        <v>9543.9000000000015</v>
      </c>
    </row>
    <row r="229" spans="1:39" x14ac:dyDescent="0.3">
      <c r="A229" s="263" t="s">
        <v>479</v>
      </c>
      <c r="B229" s="264">
        <v>45975</v>
      </c>
      <c r="C229" s="265" t="s">
        <v>1782</v>
      </c>
      <c r="D229" s="265" t="s">
        <v>42</v>
      </c>
      <c r="E229" s="265" t="s">
        <v>43</v>
      </c>
      <c r="F229" s="265" t="s">
        <v>18</v>
      </c>
      <c r="G229" s="265" t="s">
        <v>19</v>
      </c>
      <c r="H229" s="265" t="s">
        <v>27</v>
      </c>
      <c r="I229" s="266">
        <v>4249</v>
      </c>
      <c r="J229" s="267">
        <v>1389975.37</v>
      </c>
      <c r="K229" s="266">
        <v>4249</v>
      </c>
      <c r="L229" s="266">
        <v>4249</v>
      </c>
      <c r="M229" s="264">
        <v>45975</v>
      </c>
      <c r="N229" s="267">
        <v>1449206.43</v>
      </c>
      <c r="O229" s="265" t="s">
        <v>21</v>
      </c>
      <c r="P229" s="265" t="s">
        <v>22</v>
      </c>
      <c r="Q229" s="265" t="s">
        <v>660</v>
      </c>
      <c r="R229" s="265" t="str">
        <f>VLOOKUP('MIS Working 1'!$G229,Master!$H$3:$I$8,2,0)</f>
        <v>Finished Goods</v>
      </c>
      <c r="S229" s="265" t="str">
        <f>VLOOKUP('MIS Working 1'!$H229,Master!B:C,2,0)</f>
        <v>FG-PCB-CF</v>
      </c>
      <c r="T229" s="265" t="str">
        <f>VLOOKUP('MIS Working 1'!$S229,Master!E:F,2,0)</f>
        <v>FG-PCB-CF</v>
      </c>
      <c r="U229" s="268">
        <f>'MIS Working 1'!$N229-'MIS Working 1'!$AF229</f>
        <v>58508.729999999749</v>
      </c>
      <c r="V229" s="269">
        <f>'MIS Working 1'!$U229/'MIS Working 1'!$N229</f>
        <v>4.0372943970445781E-2</v>
      </c>
      <c r="W229" s="265">
        <f>'MIS Working 1'!$N229/'MIS Working 1'!$L229</f>
        <v>341.07</v>
      </c>
      <c r="X229" s="270">
        <f>SUM('MIS Working 1'!$Y229:$AE229)</f>
        <v>353.55</v>
      </c>
      <c r="Y229" s="270">
        <f>SUMIFS('COGS Break up'!$E:$E,'COGS Break up'!$A:$A,'MIS Working 1'!$D229,'COGS Break up'!$D:$D,'MIS Working 1'!$Y$1)</f>
        <v>278.14000000000004</v>
      </c>
      <c r="Z229" s="270">
        <f>SUMIFS('COGS Break up'!$E:$E,'COGS Break up'!$A:$A,'MIS Working 1'!$D229,'COGS Break up'!$D:$D,'MIS Working 1'!$Z$1)</f>
        <v>22.400000000000002</v>
      </c>
      <c r="AA229" s="270">
        <f>SUMIFS('COGS Break up'!E:E,'COGS Break up'!A:A,'MIS Working 1'!$D:$D,'COGS Break up'!C:C,'MIS Working 1'!$AA$1)</f>
        <v>1.8299999999999998</v>
      </c>
      <c r="AB229" s="270">
        <f>SUMIFS('COGS Break up'!E:E,'COGS Break up'!A:A,'MIS Working 1'!$D:$D,'COGS Break up'!C:C,$AB$1)</f>
        <v>16.28</v>
      </c>
      <c r="AC229" s="270">
        <f>SUMIFS('COGS Break up'!E:E,'COGS Break up'!A:A,'MIS Working 1'!$D:$D,'COGS Break up'!C:C,$AC$1)</f>
        <v>8.31</v>
      </c>
      <c r="AD229" s="270">
        <f>SUMIFS('COGS Break up'!$E:$E,'COGS Break up'!$A:$A,'MIS Working 1'!$D229,'COGS Break up'!$D:$D,'MIS Working 1'!$AD$1)</f>
        <v>0.17</v>
      </c>
      <c r="AE229" s="270">
        <f>SUMIFS('COGS Break up'!$E:$E,'COGS Break up'!$A:$A,'MIS Working 1'!$D229,'COGS Break up'!$D:$D,'MIS Working 1'!$AE$1)</f>
        <v>26.42</v>
      </c>
      <c r="AF229" s="271">
        <f>'MIS Working 1'!$AG229+'MIS Working 1'!$AH229+'MIS Working 1'!$AM229+'MIS Working 1'!$AL229</f>
        <v>1390697.7000000002</v>
      </c>
      <c r="AG229" s="270">
        <f>'MIS Working 1'!$L229*'MIS Working 1'!$Y229</f>
        <v>1181816.8600000001</v>
      </c>
      <c r="AH229" s="270">
        <f>'MIS Working 1'!$L229*'MIS Working 1'!$Z229</f>
        <v>95177.600000000006</v>
      </c>
      <c r="AI229" s="270">
        <f t="shared" si="9"/>
        <v>7775.6699999999992</v>
      </c>
      <c r="AJ229" s="270">
        <f t="shared" si="10"/>
        <v>69173.72</v>
      </c>
      <c r="AK229" s="270">
        <f t="shared" si="11"/>
        <v>35309.19</v>
      </c>
      <c r="AL229" s="270">
        <f>'MIS Working 1'!$AD229*'MIS Working 1'!$L229</f>
        <v>722.33</v>
      </c>
      <c r="AM229" s="270">
        <f>'MIS Working 1'!$L229*'MIS Working 1'!$AE229+'MIS Working 1'!$AL229</f>
        <v>112980.91</v>
      </c>
    </row>
    <row r="230" spans="1:39" x14ac:dyDescent="0.3">
      <c r="A230" s="272" t="s">
        <v>479</v>
      </c>
      <c r="B230" s="273">
        <v>45975</v>
      </c>
      <c r="C230" s="274" t="s">
        <v>1783</v>
      </c>
      <c r="D230" s="274" t="s">
        <v>23</v>
      </c>
      <c r="E230" s="274" t="s">
        <v>24</v>
      </c>
      <c r="F230" s="274" t="s">
        <v>18</v>
      </c>
      <c r="G230" s="274" t="s">
        <v>19</v>
      </c>
      <c r="H230" s="274" t="s">
        <v>27</v>
      </c>
      <c r="I230" s="275">
        <v>805</v>
      </c>
      <c r="J230" s="276">
        <v>339235.05</v>
      </c>
      <c r="K230" s="275">
        <v>805</v>
      </c>
      <c r="L230" s="275">
        <v>805</v>
      </c>
      <c r="M230" s="273">
        <v>45975</v>
      </c>
      <c r="N230" s="276">
        <v>388943.8</v>
      </c>
      <c r="O230" s="274" t="s">
        <v>21</v>
      </c>
      <c r="P230" s="274" t="s">
        <v>22</v>
      </c>
      <c r="Q230" s="274" t="s">
        <v>660</v>
      </c>
      <c r="R230" s="274" t="str">
        <f>VLOOKUP('MIS Working 1'!$G230,Master!$H$3:$I$8,2,0)</f>
        <v>Finished Goods</v>
      </c>
      <c r="S230" s="274" t="str">
        <f>VLOOKUP('MIS Working 1'!$H230,Master!B:C,2,0)</f>
        <v>FG-PCB-CF</v>
      </c>
      <c r="T230" s="274" t="str">
        <f>VLOOKUP('MIS Working 1'!$S230,Master!E:F,2,0)</f>
        <v>FG-PCB-CF</v>
      </c>
      <c r="U230" s="277">
        <f>'MIS Working 1'!$N230-'MIS Working 1'!$AF230</f>
        <v>49499.450000000128</v>
      </c>
      <c r="V230" s="278">
        <f>'MIS Working 1'!$U230/'MIS Working 1'!$N230</f>
        <v>0.12726632999420515</v>
      </c>
      <c r="W230" s="274">
        <f>'MIS Working 1'!$N230/'MIS Working 1'!$L230</f>
        <v>483.15999999999997</v>
      </c>
      <c r="X230" s="279">
        <f>SUM('MIS Working 1'!$Y230:$AE230)</f>
        <v>447.50999999999988</v>
      </c>
      <c r="Y230" s="279">
        <f>SUMIFS('COGS Break up'!$E:$E,'COGS Break up'!$A:$A,'MIS Working 1'!$D230,'COGS Break up'!$D:$D,'MIS Working 1'!$Y$1)</f>
        <v>373.04999999999984</v>
      </c>
      <c r="Z230" s="279">
        <f>SUMIFS('COGS Break up'!$E:$E,'COGS Break up'!$A:$A,'MIS Working 1'!$D230,'COGS Break up'!$D:$D,'MIS Working 1'!$Z$1)</f>
        <v>22</v>
      </c>
      <c r="AA230" s="279">
        <f>SUMIFS('COGS Break up'!E:E,'COGS Break up'!A:A,'MIS Working 1'!$D:$D,'COGS Break up'!C:C,'MIS Working 1'!$AA$1)</f>
        <v>1.8</v>
      </c>
      <c r="AB230" s="279">
        <f>SUMIFS('COGS Break up'!E:E,'COGS Break up'!A:A,'MIS Working 1'!$D:$D,'COGS Break up'!C:C,$AB$1)</f>
        <v>15.99</v>
      </c>
      <c r="AC230" s="279">
        <f>SUMIFS('COGS Break up'!E:E,'COGS Break up'!A:A,'MIS Working 1'!$D:$D,'COGS Break up'!C:C,$AC$1)</f>
        <v>8.31</v>
      </c>
      <c r="AD230" s="279">
        <f>SUMIFS('COGS Break up'!$E:$E,'COGS Break up'!$A:$A,'MIS Working 1'!$D230,'COGS Break up'!$D:$D,'MIS Working 1'!$AD$1)</f>
        <v>0.26</v>
      </c>
      <c r="AE230" s="279">
        <f>SUMIFS('COGS Break up'!$E:$E,'COGS Break up'!$A:$A,'MIS Working 1'!$D230,'COGS Break up'!$D:$D,'MIS Working 1'!$AE$1)</f>
        <v>26.1</v>
      </c>
      <c r="AF230" s="280">
        <f>'MIS Working 1'!$AG230+'MIS Working 1'!$AH230+'MIS Working 1'!$AM230+'MIS Working 1'!$AL230</f>
        <v>339444.34999999986</v>
      </c>
      <c r="AG230" s="279">
        <f>'MIS Working 1'!$L230*'MIS Working 1'!$Y230</f>
        <v>300305.24999999988</v>
      </c>
      <c r="AH230" s="279">
        <f>'MIS Working 1'!$L230*'MIS Working 1'!$Z230</f>
        <v>17710</v>
      </c>
      <c r="AI230" s="279">
        <f t="shared" si="9"/>
        <v>1449</v>
      </c>
      <c r="AJ230" s="279">
        <f t="shared" si="10"/>
        <v>12871.95</v>
      </c>
      <c r="AK230" s="279">
        <f t="shared" si="11"/>
        <v>6689.55</v>
      </c>
      <c r="AL230" s="279">
        <f>'MIS Working 1'!$AD230*'MIS Working 1'!$L230</f>
        <v>209.3</v>
      </c>
      <c r="AM230" s="279">
        <f>'MIS Working 1'!$L230*'MIS Working 1'!$AE230+'MIS Working 1'!$AL230</f>
        <v>21219.8</v>
      </c>
    </row>
    <row r="231" spans="1:39" x14ac:dyDescent="0.3">
      <c r="A231" s="263" t="s">
        <v>479</v>
      </c>
      <c r="B231" s="264">
        <v>45975</v>
      </c>
      <c r="C231" s="265" t="s">
        <v>1782</v>
      </c>
      <c r="D231" s="265" t="s">
        <v>23</v>
      </c>
      <c r="E231" s="265" t="s">
        <v>24</v>
      </c>
      <c r="F231" s="265" t="s">
        <v>18</v>
      </c>
      <c r="G231" s="265" t="s">
        <v>19</v>
      </c>
      <c r="H231" s="265" t="s">
        <v>27</v>
      </c>
      <c r="I231" s="266">
        <v>1185</v>
      </c>
      <c r="J231" s="267">
        <v>499370.85</v>
      </c>
      <c r="K231" s="266">
        <v>1185</v>
      </c>
      <c r="L231" s="266">
        <v>1185</v>
      </c>
      <c r="M231" s="264">
        <v>45975</v>
      </c>
      <c r="N231" s="267">
        <v>572544.6</v>
      </c>
      <c r="O231" s="265" t="s">
        <v>21</v>
      </c>
      <c r="P231" s="265" t="s">
        <v>22</v>
      </c>
      <c r="Q231" s="265" t="s">
        <v>660</v>
      </c>
      <c r="R231" s="265" t="str">
        <f>VLOOKUP('MIS Working 1'!$G231,Master!$H$3:$I$8,2,0)</f>
        <v>Finished Goods</v>
      </c>
      <c r="S231" s="265" t="str">
        <f>VLOOKUP('MIS Working 1'!$H231,Master!B:C,2,0)</f>
        <v>FG-PCB-CF</v>
      </c>
      <c r="T231" s="265" t="str">
        <f>VLOOKUP('MIS Working 1'!$S231,Master!E:F,2,0)</f>
        <v>FG-PCB-CF</v>
      </c>
      <c r="U231" s="268">
        <f>'MIS Working 1'!$N231-'MIS Working 1'!$AF231</f>
        <v>72865.650000000198</v>
      </c>
      <c r="V231" s="269">
        <f>'MIS Working 1'!$U231/'MIS Working 1'!$N231</f>
        <v>0.12726632999420517</v>
      </c>
      <c r="W231" s="265">
        <f>'MIS Working 1'!$N231/'MIS Working 1'!$L231</f>
        <v>483.15999999999997</v>
      </c>
      <c r="X231" s="270">
        <f>SUM('MIS Working 1'!$Y231:$AE231)</f>
        <v>447.50999999999988</v>
      </c>
      <c r="Y231" s="270">
        <f>SUMIFS('COGS Break up'!$E:$E,'COGS Break up'!$A:$A,'MIS Working 1'!$D231,'COGS Break up'!$D:$D,'MIS Working 1'!$Y$1)</f>
        <v>373.04999999999984</v>
      </c>
      <c r="Z231" s="270">
        <f>SUMIFS('COGS Break up'!$E:$E,'COGS Break up'!$A:$A,'MIS Working 1'!$D231,'COGS Break up'!$D:$D,'MIS Working 1'!$Z$1)</f>
        <v>22</v>
      </c>
      <c r="AA231" s="270">
        <f>SUMIFS('COGS Break up'!E:E,'COGS Break up'!A:A,'MIS Working 1'!$D:$D,'COGS Break up'!C:C,'MIS Working 1'!$AA$1)</f>
        <v>1.8</v>
      </c>
      <c r="AB231" s="270">
        <f>SUMIFS('COGS Break up'!E:E,'COGS Break up'!A:A,'MIS Working 1'!$D:$D,'COGS Break up'!C:C,$AB$1)</f>
        <v>15.99</v>
      </c>
      <c r="AC231" s="270">
        <f>SUMIFS('COGS Break up'!E:E,'COGS Break up'!A:A,'MIS Working 1'!$D:$D,'COGS Break up'!C:C,$AC$1)</f>
        <v>8.31</v>
      </c>
      <c r="AD231" s="270">
        <f>SUMIFS('COGS Break up'!$E:$E,'COGS Break up'!$A:$A,'MIS Working 1'!$D231,'COGS Break up'!$D:$D,'MIS Working 1'!$AD$1)</f>
        <v>0.26</v>
      </c>
      <c r="AE231" s="270">
        <f>SUMIFS('COGS Break up'!$E:$E,'COGS Break up'!$A:$A,'MIS Working 1'!$D231,'COGS Break up'!$D:$D,'MIS Working 1'!$AE$1)</f>
        <v>26.1</v>
      </c>
      <c r="AF231" s="271">
        <f>'MIS Working 1'!$AG231+'MIS Working 1'!$AH231+'MIS Working 1'!$AM231+'MIS Working 1'!$AL231</f>
        <v>499678.94999999978</v>
      </c>
      <c r="AG231" s="270">
        <f>'MIS Working 1'!$L231*'MIS Working 1'!$Y231</f>
        <v>442064.24999999983</v>
      </c>
      <c r="AH231" s="270">
        <f>'MIS Working 1'!$L231*'MIS Working 1'!$Z231</f>
        <v>26070</v>
      </c>
      <c r="AI231" s="270">
        <f t="shared" si="9"/>
        <v>2133</v>
      </c>
      <c r="AJ231" s="270">
        <f t="shared" si="10"/>
        <v>18948.150000000001</v>
      </c>
      <c r="AK231" s="270">
        <f t="shared" si="11"/>
        <v>9847.35</v>
      </c>
      <c r="AL231" s="270">
        <f>'MIS Working 1'!$AD231*'MIS Working 1'!$L231</f>
        <v>308.10000000000002</v>
      </c>
      <c r="AM231" s="270">
        <f>'MIS Working 1'!$L231*'MIS Working 1'!$AE231+'MIS Working 1'!$AL231</f>
        <v>31236.6</v>
      </c>
    </row>
    <row r="232" spans="1:39" x14ac:dyDescent="0.3">
      <c r="A232" s="272" t="s">
        <v>479</v>
      </c>
      <c r="B232" s="273">
        <v>45975</v>
      </c>
      <c r="C232" s="274" t="s">
        <v>1782</v>
      </c>
      <c r="D232" s="274" t="s">
        <v>1179</v>
      </c>
      <c r="E232" s="274" t="s">
        <v>1180</v>
      </c>
      <c r="F232" s="274" t="s">
        <v>18</v>
      </c>
      <c r="G232" s="274" t="s">
        <v>19</v>
      </c>
      <c r="H232" s="274" t="s">
        <v>27</v>
      </c>
      <c r="I232" s="275">
        <v>415</v>
      </c>
      <c r="J232" s="276">
        <v>174872.7</v>
      </c>
      <c r="K232" s="275">
        <v>415</v>
      </c>
      <c r="L232" s="275">
        <v>415</v>
      </c>
      <c r="M232" s="273">
        <v>45975</v>
      </c>
      <c r="N232" s="276">
        <v>200511.4</v>
      </c>
      <c r="O232" s="274" t="s">
        <v>21</v>
      </c>
      <c r="P232" s="274" t="s">
        <v>22</v>
      </c>
      <c r="Q232" s="274" t="s">
        <v>660</v>
      </c>
      <c r="R232" s="274" t="str">
        <f>VLOOKUP('MIS Working 1'!$G232,Master!$H$3:$I$8,2,0)</f>
        <v>Finished Goods</v>
      </c>
      <c r="S232" s="274" t="str">
        <f>VLOOKUP('MIS Working 1'!$H232,Master!B:C,2,0)</f>
        <v>FG-PCB-CF</v>
      </c>
      <c r="T232" s="274" t="str">
        <f>VLOOKUP('MIS Working 1'!$S232,Master!E:F,2,0)</f>
        <v>FG-PCB-CF</v>
      </c>
      <c r="U232" s="277">
        <f>'MIS Working 1'!$N232-'MIS Working 1'!$AF232</f>
        <v>25530.800000000076</v>
      </c>
      <c r="V232" s="278">
        <f>'MIS Working 1'!$U232/'MIS Working 1'!$N232</f>
        <v>0.12732842122692314</v>
      </c>
      <c r="W232" s="274">
        <f>'MIS Working 1'!$N232/'MIS Working 1'!$L232</f>
        <v>483.15999999999997</v>
      </c>
      <c r="X232" s="279">
        <f>SUM('MIS Working 1'!$Y232:$AE232)</f>
        <v>447.47999999999985</v>
      </c>
      <c r="Y232" s="279">
        <f>SUMIFS('COGS Break up'!$E:$E,'COGS Break up'!$A:$A,'MIS Working 1'!$D232,'COGS Break up'!$D:$D,'MIS Working 1'!$Y$1)</f>
        <v>373.01999999999981</v>
      </c>
      <c r="Z232" s="279">
        <f>SUMIFS('COGS Break up'!$E:$E,'COGS Break up'!$A:$A,'MIS Working 1'!$D232,'COGS Break up'!$D:$D,'MIS Working 1'!$Z$1)</f>
        <v>22</v>
      </c>
      <c r="AA232" s="279">
        <f>SUMIFS('COGS Break up'!E:E,'COGS Break up'!A:A,'MIS Working 1'!$D:$D,'COGS Break up'!C:C,'MIS Working 1'!$AA$1)</f>
        <v>1.8</v>
      </c>
      <c r="AB232" s="279">
        <f>SUMIFS('COGS Break up'!E:E,'COGS Break up'!A:A,'MIS Working 1'!$D:$D,'COGS Break up'!C:C,$AB$1)</f>
        <v>15.99</v>
      </c>
      <c r="AC232" s="279">
        <f>SUMIFS('COGS Break up'!E:E,'COGS Break up'!A:A,'MIS Working 1'!$D:$D,'COGS Break up'!C:C,$AC$1)</f>
        <v>8.31</v>
      </c>
      <c r="AD232" s="279">
        <f>SUMIFS('COGS Break up'!$E:$E,'COGS Break up'!$A:$A,'MIS Working 1'!$D232,'COGS Break up'!$D:$D,'MIS Working 1'!$AD$1)</f>
        <v>0.26</v>
      </c>
      <c r="AE232" s="279">
        <f>SUMIFS('COGS Break up'!$E:$E,'COGS Break up'!$A:$A,'MIS Working 1'!$D232,'COGS Break up'!$D:$D,'MIS Working 1'!$AE$1)</f>
        <v>26.1</v>
      </c>
      <c r="AF232" s="280">
        <f>'MIS Working 1'!$AG232+'MIS Working 1'!$AH232+'MIS Working 1'!$AM232+'MIS Working 1'!$AL232</f>
        <v>174980.59999999992</v>
      </c>
      <c r="AG232" s="279">
        <f>'MIS Working 1'!$L232*'MIS Working 1'!$Y232</f>
        <v>154803.29999999993</v>
      </c>
      <c r="AH232" s="279">
        <f>'MIS Working 1'!$L232*'MIS Working 1'!$Z232</f>
        <v>9130</v>
      </c>
      <c r="AI232" s="279">
        <f t="shared" si="9"/>
        <v>747</v>
      </c>
      <c r="AJ232" s="279">
        <f t="shared" si="10"/>
        <v>6635.85</v>
      </c>
      <c r="AK232" s="279">
        <f t="shared" si="11"/>
        <v>3448.65</v>
      </c>
      <c r="AL232" s="279">
        <f>'MIS Working 1'!$AD232*'MIS Working 1'!$L232</f>
        <v>107.9</v>
      </c>
      <c r="AM232" s="279">
        <f>'MIS Working 1'!$L232*'MIS Working 1'!$AE232+'MIS Working 1'!$AL232</f>
        <v>10939.4</v>
      </c>
    </row>
    <row r="233" spans="1:39" x14ac:dyDescent="0.3">
      <c r="A233" s="263" t="s">
        <v>479</v>
      </c>
      <c r="B233" s="264">
        <v>45975</v>
      </c>
      <c r="C233" s="265" t="s">
        <v>1784</v>
      </c>
      <c r="D233" s="265" t="s">
        <v>1179</v>
      </c>
      <c r="E233" s="265" t="s">
        <v>1180</v>
      </c>
      <c r="F233" s="265" t="s">
        <v>18</v>
      </c>
      <c r="G233" s="265" t="s">
        <v>19</v>
      </c>
      <c r="H233" s="265" t="s">
        <v>27</v>
      </c>
      <c r="I233" s="266">
        <v>170</v>
      </c>
      <c r="J233" s="267">
        <v>71634.600000000006</v>
      </c>
      <c r="K233" s="266">
        <v>170</v>
      </c>
      <c r="L233" s="266">
        <v>170</v>
      </c>
      <c r="M233" s="264">
        <v>45975</v>
      </c>
      <c r="N233" s="267">
        <v>82137.2</v>
      </c>
      <c r="O233" s="265" t="s">
        <v>21</v>
      </c>
      <c r="P233" s="265" t="s">
        <v>22</v>
      </c>
      <c r="Q233" s="265" t="s">
        <v>660</v>
      </c>
      <c r="R233" s="265" t="str">
        <f>VLOOKUP('MIS Working 1'!$G233,Master!$H$3:$I$8,2,0)</f>
        <v>Finished Goods</v>
      </c>
      <c r="S233" s="265" t="str">
        <f>VLOOKUP('MIS Working 1'!$H233,Master!B:C,2,0)</f>
        <v>FG-PCB-CF</v>
      </c>
      <c r="T233" s="265" t="str">
        <f>VLOOKUP('MIS Working 1'!$S233,Master!E:F,2,0)</f>
        <v>FG-PCB-CF</v>
      </c>
      <c r="U233" s="268">
        <f>'MIS Working 1'!$N233-'MIS Working 1'!$AF233</f>
        <v>10458.400000000038</v>
      </c>
      <c r="V233" s="269">
        <f>'MIS Working 1'!$U233/'MIS Working 1'!$N233</f>
        <v>0.12732842122692323</v>
      </c>
      <c r="W233" s="265">
        <f>'MIS Working 1'!$N233/'MIS Working 1'!$L233</f>
        <v>483.15999999999997</v>
      </c>
      <c r="X233" s="270">
        <f>SUM('MIS Working 1'!$Y233:$AE233)</f>
        <v>447.47999999999985</v>
      </c>
      <c r="Y233" s="270">
        <f>SUMIFS('COGS Break up'!$E:$E,'COGS Break up'!$A:$A,'MIS Working 1'!$D233,'COGS Break up'!$D:$D,'MIS Working 1'!$Y$1)</f>
        <v>373.01999999999981</v>
      </c>
      <c r="Z233" s="270">
        <f>SUMIFS('COGS Break up'!$E:$E,'COGS Break up'!$A:$A,'MIS Working 1'!$D233,'COGS Break up'!$D:$D,'MIS Working 1'!$Z$1)</f>
        <v>22</v>
      </c>
      <c r="AA233" s="270">
        <f>SUMIFS('COGS Break up'!E:E,'COGS Break up'!A:A,'MIS Working 1'!$D:$D,'COGS Break up'!C:C,'MIS Working 1'!$AA$1)</f>
        <v>1.8</v>
      </c>
      <c r="AB233" s="270">
        <f>SUMIFS('COGS Break up'!E:E,'COGS Break up'!A:A,'MIS Working 1'!$D:$D,'COGS Break up'!C:C,$AB$1)</f>
        <v>15.99</v>
      </c>
      <c r="AC233" s="270">
        <f>SUMIFS('COGS Break up'!E:E,'COGS Break up'!A:A,'MIS Working 1'!$D:$D,'COGS Break up'!C:C,$AC$1)</f>
        <v>8.31</v>
      </c>
      <c r="AD233" s="270">
        <f>SUMIFS('COGS Break up'!$E:$E,'COGS Break up'!$A:$A,'MIS Working 1'!$D233,'COGS Break up'!$D:$D,'MIS Working 1'!$AD$1)</f>
        <v>0.26</v>
      </c>
      <c r="AE233" s="270">
        <f>SUMIFS('COGS Break up'!$E:$E,'COGS Break up'!$A:$A,'MIS Working 1'!$D233,'COGS Break up'!$D:$D,'MIS Working 1'!$AE$1)</f>
        <v>26.1</v>
      </c>
      <c r="AF233" s="271">
        <f>'MIS Working 1'!$AG233+'MIS Working 1'!$AH233+'MIS Working 1'!$AM233+'MIS Working 1'!$AL233</f>
        <v>71678.799999999959</v>
      </c>
      <c r="AG233" s="270">
        <f>'MIS Working 1'!$L233*'MIS Working 1'!$Y233</f>
        <v>63413.399999999965</v>
      </c>
      <c r="AH233" s="270">
        <f>'MIS Working 1'!$L233*'MIS Working 1'!$Z233</f>
        <v>3740</v>
      </c>
      <c r="AI233" s="270">
        <f t="shared" si="9"/>
        <v>306</v>
      </c>
      <c r="AJ233" s="270">
        <f t="shared" si="10"/>
        <v>2718.3</v>
      </c>
      <c r="AK233" s="270">
        <f t="shared" si="11"/>
        <v>1412.7</v>
      </c>
      <c r="AL233" s="270">
        <f>'MIS Working 1'!$AD233*'MIS Working 1'!$L233</f>
        <v>44.2</v>
      </c>
      <c r="AM233" s="270">
        <f>'MIS Working 1'!$L233*'MIS Working 1'!$AE233+'MIS Working 1'!$AL233</f>
        <v>4481.2</v>
      </c>
    </row>
    <row r="234" spans="1:39" x14ac:dyDescent="0.3">
      <c r="A234" s="272" t="s">
        <v>479</v>
      </c>
      <c r="B234" s="273">
        <v>45975</v>
      </c>
      <c r="C234" s="274" t="s">
        <v>1783</v>
      </c>
      <c r="D234" s="274" t="s">
        <v>378</v>
      </c>
      <c r="E234" s="274" t="s">
        <v>379</v>
      </c>
      <c r="F234" s="274" t="s">
        <v>18</v>
      </c>
      <c r="G234" s="274" t="s">
        <v>19</v>
      </c>
      <c r="H234" s="274" t="s">
        <v>27</v>
      </c>
      <c r="I234" s="275">
        <v>1021</v>
      </c>
      <c r="J234" s="276">
        <v>332029.2</v>
      </c>
      <c r="K234" s="275">
        <v>1021</v>
      </c>
      <c r="L234" s="275">
        <v>1021</v>
      </c>
      <c r="M234" s="273">
        <v>45975</v>
      </c>
      <c r="N234" s="276">
        <v>362475.42</v>
      </c>
      <c r="O234" s="274" t="s">
        <v>21</v>
      </c>
      <c r="P234" s="274" t="s">
        <v>22</v>
      </c>
      <c r="Q234" s="274" t="s">
        <v>660</v>
      </c>
      <c r="R234" s="274" t="str">
        <f>VLOOKUP('MIS Working 1'!$G234,Master!$H$3:$I$8,2,0)</f>
        <v>Finished Goods</v>
      </c>
      <c r="S234" s="274" t="str">
        <f>VLOOKUP('MIS Working 1'!$H234,Master!B:C,2,0)</f>
        <v>FG-PCB-CF</v>
      </c>
      <c r="T234" s="274" t="str">
        <f>VLOOKUP('MIS Working 1'!$S234,Master!E:F,2,0)</f>
        <v>FG-PCB-CF</v>
      </c>
      <c r="U234" s="277">
        <f>'MIS Working 1'!$N234-'MIS Working 1'!$AF234</f>
        <v>30180.760000000009</v>
      </c>
      <c r="V234" s="278">
        <f>'MIS Working 1'!$U234/'MIS Working 1'!$N234</f>
        <v>8.3262914765365362E-2</v>
      </c>
      <c r="W234" s="274">
        <f>'MIS Working 1'!$N234/'MIS Working 1'!$L234</f>
        <v>355.02</v>
      </c>
      <c r="X234" s="279">
        <f>SUM('MIS Working 1'!$Y234:$AE234)</f>
        <v>354.76999999999992</v>
      </c>
      <c r="Y234" s="279">
        <f>SUMIFS('COGS Break up'!$E:$E,'COGS Break up'!$A:$A,'MIS Working 1'!$D234,'COGS Break up'!$D:$D,'MIS Working 1'!$Y$1)</f>
        <v>271.52999999999997</v>
      </c>
      <c r="Z234" s="279">
        <f>SUMIFS('COGS Break up'!$E:$E,'COGS Break up'!$A:$A,'MIS Working 1'!$D234,'COGS Break up'!$D:$D,'MIS Working 1'!$Z$1)</f>
        <v>23.84</v>
      </c>
      <c r="AA234" s="279">
        <f>SUMIFS('COGS Break up'!E:E,'COGS Break up'!A:A,'MIS Working 1'!$D:$D,'COGS Break up'!C:C,'MIS Working 1'!$AA$1)</f>
        <v>1.9500000000000002</v>
      </c>
      <c r="AB234" s="279">
        <f>SUMIFS('COGS Break up'!E:E,'COGS Break up'!A:A,'MIS Working 1'!$D:$D,'COGS Break up'!C:C,$AB$1)</f>
        <v>17.329999999999998</v>
      </c>
      <c r="AC234" s="279">
        <f>SUMIFS('COGS Break up'!E:E,'COGS Break up'!A:A,'MIS Working 1'!$D:$D,'COGS Break up'!C:C,$AC$1)</f>
        <v>10.29</v>
      </c>
      <c r="AD234" s="279">
        <f>SUMIFS('COGS Break up'!$E:$E,'COGS Break up'!$A:$A,'MIS Working 1'!$D234,'COGS Break up'!$D:$D,'MIS Working 1'!$AD$1)</f>
        <v>0.26</v>
      </c>
      <c r="AE234" s="279">
        <f>SUMIFS('COGS Break up'!$E:$E,'COGS Break up'!$A:$A,'MIS Working 1'!$D234,'COGS Break up'!$D:$D,'MIS Working 1'!$AE$1)</f>
        <v>29.569999999999997</v>
      </c>
      <c r="AF234" s="280">
        <f>'MIS Working 1'!$AG234+'MIS Working 1'!$AH234+'MIS Working 1'!$AM234+'MIS Working 1'!$AL234</f>
        <v>332294.65999999997</v>
      </c>
      <c r="AG234" s="279">
        <f>'MIS Working 1'!$L234*'MIS Working 1'!$Y234</f>
        <v>277232.12999999995</v>
      </c>
      <c r="AH234" s="279">
        <f>'MIS Working 1'!$L234*'MIS Working 1'!$Z234</f>
        <v>24340.639999999999</v>
      </c>
      <c r="AI234" s="279">
        <f t="shared" si="9"/>
        <v>1990.9500000000003</v>
      </c>
      <c r="AJ234" s="279">
        <f t="shared" si="10"/>
        <v>17693.929999999997</v>
      </c>
      <c r="AK234" s="279">
        <f t="shared" si="11"/>
        <v>10506.089999999998</v>
      </c>
      <c r="AL234" s="279">
        <f>'MIS Working 1'!$AD234*'MIS Working 1'!$L234</f>
        <v>265.46000000000004</v>
      </c>
      <c r="AM234" s="279">
        <f>'MIS Working 1'!$L234*'MIS Working 1'!$AE234+'MIS Working 1'!$AL234</f>
        <v>30456.429999999997</v>
      </c>
    </row>
    <row r="235" spans="1:39" x14ac:dyDescent="0.3">
      <c r="A235" s="263" t="s">
        <v>479</v>
      </c>
      <c r="B235" s="264">
        <v>45975</v>
      </c>
      <c r="C235" s="265" t="s">
        <v>1783</v>
      </c>
      <c r="D235" s="265" t="s">
        <v>380</v>
      </c>
      <c r="E235" s="265" t="s">
        <v>381</v>
      </c>
      <c r="F235" s="265" t="s">
        <v>18</v>
      </c>
      <c r="G235" s="265" t="s">
        <v>19</v>
      </c>
      <c r="H235" s="265" t="s">
        <v>27</v>
      </c>
      <c r="I235" s="266">
        <v>371</v>
      </c>
      <c r="J235" s="267">
        <v>80358.600000000006</v>
      </c>
      <c r="K235" s="266">
        <v>371</v>
      </c>
      <c r="L235" s="266">
        <v>371</v>
      </c>
      <c r="M235" s="264">
        <v>45975</v>
      </c>
      <c r="N235" s="267">
        <v>82306.350000000006</v>
      </c>
      <c r="O235" s="265" t="s">
        <v>21</v>
      </c>
      <c r="P235" s="265" t="s">
        <v>22</v>
      </c>
      <c r="Q235" s="265" t="s">
        <v>660</v>
      </c>
      <c r="R235" s="265" t="str">
        <f>VLOOKUP('MIS Working 1'!$G235,Master!$H$3:$I$8,2,0)</f>
        <v>Finished Goods</v>
      </c>
      <c r="S235" s="265" t="str">
        <f>VLOOKUP('MIS Working 1'!$H235,Master!B:C,2,0)</f>
        <v>FG-PCB-CF</v>
      </c>
      <c r="T235" s="265" t="str">
        <f>VLOOKUP('MIS Working 1'!$S235,Master!E:F,2,0)</f>
        <v>FG-PCB-CF</v>
      </c>
      <c r="U235" s="268">
        <f>'MIS Working 1'!$N235-'MIS Working 1'!$AF235</f>
        <v>1932.9100000000326</v>
      </c>
      <c r="V235" s="269">
        <f>'MIS Working 1'!$U235/'MIS Working 1'!$N235</f>
        <v>2.3484336263241323E-2</v>
      </c>
      <c r="W235" s="265">
        <f>'MIS Working 1'!$N235/'MIS Working 1'!$L235</f>
        <v>221.85000000000002</v>
      </c>
      <c r="X235" s="270">
        <f>SUM('MIS Working 1'!$Y235:$AE235)</f>
        <v>239.77999999999994</v>
      </c>
      <c r="Y235" s="270">
        <f>SUMIFS('COGS Break up'!$E:$E,'COGS Break up'!$A:$A,'MIS Working 1'!$D235,'COGS Break up'!$D:$D,'MIS Working 1'!$Y$1)</f>
        <v>174.98999999999995</v>
      </c>
      <c r="Z235" s="270">
        <f>SUMIFS('COGS Break up'!$E:$E,'COGS Break up'!$A:$A,'MIS Working 1'!$D235,'COGS Break up'!$D:$D,'MIS Working 1'!$Z$1)</f>
        <v>18.389999999999997</v>
      </c>
      <c r="AA235" s="270">
        <f>SUMIFS('COGS Break up'!E:E,'COGS Break up'!A:A,'MIS Working 1'!$D:$D,'COGS Break up'!C:C,'MIS Working 1'!$AA$1)</f>
        <v>1.5</v>
      </c>
      <c r="AB235" s="270">
        <f>SUMIFS('COGS Break up'!E:E,'COGS Break up'!A:A,'MIS Working 1'!$D:$D,'COGS Break up'!C:C,$AB$1)</f>
        <v>13.37</v>
      </c>
      <c r="AC235" s="270">
        <f>SUMIFS('COGS Break up'!E:E,'COGS Break up'!A:A,'MIS Working 1'!$D:$D,'COGS Break up'!C:C,$AC$1)</f>
        <v>8.31</v>
      </c>
      <c r="AD235" s="270">
        <f>SUMIFS('COGS Break up'!$E:$E,'COGS Break up'!$A:$A,'MIS Working 1'!$D235,'COGS Break up'!$D:$D,'MIS Working 1'!$AD$1)</f>
        <v>0.04</v>
      </c>
      <c r="AE235" s="270">
        <f>SUMIFS('COGS Break up'!$E:$E,'COGS Break up'!$A:$A,'MIS Working 1'!$D235,'COGS Break up'!$D:$D,'MIS Working 1'!$AE$1)</f>
        <v>23.18</v>
      </c>
      <c r="AF235" s="271">
        <f>'MIS Working 1'!$AG235+'MIS Working 1'!$AH235+'MIS Working 1'!$AM235+'MIS Working 1'!$AL235</f>
        <v>80373.439999999973</v>
      </c>
      <c r="AG235" s="270">
        <f>'MIS Working 1'!$L235*'MIS Working 1'!$Y235</f>
        <v>64921.289999999979</v>
      </c>
      <c r="AH235" s="270">
        <f>'MIS Working 1'!$L235*'MIS Working 1'!$Z235</f>
        <v>6822.6899999999987</v>
      </c>
      <c r="AI235" s="270">
        <f t="shared" si="9"/>
        <v>556.5</v>
      </c>
      <c r="AJ235" s="270">
        <f t="shared" si="10"/>
        <v>4960.2699999999995</v>
      </c>
      <c r="AK235" s="270">
        <f t="shared" si="11"/>
        <v>3083.01</v>
      </c>
      <c r="AL235" s="270">
        <f>'MIS Working 1'!$AD235*'MIS Working 1'!$L235</f>
        <v>14.84</v>
      </c>
      <c r="AM235" s="270">
        <f>'MIS Working 1'!$L235*'MIS Working 1'!$AE235+'MIS Working 1'!$AL235</f>
        <v>8614.6200000000008</v>
      </c>
    </row>
    <row r="236" spans="1:39" x14ac:dyDescent="0.3">
      <c r="A236" s="272" t="s">
        <v>479</v>
      </c>
      <c r="B236" s="273">
        <v>45975</v>
      </c>
      <c r="C236" s="274" t="s">
        <v>1784</v>
      </c>
      <c r="D236" s="274" t="s">
        <v>380</v>
      </c>
      <c r="E236" s="274" t="s">
        <v>381</v>
      </c>
      <c r="F236" s="274" t="s">
        <v>18</v>
      </c>
      <c r="G236" s="274" t="s">
        <v>19</v>
      </c>
      <c r="H236" s="274" t="s">
        <v>27</v>
      </c>
      <c r="I236" s="275">
        <v>220</v>
      </c>
      <c r="J236" s="276">
        <v>47652</v>
      </c>
      <c r="K236" s="275">
        <v>220</v>
      </c>
      <c r="L236" s="275">
        <v>220</v>
      </c>
      <c r="M236" s="273">
        <v>45975</v>
      </c>
      <c r="N236" s="276">
        <v>48807</v>
      </c>
      <c r="O236" s="274" t="s">
        <v>21</v>
      </c>
      <c r="P236" s="274" t="s">
        <v>22</v>
      </c>
      <c r="Q236" s="274" t="s">
        <v>660</v>
      </c>
      <c r="R236" s="274" t="str">
        <f>VLOOKUP('MIS Working 1'!$G236,Master!$H$3:$I$8,2,0)</f>
        <v>Finished Goods</v>
      </c>
      <c r="S236" s="274" t="str">
        <f>VLOOKUP('MIS Working 1'!$H236,Master!B:C,2,0)</f>
        <v>FG-PCB-CF</v>
      </c>
      <c r="T236" s="274" t="str">
        <f>VLOOKUP('MIS Working 1'!$S236,Master!E:F,2,0)</f>
        <v>FG-PCB-CF</v>
      </c>
      <c r="U236" s="277">
        <f>'MIS Working 1'!$N236-'MIS Working 1'!$AF236</f>
        <v>1146.2000000000044</v>
      </c>
      <c r="V236" s="278">
        <f>'MIS Working 1'!$U236/'MIS Working 1'!$N236</f>
        <v>2.3484336263241017E-2</v>
      </c>
      <c r="W236" s="274">
        <f>'MIS Working 1'!$N236/'MIS Working 1'!$L236</f>
        <v>221.85</v>
      </c>
      <c r="X236" s="279">
        <f>SUM('MIS Working 1'!$Y236:$AE236)</f>
        <v>239.77999999999994</v>
      </c>
      <c r="Y236" s="279">
        <f>SUMIFS('COGS Break up'!$E:$E,'COGS Break up'!$A:$A,'MIS Working 1'!$D236,'COGS Break up'!$D:$D,'MIS Working 1'!$Y$1)</f>
        <v>174.98999999999995</v>
      </c>
      <c r="Z236" s="279">
        <f>SUMIFS('COGS Break up'!$E:$E,'COGS Break up'!$A:$A,'MIS Working 1'!$D236,'COGS Break up'!$D:$D,'MIS Working 1'!$Z$1)</f>
        <v>18.389999999999997</v>
      </c>
      <c r="AA236" s="279">
        <f>SUMIFS('COGS Break up'!E:E,'COGS Break up'!A:A,'MIS Working 1'!$D:$D,'COGS Break up'!C:C,'MIS Working 1'!$AA$1)</f>
        <v>1.5</v>
      </c>
      <c r="AB236" s="279">
        <f>SUMIFS('COGS Break up'!E:E,'COGS Break up'!A:A,'MIS Working 1'!$D:$D,'COGS Break up'!C:C,$AB$1)</f>
        <v>13.37</v>
      </c>
      <c r="AC236" s="279">
        <f>SUMIFS('COGS Break up'!E:E,'COGS Break up'!A:A,'MIS Working 1'!$D:$D,'COGS Break up'!C:C,$AC$1)</f>
        <v>8.31</v>
      </c>
      <c r="AD236" s="279">
        <f>SUMIFS('COGS Break up'!$E:$E,'COGS Break up'!$A:$A,'MIS Working 1'!$D236,'COGS Break up'!$D:$D,'MIS Working 1'!$AD$1)</f>
        <v>0.04</v>
      </c>
      <c r="AE236" s="279">
        <f>SUMIFS('COGS Break up'!$E:$E,'COGS Break up'!$A:$A,'MIS Working 1'!$D236,'COGS Break up'!$D:$D,'MIS Working 1'!$AE$1)</f>
        <v>23.18</v>
      </c>
      <c r="AF236" s="280">
        <f>'MIS Working 1'!$AG236+'MIS Working 1'!$AH236+'MIS Working 1'!$AM236+'MIS Working 1'!$AL236</f>
        <v>47660.799999999996</v>
      </c>
      <c r="AG236" s="279">
        <f>'MIS Working 1'!$L236*'MIS Working 1'!$Y236</f>
        <v>38497.799999999988</v>
      </c>
      <c r="AH236" s="279">
        <f>'MIS Working 1'!$L236*'MIS Working 1'!$Z236</f>
        <v>4045.7999999999993</v>
      </c>
      <c r="AI236" s="279">
        <f t="shared" si="9"/>
        <v>330</v>
      </c>
      <c r="AJ236" s="279">
        <f t="shared" si="10"/>
        <v>2941.3999999999996</v>
      </c>
      <c r="AK236" s="279">
        <f t="shared" si="11"/>
        <v>1828.2</v>
      </c>
      <c r="AL236" s="279">
        <f>'MIS Working 1'!$AD236*'MIS Working 1'!$L236</f>
        <v>8.8000000000000007</v>
      </c>
      <c r="AM236" s="279">
        <f>'MIS Working 1'!$L236*'MIS Working 1'!$AE236+'MIS Working 1'!$AL236</f>
        <v>5108.4000000000005</v>
      </c>
    </row>
    <row r="237" spans="1:39" x14ac:dyDescent="0.3">
      <c r="A237" s="263" t="s">
        <v>1212</v>
      </c>
      <c r="B237" s="264">
        <v>45975</v>
      </c>
      <c r="C237" s="265" t="s">
        <v>1785</v>
      </c>
      <c r="D237" s="265" t="s">
        <v>1314</v>
      </c>
      <c r="E237" s="265" t="s">
        <v>1315</v>
      </c>
      <c r="F237" s="265" t="s">
        <v>18</v>
      </c>
      <c r="G237" s="265" t="s">
        <v>48</v>
      </c>
      <c r="H237" s="265" t="s">
        <v>207</v>
      </c>
      <c r="I237" s="266">
        <v>7500</v>
      </c>
      <c r="J237" s="267">
        <v>6800.95</v>
      </c>
      <c r="K237" s="266">
        <v>7500</v>
      </c>
      <c r="L237" s="266">
        <v>7500</v>
      </c>
      <c r="M237" s="264">
        <v>45975</v>
      </c>
      <c r="N237" s="267">
        <v>14550</v>
      </c>
      <c r="O237" s="265" t="s">
        <v>21</v>
      </c>
      <c r="P237" s="265" t="s">
        <v>22</v>
      </c>
      <c r="Q237" s="265" t="s">
        <v>1750</v>
      </c>
      <c r="R237" s="265" t="str">
        <f>VLOOKUP('MIS Working 1'!$G237,Master!$H$3:$I$8,2,0)</f>
        <v>Raw Material</v>
      </c>
      <c r="S237" s="265" t="str">
        <f>VLOOKUP('MIS Working 1'!$H237,Master!B:C,2,0)</f>
        <v>RM-Mech. Accessories</v>
      </c>
      <c r="T237" s="265" t="str">
        <f>VLOOKUP('MIS Working 1'!$S237,Master!E:F,2,0)</f>
        <v>Raw Material</v>
      </c>
      <c r="U237" s="268">
        <f>'MIS Working 1'!$N237-'MIS Working 1'!$AF237</f>
        <v>14550</v>
      </c>
      <c r="V237" s="269">
        <f>'MIS Working 1'!$U237/'MIS Working 1'!$N237</f>
        <v>1</v>
      </c>
      <c r="W237" s="265">
        <f>'MIS Working 1'!$N237/'MIS Working 1'!$L237</f>
        <v>1.94</v>
      </c>
      <c r="X237" s="270">
        <f>SUM('MIS Working 1'!$Y237:$AE237)</f>
        <v>0</v>
      </c>
      <c r="Y237" s="270">
        <f>SUMIFS('COGS Break up'!$E:$E,'COGS Break up'!$A:$A,'MIS Working 1'!$D237,'COGS Break up'!$D:$D,'MIS Working 1'!$Y$1)</f>
        <v>0</v>
      </c>
      <c r="Z237" s="270">
        <f>SUMIFS('COGS Break up'!$E:$E,'COGS Break up'!$A:$A,'MIS Working 1'!$D237,'COGS Break up'!$D:$D,'MIS Working 1'!$Z$1)</f>
        <v>0</v>
      </c>
      <c r="AA237" s="270">
        <f>SUMIFS('COGS Break up'!E:E,'COGS Break up'!A:A,'MIS Working 1'!$D:$D,'COGS Break up'!C:C,'MIS Working 1'!$AA$1)</f>
        <v>0</v>
      </c>
      <c r="AB237" s="270">
        <f>SUMIFS('COGS Break up'!E:E,'COGS Break up'!A:A,'MIS Working 1'!$D:$D,'COGS Break up'!C:C,$AB$1)</f>
        <v>0</v>
      </c>
      <c r="AC237" s="270">
        <f>SUMIFS('COGS Break up'!E:E,'COGS Break up'!A:A,'MIS Working 1'!$D:$D,'COGS Break up'!C:C,$AC$1)</f>
        <v>0</v>
      </c>
      <c r="AD237" s="270">
        <f>SUMIFS('COGS Break up'!$E:$E,'COGS Break up'!$A:$A,'MIS Working 1'!$D237,'COGS Break up'!$D:$D,'MIS Working 1'!$AD$1)</f>
        <v>0</v>
      </c>
      <c r="AE237" s="270">
        <f>SUMIFS('COGS Break up'!$E:$E,'COGS Break up'!$A:$A,'MIS Working 1'!$D237,'COGS Break up'!$D:$D,'MIS Working 1'!$AE$1)</f>
        <v>0</v>
      </c>
      <c r="AF237" s="271">
        <f>'MIS Working 1'!$AG237+'MIS Working 1'!$AH237+'MIS Working 1'!$AM237+'MIS Working 1'!$AL237</f>
        <v>0</v>
      </c>
      <c r="AG237" s="270">
        <f>'MIS Working 1'!$L237*'MIS Working 1'!$Y237</f>
        <v>0</v>
      </c>
      <c r="AH237" s="270">
        <f>'MIS Working 1'!$L237*'MIS Working 1'!$Z237</f>
        <v>0</v>
      </c>
      <c r="AI237" s="270">
        <f t="shared" si="9"/>
        <v>0</v>
      </c>
      <c r="AJ237" s="270">
        <f t="shared" si="10"/>
        <v>0</v>
      </c>
      <c r="AK237" s="270">
        <f t="shared" si="11"/>
        <v>0</v>
      </c>
      <c r="AL237" s="270">
        <f>'MIS Working 1'!$AD237*'MIS Working 1'!$L237</f>
        <v>0</v>
      </c>
      <c r="AM237" s="270">
        <f>'MIS Working 1'!$L237*'MIS Working 1'!$AE237+'MIS Working 1'!$AL237</f>
        <v>0</v>
      </c>
    </row>
    <row r="238" spans="1:39" x14ac:dyDescent="0.3">
      <c r="A238" s="272" t="s">
        <v>1212</v>
      </c>
      <c r="B238" s="273">
        <v>45975</v>
      </c>
      <c r="C238" s="274" t="s">
        <v>1785</v>
      </c>
      <c r="D238" s="274" t="s">
        <v>1387</v>
      </c>
      <c r="E238" s="274" t="s">
        <v>1388</v>
      </c>
      <c r="F238" s="274" t="s">
        <v>18</v>
      </c>
      <c r="G238" s="274" t="s">
        <v>48</v>
      </c>
      <c r="H238" s="274" t="s">
        <v>207</v>
      </c>
      <c r="I238" s="275">
        <v>4000</v>
      </c>
      <c r="J238" s="276">
        <v>55440</v>
      </c>
      <c r="K238" s="275">
        <v>4000</v>
      </c>
      <c r="L238" s="275">
        <v>4000</v>
      </c>
      <c r="M238" s="273">
        <v>45975</v>
      </c>
      <c r="N238" s="276">
        <v>56560</v>
      </c>
      <c r="O238" s="274" t="s">
        <v>21</v>
      </c>
      <c r="P238" s="274" t="s">
        <v>22</v>
      </c>
      <c r="Q238" s="274" t="s">
        <v>1750</v>
      </c>
      <c r="R238" s="274" t="str">
        <f>VLOOKUP('MIS Working 1'!$G238,Master!$H$3:$I$8,2,0)</f>
        <v>Raw Material</v>
      </c>
      <c r="S238" s="274" t="str">
        <f>VLOOKUP('MIS Working 1'!$H238,Master!B:C,2,0)</f>
        <v>RM-Mech. Accessories</v>
      </c>
      <c r="T238" s="274" t="str">
        <f>VLOOKUP('MIS Working 1'!$S238,Master!E:F,2,0)</f>
        <v>Raw Material</v>
      </c>
      <c r="U238" s="277">
        <f>'MIS Working 1'!$N238-'MIS Working 1'!$AF238</f>
        <v>56560</v>
      </c>
      <c r="V238" s="278">
        <f>'MIS Working 1'!$U238/'MIS Working 1'!$N238</f>
        <v>1</v>
      </c>
      <c r="W238" s="274">
        <f>'MIS Working 1'!$N238/'MIS Working 1'!$L238</f>
        <v>14.14</v>
      </c>
      <c r="X238" s="279">
        <f>SUM('MIS Working 1'!$Y238:$AE238)</f>
        <v>0</v>
      </c>
      <c r="Y238" s="279">
        <f>SUMIFS('COGS Break up'!$E:$E,'COGS Break up'!$A:$A,'MIS Working 1'!$D238,'COGS Break up'!$D:$D,'MIS Working 1'!$Y$1)</f>
        <v>0</v>
      </c>
      <c r="Z238" s="279">
        <f>SUMIFS('COGS Break up'!$E:$E,'COGS Break up'!$A:$A,'MIS Working 1'!$D238,'COGS Break up'!$D:$D,'MIS Working 1'!$Z$1)</f>
        <v>0</v>
      </c>
      <c r="AA238" s="279">
        <f>SUMIFS('COGS Break up'!E:E,'COGS Break up'!A:A,'MIS Working 1'!$D:$D,'COGS Break up'!C:C,'MIS Working 1'!$AA$1)</f>
        <v>0</v>
      </c>
      <c r="AB238" s="279">
        <f>SUMIFS('COGS Break up'!E:E,'COGS Break up'!A:A,'MIS Working 1'!$D:$D,'COGS Break up'!C:C,$AB$1)</f>
        <v>0</v>
      </c>
      <c r="AC238" s="279">
        <f>SUMIFS('COGS Break up'!E:E,'COGS Break up'!A:A,'MIS Working 1'!$D:$D,'COGS Break up'!C:C,$AC$1)</f>
        <v>0</v>
      </c>
      <c r="AD238" s="279">
        <f>SUMIFS('COGS Break up'!$E:$E,'COGS Break up'!$A:$A,'MIS Working 1'!$D238,'COGS Break up'!$D:$D,'MIS Working 1'!$AD$1)</f>
        <v>0</v>
      </c>
      <c r="AE238" s="279">
        <f>SUMIFS('COGS Break up'!$E:$E,'COGS Break up'!$A:$A,'MIS Working 1'!$D238,'COGS Break up'!$D:$D,'MIS Working 1'!$AE$1)</f>
        <v>0</v>
      </c>
      <c r="AF238" s="280">
        <f>'MIS Working 1'!$AG238+'MIS Working 1'!$AH238+'MIS Working 1'!$AM238+'MIS Working 1'!$AL238</f>
        <v>0</v>
      </c>
      <c r="AG238" s="279">
        <f>'MIS Working 1'!$L238*'MIS Working 1'!$Y238</f>
        <v>0</v>
      </c>
      <c r="AH238" s="279">
        <f>'MIS Working 1'!$L238*'MIS Working 1'!$Z238</f>
        <v>0</v>
      </c>
      <c r="AI238" s="279">
        <f t="shared" si="9"/>
        <v>0</v>
      </c>
      <c r="AJ238" s="279">
        <f t="shared" si="10"/>
        <v>0</v>
      </c>
      <c r="AK238" s="279">
        <f t="shared" si="11"/>
        <v>0</v>
      </c>
      <c r="AL238" s="279">
        <f>'MIS Working 1'!$AD238*'MIS Working 1'!$L238</f>
        <v>0</v>
      </c>
      <c r="AM238" s="279">
        <f>'MIS Working 1'!$L238*'MIS Working 1'!$AE238+'MIS Working 1'!$AL238</f>
        <v>0</v>
      </c>
    </row>
    <row r="239" spans="1:39" x14ac:dyDescent="0.3">
      <c r="A239" s="263" t="s">
        <v>1212</v>
      </c>
      <c r="B239" s="264">
        <v>45975</v>
      </c>
      <c r="C239" s="265" t="s">
        <v>1785</v>
      </c>
      <c r="D239" s="265" t="s">
        <v>1385</v>
      </c>
      <c r="E239" s="265" t="s">
        <v>1386</v>
      </c>
      <c r="F239" s="265" t="s">
        <v>18</v>
      </c>
      <c r="G239" s="265" t="s">
        <v>48</v>
      </c>
      <c r="H239" s="265" t="s">
        <v>207</v>
      </c>
      <c r="I239" s="266">
        <v>4000</v>
      </c>
      <c r="J239" s="267">
        <v>49280</v>
      </c>
      <c r="K239" s="266">
        <v>4000</v>
      </c>
      <c r="L239" s="266">
        <v>4000</v>
      </c>
      <c r="M239" s="264">
        <v>45975</v>
      </c>
      <c r="N239" s="267">
        <v>50280</v>
      </c>
      <c r="O239" s="265" t="s">
        <v>21</v>
      </c>
      <c r="P239" s="265" t="s">
        <v>22</v>
      </c>
      <c r="Q239" s="265" t="s">
        <v>1750</v>
      </c>
      <c r="R239" s="265" t="str">
        <f>VLOOKUP('MIS Working 1'!$G239,Master!$H$3:$I$8,2,0)</f>
        <v>Raw Material</v>
      </c>
      <c r="S239" s="265" t="str">
        <f>VLOOKUP('MIS Working 1'!$H239,Master!B:C,2,0)</f>
        <v>RM-Mech. Accessories</v>
      </c>
      <c r="T239" s="265" t="str">
        <f>VLOOKUP('MIS Working 1'!$S239,Master!E:F,2,0)</f>
        <v>Raw Material</v>
      </c>
      <c r="U239" s="268">
        <f>'MIS Working 1'!$N239-'MIS Working 1'!$AF239</f>
        <v>50280</v>
      </c>
      <c r="V239" s="269">
        <f>'MIS Working 1'!$U239/'MIS Working 1'!$N239</f>
        <v>1</v>
      </c>
      <c r="W239" s="265">
        <f>'MIS Working 1'!$N239/'MIS Working 1'!$L239</f>
        <v>12.57</v>
      </c>
      <c r="X239" s="270">
        <f>SUM('MIS Working 1'!$Y239:$AE239)</f>
        <v>0</v>
      </c>
      <c r="Y239" s="270">
        <f>SUMIFS('COGS Break up'!$E:$E,'COGS Break up'!$A:$A,'MIS Working 1'!$D239,'COGS Break up'!$D:$D,'MIS Working 1'!$Y$1)</f>
        <v>0</v>
      </c>
      <c r="Z239" s="270">
        <f>SUMIFS('COGS Break up'!$E:$E,'COGS Break up'!$A:$A,'MIS Working 1'!$D239,'COGS Break up'!$D:$D,'MIS Working 1'!$Z$1)</f>
        <v>0</v>
      </c>
      <c r="AA239" s="270">
        <f>SUMIFS('COGS Break up'!E:E,'COGS Break up'!A:A,'MIS Working 1'!$D:$D,'COGS Break up'!C:C,'MIS Working 1'!$AA$1)</f>
        <v>0</v>
      </c>
      <c r="AB239" s="270">
        <f>SUMIFS('COGS Break up'!E:E,'COGS Break up'!A:A,'MIS Working 1'!$D:$D,'COGS Break up'!C:C,$AB$1)</f>
        <v>0</v>
      </c>
      <c r="AC239" s="270">
        <f>SUMIFS('COGS Break up'!E:E,'COGS Break up'!A:A,'MIS Working 1'!$D:$D,'COGS Break up'!C:C,$AC$1)</f>
        <v>0</v>
      </c>
      <c r="AD239" s="270">
        <f>SUMIFS('COGS Break up'!$E:$E,'COGS Break up'!$A:$A,'MIS Working 1'!$D239,'COGS Break up'!$D:$D,'MIS Working 1'!$AD$1)</f>
        <v>0</v>
      </c>
      <c r="AE239" s="270">
        <f>SUMIFS('COGS Break up'!$E:$E,'COGS Break up'!$A:$A,'MIS Working 1'!$D239,'COGS Break up'!$D:$D,'MIS Working 1'!$AE$1)</f>
        <v>0</v>
      </c>
      <c r="AF239" s="271">
        <f>'MIS Working 1'!$AG239+'MIS Working 1'!$AH239+'MIS Working 1'!$AM239+'MIS Working 1'!$AL239</f>
        <v>0</v>
      </c>
      <c r="AG239" s="270">
        <f>'MIS Working 1'!$L239*'MIS Working 1'!$Y239</f>
        <v>0</v>
      </c>
      <c r="AH239" s="270">
        <f>'MIS Working 1'!$L239*'MIS Working 1'!$Z239</f>
        <v>0</v>
      </c>
      <c r="AI239" s="270">
        <f t="shared" si="9"/>
        <v>0</v>
      </c>
      <c r="AJ239" s="270">
        <f t="shared" si="10"/>
        <v>0</v>
      </c>
      <c r="AK239" s="270">
        <f t="shared" si="11"/>
        <v>0</v>
      </c>
      <c r="AL239" s="270">
        <f>'MIS Working 1'!$AD239*'MIS Working 1'!$L239</f>
        <v>0</v>
      </c>
      <c r="AM239" s="270">
        <f>'MIS Working 1'!$L239*'MIS Working 1'!$AE239+'MIS Working 1'!$AL239</f>
        <v>0</v>
      </c>
    </row>
    <row r="240" spans="1:39" x14ac:dyDescent="0.3">
      <c r="A240" s="272" t="s">
        <v>1212</v>
      </c>
      <c r="B240" s="273">
        <v>45975</v>
      </c>
      <c r="C240" s="274" t="s">
        <v>1785</v>
      </c>
      <c r="D240" s="274" t="s">
        <v>1320</v>
      </c>
      <c r="E240" s="274" t="s">
        <v>1321</v>
      </c>
      <c r="F240" s="274" t="s">
        <v>18</v>
      </c>
      <c r="G240" s="274" t="s">
        <v>48</v>
      </c>
      <c r="H240" s="274" t="s">
        <v>207</v>
      </c>
      <c r="I240" s="275">
        <v>15000</v>
      </c>
      <c r="J240" s="276">
        <v>23062.47</v>
      </c>
      <c r="K240" s="275">
        <v>15000</v>
      </c>
      <c r="L240" s="275">
        <v>15000</v>
      </c>
      <c r="M240" s="273">
        <v>45975</v>
      </c>
      <c r="N240" s="276">
        <v>6450</v>
      </c>
      <c r="O240" s="274" t="s">
        <v>21</v>
      </c>
      <c r="P240" s="274" t="s">
        <v>22</v>
      </c>
      <c r="Q240" s="274" t="s">
        <v>1750</v>
      </c>
      <c r="R240" s="274" t="str">
        <f>VLOOKUP('MIS Working 1'!$G240,Master!$H$3:$I$8,2,0)</f>
        <v>Raw Material</v>
      </c>
      <c r="S240" s="274" t="str">
        <f>VLOOKUP('MIS Working 1'!$H240,Master!B:C,2,0)</f>
        <v>RM-Mech. Accessories</v>
      </c>
      <c r="T240" s="274" t="str">
        <f>VLOOKUP('MIS Working 1'!$S240,Master!E:F,2,0)</f>
        <v>Raw Material</v>
      </c>
      <c r="U240" s="277">
        <f>'MIS Working 1'!$N240-'MIS Working 1'!$AF240</f>
        <v>6450</v>
      </c>
      <c r="V240" s="278">
        <f>'MIS Working 1'!$U240/'MIS Working 1'!$N240</f>
        <v>1</v>
      </c>
      <c r="W240" s="274">
        <f>'MIS Working 1'!$N240/'MIS Working 1'!$L240</f>
        <v>0.43</v>
      </c>
      <c r="X240" s="279">
        <f>SUM('MIS Working 1'!$Y240:$AE240)</f>
        <v>0</v>
      </c>
      <c r="Y240" s="279">
        <f>SUMIFS('COGS Break up'!$E:$E,'COGS Break up'!$A:$A,'MIS Working 1'!$D240,'COGS Break up'!$D:$D,'MIS Working 1'!$Y$1)</f>
        <v>0</v>
      </c>
      <c r="Z240" s="279">
        <f>SUMIFS('COGS Break up'!$E:$E,'COGS Break up'!$A:$A,'MIS Working 1'!$D240,'COGS Break up'!$D:$D,'MIS Working 1'!$Z$1)</f>
        <v>0</v>
      </c>
      <c r="AA240" s="279">
        <f>SUMIFS('COGS Break up'!E:E,'COGS Break up'!A:A,'MIS Working 1'!$D:$D,'COGS Break up'!C:C,'MIS Working 1'!$AA$1)</f>
        <v>0</v>
      </c>
      <c r="AB240" s="279">
        <f>SUMIFS('COGS Break up'!E:E,'COGS Break up'!A:A,'MIS Working 1'!$D:$D,'COGS Break up'!C:C,$AB$1)</f>
        <v>0</v>
      </c>
      <c r="AC240" s="279">
        <f>SUMIFS('COGS Break up'!E:E,'COGS Break up'!A:A,'MIS Working 1'!$D:$D,'COGS Break up'!C:C,$AC$1)</f>
        <v>0</v>
      </c>
      <c r="AD240" s="279">
        <f>SUMIFS('COGS Break up'!$E:$E,'COGS Break up'!$A:$A,'MIS Working 1'!$D240,'COGS Break up'!$D:$D,'MIS Working 1'!$AD$1)</f>
        <v>0</v>
      </c>
      <c r="AE240" s="279">
        <f>SUMIFS('COGS Break up'!$E:$E,'COGS Break up'!$A:$A,'MIS Working 1'!$D240,'COGS Break up'!$D:$D,'MIS Working 1'!$AE$1)</f>
        <v>0</v>
      </c>
      <c r="AF240" s="280">
        <f>'MIS Working 1'!$AG240+'MIS Working 1'!$AH240+'MIS Working 1'!$AM240+'MIS Working 1'!$AL240</f>
        <v>0</v>
      </c>
      <c r="AG240" s="279">
        <f>'MIS Working 1'!$L240*'MIS Working 1'!$Y240</f>
        <v>0</v>
      </c>
      <c r="AH240" s="279">
        <f>'MIS Working 1'!$L240*'MIS Working 1'!$Z240</f>
        <v>0</v>
      </c>
      <c r="AI240" s="279">
        <f t="shared" si="9"/>
        <v>0</v>
      </c>
      <c r="AJ240" s="279">
        <f t="shared" si="10"/>
        <v>0</v>
      </c>
      <c r="AK240" s="279">
        <f t="shared" si="11"/>
        <v>0</v>
      </c>
      <c r="AL240" s="279">
        <f>'MIS Working 1'!$AD240*'MIS Working 1'!$L240</f>
        <v>0</v>
      </c>
      <c r="AM240" s="279">
        <f>'MIS Working 1'!$L240*'MIS Working 1'!$AE240+'MIS Working 1'!$AL240</f>
        <v>0</v>
      </c>
    </row>
    <row r="241" spans="1:39" x14ac:dyDescent="0.3">
      <c r="A241" s="263" t="s">
        <v>1212</v>
      </c>
      <c r="B241" s="264">
        <v>45975</v>
      </c>
      <c r="C241" s="265" t="s">
        <v>1785</v>
      </c>
      <c r="D241" s="265" t="s">
        <v>1683</v>
      </c>
      <c r="E241" s="265" t="s">
        <v>1684</v>
      </c>
      <c r="F241" s="265" t="s">
        <v>18</v>
      </c>
      <c r="G241" s="265" t="s">
        <v>48</v>
      </c>
      <c r="H241" s="265" t="s">
        <v>207</v>
      </c>
      <c r="I241" s="266">
        <v>1200</v>
      </c>
      <c r="J241" s="267">
        <v>7097.29</v>
      </c>
      <c r="K241" s="266">
        <v>1200</v>
      </c>
      <c r="L241" s="266">
        <v>1200</v>
      </c>
      <c r="M241" s="264">
        <v>45975</v>
      </c>
      <c r="N241" s="267">
        <v>7224</v>
      </c>
      <c r="O241" s="265" t="s">
        <v>21</v>
      </c>
      <c r="P241" s="265" t="s">
        <v>22</v>
      </c>
      <c r="Q241" s="265" t="s">
        <v>1750</v>
      </c>
      <c r="R241" s="265" t="str">
        <f>VLOOKUP('MIS Working 1'!$G241,Master!$H$3:$I$8,2,0)</f>
        <v>Raw Material</v>
      </c>
      <c r="S241" s="265" t="str">
        <f>VLOOKUP('MIS Working 1'!$H241,Master!B:C,2,0)</f>
        <v>RM-Mech. Accessories</v>
      </c>
      <c r="T241" s="265" t="str">
        <f>VLOOKUP('MIS Working 1'!$S241,Master!E:F,2,0)</f>
        <v>Raw Material</v>
      </c>
      <c r="U241" s="268">
        <f>'MIS Working 1'!$N241-'MIS Working 1'!$AF241</f>
        <v>7224</v>
      </c>
      <c r="V241" s="269">
        <f>'MIS Working 1'!$U241/'MIS Working 1'!$N241</f>
        <v>1</v>
      </c>
      <c r="W241" s="265">
        <f>'MIS Working 1'!$N241/'MIS Working 1'!$L241</f>
        <v>6.02</v>
      </c>
      <c r="X241" s="270">
        <f>SUM('MIS Working 1'!$Y241:$AE241)</f>
        <v>0</v>
      </c>
      <c r="Y241" s="270">
        <f>SUMIFS('COGS Break up'!$E:$E,'COGS Break up'!$A:$A,'MIS Working 1'!$D241,'COGS Break up'!$D:$D,'MIS Working 1'!$Y$1)</f>
        <v>0</v>
      </c>
      <c r="Z241" s="270">
        <f>SUMIFS('COGS Break up'!$E:$E,'COGS Break up'!$A:$A,'MIS Working 1'!$D241,'COGS Break up'!$D:$D,'MIS Working 1'!$Z$1)</f>
        <v>0</v>
      </c>
      <c r="AA241" s="270">
        <f>SUMIFS('COGS Break up'!E:E,'COGS Break up'!A:A,'MIS Working 1'!$D:$D,'COGS Break up'!C:C,'MIS Working 1'!$AA$1)</f>
        <v>0</v>
      </c>
      <c r="AB241" s="270">
        <f>SUMIFS('COGS Break up'!E:E,'COGS Break up'!A:A,'MIS Working 1'!$D:$D,'COGS Break up'!C:C,$AB$1)</f>
        <v>0</v>
      </c>
      <c r="AC241" s="270">
        <f>SUMIFS('COGS Break up'!E:E,'COGS Break up'!A:A,'MIS Working 1'!$D:$D,'COGS Break up'!C:C,$AC$1)</f>
        <v>0</v>
      </c>
      <c r="AD241" s="270">
        <f>SUMIFS('COGS Break up'!$E:$E,'COGS Break up'!$A:$A,'MIS Working 1'!$D241,'COGS Break up'!$D:$D,'MIS Working 1'!$AD$1)</f>
        <v>0</v>
      </c>
      <c r="AE241" s="270">
        <f>SUMIFS('COGS Break up'!$E:$E,'COGS Break up'!$A:$A,'MIS Working 1'!$D241,'COGS Break up'!$D:$D,'MIS Working 1'!$AE$1)</f>
        <v>0</v>
      </c>
      <c r="AF241" s="271">
        <f>'MIS Working 1'!$AG241+'MIS Working 1'!$AH241+'MIS Working 1'!$AM241+'MIS Working 1'!$AL241</f>
        <v>0</v>
      </c>
      <c r="AG241" s="270">
        <f>'MIS Working 1'!$L241*'MIS Working 1'!$Y241</f>
        <v>0</v>
      </c>
      <c r="AH241" s="270">
        <f>'MIS Working 1'!$L241*'MIS Working 1'!$Z241</f>
        <v>0</v>
      </c>
      <c r="AI241" s="270">
        <f t="shared" si="9"/>
        <v>0</v>
      </c>
      <c r="AJ241" s="270">
        <f t="shared" si="10"/>
        <v>0</v>
      </c>
      <c r="AK241" s="270">
        <f t="shared" si="11"/>
        <v>0</v>
      </c>
      <c r="AL241" s="270">
        <f>'MIS Working 1'!$AD241*'MIS Working 1'!$L241</f>
        <v>0</v>
      </c>
      <c r="AM241" s="270">
        <f>'MIS Working 1'!$L241*'MIS Working 1'!$AE241+'MIS Working 1'!$AL241</f>
        <v>0</v>
      </c>
    </row>
    <row r="242" spans="1:39" x14ac:dyDescent="0.3">
      <c r="A242" s="272" t="s">
        <v>1212</v>
      </c>
      <c r="B242" s="273">
        <v>45975</v>
      </c>
      <c r="C242" s="274" t="s">
        <v>1785</v>
      </c>
      <c r="D242" s="274" t="s">
        <v>1251</v>
      </c>
      <c r="E242" s="274" t="s">
        <v>1252</v>
      </c>
      <c r="F242" s="274" t="s">
        <v>18</v>
      </c>
      <c r="G242" s="274" t="s">
        <v>48</v>
      </c>
      <c r="H242" s="274" t="s">
        <v>207</v>
      </c>
      <c r="I242" s="275">
        <v>7243</v>
      </c>
      <c r="J242" s="276">
        <v>94159</v>
      </c>
      <c r="K242" s="275">
        <v>7243</v>
      </c>
      <c r="L242" s="275">
        <v>7243</v>
      </c>
      <c r="M242" s="273">
        <v>45975</v>
      </c>
      <c r="N242" s="276">
        <v>96042.18</v>
      </c>
      <c r="O242" s="274" t="s">
        <v>21</v>
      </c>
      <c r="P242" s="274" t="s">
        <v>22</v>
      </c>
      <c r="Q242" s="274" t="s">
        <v>1750</v>
      </c>
      <c r="R242" s="274" t="str">
        <f>VLOOKUP('MIS Working 1'!$G242,Master!$H$3:$I$8,2,0)</f>
        <v>Raw Material</v>
      </c>
      <c r="S242" s="274" t="str">
        <f>VLOOKUP('MIS Working 1'!$H242,Master!B:C,2,0)</f>
        <v>RM-Mech. Accessories</v>
      </c>
      <c r="T242" s="274" t="str">
        <f>VLOOKUP('MIS Working 1'!$S242,Master!E:F,2,0)</f>
        <v>Raw Material</v>
      </c>
      <c r="U242" s="277">
        <f>'MIS Working 1'!$N242-'MIS Working 1'!$AF242</f>
        <v>96042.18</v>
      </c>
      <c r="V242" s="278">
        <f>'MIS Working 1'!$U242/'MIS Working 1'!$N242</f>
        <v>1</v>
      </c>
      <c r="W242" s="274">
        <f>'MIS Working 1'!$N242/'MIS Working 1'!$L242</f>
        <v>13.26</v>
      </c>
      <c r="X242" s="279">
        <f>SUM('MIS Working 1'!$Y242:$AE242)</f>
        <v>0</v>
      </c>
      <c r="Y242" s="279">
        <f>SUMIFS('COGS Break up'!$E:$E,'COGS Break up'!$A:$A,'MIS Working 1'!$D242,'COGS Break up'!$D:$D,'MIS Working 1'!$Y$1)</f>
        <v>0</v>
      </c>
      <c r="Z242" s="279">
        <f>SUMIFS('COGS Break up'!$E:$E,'COGS Break up'!$A:$A,'MIS Working 1'!$D242,'COGS Break up'!$D:$D,'MIS Working 1'!$Z$1)</f>
        <v>0</v>
      </c>
      <c r="AA242" s="279">
        <f>SUMIFS('COGS Break up'!E:E,'COGS Break up'!A:A,'MIS Working 1'!$D:$D,'COGS Break up'!C:C,'MIS Working 1'!$AA$1)</f>
        <v>0</v>
      </c>
      <c r="AB242" s="279">
        <f>SUMIFS('COGS Break up'!E:E,'COGS Break up'!A:A,'MIS Working 1'!$D:$D,'COGS Break up'!C:C,$AB$1)</f>
        <v>0</v>
      </c>
      <c r="AC242" s="279">
        <f>SUMIFS('COGS Break up'!E:E,'COGS Break up'!A:A,'MIS Working 1'!$D:$D,'COGS Break up'!C:C,$AC$1)</f>
        <v>0</v>
      </c>
      <c r="AD242" s="279">
        <f>SUMIFS('COGS Break up'!$E:$E,'COGS Break up'!$A:$A,'MIS Working 1'!$D242,'COGS Break up'!$D:$D,'MIS Working 1'!$AD$1)</f>
        <v>0</v>
      </c>
      <c r="AE242" s="279">
        <f>SUMIFS('COGS Break up'!$E:$E,'COGS Break up'!$A:$A,'MIS Working 1'!$D242,'COGS Break up'!$D:$D,'MIS Working 1'!$AE$1)</f>
        <v>0</v>
      </c>
      <c r="AF242" s="280">
        <f>'MIS Working 1'!$AG242+'MIS Working 1'!$AH242+'MIS Working 1'!$AM242+'MIS Working 1'!$AL242</f>
        <v>0</v>
      </c>
      <c r="AG242" s="279">
        <f>'MIS Working 1'!$L242*'MIS Working 1'!$Y242</f>
        <v>0</v>
      </c>
      <c r="AH242" s="279">
        <f>'MIS Working 1'!$L242*'MIS Working 1'!$Z242</f>
        <v>0</v>
      </c>
      <c r="AI242" s="279">
        <f t="shared" si="9"/>
        <v>0</v>
      </c>
      <c r="AJ242" s="279">
        <f t="shared" si="10"/>
        <v>0</v>
      </c>
      <c r="AK242" s="279">
        <f t="shared" si="11"/>
        <v>0</v>
      </c>
      <c r="AL242" s="279">
        <f>'MIS Working 1'!$AD242*'MIS Working 1'!$L242</f>
        <v>0</v>
      </c>
      <c r="AM242" s="279">
        <f>'MIS Working 1'!$L242*'MIS Working 1'!$AE242+'MIS Working 1'!$AL242</f>
        <v>0</v>
      </c>
    </row>
    <row r="243" spans="1:39" x14ac:dyDescent="0.3">
      <c r="A243" s="263" t="s">
        <v>1212</v>
      </c>
      <c r="B243" s="264">
        <v>45975</v>
      </c>
      <c r="C243" s="265" t="s">
        <v>1785</v>
      </c>
      <c r="D243" s="265" t="s">
        <v>1227</v>
      </c>
      <c r="E243" s="265" t="s">
        <v>1228</v>
      </c>
      <c r="F243" s="265" t="s">
        <v>18</v>
      </c>
      <c r="G243" s="265" t="s">
        <v>48</v>
      </c>
      <c r="H243" s="265" t="s">
        <v>207</v>
      </c>
      <c r="I243" s="266">
        <v>8000</v>
      </c>
      <c r="J243" s="267">
        <v>60364.72</v>
      </c>
      <c r="K243" s="266">
        <v>8000</v>
      </c>
      <c r="L243" s="266">
        <v>8000</v>
      </c>
      <c r="M243" s="264">
        <v>45975</v>
      </c>
      <c r="N243" s="267">
        <v>53040</v>
      </c>
      <c r="O243" s="265" t="s">
        <v>21</v>
      </c>
      <c r="P243" s="265" t="s">
        <v>22</v>
      </c>
      <c r="Q243" s="265" t="s">
        <v>1750</v>
      </c>
      <c r="R243" s="265" t="str">
        <f>VLOOKUP('MIS Working 1'!$G243,Master!$H$3:$I$8,2,0)</f>
        <v>Raw Material</v>
      </c>
      <c r="S243" s="265" t="str">
        <f>VLOOKUP('MIS Working 1'!$H243,Master!B:C,2,0)</f>
        <v>RM-Mech. Accessories</v>
      </c>
      <c r="T243" s="265" t="str">
        <f>VLOOKUP('MIS Working 1'!$S243,Master!E:F,2,0)</f>
        <v>Raw Material</v>
      </c>
      <c r="U243" s="268">
        <f>'MIS Working 1'!$N243-'MIS Working 1'!$AF243</f>
        <v>53040</v>
      </c>
      <c r="V243" s="269">
        <f>'MIS Working 1'!$U243/'MIS Working 1'!$N243</f>
        <v>1</v>
      </c>
      <c r="W243" s="265">
        <f>'MIS Working 1'!$N243/'MIS Working 1'!$L243</f>
        <v>6.63</v>
      </c>
      <c r="X243" s="270">
        <f>SUM('MIS Working 1'!$Y243:$AE243)</f>
        <v>0</v>
      </c>
      <c r="Y243" s="270">
        <f>SUMIFS('COGS Break up'!$E:$E,'COGS Break up'!$A:$A,'MIS Working 1'!$D243,'COGS Break up'!$D:$D,'MIS Working 1'!$Y$1)</f>
        <v>0</v>
      </c>
      <c r="Z243" s="270">
        <f>SUMIFS('COGS Break up'!$E:$E,'COGS Break up'!$A:$A,'MIS Working 1'!$D243,'COGS Break up'!$D:$D,'MIS Working 1'!$Z$1)</f>
        <v>0</v>
      </c>
      <c r="AA243" s="270">
        <f>SUMIFS('COGS Break up'!E:E,'COGS Break up'!A:A,'MIS Working 1'!$D:$D,'COGS Break up'!C:C,'MIS Working 1'!$AA$1)</f>
        <v>0</v>
      </c>
      <c r="AB243" s="270">
        <f>SUMIFS('COGS Break up'!E:E,'COGS Break up'!A:A,'MIS Working 1'!$D:$D,'COGS Break up'!C:C,$AB$1)</f>
        <v>0</v>
      </c>
      <c r="AC243" s="270">
        <f>SUMIFS('COGS Break up'!E:E,'COGS Break up'!A:A,'MIS Working 1'!$D:$D,'COGS Break up'!C:C,$AC$1)</f>
        <v>0</v>
      </c>
      <c r="AD243" s="270">
        <f>SUMIFS('COGS Break up'!$E:$E,'COGS Break up'!$A:$A,'MIS Working 1'!$D243,'COGS Break up'!$D:$D,'MIS Working 1'!$AD$1)</f>
        <v>0</v>
      </c>
      <c r="AE243" s="270">
        <f>SUMIFS('COGS Break up'!$E:$E,'COGS Break up'!$A:$A,'MIS Working 1'!$D243,'COGS Break up'!$D:$D,'MIS Working 1'!$AE$1)</f>
        <v>0</v>
      </c>
      <c r="AF243" s="271">
        <f>'MIS Working 1'!$AG243+'MIS Working 1'!$AH243+'MIS Working 1'!$AM243+'MIS Working 1'!$AL243</f>
        <v>0</v>
      </c>
      <c r="AG243" s="270">
        <f>'MIS Working 1'!$L243*'MIS Working 1'!$Y243</f>
        <v>0</v>
      </c>
      <c r="AH243" s="270">
        <f>'MIS Working 1'!$L243*'MIS Working 1'!$Z243</f>
        <v>0</v>
      </c>
      <c r="AI243" s="270">
        <f t="shared" si="9"/>
        <v>0</v>
      </c>
      <c r="AJ243" s="270">
        <f t="shared" si="10"/>
        <v>0</v>
      </c>
      <c r="AK243" s="270">
        <f t="shared" si="11"/>
        <v>0</v>
      </c>
      <c r="AL243" s="270">
        <f>'MIS Working 1'!$AD243*'MIS Working 1'!$L243</f>
        <v>0</v>
      </c>
      <c r="AM243" s="270">
        <f>'MIS Working 1'!$L243*'MIS Working 1'!$AE243+'MIS Working 1'!$AL243</f>
        <v>0</v>
      </c>
    </row>
    <row r="244" spans="1:39" x14ac:dyDescent="0.3">
      <c r="A244" s="272" t="s">
        <v>1212</v>
      </c>
      <c r="B244" s="273">
        <v>45975</v>
      </c>
      <c r="C244" s="274" t="s">
        <v>1785</v>
      </c>
      <c r="D244" s="274" t="s">
        <v>1298</v>
      </c>
      <c r="E244" s="274" t="s">
        <v>1299</v>
      </c>
      <c r="F244" s="274" t="s">
        <v>18</v>
      </c>
      <c r="G244" s="274" t="s">
        <v>48</v>
      </c>
      <c r="H244" s="274" t="s">
        <v>207</v>
      </c>
      <c r="I244" s="275">
        <v>7079</v>
      </c>
      <c r="J244" s="276">
        <v>42607.7</v>
      </c>
      <c r="K244" s="275">
        <v>7079</v>
      </c>
      <c r="L244" s="275">
        <v>7079</v>
      </c>
      <c r="M244" s="273">
        <v>45975</v>
      </c>
      <c r="N244" s="276">
        <v>43677.43</v>
      </c>
      <c r="O244" s="274" t="s">
        <v>21</v>
      </c>
      <c r="P244" s="274" t="s">
        <v>22</v>
      </c>
      <c r="Q244" s="274" t="s">
        <v>1750</v>
      </c>
      <c r="R244" s="274" t="str">
        <f>VLOOKUP('MIS Working 1'!$G244,Master!$H$3:$I$8,2,0)</f>
        <v>Raw Material</v>
      </c>
      <c r="S244" s="274" t="str">
        <f>VLOOKUP('MIS Working 1'!$H244,Master!B:C,2,0)</f>
        <v>RM-Mech. Accessories</v>
      </c>
      <c r="T244" s="274" t="str">
        <f>VLOOKUP('MIS Working 1'!$S244,Master!E:F,2,0)</f>
        <v>Raw Material</v>
      </c>
      <c r="U244" s="277">
        <f>'MIS Working 1'!$N244-'MIS Working 1'!$AF244</f>
        <v>43677.43</v>
      </c>
      <c r="V244" s="278">
        <f>'MIS Working 1'!$U244/'MIS Working 1'!$N244</f>
        <v>1</v>
      </c>
      <c r="W244" s="274">
        <f>'MIS Working 1'!$N244/'MIS Working 1'!$L244</f>
        <v>6.17</v>
      </c>
      <c r="X244" s="279">
        <f>SUM('MIS Working 1'!$Y244:$AE244)</f>
        <v>0</v>
      </c>
      <c r="Y244" s="279">
        <f>SUMIFS('COGS Break up'!$E:$E,'COGS Break up'!$A:$A,'MIS Working 1'!$D244,'COGS Break up'!$D:$D,'MIS Working 1'!$Y$1)</f>
        <v>0</v>
      </c>
      <c r="Z244" s="279">
        <f>SUMIFS('COGS Break up'!$E:$E,'COGS Break up'!$A:$A,'MIS Working 1'!$D244,'COGS Break up'!$D:$D,'MIS Working 1'!$Z$1)</f>
        <v>0</v>
      </c>
      <c r="AA244" s="279">
        <f>SUMIFS('COGS Break up'!E:E,'COGS Break up'!A:A,'MIS Working 1'!$D:$D,'COGS Break up'!C:C,'MIS Working 1'!$AA$1)</f>
        <v>0</v>
      </c>
      <c r="AB244" s="279">
        <f>SUMIFS('COGS Break up'!E:E,'COGS Break up'!A:A,'MIS Working 1'!$D:$D,'COGS Break up'!C:C,$AB$1)</f>
        <v>0</v>
      </c>
      <c r="AC244" s="279">
        <f>SUMIFS('COGS Break up'!E:E,'COGS Break up'!A:A,'MIS Working 1'!$D:$D,'COGS Break up'!C:C,$AC$1)</f>
        <v>0</v>
      </c>
      <c r="AD244" s="279">
        <f>SUMIFS('COGS Break up'!$E:$E,'COGS Break up'!$A:$A,'MIS Working 1'!$D244,'COGS Break up'!$D:$D,'MIS Working 1'!$AD$1)</f>
        <v>0</v>
      </c>
      <c r="AE244" s="279">
        <f>SUMIFS('COGS Break up'!$E:$E,'COGS Break up'!$A:$A,'MIS Working 1'!$D244,'COGS Break up'!$D:$D,'MIS Working 1'!$AE$1)</f>
        <v>0</v>
      </c>
      <c r="AF244" s="280">
        <f>'MIS Working 1'!$AG244+'MIS Working 1'!$AH244+'MIS Working 1'!$AM244+'MIS Working 1'!$AL244</f>
        <v>0</v>
      </c>
      <c r="AG244" s="279">
        <f>'MIS Working 1'!$L244*'MIS Working 1'!$Y244</f>
        <v>0</v>
      </c>
      <c r="AH244" s="279">
        <f>'MIS Working 1'!$L244*'MIS Working 1'!$Z244</f>
        <v>0</v>
      </c>
      <c r="AI244" s="279">
        <f t="shared" si="9"/>
        <v>0</v>
      </c>
      <c r="AJ244" s="279">
        <f t="shared" si="10"/>
        <v>0</v>
      </c>
      <c r="AK244" s="279">
        <f t="shared" si="11"/>
        <v>0</v>
      </c>
      <c r="AL244" s="279">
        <f>'MIS Working 1'!$AD244*'MIS Working 1'!$L244</f>
        <v>0</v>
      </c>
      <c r="AM244" s="279">
        <f>'MIS Working 1'!$L244*'MIS Working 1'!$AE244+'MIS Working 1'!$AL244</f>
        <v>0</v>
      </c>
    </row>
    <row r="245" spans="1:39" x14ac:dyDescent="0.3">
      <c r="A245" s="263" t="s">
        <v>1373</v>
      </c>
      <c r="B245" s="264">
        <v>45975</v>
      </c>
      <c r="C245" s="265" t="s">
        <v>1786</v>
      </c>
      <c r="D245" s="265" t="s">
        <v>1549</v>
      </c>
      <c r="E245" s="265" t="s">
        <v>1550</v>
      </c>
      <c r="F245" s="265" t="s">
        <v>18</v>
      </c>
      <c r="G245" s="265" t="s">
        <v>19</v>
      </c>
      <c r="H245" s="265" t="s">
        <v>1105</v>
      </c>
      <c r="I245" s="266">
        <v>51</v>
      </c>
      <c r="J245" s="267">
        <v>4470.1499999999996</v>
      </c>
      <c r="K245" s="266">
        <v>51</v>
      </c>
      <c r="L245" s="266">
        <v>51</v>
      </c>
      <c r="M245" s="264">
        <v>45975</v>
      </c>
      <c r="N245" s="267">
        <v>5100</v>
      </c>
      <c r="O245" s="265" t="s">
        <v>21</v>
      </c>
      <c r="P245" s="265" t="s">
        <v>22</v>
      </c>
      <c r="Q245" s="265" t="s">
        <v>1787</v>
      </c>
      <c r="R245" s="265" t="str">
        <f>VLOOKUP('MIS Working 1'!$G245,Master!$H$3:$I$8,2,0)</f>
        <v>Finished Goods</v>
      </c>
      <c r="S245" s="265" t="str">
        <f>VLOOKUP('MIS Working 1'!$H245,Master!B:C,2,0)</f>
        <v>FG-PCB-Ped</v>
      </c>
      <c r="T245" s="265" t="str">
        <f>VLOOKUP('MIS Working 1'!$S245,Master!E:F,2,0)</f>
        <v>FG-PCB-Ped</v>
      </c>
      <c r="U245" s="268">
        <f>'MIS Working 1'!$N245-'MIS Working 1'!$AF245</f>
        <v>627.80999999999949</v>
      </c>
      <c r="V245" s="269">
        <f>'MIS Working 1'!$U245/'MIS Working 1'!$N245</f>
        <v>0.1230999999999999</v>
      </c>
      <c r="W245" s="265">
        <f>'MIS Working 1'!$N245/'MIS Working 1'!$L245</f>
        <v>100</v>
      </c>
      <c r="X245" s="270">
        <f>SUM('MIS Working 1'!$Y245:$AE245)</f>
        <v>90.68</v>
      </c>
      <c r="Y245" s="270">
        <f>SUMIFS('COGS Break up'!$E:$E,'COGS Break up'!$A:$A,'MIS Working 1'!$D245,'COGS Break up'!$D:$D,'MIS Working 1'!$Y$1)</f>
        <v>47.650000000000013</v>
      </c>
      <c r="Z245" s="270">
        <f>SUMIFS('COGS Break up'!$E:$E,'COGS Break up'!$A:$A,'MIS Working 1'!$D245,'COGS Break up'!$D:$D,'MIS Working 1'!$Z$1)</f>
        <v>36.96</v>
      </c>
      <c r="AA245" s="270">
        <f>SUMIFS('COGS Break up'!E:E,'COGS Break up'!A:A,'MIS Working 1'!$D:$D,'COGS Break up'!C:C,'MIS Working 1'!$AA$1)</f>
        <v>3.02</v>
      </c>
      <c r="AB245" s="270">
        <f>SUMIFS('COGS Break up'!E:E,'COGS Break up'!A:A,'MIS Working 1'!$D:$D,'COGS Break up'!C:C,$AB$1)</f>
        <v>0</v>
      </c>
      <c r="AC245" s="270">
        <f>SUMIFS('COGS Break up'!E:E,'COGS Break up'!A:A,'MIS Working 1'!$D:$D,'COGS Break up'!C:C,$AC$1)</f>
        <v>0</v>
      </c>
      <c r="AD245" s="270">
        <f>SUMIFS('COGS Break up'!$E:$E,'COGS Break up'!$A:$A,'MIS Working 1'!$D245,'COGS Break up'!$D:$D,'MIS Working 1'!$AD$1)</f>
        <v>0.03</v>
      </c>
      <c r="AE245" s="270">
        <f>SUMIFS('COGS Break up'!$E:$E,'COGS Break up'!$A:$A,'MIS Working 1'!$D245,'COGS Break up'!$D:$D,'MIS Working 1'!$AE$1)</f>
        <v>3.02</v>
      </c>
      <c r="AF245" s="271">
        <f>'MIS Working 1'!$AG245+'MIS Working 1'!$AH245+'MIS Working 1'!$AM245+'MIS Working 1'!$AL245</f>
        <v>4472.1900000000005</v>
      </c>
      <c r="AG245" s="270">
        <f>'MIS Working 1'!$L245*'MIS Working 1'!$Y245</f>
        <v>2430.1500000000005</v>
      </c>
      <c r="AH245" s="270">
        <f>'MIS Working 1'!$L245*'MIS Working 1'!$Z245</f>
        <v>1884.96</v>
      </c>
      <c r="AI245" s="270">
        <f t="shared" si="9"/>
        <v>154.02000000000001</v>
      </c>
      <c r="AJ245" s="270">
        <f t="shared" si="10"/>
        <v>0</v>
      </c>
      <c r="AK245" s="270">
        <f t="shared" si="11"/>
        <v>0</v>
      </c>
      <c r="AL245" s="270">
        <f>'MIS Working 1'!$AD245*'MIS Working 1'!$L245</f>
        <v>1.53</v>
      </c>
      <c r="AM245" s="270">
        <f>'MIS Working 1'!$L245*'MIS Working 1'!$AE245+'MIS Working 1'!$AL245</f>
        <v>155.55000000000001</v>
      </c>
    </row>
    <row r="246" spans="1:39" x14ac:dyDescent="0.3">
      <c r="A246" s="272" t="s">
        <v>1373</v>
      </c>
      <c r="B246" s="273">
        <v>45975</v>
      </c>
      <c r="C246" s="274" t="s">
        <v>1786</v>
      </c>
      <c r="D246" s="274" t="s">
        <v>1551</v>
      </c>
      <c r="E246" s="274" t="s">
        <v>1552</v>
      </c>
      <c r="F246" s="274" t="s">
        <v>18</v>
      </c>
      <c r="G246" s="274" t="s">
        <v>19</v>
      </c>
      <c r="H246" s="274" t="s">
        <v>1105</v>
      </c>
      <c r="I246" s="275">
        <v>51</v>
      </c>
      <c r="J246" s="276">
        <v>5244.84</v>
      </c>
      <c r="K246" s="275">
        <v>51</v>
      </c>
      <c r="L246" s="275">
        <v>51</v>
      </c>
      <c r="M246" s="273">
        <v>45975</v>
      </c>
      <c r="N246" s="276">
        <v>6426</v>
      </c>
      <c r="O246" s="274" t="s">
        <v>21</v>
      </c>
      <c r="P246" s="274" t="s">
        <v>22</v>
      </c>
      <c r="Q246" s="274" t="s">
        <v>1787</v>
      </c>
      <c r="R246" s="274" t="str">
        <f>VLOOKUP('MIS Working 1'!$G246,Master!$H$3:$I$8,2,0)</f>
        <v>Finished Goods</v>
      </c>
      <c r="S246" s="274" t="str">
        <f>VLOOKUP('MIS Working 1'!$H246,Master!B:C,2,0)</f>
        <v>FG-PCB-Ped</v>
      </c>
      <c r="T246" s="274" t="str">
        <f>VLOOKUP('MIS Working 1'!$S246,Master!E:F,2,0)</f>
        <v>FG-PCB-Ped</v>
      </c>
      <c r="U246" s="277">
        <f>'MIS Working 1'!$N246-'MIS Working 1'!$AF246</f>
        <v>1178.6099999999997</v>
      </c>
      <c r="V246" s="278">
        <f>'MIS Working 1'!$U246/'MIS Working 1'!$N246</f>
        <v>0.18341269841269836</v>
      </c>
      <c r="W246" s="274">
        <f>'MIS Working 1'!$N246/'MIS Working 1'!$L246</f>
        <v>126</v>
      </c>
      <c r="X246" s="279">
        <f>SUM('MIS Working 1'!$Y246:$AE246)</f>
        <v>105.86999999999999</v>
      </c>
      <c r="Y246" s="279">
        <f>SUMIFS('COGS Break up'!$E:$E,'COGS Break up'!$A:$A,'MIS Working 1'!$D246,'COGS Break up'!$D:$D,'MIS Working 1'!$Y$1)</f>
        <v>62.83</v>
      </c>
      <c r="Z246" s="279">
        <f>SUMIFS('COGS Break up'!$E:$E,'COGS Break up'!$A:$A,'MIS Working 1'!$D246,'COGS Break up'!$D:$D,'MIS Working 1'!$Z$1)</f>
        <v>36.96</v>
      </c>
      <c r="AA246" s="279">
        <f>SUMIFS('COGS Break up'!E:E,'COGS Break up'!A:A,'MIS Working 1'!$D:$D,'COGS Break up'!C:C,'MIS Working 1'!$AA$1)</f>
        <v>3.02</v>
      </c>
      <c r="AB246" s="279">
        <f>SUMIFS('COGS Break up'!E:E,'COGS Break up'!A:A,'MIS Working 1'!$D:$D,'COGS Break up'!C:C,$AB$1)</f>
        <v>0</v>
      </c>
      <c r="AC246" s="279">
        <f>SUMIFS('COGS Break up'!E:E,'COGS Break up'!A:A,'MIS Working 1'!$D:$D,'COGS Break up'!C:C,$AC$1)</f>
        <v>0</v>
      </c>
      <c r="AD246" s="279">
        <f>SUMIFS('COGS Break up'!$E:$E,'COGS Break up'!$A:$A,'MIS Working 1'!$D246,'COGS Break up'!$D:$D,'MIS Working 1'!$AD$1)</f>
        <v>0.04</v>
      </c>
      <c r="AE246" s="279">
        <f>SUMIFS('COGS Break up'!$E:$E,'COGS Break up'!$A:$A,'MIS Working 1'!$D246,'COGS Break up'!$D:$D,'MIS Working 1'!$AE$1)</f>
        <v>3.02</v>
      </c>
      <c r="AF246" s="280">
        <f>'MIS Working 1'!$AG246+'MIS Working 1'!$AH246+'MIS Working 1'!$AM246+'MIS Working 1'!$AL246</f>
        <v>5247.39</v>
      </c>
      <c r="AG246" s="279">
        <f>'MIS Working 1'!$L246*'MIS Working 1'!$Y246</f>
        <v>3204.33</v>
      </c>
      <c r="AH246" s="279">
        <f>'MIS Working 1'!$L246*'MIS Working 1'!$Z246</f>
        <v>1884.96</v>
      </c>
      <c r="AI246" s="279">
        <f t="shared" si="9"/>
        <v>154.02000000000001</v>
      </c>
      <c r="AJ246" s="279">
        <f t="shared" si="10"/>
        <v>0</v>
      </c>
      <c r="AK246" s="279">
        <f t="shared" si="11"/>
        <v>0</v>
      </c>
      <c r="AL246" s="279">
        <f>'MIS Working 1'!$AD246*'MIS Working 1'!$L246</f>
        <v>2.04</v>
      </c>
      <c r="AM246" s="279">
        <f>'MIS Working 1'!$L246*'MIS Working 1'!$AE246+'MIS Working 1'!$AL246</f>
        <v>156.06</v>
      </c>
    </row>
    <row r="247" spans="1:39" x14ac:dyDescent="0.3">
      <c r="A247" s="263" t="s">
        <v>1373</v>
      </c>
      <c r="B247" s="264">
        <v>45975</v>
      </c>
      <c r="C247" s="265" t="s">
        <v>1786</v>
      </c>
      <c r="D247" s="265" t="s">
        <v>1553</v>
      </c>
      <c r="E247" s="265" t="s">
        <v>1554</v>
      </c>
      <c r="F247" s="265" t="s">
        <v>18</v>
      </c>
      <c r="G247" s="265" t="s">
        <v>19</v>
      </c>
      <c r="H247" s="265" t="s">
        <v>1105</v>
      </c>
      <c r="I247" s="266">
        <v>102</v>
      </c>
      <c r="J247" s="267">
        <v>34981.919999999998</v>
      </c>
      <c r="K247" s="266">
        <v>102</v>
      </c>
      <c r="L247" s="266">
        <v>102</v>
      </c>
      <c r="M247" s="264">
        <v>45975</v>
      </c>
      <c r="N247" s="267">
        <v>55080</v>
      </c>
      <c r="O247" s="265" t="s">
        <v>21</v>
      </c>
      <c r="P247" s="265" t="s">
        <v>22</v>
      </c>
      <c r="Q247" s="265" t="s">
        <v>1787</v>
      </c>
      <c r="R247" s="265" t="str">
        <f>VLOOKUP('MIS Working 1'!$G247,Master!$H$3:$I$8,2,0)</f>
        <v>Finished Goods</v>
      </c>
      <c r="S247" s="265" t="str">
        <f>VLOOKUP('MIS Working 1'!$H247,Master!B:C,2,0)</f>
        <v>FG-PCB-Ped</v>
      </c>
      <c r="T247" s="265" t="str">
        <f>VLOOKUP('MIS Working 1'!$S247,Master!E:F,2,0)</f>
        <v>FG-PCB-Ped</v>
      </c>
      <c r="U247" s="268">
        <f>'MIS Working 1'!$N247-'MIS Working 1'!$AF247</f>
        <v>20083.800000000003</v>
      </c>
      <c r="V247" s="269">
        <f>'MIS Working 1'!$U247/'MIS Working 1'!$N247</f>
        <v>0.36462962962962969</v>
      </c>
      <c r="W247" s="265">
        <f>'MIS Working 1'!$N247/'MIS Working 1'!$L247</f>
        <v>540</v>
      </c>
      <c r="X247" s="270">
        <f>SUM('MIS Working 1'!$Y247:$AE247)</f>
        <v>399.78</v>
      </c>
      <c r="Y247" s="270">
        <f>SUMIFS('COGS Break up'!$E:$E,'COGS Break up'!$A:$A,'MIS Working 1'!$D247,'COGS Break up'!$D:$D,'MIS Working 1'!$Y$1)</f>
        <v>240.83999999999997</v>
      </c>
      <c r="Z247" s="270">
        <f>SUMIFS('COGS Break up'!$E:$E,'COGS Break up'!$A:$A,'MIS Working 1'!$D247,'COGS Break up'!$D:$D,'MIS Working 1'!$Z$1)</f>
        <v>45.19</v>
      </c>
      <c r="AA247" s="270">
        <f>SUMIFS('COGS Break up'!E:E,'COGS Break up'!A:A,'MIS Working 1'!$D:$D,'COGS Break up'!C:C,'MIS Working 1'!$AA$1)</f>
        <v>3.69</v>
      </c>
      <c r="AB247" s="270">
        <f>SUMIFS('COGS Break up'!E:E,'COGS Break up'!A:A,'MIS Working 1'!$D:$D,'COGS Break up'!C:C,$AB$1)</f>
        <v>32.85</v>
      </c>
      <c r="AC247" s="270">
        <f>SUMIFS('COGS Break up'!E:E,'COGS Break up'!A:A,'MIS Working 1'!$D:$D,'COGS Break up'!C:C,$AC$1)</f>
        <v>20.27</v>
      </c>
      <c r="AD247" s="270">
        <f>SUMIFS('COGS Break up'!$E:$E,'COGS Break up'!$A:$A,'MIS Working 1'!$D247,'COGS Break up'!$D:$D,'MIS Working 1'!$AD$1)</f>
        <v>0.13</v>
      </c>
      <c r="AE247" s="270">
        <f>SUMIFS('COGS Break up'!$E:$E,'COGS Break up'!$A:$A,'MIS Working 1'!$D247,'COGS Break up'!$D:$D,'MIS Working 1'!$AE$1)</f>
        <v>56.81</v>
      </c>
      <c r="AF247" s="271">
        <f>'MIS Working 1'!$AG247+'MIS Working 1'!$AH247+'MIS Working 1'!$AM247+'MIS Working 1'!$AL247</f>
        <v>34996.199999999997</v>
      </c>
      <c r="AG247" s="270">
        <f>'MIS Working 1'!$L247*'MIS Working 1'!$Y247</f>
        <v>24565.679999999997</v>
      </c>
      <c r="AH247" s="270">
        <f>'MIS Working 1'!$L247*'MIS Working 1'!$Z247</f>
        <v>4609.38</v>
      </c>
      <c r="AI247" s="270">
        <f t="shared" si="9"/>
        <v>376.38</v>
      </c>
      <c r="AJ247" s="270">
        <f t="shared" si="10"/>
        <v>3350.7000000000003</v>
      </c>
      <c r="AK247" s="270">
        <f t="shared" si="11"/>
        <v>2067.54</v>
      </c>
      <c r="AL247" s="270">
        <f>'MIS Working 1'!$AD247*'MIS Working 1'!$L247</f>
        <v>13.26</v>
      </c>
      <c r="AM247" s="270">
        <f>'MIS Working 1'!$L247*'MIS Working 1'!$AE247+'MIS Working 1'!$AL247</f>
        <v>5807.88</v>
      </c>
    </row>
    <row r="248" spans="1:39" x14ac:dyDescent="0.3">
      <c r="A248" s="272" t="s">
        <v>479</v>
      </c>
      <c r="B248" s="273">
        <v>45974</v>
      </c>
      <c r="C248" s="274" t="s">
        <v>1788</v>
      </c>
      <c r="D248" s="274" t="s">
        <v>639</v>
      </c>
      <c r="E248" s="274" t="s">
        <v>640</v>
      </c>
      <c r="F248" s="274" t="s">
        <v>18</v>
      </c>
      <c r="G248" s="274" t="s">
        <v>19</v>
      </c>
      <c r="H248" s="274" t="s">
        <v>27</v>
      </c>
      <c r="I248" s="275">
        <v>398</v>
      </c>
      <c r="J248" s="276">
        <v>256721.94</v>
      </c>
      <c r="K248" s="275">
        <v>398</v>
      </c>
      <c r="L248" s="275">
        <v>398</v>
      </c>
      <c r="M248" s="273">
        <v>45974</v>
      </c>
      <c r="N248" s="276">
        <v>289966.88</v>
      </c>
      <c r="O248" s="274" t="s">
        <v>21</v>
      </c>
      <c r="P248" s="274" t="s">
        <v>22</v>
      </c>
      <c r="Q248" s="274" t="s">
        <v>660</v>
      </c>
      <c r="R248" s="274" t="str">
        <f>VLOOKUP('MIS Working 1'!$G248,Master!$H$3:$I$8,2,0)</f>
        <v>Finished Goods</v>
      </c>
      <c r="S248" s="274" t="str">
        <f>VLOOKUP('MIS Working 1'!$H248,Master!B:C,2,0)</f>
        <v>FG-PCB-CF</v>
      </c>
      <c r="T248" s="274" t="str">
        <f>VLOOKUP('MIS Working 1'!$S248,Master!E:F,2,0)</f>
        <v>FG-PCB-CF</v>
      </c>
      <c r="U248" s="277">
        <f>'MIS Working 1'!$N248-'MIS Working 1'!$AF248</f>
        <v>33073.800000000134</v>
      </c>
      <c r="V248" s="278">
        <f>'MIS Working 1'!$U248/'MIS Working 1'!$N248</f>
        <v>0.11406061271549403</v>
      </c>
      <c r="W248" s="274">
        <f>'MIS Working 1'!$N248/'MIS Working 1'!$L248</f>
        <v>728.56000000000006</v>
      </c>
      <c r="X248" s="279">
        <f>SUM('MIS Working 1'!$Y248:$AE248)</f>
        <v>677.50999999999965</v>
      </c>
      <c r="Y248" s="279">
        <f>SUMIFS('COGS Break up'!$E:$E,'COGS Break up'!$A:$A,'MIS Working 1'!$D248,'COGS Break up'!$D:$D,'MIS Working 1'!$Y$1)</f>
        <v>582.23999999999967</v>
      </c>
      <c r="Z248" s="279">
        <f>SUMIFS('COGS Break up'!$E:$E,'COGS Break up'!$A:$A,'MIS Working 1'!$D248,'COGS Break up'!$D:$D,'MIS Working 1'!$Z$1)</f>
        <v>29.88</v>
      </c>
      <c r="AA248" s="279">
        <f>SUMIFS('COGS Break up'!E:E,'COGS Break up'!A:A,'MIS Working 1'!$D:$D,'COGS Break up'!C:C,'MIS Working 1'!$AA$1)</f>
        <v>2.4500000000000002</v>
      </c>
      <c r="AB248" s="279">
        <f>SUMIFS('COGS Break up'!E:E,'COGS Break up'!A:A,'MIS Working 1'!$D:$D,'COGS Break up'!C:C,$AB$1)</f>
        <v>21.72</v>
      </c>
      <c r="AC248" s="279">
        <f>SUMIFS('COGS Break up'!E:E,'COGS Break up'!A:A,'MIS Working 1'!$D:$D,'COGS Break up'!C:C,$AC$1)</f>
        <v>8.31</v>
      </c>
      <c r="AD248" s="279">
        <f>SUMIFS('COGS Break up'!$E:$E,'COGS Break up'!$A:$A,'MIS Working 1'!$D248,'COGS Break up'!$D:$D,'MIS Working 1'!$AD$1)</f>
        <v>0.43</v>
      </c>
      <c r="AE248" s="279">
        <f>SUMIFS('COGS Break up'!$E:$E,'COGS Break up'!$A:$A,'MIS Working 1'!$D248,'COGS Break up'!$D:$D,'MIS Working 1'!$AE$1)</f>
        <v>32.480000000000004</v>
      </c>
      <c r="AF248" s="280">
        <f>'MIS Working 1'!$AG248+'MIS Working 1'!$AH248+'MIS Working 1'!$AM248+'MIS Working 1'!$AL248</f>
        <v>256893.07999999987</v>
      </c>
      <c r="AG248" s="279">
        <f>'MIS Working 1'!$L248*'MIS Working 1'!$Y248</f>
        <v>231731.51999999987</v>
      </c>
      <c r="AH248" s="279">
        <f>'MIS Working 1'!$L248*'MIS Working 1'!$Z248</f>
        <v>11892.24</v>
      </c>
      <c r="AI248" s="279">
        <f t="shared" si="9"/>
        <v>975.1</v>
      </c>
      <c r="AJ248" s="279">
        <f t="shared" si="10"/>
        <v>8644.56</v>
      </c>
      <c r="AK248" s="279">
        <f t="shared" si="11"/>
        <v>3307.38</v>
      </c>
      <c r="AL248" s="279">
        <f>'MIS Working 1'!$AD248*'MIS Working 1'!$L248</f>
        <v>171.14</v>
      </c>
      <c r="AM248" s="279">
        <f>'MIS Working 1'!$L248*'MIS Working 1'!$AE248+'MIS Working 1'!$AL248</f>
        <v>13098.18</v>
      </c>
    </row>
    <row r="249" spans="1:39" x14ac:dyDescent="0.3">
      <c r="A249" s="263" t="s">
        <v>479</v>
      </c>
      <c r="B249" s="264">
        <v>45974</v>
      </c>
      <c r="C249" s="265" t="s">
        <v>1789</v>
      </c>
      <c r="D249" s="265" t="s">
        <v>23</v>
      </c>
      <c r="E249" s="265" t="s">
        <v>24</v>
      </c>
      <c r="F249" s="265" t="s">
        <v>18</v>
      </c>
      <c r="G249" s="265" t="s">
        <v>19</v>
      </c>
      <c r="H249" s="265" t="s">
        <v>27</v>
      </c>
      <c r="I249" s="266">
        <v>1210</v>
      </c>
      <c r="J249" s="267">
        <v>509906.1</v>
      </c>
      <c r="K249" s="266">
        <v>1210</v>
      </c>
      <c r="L249" s="266">
        <v>1210</v>
      </c>
      <c r="M249" s="264">
        <v>45974</v>
      </c>
      <c r="N249" s="267">
        <v>584623.6</v>
      </c>
      <c r="O249" s="265" t="s">
        <v>21</v>
      </c>
      <c r="P249" s="265" t="s">
        <v>22</v>
      </c>
      <c r="Q249" s="265" t="s">
        <v>660</v>
      </c>
      <c r="R249" s="265" t="str">
        <f>VLOOKUP('MIS Working 1'!$G249,Master!$H$3:$I$8,2,0)</f>
        <v>Finished Goods</v>
      </c>
      <c r="S249" s="265" t="str">
        <f>VLOOKUP('MIS Working 1'!$H249,Master!B:C,2,0)</f>
        <v>FG-PCB-CF</v>
      </c>
      <c r="T249" s="265" t="str">
        <f>VLOOKUP('MIS Working 1'!$S249,Master!E:F,2,0)</f>
        <v>FG-PCB-CF</v>
      </c>
      <c r="U249" s="268">
        <f>'MIS Working 1'!$N249-'MIS Working 1'!$AF249</f>
        <v>74402.900000000198</v>
      </c>
      <c r="V249" s="269">
        <f>'MIS Working 1'!$U249/'MIS Working 1'!$N249</f>
        <v>0.12726632999420517</v>
      </c>
      <c r="W249" s="265">
        <f>'MIS Working 1'!$N249/'MIS Working 1'!$L249</f>
        <v>483.15999999999997</v>
      </c>
      <c r="X249" s="270">
        <f>SUM('MIS Working 1'!$Y249:$AE249)</f>
        <v>447.50999999999988</v>
      </c>
      <c r="Y249" s="270">
        <f>SUMIFS('COGS Break up'!$E:$E,'COGS Break up'!$A:$A,'MIS Working 1'!$D249,'COGS Break up'!$D:$D,'MIS Working 1'!$Y$1)</f>
        <v>373.04999999999984</v>
      </c>
      <c r="Z249" s="270">
        <f>SUMIFS('COGS Break up'!$E:$E,'COGS Break up'!$A:$A,'MIS Working 1'!$D249,'COGS Break up'!$D:$D,'MIS Working 1'!$Z$1)</f>
        <v>22</v>
      </c>
      <c r="AA249" s="270">
        <f>SUMIFS('COGS Break up'!E:E,'COGS Break up'!A:A,'MIS Working 1'!$D:$D,'COGS Break up'!C:C,'MIS Working 1'!$AA$1)</f>
        <v>1.8</v>
      </c>
      <c r="AB249" s="270">
        <f>SUMIFS('COGS Break up'!E:E,'COGS Break up'!A:A,'MIS Working 1'!$D:$D,'COGS Break up'!C:C,$AB$1)</f>
        <v>15.99</v>
      </c>
      <c r="AC249" s="270">
        <f>SUMIFS('COGS Break up'!E:E,'COGS Break up'!A:A,'MIS Working 1'!$D:$D,'COGS Break up'!C:C,$AC$1)</f>
        <v>8.31</v>
      </c>
      <c r="AD249" s="270">
        <f>SUMIFS('COGS Break up'!$E:$E,'COGS Break up'!$A:$A,'MIS Working 1'!$D249,'COGS Break up'!$D:$D,'MIS Working 1'!$AD$1)</f>
        <v>0.26</v>
      </c>
      <c r="AE249" s="270">
        <f>SUMIFS('COGS Break up'!$E:$E,'COGS Break up'!$A:$A,'MIS Working 1'!$D249,'COGS Break up'!$D:$D,'MIS Working 1'!$AE$1)</f>
        <v>26.1</v>
      </c>
      <c r="AF249" s="271">
        <f>'MIS Working 1'!$AG249+'MIS Working 1'!$AH249+'MIS Working 1'!$AM249+'MIS Working 1'!$AL249</f>
        <v>510220.69999999978</v>
      </c>
      <c r="AG249" s="270">
        <f>'MIS Working 1'!$L249*'MIS Working 1'!$Y249</f>
        <v>451390.49999999983</v>
      </c>
      <c r="AH249" s="270">
        <f>'MIS Working 1'!$L249*'MIS Working 1'!$Z249</f>
        <v>26620</v>
      </c>
      <c r="AI249" s="270">
        <f t="shared" si="9"/>
        <v>2178</v>
      </c>
      <c r="AJ249" s="270">
        <f t="shared" si="10"/>
        <v>19347.900000000001</v>
      </c>
      <c r="AK249" s="270">
        <f t="shared" si="11"/>
        <v>10055.1</v>
      </c>
      <c r="AL249" s="270">
        <f>'MIS Working 1'!$AD249*'MIS Working 1'!$L249</f>
        <v>314.60000000000002</v>
      </c>
      <c r="AM249" s="270">
        <f>'MIS Working 1'!$L249*'MIS Working 1'!$AE249+'MIS Working 1'!$AL249</f>
        <v>31895.599999999999</v>
      </c>
    </row>
    <row r="250" spans="1:39" x14ac:dyDescent="0.3">
      <c r="A250" s="272" t="s">
        <v>479</v>
      </c>
      <c r="B250" s="273">
        <v>45974</v>
      </c>
      <c r="C250" s="274" t="s">
        <v>1788</v>
      </c>
      <c r="D250" s="274" t="s">
        <v>1182</v>
      </c>
      <c r="E250" s="274" t="s">
        <v>1183</v>
      </c>
      <c r="F250" s="274" t="s">
        <v>18</v>
      </c>
      <c r="G250" s="274" t="s">
        <v>19</v>
      </c>
      <c r="H250" s="274" t="s">
        <v>27</v>
      </c>
      <c r="I250" s="275">
        <v>710</v>
      </c>
      <c r="J250" s="276">
        <v>299179.8</v>
      </c>
      <c r="K250" s="275">
        <v>710</v>
      </c>
      <c r="L250" s="275">
        <v>710</v>
      </c>
      <c r="M250" s="273">
        <v>45974</v>
      </c>
      <c r="N250" s="276">
        <v>343043.6</v>
      </c>
      <c r="O250" s="274" t="s">
        <v>21</v>
      </c>
      <c r="P250" s="274" t="s">
        <v>22</v>
      </c>
      <c r="Q250" s="274" t="s">
        <v>660</v>
      </c>
      <c r="R250" s="274" t="str">
        <f>VLOOKUP('MIS Working 1'!$G250,Master!$H$3:$I$8,2,0)</f>
        <v>Finished Goods</v>
      </c>
      <c r="S250" s="274" t="str">
        <f>VLOOKUP('MIS Working 1'!$H250,Master!B:C,2,0)</f>
        <v>FG-PCB-CF</v>
      </c>
      <c r="T250" s="274" t="str">
        <f>VLOOKUP('MIS Working 1'!$S250,Master!E:F,2,0)</f>
        <v>FG-PCB-CF</v>
      </c>
      <c r="U250" s="277">
        <f>'MIS Working 1'!$N250-'MIS Working 1'!$AF250</f>
        <v>43679.200000000186</v>
      </c>
      <c r="V250" s="278">
        <f>'MIS Working 1'!$U250/'MIS Working 1'!$N250</f>
        <v>0.12732842122692331</v>
      </c>
      <c r="W250" s="274">
        <f>'MIS Working 1'!$N250/'MIS Working 1'!$L250</f>
        <v>483.15999999999997</v>
      </c>
      <c r="X250" s="279">
        <f>SUM('MIS Working 1'!$Y250:$AE250)</f>
        <v>447.47999999999985</v>
      </c>
      <c r="Y250" s="279">
        <f>SUMIFS('COGS Break up'!$E:$E,'COGS Break up'!$A:$A,'MIS Working 1'!$D250,'COGS Break up'!$D:$D,'MIS Working 1'!$Y$1)</f>
        <v>373.01999999999981</v>
      </c>
      <c r="Z250" s="279">
        <f>SUMIFS('COGS Break up'!$E:$E,'COGS Break up'!$A:$A,'MIS Working 1'!$D250,'COGS Break up'!$D:$D,'MIS Working 1'!$Z$1)</f>
        <v>22</v>
      </c>
      <c r="AA250" s="279">
        <f>SUMIFS('COGS Break up'!E:E,'COGS Break up'!A:A,'MIS Working 1'!$D:$D,'COGS Break up'!C:C,'MIS Working 1'!$AA$1)</f>
        <v>1.8</v>
      </c>
      <c r="AB250" s="279">
        <f>SUMIFS('COGS Break up'!E:E,'COGS Break up'!A:A,'MIS Working 1'!$D:$D,'COGS Break up'!C:C,$AB$1)</f>
        <v>15.99</v>
      </c>
      <c r="AC250" s="279">
        <f>SUMIFS('COGS Break up'!E:E,'COGS Break up'!A:A,'MIS Working 1'!$D:$D,'COGS Break up'!C:C,$AC$1)</f>
        <v>8.31</v>
      </c>
      <c r="AD250" s="279">
        <f>SUMIFS('COGS Break up'!$E:$E,'COGS Break up'!$A:$A,'MIS Working 1'!$D250,'COGS Break up'!$D:$D,'MIS Working 1'!$AD$1)</f>
        <v>0.26</v>
      </c>
      <c r="AE250" s="279">
        <f>SUMIFS('COGS Break up'!$E:$E,'COGS Break up'!$A:$A,'MIS Working 1'!$D250,'COGS Break up'!$D:$D,'MIS Working 1'!$AE$1)</f>
        <v>26.1</v>
      </c>
      <c r="AF250" s="280">
        <f>'MIS Working 1'!$AG250+'MIS Working 1'!$AH250+'MIS Working 1'!$AM250+'MIS Working 1'!$AL250</f>
        <v>299364.39999999979</v>
      </c>
      <c r="AG250" s="279">
        <f>'MIS Working 1'!$L250*'MIS Working 1'!$Y250</f>
        <v>264844.19999999984</v>
      </c>
      <c r="AH250" s="279">
        <f>'MIS Working 1'!$L250*'MIS Working 1'!$Z250</f>
        <v>15620</v>
      </c>
      <c r="AI250" s="279">
        <f t="shared" si="9"/>
        <v>1278</v>
      </c>
      <c r="AJ250" s="279">
        <f t="shared" si="10"/>
        <v>11352.9</v>
      </c>
      <c r="AK250" s="279">
        <f t="shared" si="11"/>
        <v>5900.1</v>
      </c>
      <c r="AL250" s="279">
        <f>'MIS Working 1'!$AD250*'MIS Working 1'!$L250</f>
        <v>184.6</v>
      </c>
      <c r="AM250" s="279">
        <f>'MIS Working 1'!$L250*'MIS Working 1'!$AE250+'MIS Working 1'!$AL250</f>
        <v>18715.599999999999</v>
      </c>
    </row>
    <row r="251" spans="1:39" x14ac:dyDescent="0.3">
      <c r="A251" s="263" t="s">
        <v>479</v>
      </c>
      <c r="B251" s="264">
        <v>45974</v>
      </c>
      <c r="C251" s="265" t="s">
        <v>1789</v>
      </c>
      <c r="D251" s="265" t="s">
        <v>1182</v>
      </c>
      <c r="E251" s="265" t="s">
        <v>1183</v>
      </c>
      <c r="F251" s="265" t="s">
        <v>18</v>
      </c>
      <c r="G251" s="265" t="s">
        <v>19</v>
      </c>
      <c r="H251" s="265" t="s">
        <v>27</v>
      </c>
      <c r="I251" s="266">
        <v>350</v>
      </c>
      <c r="J251" s="267">
        <v>147483</v>
      </c>
      <c r="K251" s="266">
        <v>350</v>
      </c>
      <c r="L251" s="266">
        <v>350</v>
      </c>
      <c r="M251" s="264">
        <v>45974</v>
      </c>
      <c r="N251" s="267">
        <v>169106</v>
      </c>
      <c r="O251" s="265" t="s">
        <v>21</v>
      </c>
      <c r="P251" s="265" t="s">
        <v>22</v>
      </c>
      <c r="Q251" s="265" t="s">
        <v>660</v>
      </c>
      <c r="R251" s="265" t="str">
        <f>VLOOKUP('MIS Working 1'!$G251,Master!$H$3:$I$8,2,0)</f>
        <v>Finished Goods</v>
      </c>
      <c r="S251" s="265" t="str">
        <f>VLOOKUP('MIS Working 1'!$H251,Master!B:C,2,0)</f>
        <v>FG-PCB-CF</v>
      </c>
      <c r="T251" s="265" t="str">
        <f>VLOOKUP('MIS Working 1'!$S251,Master!E:F,2,0)</f>
        <v>FG-PCB-CF</v>
      </c>
      <c r="U251" s="268">
        <f>'MIS Working 1'!$N251-'MIS Working 1'!$AF251</f>
        <v>21532.000000000058</v>
      </c>
      <c r="V251" s="269">
        <f>'MIS Working 1'!$U251/'MIS Working 1'!$N251</f>
        <v>0.12732842122692312</v>
      </c>
      <c r="W251" s="265">
        <f>'MIS Working 1'!$N251/'MIS Working 1'!$L251</f>
        <v>483.16</v>
      </c>
      <c r="X251" s="270">
        <f>SUM('MIS Working 1'!$Y251:$AE251)</f>
        <v>447.47999999999985</v>
      </c>
      <c r="Y251" s="270">
        <f>SUMIFS('COGS Break up'!$E:$E,'COGS Break up'!$A:$A,'MIS Working 1'!$D251,'COGS Break up'!$D:$D,'MIS Working 1'!$Y$1)</f>
        <v>373.01999999999981</v>
      </c>
      <c r="Z251" s="270">
        <f>SUMIFS('COGS Break up'!$E:$E,'COGS Break up'!$A:$A,'MIS Working 1'!$D251,'COGS Break up'!$D:$D,'MIS Working 1'!$Z$1)</f>
        <v>22</v>
      </c>
      <c r="AA251" s="270">
        <f>SUMIFS('COGS Break up'!E:E,'COGS Break up'!A:A,'MIS Working 1'!$D:$D,'COGS Break up'!C:C,'MIS Working 1'!$AA$1)</f>
        <v>1.8</v>
      </c>
      <c r="AB251" s="270">
        <f>SUMIFS('COGS Break up'!E:E,'COGS Break up'!A:A,'MIS Working 1'!$D:$D,'COGS Break up'!C:C,$AB$1)</f>
        <v>15.99</v>
      </c>
      <c r="AC251" s="270">
        <f>SUMIFS('COGS Break up'!E:E,'COGS Break up'!A:A,'MIS Working 1'!$D:$D,'COGS Break up'!C:C,$AC$1)</f>
        <v>8.31</v>
      </c>
      <c r="AD251" s="270">
        <f>SUMIFS('COGS Break up'!$E:$E,'COGS Break up'!$A:$A,'MIS Working 1'!$D251,'COGS Break up'!$D:$D,'MIS Working 1'!$AD$1)</f>
        <v>0.26</v>
      </c>
      <c r="AE251" s="270">
        <f>SUMIFS('COGS Break up'!$E:$E,'COGS Break up'!$A:$A,'MIS Working 1'!$D251,'COGS Break up'!$D:$D,'MIS Working 1'!$AE$1)</f>
        <v>26.1</v>
      </c>
      <c r="AF251" s="271">
        <f>'MIS Working 1'!$AG251+'MIS Working 1'!$AH251+'MIS Working 1'!$AM251+'MIS Working 1'!$AL251</f>
        <v>147573.99999999994</v>
      </c>
      <c r="AG251" s="270">
        <f>'MIS Working 1'!$L251*'MIS Working 1'!$Y251</f>
        <v>130556.99999999993</v>
      </c>
      <c r="AH251" s="270">
        <f>'MIS Working 1'!$L251*'MIS Working 1'!$Z251</f>
        <v>7700</v>
      </c>
      <c r="AI251" s="270">
        <f t="shared" si="9"/>
        <v>630</v>
      </c>
      <c r="AJ251" s="270">
        <f t="shared" si="10"/>
        <v>5596.5</v>
      </c>
      <c r="AK251" s="270">
        <f t="shared" si="11"/>
        <v>2908.5</v>
      </c>
      <c r="AL251" s="270">
        <f>'MIS Working 1'!$AD251*'MIS Working 1'!$L251</f>
        <v>91</v>
      </c>
      <c r="AM251" s="270">
        <f>'MIS Working 1'!$L251*'MIS Working 1'!$AE251+'MIS Working 1'!$AL251</f>
        <v>9226</v>
      </c>
    </row>
    <row r="252" spans="1:39" x14ac:dyDescent="0.3">
      <c r="A252" s="272" t="s">
        <v>479</v>
      </c>
      <c r="B252" s="273">
        <v>45974</v>
      </c>
      <c r="C252" s="274" t="s">
        <v>1790</v>
      </c>
      <c r="D252" s="274" t="s">
        <v>1182</v>
      </c>
      <c r="E252" s="274" t="s">
        <v>1183</v>
      </c>
      <c r="F252" s="274" t="s">
        <v>18</v>
      </c>
      <c r="G252" s="274" t="s">
        <v>19</v>
      </c>
      <c r="H252" s="274" t="s">
        <v>27</v>
      </c>
      <c r="I252" s="275">
        <v>580</v>
      </c>
      <c r="J252" s="276">
        <v>244400.4</v>
      </c>
      <c r="K252" s="275">
        <v>580</v>
      </c>
      <c r="L252" s="275">
        <v>580</v>
      </c>
      <c r="M252" s="273">
        <v>45974</v>
      </c>
      <c r="N252" s="276">
        <v>280232.8</v>
      </c>
      <c r="O252" s="274" t="s">
        <v>21</v>
      </c>
      <c r="P252" s="274" t="s">
        <v>22</v>
      </c>
      <c r="Q252" s="274" t="s">
        <v>660</v>
      </c>
      <c r="R252" s="274" t="str">
        <f>VLOOKUP('MIS Working 1'!$G252,Master!$H$3:$I$8,2,0)</f>
        <v>Finished Goods</v>
      </c>
      <c r="S252" s="274" t="str">
        <f>VLOOKUP('MIS Working 1'!$H252,Master!B:C,2,0)</f>
        <v>FG-PCB-CF</v>
      </c>
      <c r="T252" s="274" t="str">
        <f>VLOOKUP('MIS Working 1'!$S252,Master!E:F,2,0)</f>
        <v>FG-PCB-CF</v>
      </c>
      <c r="U252" s="277">
        <f>'MIS Working 1'!$N252-'MIS Working 1'!$AF252</f>
        <v>35681.600000000122</v>
      </c>
      <c r="V252" s="278">
        <f>'MIS Working 1'!$U252/'MIS Working 1'!$N252</f>
        <v>0.1273284212269232</v>
      </c>
      <c r="W252" s="274">
        <f>'MIS Working 1'!$N252/'MIS Working 1'!$L252</f>
        <v>483.15999999999997</v>
      </c>
      <c r="X252" s="279">
        <f>SUM('MIS Working 1'!$Y252:$AE252)</f>
        <v>447.47999999999985</v>
      </c>
      <c r="Y252" s="279">
        <f>SUMIFS('COGS Break up'!$E:$E,'COGS Break up'!$A:$A,'MIS Working 1'!$D252,'COGS Break up'!$D:$D,'MIS Working 1'!$Y$1)</f>
        <v>373.01999999999981</v>
      </c>
      <c r="Z252" s="279">
        <f>SUMIFS('COGS Break up'!$E:$E,'COGS Break up'!$A:$A,'MIS Working 1'!$D252,'COGS Break up'!$D:$D,'MIS Working 1'!$Z$1)</f>
        <v>22</v>
      </c>
      <c r="AA252" s="279">
        <f>SUMIFS('COGS Break up'!E:E,'COGS Break up'!A:A,'MIS Working 1'!$D:$D,'COGS Break up'!C:C,'MIS Working 1'!$AA$1)</f>
        <v>1.8</v>
      </c>
      <c r="AB252" s="279">
        <f>SUMIFS('COGS Break up'!E:E,'COGS Break up'!A:A,'MIS Working 1'!$D:$D,'COGS Break up'!C:C,$AB$1)</f>
        <v>15.99</v>
      </c>
      <c r="AC252" s="279">
        <f>SUMIFS('COGS Break up'!E:E,'COGS Break up'!A:A,'MIS Working 1'!$D:$D,'COGS Break up'!C:C,$AC$1)</f>
        <v>8.31</v>
      </c>
      <c r="AD252" s="279">
        <f>SUMIFS('COGS Break up'!$E:$E,'COGS Break up'!$A:$A,'MIS Working 1'!$D252,'COGS Break up'!$D:$D,'MIS Working 1'!$AD$1)</f>
        <v>0.26</v>
      </c>
      <c r="AE252" s="279">
        <f>SUMIFS('COGS Break up'!$E:$E,'COGS Break up'!$A:$A,'MIS Working 1'!$D252,'COGS Break up'!$D:$D,'MIS Working 1'!$AE$1)</f>
        <v>26.1</v>
      </c>
      <c r="AF252" s="280">
        <f>'MIS Working 1'!$AG252+'MIS Working 1'!$AH252+'MIS Working 1'!$AM252+'MIS Working 1'!$AL252</f>
        <v>244551.19999999987</v>
      </c>
      <c r="AG252" s="279">
        <f>'MIS Working 1'!$L252*'MIS Working 1'!$Y252</f>
        <v>216351.59999999989</v>
      </c>
      <c r="AH252" s="279">
        <f>'MIS Working 1'!$L252*'MIS Working 1'!$Z252</f>
        <v>12760</v>
      </c>
      <c r="AI252" s="279">
        <f t="shared" si="9"/>
        <v>1044</v>
      </c>
      <c r="AJ252" s="279">
        <f t="shared" si="10"/>
        <v>9274.2000000000007</v>
      </c>
      <c r="AK252" s="279">
        <f t="shared" si="11"/>
        <v>4819.8</v>
      </c>
      <c r="AL252" s="279">
        <f>'MIS Working 1'!$AD252*'MIS Working 1'!$L252</f>
        <v>150.80000000000001</v>
      </c>
      <c r="AM252" s="279">
        <f>'MIS Working 1'!$L252*'MIS Working 1'!$AE252+'MIS Working 1'!$AL252</f>
        <v>15288.8</v>
      </c>
    </row>
    <row r="253" spans="1:39" x14ac:dyDescent="0.3">
      <c r="A253" s="263" t="s">
        <v>479</v>
      </c>
      <c r="B253" s="264">
        <v>45974</v>
      </c>
      <c r="C253" s="265" t="s">
        <v>1790</v>
      </c>
      <c r="D253" s="265" t="s">
        <v>1179</v>
      </c>
      <c r="E253" s="265" t="s">
        <v>1180</v>
      </c>
      <c r="F253" s="265" t="s">
        <v>18</v>
      </c>
      <c r="G253" s="265" t="s">
        <v>19</v>
      </c>
      <c r="H253" s="265" t="s">
        <v>27</v>
      </c>
      <c r="I253" s="266">
        <v>370</v>
      </c>
      <c r="J253" s="267">
        <v>155910.6</v>
      </c>
      <c r="K253" s="266">
        <v>370</v>
      </c>
      <c r="L253" s="266">
        <v>370</v>
      </c>
      <c r="M253" s="264">
        <v>45974</v>
      </c>
      <c r="N253" s="267">
        <v>178769.2</v>
      </c>
      <c r="O253" s="265" t="s">
        <v>21</v>
      </c>
      <c r="P253" s="265" t="s">
        <v>22</v>
      </c>
      <c r="Q253" s="265" t="s">
        <v>660</v>
      </c>
      <c r="R253" s="265" t="str">
        <f>VLOOKUP('MIS Working 1'!$G253,Master!$H$3:$I$8,2,0)</f>
        <v>Finished Goods</v>
      </c>
      <c r="S253" s="265" t="str">
        <f>VLOOKUP('MIS Working 1'!$H253,Master!B:C,2,0)</f>
        <v>FG-PCB-CF</v>
      </c>
      <c r="T253" s="265" t="str">
        <f>VLOOKUP('MIS Working 1'!$S253,Master!E:F,2,0)</f>
        <v>FG-PCB-CF</v>
      </c>
      <c r="U253" s="268">
        <f>'MIS Working 1'!$N253-'MIS Working 1'!$AF253</f>
        <v>22762.400000000052</v>
      </c>
      <c r="V253" s="269">
        <f>'MIS Working 1'!$U253/'MIS Working 1'!$N253</f>
        <v>0.12732842122692303</v>
      </c>
      <c r="W253" s="265">
        <f>'MIS Working 1'!$N253/'MIS Working 1'!$L253</f>
        <v>483.16</v>
      </c>
      <c r="X253" s="270">
        <f>SUM('MIS Working 1'!$Y253:$AE253)</f>
        <v>447.47999999999985</v>
      </c>
      <c r="Y253" s="270">
        <f>SUMIFS('COGS Break up'!$E:$E,'COGS Break up'!$A:$A,'MIS Working 1'!$D253,'COGS Break up'!$D:$D,'MIS Working 1'!$Y$1)</f>
        <v>373.01999999999981</v>
      </c>
      <c r="Z253" s="270">
        <f>SUMIFS('COGS Break up'!$E:$E,'COGS Break up'!$A:$A,'MIS Working 1'!$D253,'COGS Break up'!$D:$D,'MIS Working 1'!$Z$1)</f>
        <v>22</v>
      </c>
      <c r="AA253" s="270">
        <f>SUMIFS('COGS Break up'!E:E,'COGS Break up'!A:A,'MIS Working 1'!$D:$D,'COGS Break up'!C:C,'MIS Working 1'!$AA$1)</f>
        <v>1.8</v>
      </c>
      <c r="AB253" s="270">
        <f>SUMIFS('COGS Break up'!E:E,'COGS Break up'!A:A,'MIS Working 1'!$D:$D,'COGS Break up'!C:C,$AB$1)</f>
        <v>15.99</v>
      </c>
      <c r="AC253" s="270">
        <f>SUMIFS('COGS Break up'!E:E,'COGS Break up'!A:A,'MIS Working 1'!$D:$D,'COGS Break up'!C:C,$AC$1)</f>
        <v>8.31</v>
      </c>
      <c r="AD253" s="270">
        <f>SUMIFS('COGS Break up'!$E:$E,'COGS Break up'!$A:$A,'MIS Working 1'!$D253,'COGS Break up'!$D:$D,'MIS Working 1'!$AD$1)</f>
        <v>0.26</v>
      </c>
      <c r="AE253" s="270">
        <f>SUMIFS('COGS Break up'!$E:$E,'COGS Break up'!$A:$A,'MIS Working 1'!$D253,'COGS Break up'!$D:$D,'MIS Working 1'!$AE$1)</f>
        <v>26.1</v>
      </c>
      <c r="AF253" s="271">
        <f>'MIS Working 1'!$AG253+'MIS Working 1'!$AH253+'MIS Working 1'!$AM253+'MIS Working 1'!$AL253</f>
        <v>156006.79999999996</v>
      </c>
      <c r="AG253" s="270">
        <f>'MIS Working 1'!$L253*'MIS Working 1'!$Y253</f>
        <v>138017.39999999994</v>
      </c>
      <c r="AH253" s="270">
        <f>'MIS Working 1'!$L253*'MIS Working 1'!$Z253</f>
        <v>8140</v>
      </c>
      <c r="AI253" s="270">
        <f t="shared" si="9"/>
        <v>666</v>
      </c>
      <c r="AJ253" s="270">
        <f t="shared" si="10"/>
        <v>5916.3</v>
      </c>
      <c r="AK253" s="270">
        <f t="shared" si="11"/>
        <v>3074.7000000000003</v>
      </c>
      <c r="AL253" s="270">
        <f>'MIS Working 1'!$AD253*'MIS Working 1'!$L253</f>
        <v>96.2</v>
      </c>
      <c r="AM253" s="270">
        <f>'MIS Working 1'!$L253*'MIS Working 1'!$AE253+'MIS Working 1'!$AL253</f>
        <v>9753.2000000000007</v>
      </c>
    </row>
    <row r="254" spans="1:39" x14ac:dyDescent="0.3">
      <c r="A254" s="272" t="s">
        <v>479</v>
      </c>
      <c r="B254" s="273">
        <v>45974</v>
      </c>
      <c r="C254" s="274" t="s">
        <v>1788</v>
      </c>
      <c r="D254" s="274" t="s">
        <v>378</v>
      </c>
      <c r="E254" s="274" t="s">
        <v>379</v>
      </c>
      <c r="F254" s="274" t="s">
        <v>18</v>
      </c>
      <c r="G254" s="274" t="s">
        <v>19</v>
      </c>
      <c r="H254" s="274" t="s">
        <v>27</v>
      </c>
      <c r="I254" s="275">
        <v>1031</v>
      </c>
      <c r="J254" s="276">
        <v>335281.2</v>
      </c>
      <c r="K254" s="275">
        <v>1031</v>
      </c>
      <c r="L254" s="275">
        <v>1031</v>
      </c>
      <c r="M254" s="273">
        <v>45974</v>
      </c>
      <c r="N254" s="276">
        <v>366025.62</v>
      </c>
      <c r="O254" s="274" t="s">
        <v>21</v>
      </c>
      <c r="P254" s="274" t="s">
        <v>22</v>
      </c>
      <c r="Q254" s="274" t="s">
        <v>660</v>
      </c>
      <c r="R254" s="274" t="str">
        <f>VLOOKUP('MIS Working 1'!$G254,Master!$H$3:$I$8,2,0)</f>
        <v>Finished Goods</v>
      </c>
      <c r="S254" s="274" t="str">
        <f>VLOOKUP('MIS Working 1'!$H254,Master!B:C,2,0)</f>
        <v>FG-PCB-CF</v>
      </c>
      <c r="T254" s="274" t="str">
        <f>VLOOKUP('MIS Working 1'!$S254,Master!E:F,2,0)</f>
        <v>FG-PCB-CF</v>
      </c>
      <c r="U254" s="277">
        <f>'MIS Working 1'!$N254-'MIS Working 1'!$AF254</f>
        <v>30476.360000000044</v>
      </c>
      <c r="V254" s="278">
        <f>'MIS Working 1'!$U254/'MIS Working 1'!$N254</f>
        <v>8.3262914765365459E-2</v>
      </c>
      <c r="W254" s="274">
        <f>'MIS Working 1'!$N254/'MIS Working 1'!$L254</f>
        <v>355.02</v>
      </c>
      <c r="X254" s="279">
        <f>SUM('MIS Working 1'!$Y254:$AE254)</f>
        <v>354.76999999999992</v>
      </c>
      <c r="Y254" s="279">
        <f>SUMIFS('COGS Break up'!$E:$E,'COGS Break up'!$A:$A,'MIS Working 1'!$D254,'COGS Break up'!$D:$D,'MIS Working 1'!$Y$1)</f>
        <v>271.52999999999997</v>
      </c>
      <c r="Z254" s="279">
        <f>SUMIFS('COGS Break up'!$E:$E,'COGS Break up'!$A:$A,'MIS Working 1'!$D254,'COGS Break up'!$D:$D,'MIS Working 1'!$Z$1)</f>
        <v>23.84</v>
      </c>
      <c r="AA254" s="279">
        <f>SUMIFS('COGS Break up'!E:E,'COGS Break up'!A:A,'MIS Working 1'!$D:$D,'COGS Break up'!C:C,'MIS Working 1'!$AA$1)</f>
        <v>1.9500000000000002</v>
      </c>
      <c r="AB254" s="279">
        <f>SUMIFS('COGS Break up'!E:E,'COGS Break up'!A:A,'MIS Working 1'!$D:$D,'COGS Break up'!C:C,$AB$1)</f>
        <v>17.329999999999998</v>
      </c>
      <c r="AC254" s="279">
        <f>SUMIFS('COGS Break up'!E:E,'COGS Break up'!A:A,'MIS Working 1'!$D:$D,'COGS Break up'!C:C,$AC$1)</f>
        <v>10.29</v>
      </c>
      <c r="AD254" s="279">
        <f>SUMIFS('COGS Break up'!$E:$E,'COGS Break up'!$A:$A,'MIS Working 1'!$D254,'COGS Break up'!$D:$D,'MIS Working 1'!$AD$1)</f>
        <v>0.26</v>
      </c>
      <c r="AE254" s="279">
        <f>SUMIFS('COGS Break up'!$E:$E,'COGS Break up'!$A:$A,'MIS Working 1'!$D254,'COGS Break up'!$D:$D,'MIS Working 1'!$AE$1)</f>
        <v>29.569999999999997</v>
      </c>
      <c r="AF254" s="280">
        <f>'MIS Working 1'!$AG254+'MIS Working 1'!$AH254+'MIS Working 1'!$AM254+'MIS Working 1'!$AL254</f>
        <v>335549.25999999995</v>
      </c>
      <c r="AG254" s="279">
        <f>'MIS Working 1'!$L254*'MIS Working 1'!$Y254</f>
        <v>279947.43</v>
      </c>
      <c r="AH254" s="279">
        <f>'MIS Working 1'!$L254*'MIS Working 1'!$Z254</f>
        <v>24579.040000000001</v>
      </c>
      <c r="AI254" s="279">
        <f t="shared" si="9"/>
        <v>2010.4500000000003</v>
      </c>
      <c r="AJ254" s="279">
        <f t="shared" si="10"/>
        <v>17867.23</v>
      </c>
      <c r="AK254" s="279">
        <f t="shared" si="11"/>
        <v>10608.99</v>
      </c>
      <c r="AL254" s="279">
        <f>'MIS Working 1'!$AD254*'MIS Working 1'!$L254</f>
        <v>268.06</v>
      </c>
      <c r="AM254" s="279">
        <f>'MIS Working 1'!$L254*'MIS Working 1'!$AE254+'MIS Working 1'!$AL254</f>
        <v>30754.73</v>
      </c>
    </row>
    <row r="255" spans="1:39" x14ac:dyDescent="0.3">
      <c r="A255" s="263" t="s">
        <v>479</v>
      </c>
      <c r="B255" s="264">
        <v>45974</v>
      </c>
      <c r="C255" s="265" t="s">
        <v>1789</v>
      </c>
      <c r="D255" s="265" t="s">
        <v>380</v>
      </c>
      <c r="E255" s="265" t="s">
        <v>381</v>
      </c>
      <c r="F255" s="265" t="s">
        <v>18</v>
      </c>
      <c r="G255" s="265" t="s">
        <v>19</v>
      </c>
      <c r="H255" s="265" t="s">
        <v>27</v>
      </c>
      <c r="I255" s="266">
        <v>1037</v>
      </c>
      <c r="J255" s="267">
        <v>224614.2</v>
      </c>
      <c r="K255" s="266">
        <v>1037</v>
      </c>
      <c r="L255" s="266">
        <v>1037</v>
      </c>
      <c r="M255" s="264">
        <v>45974</v>
      </c>
      <c r="N255" s="267">
        <v>230058.45</v>
      </c>
      <c r="O255" s="265" t="s">
        <v>21</v>
      </c>
      <c r="P255" s="265" t="s">
        <v>22</v>
      </c>
      <c r="Q255" s="265" t="s">
        <v>660</v>
      </c>
      <c r="R255" s="265" t="str">
        <f>VLOOKUP('MIS Working 1'!$G255,Master!$H$3:$I$8,2,0)</f>
        <v>Finished Goods</v>
      </c>
      <c r="S255" s="265" t="str">
        <f>VLOOKUP('MIS Working 1'!$H255,Master!B:C,2,0)</f>
        <v>FG-PCB-CF</v>
      </c>
      <c r="T255" s="265" t="str">
        <f>VLOOKUP('MIS Working 1'!$S255,Master!E:F,2,0)</f>
        <v>FG-PCB-CF</v>
      </c>
      <c r="U255" s="268">
        <f>'MIS Working 1'!$N255-'MIS Working 1'!$AF255</f>
        <v>5402.7700000000477</v>
      </c>
      <c r="V255" s="269">
        <f>'MIS Working 1'!$U255/'MIS Working 1'!$N255</f>
        <v>2.3484336263241135E-2</v>
      </c>
      <c r="W255" s="265">
        <f>'MIS Working 1'!$N255/'MIS Working 1'!$L255</f>
        <v>221.85000000000002</v>
      </c>
      <c r="X255" s="270">
        <f>SUM('MIS Working 1'!$Y255:$AE255)</f>
        <v>239.77999999999994</v>
      </c>
      <c r="Y255" s="270">
        <f>SUMIFS('COGS Break up'!$E:$E,'COGS Break up'!$A:$A,'MIS Working 1'!$D255,'COGS Break up'!$D:$D,'MIS Working 1'!$Y$1)</f>
        <v>174.98999999999995</v>
      </c>
      <c r="Z255" s="270">
        <f>SUMIFS('COGS Break up'!$E:$E,'COGS Break up'!$A:$A,'MIS Working 1'!$D255,'COGS Break up'!$D:$D,'MIS Working 1'!$Z$1)</f>
        <v>18.389999999999997</v>
      </c>
      <c r="AA255" s="270">
        <f>SUMIFS('COGS Break up'!E:E,'COGS Break up'!A:A,'MIS Working 1'!$D:$D,'COGS Break up'!C:C,'MIS Working 1'!$AA$1)</f>
        <v>1.5</v>
      </c>
      <c r="AB255" s="270">
        <f>SUMIFS('COGS Break up'!E:E,'COGS Break up'!A:A,'MIS Working 1'!$D:$D,'COGS Break up'!C:C,$AB$1)</f>
        <v>13.37</v>
      </c>
      <c r="AC255" s="270">
        <f>SUMIFS('COGS Break up'!E:E,'COGS Break up'!A:A,'MIS Working 1'!$D:$D,'COGS Break up'!C:C,$AC$1)</f>
        <v>8.31</v>
      </c>
      <c r="AD255" s="270">
        <f>SUMIFS('COGS Break up'!$E:$E,'COGS Break up'!$A:$A,'MIS Working 1'!$D255,'COGS Break up'!$D:$D,'MIS Working 1'!$AD$1)</f>
        <v>0.04</v>
      </c>
      <c r="AE255" s="270">
        <f>SUMIFS('COGS Break up'!$E:$E,'COGS Break up'!$A:$A,'MIS Working 1'!$D255,'COGS Break up'!$D:$D,'MIS Working 1'!$AE$1)</f>
        <v>23.18</v>
      </c>
      <c r="AF255" s="271">
        <f>'MIS Working 1'!$AG255+'MIS Working 1'!$AH255+'MIS Working 1'!$AM255+'MIS Working 1'!$AL255</f>
        <v>224655.67999999996</v>
      </c>
      <c r="AG255" s="270">
        <f>'MIS Working 1'!$L255*'MIS Working 1'!$Y255</f>
        <v>181464.62999999995</v>
      </c>
      <c r="AH255" s="270">
        <f>'MIS Working 1'!$L255*'MIS Working 1'!$Z255</f>
        <v>19070.429999999997</v>
      </c>
      <c r="AI255" s="270">
        <f t="shared" si="9"/>
        <v>1555.5</v>
      </c>
      <c r="AJ255" s="270">
        <f t="shared" si="10"/>
        <v>13864.689999999999</v>
      </c>
      <c r="AK255" s="270">
        <f t="shared" si="11"/>
        <v>8617.4700000000012</v>
      </c>
      <c r="AL255" s="270">
        <f>'MIS Working 1'!$AD255*'MIS Working 1'!$L255</f>
        <v>41.480000000000004</v>
      </c>
      <c r="AM255" s="270">
        <f>'MIS Working 1'!$L255*'MIS Working 1'!$AE255+'MIS Working 1'!$AL255</f>
        <v>24079.14</v>
      </c>
    </row>
    <row r="256" spans="1:39" x14ac:dyDescent="0.3">
      <c r="A256" s="272" t="s">
        <v>479</v>
      </c>
      <c r="B256" s="273">
        <v>45974</v>
      </c>
      <c r="C256" s="274" t="s">
        <v>1790</v>
      </c>
      <c r="D256" s="274" t="s">
        <v>1679</v>
      </c>
      <c r="E256" s="274" t="s">
        <v>1680</v>
      </c>
      <c r="F256" s="274" t="s">
        <v>18</v>
      </c>
      <c r="G256" s="274" t="s">
        <v>19</v>
      </c>
      <c r="H256" s="274" t="s">
        <v>27</v>
      </c>
      <c r="I256" s="275">
        <v>70</v>
      </c>
      <c r="J256" s="276">
        <v>13437.2</v>
      </c>
      <c r="K256" s="275">
        <v>70</v>
      </c>
      <c r="L256" s="275">
        <v>70</v>
      </c>
      <c r="M256" s="273">
        <v>45974</v>
      </c>
      <c r="N256" s="276">
        <v>34650</v>
      </c>
      <c r="O256" s="274" t="s">
        <v>21</v>
      </c>
      <c r="P256" s="274" t="s">
        <v>22</v>
      </c>
      <c r="Q256" s="274" t="s">
        <v>660</v>
      </c>
      <c r="R256" s="274" t="str">
        <f>VLOOKUP('MIS Working 1'!$G256,Master!$H$3:$I$8,2,0)</f>
        <v>Finished Goods</v>
      </c>
      <c r="S256" s="274" t="str">
        <f>VLOOKUP('MIS Working 1'!$H256,Master!B:C,2,0)</f>
        <v>FG-PCB-CF</v>
      </c>
      <c r="T256" s="274" t="str">
        <f>VLOOKUP('MIS Working 1'!$S256,Master!E:F,2,0)</f>
        <v>FG-PCB-CF</v>
      </c>
      <c r="U256" s="277">
        <f>'MIS Working 1'!$N256-'MIS Working 1'!$AF256</f>
        <v>21212.799999999999</v>
      </c>
      <c r="V256" s="278">
        <f>'MIS Working 1'!$U256/'MIS Working 1'!$N256</f>
        <v>0.61220202020202019</v>
      </c>
      <c r="W256" s="274">
        <f>'MIS Working 1'!$N256/'MIS Working 1'!$L256</f>
        <v>495</v>
      </c>
      <c r="X256" s="279">
        <f>SUM('MIS Working 1'!$Y256:$AE256)</f>
        <v>226.71</v>
      </c>
      <c r="Y256" s="279">
        <f>SUMIFS('COGS Break up'!$E:$E,'COGS Break up'!$A:$A,'MIS Working 1'!$D256,'COGS Break up'!$D:$D,'MIS Working 1'!$Y$1)</f>
        <v>127.95</v>
      </c>
      <c r="Z256" s="279">
        <f>SUMIFS('COGS Break up'!$E:$E,'COGS Break up'!$A:$A,'MIS Working 1'!$D256,'COGS Break up'!$D:$D,'MIS Working 1'!$Z$1)</f>
        <v>29.26</v>
      </c>
      <c r="AA256" s="279">
        <f>SUMIFS('COGS Break up'!E:E,'COGS Break up'!A:A,'MIS Working 1'!$D:$D,'COGS Break up'!C:C,'MIS Working 1'!$AA$1)</f>
        <v>3.14</v>
      </c>
      <c r="AB256" s="279">
        <f>SUMIFS('COGS Break up'!E:E,'COGS Break up'!A:A,'MIS Working 1'!$D:$D,'COGS Break up'!C:C,$AB$1)</f>
        <v>25.15</v>
      </c>
      <c r="AC256" s="279">
        <f>SUMIFS('COGS Break up'!E:E,'COGS Break up'!A:A,'MIS Working 1'!$D:$D,'COGS Break up'!C:C,$AC$1)</f>
        <v>6.46</v>
      </c>
      <c r="AD256" s="279">
        <f>SUMIFS('COGS Break up'!$E:$E,'COGS Break up'!$A:$A,'MIS Working 1'!$D256,'COGS Break up'!$D:$D,'MIS Working 1'!$AD$1)</f>
        <v>0</v>
      </c>
      <c r="AE256" s="279">
        <f>SUMIFS('COGS Break up'!$E:$E,'COGS Break up'!$A:$A,'MIS Working 1'!$D256,'COGS Break up'!$D:$D,'MIS Working 1'!$AE$1)</f>
        <v>34.75</v>
      </c>
      <c r="AF256" s="280">
        <f>'MIS Working 1'!$AG256+'MIS Working 1'!$AH256+'MIS Working 1'!$AM256+'MIS Working 1'!$AL256</f>
        <v>13437.2</v>
      </c>
      <c r="AG256" s="279">
        <f>'MIS Working 1'!$L256*'MIS Working 1'!$Y256</f>
        <v>8956.5</v>
      </c>
      <c r="AH256" s="279">
        <f>'MIS Working 1'!$L256*'MIS Working 1'!$Z256</f>
        <v>2048.2000000000003</v>
      </c>
      <c r="AI256" s="279">
        <f t="shared" si="9"/>
        <v>219.8</v>
      </c>
      <c r="AJ256" s="279">
        <f t="shared" si="10"/>
        <v>1760.5</v>
      </c>
      <c r="AK256" s="279">
        <f t="shared" si="11"/>
        <v>452.2</v>
      </c>
      <c r="AL256" s="279">
        <f>'MIS Working 1'!$AD256*'MIS Working 1'!$L256</f>
        <v>0</v>
      </c>
      <c r="AM256" s="279">
        <f>'MIS Working 1'!$L256*'MIS Working 1'!$AE256+'MIS Working 1'!$AL256</f>
        <v>2432.5</v>
      </c>
    </row>
    <row r="257" spans="1:39" x14ac:dyDescent="0.3">
      <c r="A257" s="263" t="s">
        <v>1374</v>
      </c>
      <c r="B257" s="264">
        <v>45974</v>
      </c>
      <c r="C257" s="265" t="s">
        <v>1791</v>
      </c>
      <c r="D257" s="265" t="s">
        <v>1670</v>
      </c>
      <c r="E257" s="265" t="s">
        <v>1671</v>
      </c>
      <c r="F257" s="265" t="s">
        <v>18</v>
      </c>
      <c r="G257" s="265" t="s">
        <v>48</v>
      </c>
      <c r="H257" s="265" t="s">
        <v>207</v>
      </c>
      <c r="I257" s="266">
        <v>9000</v>
      </c>
      <c r="J257" s="267">
        <v>26963.08</v>
      </c>
      <c r="K257" s="266">
        <v>9000</v>
      </c>
      <c r="L257" s="266">
        <v>9000</v>
      </c>
      <c r="M257" s="264">
        <v>45974</v>
      </c>
      <c r="N257" s="267">
        <v>27360</v>
      </c>
      <c r="O257" s="265" t="s">
        <v>21</v>
      </c>
      <c r="P257" s="265" t="s">
        <v>22</v>
      </c>
      <c r="Q257" s="265" t="s">
        <v>660</v>
      </c>
      <c r="R257" s="265" t="str">
        <f>VLOOKUP('MIS Working 1'!$G257,Master!$H$3:$I$8,2,0)</f>
        <v>Raw Material</v>
      </c>
      <c r="S257" s="265" t="str">
        <f>VLOOKUP('MIS Working 1'!$H257,Master!B:C,2,0)</f>
        <v>RM-Mech. Accessories</v>
      </c>
      <c r="T257" s="265" t="str">
        <f>VLOOKUP('MIS Working 1'!$S257,Master!E:F,2,0)</f>
        <v>Raw Material</v>
      </c>
      <c r="U257" s="268">
        <f>'MIS Working 1'!$N257-'MIS Working 1'!$AF257</f>
        <v>27360</v>
      </c>
      <c r="V257" s="269">
        <f>'MIS Working 1'!$U257/'MIS Working 1'!$N257</f>
        <v>1</v>
      </c>
      <c r="W257" s="265">
        <f>'MIS Working 1'!$N257/'MIS Working 1'!$L257</f>
        <v>3.04</v>
      </c>
      <c r="X257" s="270">
        <f>SUM('MIS Working 1'!$Y257:$AE257)</f>
        <v>0</v>
      </c>
      <c r="Y257" s="270">
        <f>SUMIFS('COGS Break up'!$E:$E,'COGS Break up'!$A:$A,'MIS Working 1'!$D257,'COGS Break up'!$D:$D,'MIS Working 1'!$Y$1)</f>
        <v>0</v>
      </c>
      <c r="Z257" s="270">
        <f>SUMIFS('COGS Break up'!$E:$E,'COGS Break up'!$A:$A,'MIS Working 1'!$D257,'COGS Break up'!$D:$D,'MIS Working 1'!$Z$1)</f>
        <v>0</v>
      </c>
      <c r="AA257" s="270">
        <f>SUMIFS('COGS Break up'!E:E,'COGS Break up'!A:A,'MIS Working 1'!$D:$D,'COGS Break up'!C:C,'MIS Working 1'!$AA$1)</f>
        <v>0</v>
      </c>
      <c r="AB257" s="270">
        <f>SUMIFS('COGS Break up'!E:E,'COGS Break up'!A:A,'MIS Working 1'!$D:$D,'COGS Break up'!C:C,$AB$1)</f>
        <v>0</v>
      </c>
      <c r="AC257" s="270">
        <f>SUMIFS('COGS Break up'!E:E,'COGS Break up'!A:A,'MIS Working 1'!$D:$D,'COGS Break up'!C:C,$AC$1)</f>
        <v>0</v>
      </c>
      <c r="AD257" s="270">
        <f>SUMIFS('COGS Break up'!$E:$E,'COGS Break up'!$A:$A,'MIS Working 1'!$D257,'COGS Break up'!$D:$D,'MIS Working 1'!$AD$1)</f>
        <v>0</v>
      </c>
      <c r="AE257" s="270">
        <f>SUMIFS('COGS Break up'!$E:$E,'COGS Break up'!$A:$A,'MIS Working 1'!$D257,'COGS Break up'!$D:$D,'MIS Working 1'!$AE$1)</f>
        <v>0</v>
      </c>
      <c r="AF257" s="271">
        <f>'MIS Working 1'!$AG257+'MIS Working 1'!$AH257+'MIS Working 1'!$AM257+'MIS Working 1'!$AL257</f>
        <v>0</v>
      </c>
      <c r="AG257" s="270">
        <f>'MIS Working 1'!$L257*'MIS Working 1'!$Y257</f>
        <v>0</v>
      </c>
      <c r="AH257" s="270">
        <f>'MIS Working 1'!$L257*'MIS Working 1'!$Z257</f>
        <v>0</v>
      </c>
      <c r="AI257" s="270">
        <f t="shared" si="9"/>
        <v>0</v>
      </c>
      <c r="AJ257" s="270">
        <f t="shared" si="10"/>
        <v>0</v>
      </c>
      <c r="AK257" s="270">
        <f t="shared" si="11"/>
        <v>0</v>
      </c>
      <c r="AL257" s="270">
        <f>'MIS Working 1'!$AD257*'MIS Working 1'!$L257</f>
        <v>0</v>
      </c>
      <c r="AM257" s="270">
        <f>'MIS Working 1'!$L257*'MIS Working 1'!$AE257+'MIS Working 1'!$AL257</f>
        <v>0</v>
      </c>
    </row>
    <row r="258" spans="1:39" x14ac:dyDescent="0.3">
      <c r="A258" s="272" t="s">
        <v>1291</v>
      </c>
      <c r="B258" s="273">
        <v>45973</v>
      </c>
      <c r="C258" s="274" t="s">
        <v>1792</v>
      </c>
      <c r="D258" s="274" t="s">
        <v>36</v>
      </c>
      <c r="E258" s="274" t="s">
        <v>37</v>
      </c>
      <c r="F258" s="274" t="s">
        <v>18</v>
      </c>
      <c r="G258" s="274" t="s">
        <v>19</v>
      </c>
      <c r="H258" s="274" t="s">
        <v>20</v>
      </c>
      <c r="I258" s="275">
        <v>4000</v>
      </c>
      <c r="J258" s="276">
        <v>1845480</v>
      </c>
      <c r="K258" s="275">
        <v>4000</v>
      </c>
      <c r="L258" s="275">
        <v>4000</v>
      </c>
      <c r="M258" s="273">
        <v>45973</v>
      </c>
      <c r="N258" s="276">
        <v>2637240</v>
      </c>
      <c r="O258" s="274" t="s">
        <v>21</v>
      </c>
      <c r="P258" s="274" t="s">
        <v>22</v>
      </c>
      <c r="Q258" s="274" t="s">
        <v>660</v>
      </c>
      <c r="R258" s="274" t="str">
        <f>VLOOKUP('MIS Working 1'!$G258,Master!$H$3:$I$8,2,0)</f>
        <v>Finished Goods</v>
      </c>
      <c r="S258" s="274" t="str">
        <f>VLOOKUP('MIS Working 1'!$H258,Master!B:C,2,0)</f>
        <v>FG-PCB-Ref</v>
      </c>
      <c r="T258" s="274" t="str">
        <f>VLOOKUP('MIS Working 1'!$S258,Master!E:F,2,0)</f>
        <v>FG-PCB-Ref</v>
      </c>
      <c r="U258" s="277">
        <f>'MIS Working 1'!$N258-'MIS Working 1'!$AF258</f>
        <v>790799.99999999977</v>
      </c>
      <c r="V258" s="278">
        <f>'MIS Working 1'!$U258/'MIS Working 1'!$N258</f>
        <v>0.29985894344086989</v>
      </c>
      <c r="W258" s="274">
        <f>'MIS Working 1'!$N258/'MIS Working 1'!$L258</f>
        <v>659.31</v>
      </c>
      <c r="X258" s="279">
        <f>SUM('MIS Working 1'!$Y258:$AE258)</f>
        <v>492.59000000000003</v>
      </c>
      <c r="Y258" s="279">
        <f>SUMIFS('COGS Break up'!$E:$E,'COGS Break up'!$A:$A,'MIS Working 1'!$D258,'COGS Break up'!$D:$D,'MIS Working 1'!$Y$1)</f>
        <v>401.59000000000003</v>
      </c>
      <c r="Z258" s="279">
        <f>SUMIFS('COGS Break up'!$E:$E,'COGS Break up'!$A:$A,'MIS Working 1'!$D258,'COGS Break up'!$D:$D,'MIS Working 1'!$Z$1)</f>
        <v>28.32</v>
      </c>
      <c r="AA258" s="279">
        <f>SUMIFS('COGS Break up'!E:E,'COGS Break up'!A:A,'MIS Working 1'!$D:$D,'COGS Break up'!C:C,'MIS Working 1'!$AA$1)</f>
        <v>2.3199999999999998</v>
      </c>
      <c r="AB258" s="279">
        <f>SUMIFS('COGS Break up'!E:E,'COGS Break up'!A:A,'MIS Working 1'!$D:$D,'COGS Break up'!C:C,$AB$1)</f>
        <v>20.59</v>
      </c>
      <c r="AC258" s="279">
        <f>SUMIFS('COGS Break up'!E:E,'COGS Break up'!A:A,'MIS Working 1'!$D:$D,'COGS Break up'!C:C,$AC$1)</f>
        <v>8.31</v>
      </c>
      <c r="AD258" s="279">
        <f>SUMIFS('COGS Break up'!$E:$E,'COGS Break up'!$A:$A,'MIS Working 1'!$D258,'COGS Break up'!$D:$D,'MIS Working 1'!$AD$1)</f>
        <v>0.24</v>
      </c>
      <c r="AE258" s="279">
        <f>SUMIFS('COGS Break up'!$E:$E,'COGS Break up'!$A:$A,'MIS Working 1'!$D258,'COGS Break up'!$D:$D,'MIS Working 1'!$AE$1)</f>
        <v>31.22</v>
      </c>
      <c r="AF258" s="280">
        <f>'MIS Working 1'!$AG258+'MIS Working 1'!$AH258+'MIS Working 1'!$AM258+'MIS Working 1'!$AL258</f>
        <v>1846440.0000000002</v>
      </c>
      <c r="AG258" s="279">
        <f>'MIS Working 1'!$L258*'MIS Working 1'!$Y258</f>
        <v>1606360.0000000002</v>
      </c>
      <c r="AH258" s="279">
        <f>'MIS Working 1'!$L258*'MIS Working 1'!$Z258</f>
        <v>113280</v>
      </c>
      <c r="AI258" s="279">
        <f t="shared" ref="AI258:AI321" si="12">AA258*$L258</f>
        <v>9280</v>
      </c>
      <c r="AJ258" s="279">
        <f t="shared" ref="AJ258:AJ321" si="13">AB258*$L258</f>
        <v>82360</v>
      </c>
      <c r="AK258" s="279">
        <f t="shared" ref="AK258:AK321" si="14">AC258*$L258</f>
        <v>33240</v>
      </c>
      <c r="AL258" s="279">
        <f>'MIS Working 1'!$AD258*'MIS Working 1'!$L258</f>
        <v>960</v>
      </c>
      <c r="AM258" s="279">
        <f>'MIS Working 1'!$L258*'MIS Working 1'!$AE258+'MIS Working 1'!$AL258</f>
        <v>125840</v>
      </c>
    </row>
    <row r="259" spans="1:39" x14ac:dyDescent="0.3">
      <c r="A259" s="263" t="s">
        <v>479</v>
      </c>
      <c r="B259" s="264">
        <v>45973</v>
      </c>
      <c r="C259" s="265" t="s">
        <v>1793</v>
      </c>
      <c r="D259" s="265" t="s">
        <v>40</v>
      </c>
      <c r="E259" s="265" t="s">
        <v>41</v>
      </c>
      <c r="F259" s="265" t="s">
        <v>18</v>
      </c>
      <c r="G259" s="265" t="s">
        <v>34</v>
      </c>
      <c r="H259" s="265" t="s">
        <v>772</v>
      </c>
      <c r="I259" s="266">
        <v>4368</v>
      </c>
      <c r="J259" s="267">
        <v>645022.56000000006</v>
      </c>
      <c r="K259" s="266">
        <v>4368</v>
      </c>
      <c r="L259" s="266">
        <v>4368</v>
      </c>
      <c r="M259" s="264">
        <v>45973</v>
      </c>
      <c r="N259" s="267">
        <v>711721.92</v>
      </c>
      <c r="O259" s="265" t="s">
        <v>21</v>
      </c>
      <c r="P259" s="265" t="s">
        <v>22</v>
      </c>
      <c r="Q259" s="265" t="s">
        <v>660</v>
      </c>
      <c r="R259" s="265" t="str">
        <f>VLOOKUP('MIS Working 1'!$G259,Master!$H$3:$I$8,2,0)</f>
        <v>Semi-Finished Goods</v>
      </c>
      <c r="S259" s="265" t="str">
        <f>VLOOKUP('MIS Working 1'!$H259,Master!B:C,2,0)</f>
        <v>SFG-GV5 Stator</v>
      </c>
      <c r="T259" s="265" t="str">
        <f>VLOOKUP('MIS Working 1'!$S259,Master!E:F,2,0)</f>
        <v>Sub Ass.-Mech Stator</v>
      </c>
      <c r="U259" s="268">
        <f>'MIS Working 1'!$N259-'MIS Working 1'!$AF259</f>
        <v>66699.360000000219</v>
      </c>
      <c r="V259" s="269">
        <f>'MIS Working 1'!$U259/'MIS Working 1'!$N259</f>
        <v>9.3715478090094811E-2</v>
      </c>
      <c r="W259" s="265">
        <f>'MIS Working 1'!$N259/'MIS Working 1'!$L259</f>
        <v>162.94</v>
      </c>
      <c r="X259" s="270">
        <f>SUM('MIS Working 1'!$Y259:$AE259)</f>
        <v>149.61999999999998</v>
      </c>
      <c r="Y259" s="270">
        <f>SUMIFS('COGS Break up'!$E:$E,'COGS Break up'!$A:$A,'MIS Working 1'!$D259,'COGS Break up'!$D:$D,'MIS Working 1'!$Y$1)</f>
        <v>144.21999999999997</v>
      </c>
      <c r="Z259" s="270">
        <f>SUMIFS('COGS Break up'!$E:$E,'COGS Break up'!$A:$A,'MIS Working 1'!$D259,'COGS Break up'!$D:$D,'MIS Working 1'!$Z$1)</f>
        <v>1.5</v>
      </c>
      <c r="AA259" s="270">
        <f>SUMIFS('COGS Break up'!E:E,'COGS Break up'!A:A,'MIS Working 1'!$D:$D,'COGS Break up'!C:C,'MIS Working 1'!$AA$1)</f>
        <v>0.05</v>
      </c>
      <c r="AB259" s="270">
        <f>SUMIFS('COGS Break up'!E:E,'COGS Break up'!A:A,'MIS Working 1'!$D:$D,'COGS Break up'!C:C,$AB$1)</f>
        <v>0.4</v>
      </c>
      <c r="AC259" s="270">
        <f>SUMIFS('COGS Break up'!E:E,'COGS Break up'!A:A,'MIS Working 1'!$D:$D,'COGS Break up'!C:C,$AC$1)</f>
        <v>1.5</v>
      </c>
      <c r="AD259" s="270">
        <f>SUMIFS('COGS Break up'!$E:$E,'COGS Break up'!$A:$A,'MIS Working 1'!$D259,'COGS Break up'!$D:$D,'MIS Working 1'!$AD$1)</f>
        <v>0</v>
      </c>
      <c r="AE259" s="270">
        <f>SUMIFS('COGS Break up'!$E:$E,'COGS Break up'!$A:$A,'MIS Working 1'!$D259,'COGS Break up'!$D:$D,'MIS Working 1'!$AE$1)</f>
        <v>1.95</v>
      </c>
      <c r="AF259" s="271">
        <f>'MIS Working 1'!$AG259+'MIS Working 1'!$AH259+'MIS Working 1'!$AM259+'MIS Working 1'!$AL259</f>
        <v>645022.55999999982</v>
      </c>
      <c r="AG259" s="270">
        <f>'MIS Working 1'!$L259*'MIS Working 1'!$Y259</f>
        <v>629952.95999999985</v>
      </c>
      <c r="AH259" s="270">
        <f>'MIS Working 1'!$L259*'MIS Working 1'!$Z259</f>
        <v>6552</v>
      </c>
      <c r="AI259" s="270">
        <f t="shared" si="12"/>
        <v>218.4</v>
      </c>
      <c r="AJ259" s="270">
        <f t="shared" si="13"/>
        <v>1747.2</v>
      </c>
      <c r="AK259" s="270">
        <f t="shared" si="14"/>
        <v>6552</v>
      </c>
      <c r="AL259" s="270">
        <f>'MIS Working 1'!$AD259*'MIS Working 1'!$L259</f>
        <v>0</v>
      </c>
      <c r="AM259" s="270">
        <f>'MIS Working 1'!$L259*'MIS Working 1'!$AE259+'MIS Working 1'!$AL259</f>
        <v>8517.6</v>
      </c>
    </row>
    <row r="260" spans="1:39" x14ac:dyDescent="0.3">
      <c r="A260" s="272" t="s">
        <v>479</v>
      </c>
      <c r="B260" s="273">
        <v>45973</v>
      </c>
      <c r="C260" s="274" t="s">
        <v>1794</v>
      </c>
      <c r="D260" s="274" t="s">
        <v>595</v>
      </c>
      <c r="E260" s="274" t="s">
        <v>596</v>
      </c>
      <c r="F260" s="274" t="s">
        <v>18</v>
      </c>
      <c r="G260" s="274" t="s">
        <v>34</v>
      </c>
      <c r="H260" s="274" t="s">
        <v>772</v>
      </c>
      <c r="I260" s="275">
        <v>1008</v>
      </c>
      <c r="J260" s="276">
        <v>126131.04</v>
      </c>
      <c r="K260" s="275">
        <v>1008</v>
      </c>
      <c r="L260" s="275">
        <v>1008</v>
      </c>
      <c r="M260" s="273">
        <v>45973</v>
      </c>
      <c r="N260" s="276">
        <v>133449.12</v>
      </c>
      <c r="O260" s="274" t="s">
        <v>21</v>
      </c>
      <c r="P260" s="274" t="s">
        <v>22</v>
      </c>
      <c r="Q260" s="274" t="s">
        <v>660</v>
      </c>
      <c r="R260" s="274" t="str">
        <f>VLOOKUP('MIS Working 1'!$G260,Master!$H$3:$I$8,2,0)</f>
        <v>Semi-Finished Goods</v>
      </c>
      <c r="S260" s="274" t="str">
        <f>VLOOKUP('MIS Working 1'!$H260,Master!B:C,2,0)</f>
        <v>SFG-GV5 Stator</v>
      </c>
      <c r="T260" s="274" t="str">
        <f>VLOOKUP('MIS Working 1'!$S260,Master!E:F,2,0)</f>
        <v>Sub Ass.-Mech Stator</v>
      </c>
      <c r="U260" s="277">
        <f>'MIS Working 1'!$N260-'MIS Working 1'!$AF260</f>
        <v>7318.0800000000017</v>
      </c>
      <c r="V260" s="278">
        <f>'MIS Working 1'!$U260/'MIS Working 1'!$N260</f>
        <v>5.4837978699297546E-2</v>
      </c>
      <c r="W260" s="274">
        <f>'MIS Working 1'!$N260/'MIS Working 1'!$L260</f>
        <v>132.38999999999999</v>
      </c>
      <c r="X260" s="279">
        <f>SUM('MIS Working 1'!$Y260:$AE260)</f>
        <v>127.08</v>
      </c>
      <c r="Y260" s="279">
        <f>SUMIFS('COGS Break up'!$E:$E,'COGS Break up'!$A:$A,'MIS Working 1'!$D260,'COGS Break up'!$D:$D,'MIS Working 1'!$Y$1)</f>
        <v>121.67999999999999</v>
      </c>
      <c r="Z260" s="279">
        <f>SUMIFS('COGS Break up'!$E:$E,'COGS Break up'!$A:$A,'MIS Working 1'!$D260,'COGS Break up'!$D:$D,'MIS Working 1'!$Z$1)</f>
        <v>1.5</v>
      </c>
      <c r="AA260" s="279">
        <f>SUMIFS('COGS Break up'!E:E,'COGS Break up'!A:A,'MIS Working 1'!$D:$D,'COGS Break up'!C:C,'MIS Working 1'!$AA$1)</f>
        <v>0.05</v>
      </c>
      <c r="AB260" s="279">
        <f>SUMIFS('COGS Break up'!E:E,'COGS Break up'!A:A,'MIS Working 1'!$D:$D,'COGS Break up'!C:C,$AB$1)</f>
        <v>0.4</v>
      </c>
      <c r="AC260" s="279">
        <f>SUMIFS('COGS Break up'!E:E,'COGS Break up'!A:A,'MIS Working 1'!$D:$D,'COGS Break up'!C:C,$AC$1)</f>
        <v>1.5</v>
      </c>
      <c r="AD260" s="279">
        <f>SUMIFS('COGS Break up'!$E:$E,'COGS Break up'!$A:$A,'MIS Working 1'!$D260,'COGS Break up'!$D:$D,'MIS Working 1'!$AD$1)</f>
        <v>0</v>
      </c>
      <c r="AE260" s="279">
        <f>SUMIFS('COGS Break up'!$E:$E,'COGS Break up'!$A:$A,'MIS Working 1'!$D260,'COGS Break up'!$D:$D,'MIS Working 1'!$AE$1)</f>
        <v>1.95</v>
      </c>
      <c r="AF260" s="280">
        <f>'MIS Working 1'!$AG260+'MIS Working 1'!$AH260+'MIS Working 1'!$AM260+'MIS Working 1'!$AL260</f>
        <v>126131.04</v>
      </c>
      <c r="AG260" s="279">
        <f>'MIS Working 1'!$L260*'MIS Working 1'!$Y260</f>
        <v>122653.43999999999</v>
      </c>
      <c r="AH260" s="279">
        <f>'MIS Working 1'!$L260*'MIS Working 1'!$Z260</f>
        <v>1512</v>
      </c>
      <c r="AI260" s="279">
        <f t="shared" si="12"/>
        <v>50.400000000000006</v>
      </c>
      <c r="AJ260" s="279">
        <f t="shared" si="13"/>
        <v>403.20000000000005</v>
      </c>
      <c r="AK260" s="279">
        <f t="shared" si="14"/>
        <v>1512</v>
      </c>
      <c r="AL260" s="279">
        <f>'MIS Working 1'!$AD260*'MIS Working 1'!$L260</f>
        <v>0</v>
      </c>
      <c r="AM260" s="279">
        <f>'MIS Working 1'!$L260*'MIS Working 1'!$AE260+'MIS Working 1'!$AL260</f>
        <v>1965.6</v>
      </c>
    </row>
    <row r="261" spans="1:39" x14ac:dyDescent="0.3">
      <c r="A261" s="263" t="s">
        <v>479</v>
      </c>
      <c r="B261" s="264">
        <v>45973</v>
      </c>
      <c r="C261" s="265" t="s">
        <v>1795</v>
      </c>
      <c r="D261" s="265" t="s">
        <v>378</v>
      </c>
      <c r="E261" s="265" t="s">
        <v>379</v>
      </c>
      <c r="F261" s="265" t="s">
        <v>18</v>
      </c>
      <c r="G261" s="265" t="s">
        <v>19</v>
      </c>
      <c r="H261" s="265" t="s">
        <v>27</v>
      </c>
      <c r="I261" s="266">
        <v>1035</v>
      </c>
      <c r="J261" s="267">
        <v>336582</v>
      </c>
      <c r="K261" s="266">
        <v>1035</v>
      </c>
      <c r="L261" s="266">
        <v>1035</v>
      </c>
      <c r="M261" s="264">
        <v>45973</v>
      </c>
      <c r="N261" s="267">
        <v>376284.6</v>
      </c>
      <c r="O261" s="265" t="s">
        <v>21</v>
      </c>
      <c r="P261" s="265" t="s">
        <v>22</v>
      </c>
      <c r="Q261" s="265" t="s">
        <v>660</v>
      </c>
      <c r="R261" s="265" t="str">
        <f>VLOOKUP('MIS Working 1'!$G261,Master!$H$3:$I$8,2,0)</f>
        <v>Finished Goods</v>
      </c>
      <c r="S261" s="265" t="str">
        <f>VLOOKUP('MIS Working 1'!$H261,Master!B:C,2,0)</f>
        <v>FG-PCB-CF</v>
      </c>
      <c r="T261" s="265" t="str">
        <f>VLOOKUP('MIS Working 1'!$S261,Master!E:F,2,0)</f>
        <v>FG-PCB-CF</v>
      </c>
      <c r="U261" s="268">
        <f>'MIS Working 1'!$N261-'MIS Working 1'!$AF261</f>
        <v>39433.5</v>
      </c>
      <c r="V261" s="269">
        <f>'MIS Working 1'!$U261/'MIS Working 1'!$N261</f>
        <v>0.10479700737154803</v>
      </c>
      <c r="W261" s="265">
        <f>'MIS Working 1'!$N261/'MIS Working 1'!$L261</f>
        <v>363.56</v>
      </c>
      <c r="X261" s="270">
        <f>SUM('MIS Working 1'!$Y261:$AE261)</f>
        <v>354.76999999999992</v>
      </c>
      <c r="Y261" s="270">
        <f>SUMIFS('COGS Break up'!$E:$E,'COGS Break up'!$A:$A,'MIS Working 1'!$D261,'COGS Break up'!$D:$D,'MIS Working 1'!$Y$1)</f>
        <v>271.52999999999997</v>
      </c>
      <c r="Z261" s="270">
        <f>SUMIFS('COGS Break up'!$E:$E,'COGS Break up'!$A:$A,'MIS Working 1'!$D261,'COGS Break up'!$D:$D,'MIS Working 1'!$Z$1)</f>
        <v>23.84</v>
      </c>
      <c r="AA261" s="270">
        <f>SUMIFS('COGS Break up'!E:E,'COGS Break up'!A:A,'MIS Working 1'!$D:$D,'COGS Break up'!C:C,'MIS Working 1'!$AA$1)</f>
        <v>1.9500000000000002</v>
      </c>
      <c r="AB261" s="270">
        <f>SUMIFS('COGS Break up'!E:E,'COGS Break up'!A:A,'MIS Working 1'!$D:$D,'COGS Break up'!C:C,$AB$1)</f>
        <v>17.329999999999998</v>
      </c>
      <c r="AC261" s="270">
        <f>SUMIFS('COGS Break up'!E:E,'COGS Break up'!A:A,'MIS Working 1'!$D:$D,'COGS Break up'!C:C,$AC$1)</f>
        <v>10.29</v>
      </c>
      <c r="AD261" s="270">
        <f>SUMIFS('COGS Break up'!$E:$E,'COGS Break up'!$A:$A,'MIS Working 1'!$D261,'COGS Break up'!$D:$D,'MIS Working 1'!$AD$1)</f>
        <v>0.26</v>
      </c>
      <c r="AE261" s="270">
        <f>SUMIFS('COGS Break up'!$E:$E,'COGS Break up'!$A:$A,'MIS Working 1'!$D261,'COGS Break up'!$D:$D,'MIS Working 1'!$AE$1)</f>
        <v>29.569999999999997</v>
      </c>
      <c r="AF261" s="271">
        <f>'MIS Working 1'!$AG261+'MIS Working 1'!$AH261+'MIS Working 1'!$AM261+'MIS Working 1'!$AL261</f>
        <v>336851.1</v>
      </c>
      <c r="AG261" s="270">
        <f>'MIS Working 1'!$L261*'MIS Working 1'!$Y261</f>
        <v>281033.55</v>
      </c>
      <c r="AH261" s="270">
        <f>'MIS Working 1'!$L261*'MIS Working 1'!$Z261</f>
        <v>24674.400000000001</v>
      </c>
      <c r="AI261" s="270">
        <f t="shared" si="12"/>
        <v>2018.2500000000002</v>
      </c>
      <c r="AJ261" s="270">
        <f t="shared" si="13"/>
        <v>17936.55</v>
      </c>
      <c r="AK261" s="270">
        <f t="shared" si="14"/>
        <v>10650.15</v>
      </c>
      <c r="AL261" s="270">
        <f>'MIS Working 1'!$AD261*'MIS Working 1'!$L261</f>
        <v>269.10000000000002</v>
      </c>
      <c r="AM261" s="270">
        <f>'MIS Working 1'!$L261*'MIS Working 1'!$AE261+'MIS Working 1'!$AL261</f>
        <v>30874.049999999996</v>
      </c>
    </row>
    <row r="262" spans="1:39" x14ac:dyDescent="0.3">
      <c r="A262" s="272" t="s">
        <v>479</v>
      </c>
      <c r="B262" s="273">
        <v>45973</v>
      </c>
      <c r="C262" s="274" t="s">
        <v>1796</v>
      </c>
      <c r="D262" s="274" t="s">
        <v>1530</v>
      </c>
      <c r="E262" s="274" t="s">
        <v>1531</v>
      </c>
      <c r="F262" s="274" t="s">
        <v>18</v>
      </c>
      <c r="G262" s="274" t="s">
        <v>34</v>
      </c>
      <c r="H262" s="274" t="s">
        <v>772</v>
      </c>
      <c r="I262" s="275">
        <v>32</v>
      </c>
      <c r="J262" s="276">
        <v>3104.96</v>
      </c>
      <c r="K262" s="275">
        <v>32</v>
      </c>
      <c r="L262" s="275">
        <v>32</v>
      </c>
      <c r="M262" s="273">
        <v>45973</v>
      </c>
      <c r="N262" s="276">
        <v>4075.84</v>
      </c>
      <c r="O262" s="274" t="s">
        <v>21</v>
      </c>
      <c r="P262" s="274" t="s">
        <v>22</v>
      </c>
      <c r="Q262" s="274" t="s">
        <v>660</v>
      </c>
      <c r="R262" s="274" t="str">
        <f>VLOOKUP('MIS Working 1'!$G262,Master!$H$3:$I$8,2,0)</f>
        <v>Semi-Finished Goods</v>
      </c>
      <c r="S262" s="274" t="str">
        <f>VLOOKUP('MIS Working 1'!$H262,Master!B:C,2,0)</f>
        <v>SFG-GV5 Stator</v>
      </c>
      <c r="T262" s="274" t="str">
        <f>VLOOKUP('MIS Working 1'!$S262,Master!E:F,2,0)</f>
        <v>Sub Ass.-Mech Stator</v>
      </c>
      <c r="U262" s="277">
        <f>'MIS Working 1'!$N262-'MIS Working 1'!$AF262</f>
        <v>970.88000000000011</v>
      </c>
      <c r="V262" s="278">
        <f>'MIS Working 1'!$U262/'MIS Working 1'!$N262</f>
        <v>0.23820365863233103</v>
      </c>
      <c r="W262" s="274">
        <f>'MIS Working 1'!$N262/'MIS Working 1'!$L262</f>
        <v>127.37</v>
      </c>
      <c r="X262" s="279">
        <f>SUM('MIS Working 1'!$Y262:$AE262)</f>
        <v>98.940000000000012</v>
      </c>
      <c r="Y262" s="279">
        <f>SUMIFS('COGS Break up'!$E:$E,'COGS Break up'!$A:$A,'MIS Working 1'!$D262,'COGS Break up'!$D:$D,'MIS Working 1'!$Y$1)</f>
        <v>93.490000000000009</v>
      </c>
      <c r="Z262" s="279">
        <f>SUMIFS('COGS Break up'!$E:$E,'COGS Break up'!$A:$A,'MIS Working 1'!$D262,'COGS Break up'!$D:$D,'MIS Working 1'!$Z$1)</f>
        <v>1.63</v>
      </c>
      <c r="AA262" s="279">
        <f>SUMIFS('COGS Break up'!E:E,'COGS Break up'!A:A,'MIS Working 1'!$D:$D,'COGS Break up'!C:C,'MIS Working 1'!$AA$1)</f>
        <v>0.04</v>
      </c>
      <c r="AB262" s="279">
        <f>SUMIFS('COGS Break up'!E:E,'COGS Break up'!A:A,'MIS Working 1'!$D:$D,'COGS Break up'!C:C,$AB$1)</f>
        <v>0.37</v>
      </c>
      <c r="AC262" s="279">
        <f>SUMIFS('COGS Break up'!E:E,'COGS Break up'!A:A,'MIS Working 1'!$D:$D,'COGS Break up'!C:C,$AC$1)</f>
        <v>1.5</v>
      </c>
      <c r="AD262" s="279">
        <f>SUMIFS('COGS Break up'!$E:$E,'COGS Break up'!$A:$A,'MIS Working 1'!$D262,'COGS Break up'!$D:$D,'MIS Working 1'!$AD$1)</f>
        <v>0</v>
      </c>
      <c r="AE262" s="279">
        <f>SUMIFS('COGS Break up'!$E:$E,'COGS Break up'!$A:$A,'MIS Working 1'!$D262,'COGS Break up'!$D:$D,'MIS Working 1'!$AE$1)</f>
        <v>1.9100000000000001</v>
      </c>
      <c r="AF262" s="280">
        <f>'MIS Working 1'!$AG262+'MIS Working 1'!$AH262+'MIS Working 1'!$AM262+'MIS Working 1'!$AL262</f>
        <v>3104.96</v>
      </c>
      <c r="AG262" s="279">
        <f>'MIS Working 1'!$L262*'MIS Working 1'!$Y262</f>
        <v>2991.6800000000003</v>
      </c>
      <c r="AH262" s="279">
        <f>'MIS Working 1'!$L262*'MIS Working 1'!$Z262</f>
        <v>52.16</v>
      </c>
      <c r="AI262" s="279">
        <f t="shared" si="12"/>
        <v>1.28</v>
      </c>
      <c r="AJ262" s="279">
        <f t="shared" si="13"/>
        <v>11.84</v>
      </c>
      <c r="AK262" s="279">
        <f t="shared" si="14"/>
        <v>48</v>
      </c>
      <c r="AL262" s="279">
        <f>'MIS Working 1'!$AD262*'MIS Working 1'!$L262</f>
        <v>0</v>
      </c>
      <c r="AM262" s="279">
        <f>'MIS Working 1'!$L262*'MIS Working 1'!$AE262+'MIS Working 1'!$AL262</f>
        <v>61.120000000000005</v>
      </c>
    </row>
    <row r="263" spans="1:39" x14ac:dyDescent="0.3">
      <c r="A263" s="263" t="s">
        <v>479</v>
      </c>
      <c r="B263" s="264">
        <v>45973</v>
      </c>
      <c r="C263" s="265" t="s">
        <v>1797</v>
      </c>
      <c r="D263" s="265" t="s">
        <v>639</v>
      </c>
      <c r="E263" s="265" t="s">
        <v>640</v>
      </c>
      <c r="F263" s="265" t="s">
        <v>18</v>
      </c>
      <c r="G263" s="265" t="s">
        <v>19</v>
      </c>
      <c r="H263" s="265" t="s">
        <v>27</v>
      </c>
      <c r="I263" s="266">
        <v>428</v>
      </c>
      <c r="J263" s="267">
        <v>276072.84000000003</v>
      </c>
      <c r="K263" s="266">
        <v>428</v>
      </c>
      <c r="L263" s="266">
        <v>428</v>
      </c>
      <c r="M263" s="264">
        <v>45973</v>
      </c>
      <c r="N263" s="267">
        <v>311823.68</v>
      </c>
      <c r="O263" s="265" t="s">
        <v>21</v>
      </c>
      <c r="P263" s="265" t="s">
        <v>22</v>
      </c>
      <c r="Q263" s="265" t="s">
        <v>660</v>
      </c>
      <c r="R263" s="265" t="str">
        <f>VLOOKUP('MIS Working 1'!$G263,Master!$H$3:$I$8,2,0)</f>
        <v>Finished Goods</v>
      </c>
      <c r="S263" s="265" t="str">
        <f>VLOOKUP('MIS Working 1'!$H263,Master!B:C,2,0)</f>
        <v>FG-PCB-CF</v>
      </c>
      <c r="T263" s="265" t="str">
        <f>VLOOKUP('MIS Working 1'!$S263,Master!E:F,2,0)</f>
        <v>FG-PCB-CF</v>
      </c>
      <c r="U263" s="268">
        <f>'MIS Working 1'!$N263-'MIS Working 1'!$AF263</f>
        <v>35566.800000000163</v>
      </c>
      <c r="V263" s="269">
        <f>'MIS Working 1'!$U263/'MIS Working 1'!$N263</f>
        <v>0.1140606127154941</v>
      </c>
      <c r="W263" s="265">
        <f>'MIS Working 1'!$N263/'MIS Working 1'!$L263</f>
        <v>728.56</v>
      </c>
      <c r="X263" s="270">
        <f>SUM('MIS Working 1'!$Y263:$AE263)</f>
        <v>677.50999999999965</v>
      </c>
      <c r="Y263" s="270">
        <f>SUMIFS('COGS Break up'!$E:$E,'COGS Break up'!$A:$A,'MIS Working 1'!$D263,'COGS Break up'!$D:$D,'MIS Working 1'!$Y$1)</f>
        <v>582.23999999999967</v>
      </c>
      <c r="Z263" s="270">
        <f>SUMIFS('COGS Break up'!$E:$E,'COGS Break up'!$A:$A,'MIS Working 1'!$D263,'COGS Break up'!$D:$D,'MIS Working 1'!$Z$1)</f>
        <v>29.88</v>
      </c>
      <c r="AA263" s="270">
        <f>SUMIFS('COGS Break up'!E:E,'COGS Break up'!A:A,'MIS Working 1'!$D:$D,'COGS Break up'!C:C,'MIS Working 1'!$AA$1)</f>
        <v>2.4500000000000002</v>
      </c>
      <c r="AB263" s="270">
        <f>SUMIFS('COGS Break up'!E:E,'COGS Break up'!A:A,'MIS Working 1'!$D:$D,'COGS Break up'!C:C,$AB$1)</f>
        <v>21.72</v>
      </c>
      <c r="AC263" s="270">
        <f>SUMIFS('COGS Break up'!E:E,'COGS Break up'!A:A,'MIS Working 1'!$D:$D,'COGS Break up'!C:C,$AC$1)</f>
        <v>8.31</v>
      </c>
      <c r="AD263" s="270">
        <f>SUMIFS('COGS Break up'!$E:$E,'COGS Break up'!$A:$A,'MIS Working 1'!$D263,'COGS Break up'!$D:$D,'MIS Working 1'!$AD$1)</f>
        <v>0.43</v>
      </c>
      <c r="AE263" s="270">
        <f>SUMIFS('COGS Break up'!$E:$E,'COGS Break up'!$A:$A,'MIS Working 1'!$D263,'COGS Break up'!$D:$D,'MIS Working 1'!$AE$1)</f>
        <v>32.480000000000004</v>
      </c>
      <c r="AF263" s="271">
        <f>'MIS Working 1'!$AG263+'MIS Working 1'!$AH263+'MIS Working 1'!$AM263+'MIS Working 1'!$AL263</f>
        <v>276256.87999999983</v>
      </c>
      <c r="AG263" s="270">
        <f>'MIS Working 1'!$L263*'MIS Working 1'!$Y263</f>
        <v>249198.71999999986</v>
      </c>
      <c r="AH263" s="270">
        <f>'MIS Working 1'!$L263*'MIS Working 1'!$Z263</f>
        <v>12788.64</v>
      </c>
      <c r="AI263" s="270">
        <f t="shared" si="12"/>
        <v>1048.6000000000001</v>
      </c>
      <c r="AJ263" s="270">
        <f t="shared" si="13"/>
        <v>9296.16</v>
      </c>
      <c r="AK263" s="270">
        <f t="shared" si="14"/>
        <v>3556.6800000000003</v>
      </c>
      <c r="AL263" s="270">
        <f>'MIS Working 1'!$AD263*'MIS Working 1'!$L263</f>
        <v>184.04</v>
      </c>
      <c r="AM263" s="270">
        <f>'MIS Working 1'!$L263*'MIS Working 1'!$AE263+'MIS Working 1'!$AL263</f>
        <v>14085.480000000003</v>
      </c>
    </row>
    <row r="264" spans="1:39" x14ac:dyDescent="0.3">
      <c r="A264" s="272" t="s">
        <v>479</v>
      </c>
      <c r="B264" s="273">
        <v>45973</v>
      </c>
      <c r="C264" s="274" t="s">
        <v>1797</v>
      </c>
      <c r="D264" s="274" t="s">
        <v>23</v>
      </c>
      <c r="E264" s="274" t="s">
        <v>24</v>
      </c>
      <c r="F264" s="274" t="s">
        <v>18</v>
      </c>
      <c r="G264" s="274" t="s">
        <v>19</v>
      </c>
      <c r="H264" s="274" t="s">
        <v>27</v>
      </c>
      <c r="I264" s="275">
        <v>1235</v>
      </c>
      <c r="J264" s="276">
        <v>520441.35</v>
      </c>
      <c r="K264" s="275">
        <v>1235</v>
      </c>
      <c r="L264" s="275">
        <v>1235</v>
      </c>
      <c r="M264" s="273">
        <v>45973</v>
      </c>
      <c r="N264" s="276">
        <v>596702.6</v>
      </c>
      <c r="O264" s="274" t="s">
        <v>21</v>
      </c>
      <c r="P264" s="274" t="s">
        <v>22</v>
      </c>
      <c r="Q264" s="274" t="s">
        <v>660</v>
      </c>
      <c r="R264" s="274" t="str">
        <f>VLOOKUP('MIS Working 1'!$G264,Master!$H$3:$I$8,2,0)</f>
        <v>Finished Goods</v>
      </c>
      <c r="S264" s="274" t="str">
        <f>VLOOKUP('MIS Working 1'!$H264,Master!B:C,2,0)</f>
        <v>FG-PCB-CF</v>
      </c>
      <c r="T264" s="274" t="str">
        <f>VLOOKUP('MIS Working 1'!$S264,Master!E:F,2,0)</f>
        <v>FG-PCB-CF</v>
      </c>
      <c r="U264" s="277">
        <f>'MIS Working 1'!$N264-'MIS Working 1'!$AF264</f>
        <v>75940.150000000198</v>
      </c>
      <c r="V264" s="278">
        <f>'MIS Working 1'!$U264/'MIS Working 1'!$N264</f>
        <v>0.12726632999420515</v>
      </c>
      <c r="W264" s="274">
        <f>'MIS Working 1'!$N264/'MIS Working 1'!$L264</f>
        <v>483.15999999999997</v>
      </c>
      <c r="X264" s="279">
        <f>SUM('MIS Working 1'!$Y264:$AE264)</f>
        <v>447.50999999999988</v>
      </c>
      <c r="Y264" s="279">
        <f>SUMIFS('COGS Break up'!$E:$E,'COGS Break up'!$A:$A,'MIS Working 1'!$D264,'COGS Break up'!$D:$D,'MIS Working 1'!$Y$1)</f>
        <v>373.04999999999984</v>
      </c>
      <c r="Z264" s="279">
        <f>SUMIFS('COGS Break up'!$E:$E,'COGS Break up'!$A:$A,'MIS Working 1'!$D264,'COGS Break up'!$D:$D,'MIS Working 1'!$Z$1)</f>
        <v>22</v>
      </c>
      <c r="AA264" s="279">
        <f>SUMIFS('COGS Break up'!E:E,'COGS Break up'!A:A,'MIS Working 1'!$D:$D,'COGS Break up'!C:C,'MIS Working 1'!$AA$1)</f>
        <v>1.8</v>
      </c>
      <c r="AB264" s="279">
        <f>SUMIFS('COGS Break up'!E:E,'COGS Break up'!A:A,'MIS Working 1'!$D:$D,'COGS Break up'!C:C,$AB$1)</f>
        <v>15.99</v>
      </c>
      <c r="AC264" s="279">
        <f>SUMIFS('COGS Break up'!E:E,'COGS Break up'!A:A,'MIS Working 1'!$D:$D,'COGS Break up'!C:C,$AC$1)</f>
        <v>8.31</v>
      </c>
      <c r="AD264" s="279">
        <f>SUMIFS('COGS Break up'!$E:$E,'COGS Break up'!$A:$A,'MIS Working 1'!$D264,'COGS Break up'!$D:$D,'MIS Working 1'!$AD$1)</f>
        <v>0.26</v>
      </c>
      <c r="AE264" s="279">
        <f>SUMIFS('COGS Break up'!$E:$E,'COGS Break up'!$A:$A,'MIS Working 1'!$D264,'COGS Break up'!$D:$D,'MIS Working 1'!$AE$1)</f>
        <v>26.1</v>
      </c>
      <c r="AF264" s="280">
        <f>'MIS Working 1'!$AG264+'MIS Working 1'!$AH264+'MIS Working 1'!$AM264+'MIS Working 1'!$AL264</f>
        <v>520762.44999999978</v>
      </c>
      <c r="AG264" s="279">
        <f>'MIS Working 1'!$L264*'MIS Working 1'!$Y264</f>
        <v>460716.74999999983</v>
      </c>
      <c r="AH264" s="279">
        <f>'MIS Working 1'!$L264*'MIS Working 1'!$Z264</f>
        <v>27170</v>
      </c>
      <c r="AI264" s="279">
        <f t="shared" si="12"/>
        <v>2223</v>
      </c>
      <c r="AJ264" s="279">
        <f t="shared" si="13"/>
        <v>19747.650000000001</v>
      </c>
      <c r="AK264" s="279">
        <f t="shared" si="14"/>
        <v>10262.85</v>
      </c>
      <c r="AL264" s="279">
        <f>'MIS Working 1'!$AD264*'MIS Working 1'!$L264</f>
        <v>321.10000000000002</v>
      </c>
      <c r="AM264" s="279">
        <f>'MIS Working 1'!$L264*'MIS Working 1'!$AE264+'MIS Working 1'!$AL264</f>
        <v>32554.6</v>
      </c>
    </row>
    <row r="265" spans="1:39" x14ac:dyDescent="0.3">
      <c r="A265" s="263" t="s">
        <v>479</v>
      </c>
      <c r="B265" s="264">
        <v>45973</v>
      </c>
      <c r="C265" s="265" t="s">
        <v>1799</v>
      </c>
      <c r="D265" s="265" t="s">
        <v>1182</v>
      </c>
      <c r="E265" s="265" t="s">
        <v>1183</v>
      </c>
      <c r="F265" s="265" t="s">
        <v>18</v>
      </c>
      <c r="G265" s="265" t="s">
        <v>19</v>
      </c>
      <c r="H265" s="265" t="s">
        <v>27</v>
      </c>
      <c r="I265" s="266">
        <v>470</v>
      </c>
      <c r="J265" s="267">
        <v>198048.6</v>
      </c>
      <c r="K265" s="266">
        <v>470</v>
      </c>
      <c r="L265" s="266">
        <v>470</v>
      </c>
      <c r="M265" s="264">
        <v>45973</v>
      </c>
      <c r="N265" s="267">
        <v>227085.2</v>
      </c>
      <c r="O265" s="265" t="s">
        <v>21</v>
      </c>
      <c r="P265" s="265" t="s">
        <v>22</v>
      </c>
      <c r="Q265" s="265" t="s">
        <v>660</v>
      </c>
      <c r="R265" s="265" t="str">
        <f>VLOOKUP('MIS Working 1'!$G265,Master!$H$3:$I$8,2,0)</f>
        <v>Finished Goods</v>
      </c>
      <c r="S265" s="265" t="str">
        <f>VLOOKUP('MIS Working 1'!$H265,Master!B:C,2,0)</f>
        <v>FG-PCB-CF</v>
      </c>
      <c r="T265" s="265" t="str">
        <f>VLOOKUP('MIS Working 1'!$S265,Master!E:F,2,0)</f>
        <v>FG-PCB-CF</v>
      </c>
      <c r="U265" s="268">
        <f>'MIS Working 1'!$N265-'MIS Working 1'!$AF265</f>
        <v>28914.400000000081</v>
      </c>
      <c r="V265" s="269">
        <f>'MIS Working 1'!$U265/'MIS Working 1'!$N265</f>
        <v>0.12732842122692312</v>
      </c>
      <c r="W265" s="265">
        <f>'MIS Working 1'!$N265/'MIS Working 1'!$L265</f>
        <v>483.16</v>
      </c>
      <c r="X265" s="270">
        <f>SUM('MIS Working 1'!$Y265:$AE265)</f>
        <v>447.47999999999985</v>
      </c>
      <c r="Y265" s="270">
        <f>SUMIFS('COGS Break up'!$E:$E,'COGS Break up'!$A:$A,'MIS Working 1'!$D265,'COGS Break up'!$D:$D,'MIS Working 1'!$Y$1)</f>
        <v>373.01999999999981</v>
      </c>
      <c r="Z265" s="270">
        <f>SUMIFS('COGS Break up'!$E:$E,'COGS Break up'!$A:$A,'MIS Working 1'!$D265,'COGS Break up'!$D:$D,'MIS Working 1'!$Z$1)</f>
        <v>22</v>
      </c>
      <c r="AA265" s="270">
        <f>SUMIFS('COGS Break up'!E:E,'COGS Break up'!A:A,'MIS Working 1'!$D:$D,'COGS Break up'!C:C,'MIS Working 1'!$AA$1)</f>
        <v>1.8</v>
      </c>
      <c r="AB265" s="270">
        <f>SUMIFS('COGS Break up'!E:E,'COGS Break up'!A:A,'MIS Working 1'!$D:$D,'COGS Break up'!C:C,$AB$1)</f>
        <v>15.99</v>
      </c>
      <c r="AC265" s="270">
        <f>SUMIFS('COGS Break up'!E:E,'COGS Break up'!A:A,'MIS Working 1'!$D:$D,'COGS Break up'!C:C,$AC$1)</f>
        <v>8.31</v>
      </c>
      <c r="AD265" s="270">
        <f>SUMIFS('COGS Break up'!$E:$E,'COGS Break up'!$A:$A,'MIS Working 1'!$D265,'COGS Break up'!$D:$D,'MIS Working 1'!$AD$1)</f>
        <v>0.26</v>
      </c>
      <c r="AE265" s="270">
        <f>SUMIFS('COGS Break up'!$E:$E,'COGS Break up'!$A:$A,'MIS Working 1'!$D265,'COGS Break up'!$D:$D,'MIS Working 1'!$AE$1)</f>
        <v>26.1</v>
      </c>
      <c r="AF265" s="271">
        <f>'MIS Working 1'!$AG265+'MIS Working 1'!$AH265+'MIS Working 1'!$AM265+'MIS Working 1'!$AL265</f>
        <v>198170.79999999993</v>
      </c>
      <c r="AG265" s="270">
        <f>'MIS Working 1'!$L265*'MIS Working 1'!$Y265</f>
        <v>175319.39999999991</v>
      </c>
      <c r="AH265" s="270">
        <f>'MIS Working 1'!$L265*'MIS Working 1'!$Z265</f>
        <v>10340</v>
      </c>
      <c r="AI265" s="270">
        <f t="shared" si="12"/>
        <v>846</v>
      </c>
      <c r="AJ265" s="270">
        <f t="shared" si="13"/>
        <v>7515.3</v>
      </c>
      <c r="AK265" s="270">
        <f t="shared" si="14"/>
        <v>3905.7000000000003</v>
      </c>
      <c r="AL265" s="270">
        <f>'MIS Working 1'!$AD265*'MIS Working 1'!$L265</f>
        <v>122.2</v>
      </c>
      <c r="AM265" s="270">
        <f>'MIS Working 1'!$L265*'MIS Working 1'!$AE265+'MIS Working 1'!$AL265</f>
        <v>12389.2</v>
      </c>
    </row>
    <row r="266" spans="1:39" x14ac:dyDescent="0.3">
      <c r="A266" s="272" t="s">
        <v>479</v>
      </c>
      <c r="B266" s="273">
        <v>45973</v>
      </c>
      <c r="C266" s="274" t="s">
        <v>1798</v>
      </c>
      <c r="D266" s="274" t="s">
        <v>1182</v>
      </c>
      <c r="E266" s="274" t="s">
        <v>1183</v>
      </c>
      <c r="F266" s="274" t="s">
        <v>18</v>
      </c>
      <c r="G266" s="274" t="s">
        <v>19</v>
      </c>
      <c r="H266" s="274" t="s">
        <v>27</v>
      </c>
      <c r="I266" s="275">
        <v>170</v>
      </c>
      <c r="J266" s="276">
        <v>71634.600000000006</v>
      </c>
      <c r="K266" s="275">
        <v>170</v>
      </c>
      <c r="L266" s="275">
        <v>170</v>
      </c>
      <c r="M266" s="273">
        <v>45973</v>
      </c>
      <c r="N266" s="276">
        <v>82137.2</v>
      </c>
      <c r="O266" s="274" t="s">
        <v>21</v>
      </c>
      <c r="P266" s="274" t="s">
        <v>22</v>
      </c>
      <c r="Q266" s="274" t="s">
        <v>660</v>
      </c>
      <c r="R266" s="274" t="str">
        <f>VLOOKUP('MIS Working 1'!$G266,Master!$H$3:$I$8,2,0)</f>
        <v>Finished Goods</v>
      </c>
      <c r="S266" s="274" t="str">
        <f>VLOOKUP('MIS Working 1'!$H266,Master!B:C,2,0)</f>
        <v>FG-PCB-CF</v>
      </c>
      <c r="T266" s="274" t="str">
        <f>VLOOKUP('MIS Working 1'!$S266,Master!E:F,2,0)</f>
        <v>FG-PCB-CF</v>
      </c>
      <c r="U266" s="277">
        <f>'MIS Working 1'!$N266-'MIS Working 1'!$AF266</f>
        <v>10458.400000000038</v>
      </c>
      <c r="V266" s="278">
        <f>'MIS Working 1'!$U266/'MIS Working 1'!$N266</f>
        <v>0.12732842122692323</v>
      </c>
      <c r="W266" s="274">
        <f>'MIS Working 1'!$N266/'MIS Working 1'!$L266</f>
        <v>483.15999999999997</v>
      </c>
      <c r="X266" s="279">
        <f>SUM('MIS Working 1'!$Y266:$AE266)</f>
        <v>447.47999999999985</v>
      </c>
      <c r="Y266" s="279">
        <f>SUMIFS('COGS Break up'!$E:$E,'COGS Break up'!$A:$A,'MIS Working 1'!$D266,'COGS Break up'!$D:$D,'MIS Working 1'!$Y$1)</f>
        <v>373.01999999999981</v>
      </c>
      <c r="Z266" s="279">
        <f>SUMIFS('COGS Break up'!$E:$E,'COGS Break up'!$A:$A,'MIS Working 1'!$D266,'COGS Break up'!$D:$D,'MIS Working 1'!$Z$1)</f>
        <v>22</v>
      </c>
      <c r="AA266" s="279">
        <f>SUMIFS('COGS Break up'!E:E,'COGS Break up'!A:A,'MIS Working 1'!$D:$D,'COGS Break up'!C:C,'MIS Working 1'!$AA$1)</f>
        <v>1.8</v>
      </c>
      <c r="AB266" s="279">
        <f>SUMIFS('COGS Break up'!E:E,'COGS Break up'!A:A,'MIS Working 1'!$D:$D,'COGS Break up'!C:C,$AB$1)</f>
        <v>15.99</v>
      </c>
      <c r="AC266" s="279">
        <f>SUMIFS('COGS Break up'!E:E,'COGS Break up'!A:A,'MIS Working 1'!$D:$D,'COGS Break up'!C:C,$AC$1)</f>
        <v>8.31</v>
      </c>
      <c r="AD266" s="279">
        <f>SUMIFS('COGS Break up'!$E:$E,'COGS Break up'!$A:$A,'MIS Working 1'!$D266,'COGS Break up'!$D:$D,'MIS Working 1'!$AD$1)</f>
        <v>0.26</v>
      </c>
      <c r="AE266" s="279">
        <f>SUMIFS('COGS Break up'!$E:$E,'COGS Break up'!$A:$A,'MIS Working 1'!$D266,'COGS Break up'!$D:$D,'MIS Working 1'!$AE$1)</f>
        <v>26.1</v>
      </c>
      <c r="AF266" s="280">
        <f>'MIS Working 1'!$AG266+'MIS Working 1'!$AH266+'MIS Working 1'!$AM266+'MIS Working 1'!$AL266</f>
        <v>71678.799999999959</v>
      </c>
      <c r="AG266" s="279">
        <f>'MIS Working 1'!$L266*'MIS Working 1'!$Y266</f>
        <v>63413.399999999965</v>
      </c>
      <c r="AH266" s="279">
        <f>'MIS Working 1'!$L266*'MIS Working 1'!$Z266</f>
        <v>3740</v>
      </c>
      <c r="AI266" s="279">
        <f t="shared" si="12"/>
        <v>306</v>
      </c>
      <c r="AJ266" s="279">
        <f t="shared" si="13"/>
        <v>2718.3</v>
      </c>
      <c r="AK266" s="279">
        <f t="shared" si="14"/>
        <v>1412.7</v>
      </c>
      <c r="AL266" s="279">
        <f>'MIS Working 1'!$AD266*'MIS Working 1'!$L266</f>
        <v>44.2</v>
      </c>
      <c r="AM266" s="279">
        <f>'MIS Working 1'!$L266*'MIS Working 1'!$AE266+'MIS Working 1'!$AL266</f>
        <v>4481.2</v>
      </c>
    </row>
    <row r="267" spans="1:39" x14ac:dyDescent="0.3">
      <c r="A267" s="263" t="s">
        <v>479</v>
      </c>
      <c r="B267" s="264">
        <v>45973</v>
      </c>
      <c r="C267" s="265" t="s">
        <v>1799</v>
      </c>
      <c r="D267" s="265" t="s">
        <v>380</v>
      </c>
      <c r="E267" s="265" t="s">
        <v>381</v>
      </c>
      <c r="F267" s="265" t="s">
        <v>18</v>
      </c>
      <c r="G267" s="265" t="s">
        <v>19</v>
      </c>
      <c r="H267" s="265" t="s">
        <v>27</v>
      </c>
      <c r="I267" s="266">
        <v>1044</v>
      </c>
      <c r="J267" s="267">
        <v>226130.4</v>
      </c>
      <c r="K267" s="266">
        <v>1044</v>
      </c>
      <c r="L267" s="266">
        <v>1044</v>
      </c>
      <c r="M267" s="264">
        <v>45973</v>
      </c>
      <c r="N267" s="267">
        <v>231611.4</v>
      </c>
      <c r="O267" s="265" t="s">
        <v>21</v>
      </c>
      <c r="P267" s="265" t="s">
        <v>22</v>
      </c>
      <c r="Q267" s="265" t="s">
        <v>660</v>
      </c>
      <c r="R267" s="265" t="str">
        <f>VLOOKUP('MIS Working 1'!$G267,Master!$H$3:$I$8,2,0)</f>
        <v>Finished Goods</v>
      </c>
      <c r="S267" s="265" t="str">
        <f>VLOOKUP('MIS Working 1'!$H267,Master!B:C,2,0)</f>
        <v>FG-PCB-CF</v>
      </c>
      <c r="T267" s="265" t="str">
        <f>VLOOKUP('MIS Working 1'!$S267,Master!E:F,2,0)</f>
        <v>FG-PCB-CF</v>
      </c>
      <c r="U267" s="268">
        <f>'MIS Working 1'!$N267-'MIS Working 1'!$AF267</f>
        <v>5439.2400000000489</v>
      </c>
      <c r="V267" s="269">
        <f>'MIS Working 1'!$U267/'MIS Working 1'!$N267</f>
        <v>2.3484336263241139E-2</v>
      </c>
      <c r="W267" s="265">
        <f>'MIS Working 1'!$N267/'MIS Working 1'!$L267</f>
        <v>221.85</v>
      </c>
      <c r="X267" s="270">
        <f>SUM('MIS Working 1'!$Y267:$AE267)</f>
        <v>239.77999999999994</v>
      </c>
      <c r="Y267" s="270">
        <f>SUMIFS('COGS Break up'!$E:$E,'COGS Break up'!$A:$A,'MIS Working 1'!$D267,'COGS Break up'!$D:$D,'MIS Working 1'!$Y$1)</f>
        <v>174.98999999999995</v>
      </c>
      <c r="Z267" s="270">
        <f>SUMIFS('COGS Break up'!$E:$E,'COGS Break up'!$A:$A,'MIS Working 1'!$D267,'COGS Break up'!$D:$D,'MIS Working 1'!$Z$1)</f>
        <v>18.389999999999997</v>
      </c>
      <c r="AA267" s="270">
        <f>SUMIFS('COGS Break up'!E:E,'COGS Break up'!A:A,'MIS Working 1'!$D:$D,'COGS Break up'!C:C,'MIS Working 1'!$AA$1)</f>
        <v>1.5</v>
      </c>
      <c r="AB267" s="270">
        <f>SUMIFS('COGS Break up'!E:E,'COGS Break up'!A:A,'MIS Working 1'!$D:$D,'COGS Break up'!C:C,$AB$1)</f>
        <v>13.37</v>
      </c>
      <c r="AC267" s="270">
        <f>SUMIFS('COGS Break up'!E:E,'COGS Break up'!A:A,'MIS Working 1'!$D:$D,'COGS Break up'!C:C,$AC$1)</f>
        <v>8.31</v>
      </c>
      <c r="AD267" s="270">
        <f>SUMIFS('COGS Break up'!$E:$E,'COGS Break up'!$A:$A,'MIS Working 1'!$D267,'COGS Break up'!$D:$D,'MIS Working 1'!$AD$1)</f>
        <v>0.04</v>
      </c>
      <c r="AE267" s="270">
        <f>SUMIFS('COGS Break up'!$E:$E,'COGS Break up'!$A:$A,'MIS Working 1'!$D267,'COGS Break up'!$D:$D,'MIS Working 1'!$AE$1)</f>
        <v>23.18</v>
      </c>
      <c r="AF267" s="271">
        <f>'MIS Working 1'!$AG267+'MIS Working 1'!$AH267+'MIS Working 1'!$AM267+'MIS Working 1'!$AL267</f>
        <v>226172.15999999995</v>
      </c>
      <c r="AG267" s="270">
        <f>'MIS Working 1'!$L267*'MIS Working 1'!$Y267</f>
        <v>182689.55999999994</v>
      </c>
      <c r="AH267" s="270">
        <f>'MIS Working 1'!$L267*'MIS Working 1'!$Z267</f>
        <v>19199.159999999996</v>
      </c>
      <c r="AI267" s="270">
        <f t="shared" si="12"/>
        <v>1566</v>
      </c>
      <c r="AJ267" s="270">
        <f t="shared" si="13"/>
        <v>13958.279999999999</v>
      </c>
      <c r="AK267" s="270">
        <f t="shared" si="14"/>
        <v>8675.6400000000012</v>
      </c>
      <c r="AL267" s="270">
        <f>'MIS Working 1'!$AD267*'MIS Working 1'!$L267</f>
        <v>41.76</v>
      </c>
      <c r="AM267" s="270">
        <f>'MIS Working 1'!$L267*'MIS Working 1'!$AE267+'MIS Working 1'!$AL267</f>
        <v>24241.679999999997</v>
      </c>
    </row>
    <row r="268" spans="1:39" x14ac:dyDescent="0.3">
      <c r="A268" s="272" t="s">
        <v>479</v>
      </c>
      <c r="B268" s="273">
        <v>45972</v>
      </c>
      <c r="C268" s="274" t="s">
        <v>1800</v>
      </c>
      <c r="D268" s="274" t="s">
        <v>40</v>
      </c>
      <c r="E268" s="274" t="s">
        <v>41</v>
      </c>
      <c r="F268" s="274" t="s">
        <v>18</v>
      </c>
      <c r="G268" s="274" t="s">
        <v>34</v>
      </c>
      <c r="H268" s="274" t="s">
        <v>772</v>
      </c>
      <c r="I268" s="275">
        <v>4368</v>
      </c>
      <c r="J268" s="276">
        <v>645022.56000000006</v>
      </c>
      <c r="K268" s="275">
        <v>4368</v>
      </c>
      <c r="L268" s="275">
        <v>4368</v>
      </c>
      <c r="M268" s="273">
        <v>45972</v>
      </c>
      <c r="N268" s="276">
        <v>711721.92</v>
      </c>
      <c r="O268" s="274" t="s">
        <v>21</v>
      </c>
      <c r="P268" s="274" t="s">
        <v>22</v>
      </c>
      <c r="Q268" s="274" t="s">
        <v>660</v>
      </c>
      <c r="R268" s="274" t="str">
        <f>VLOOKUP('MIS Working 1'!$G268,Master!$H$3:$I$8,2,0)</f>
        <v>Semi-Finished Goods</v>
      </c>
      <c r="S268" s="274" t="str">
        <f>VLOOKUP('MIS Working 1'!$H268,Master!B:C,2,0)</f>
        <v>SFG-GV5 Stator</v>
      </c>
      <c r="T268" s="274" t="str">
        <f>VLOOKUP('MIS Working 1'!$S268,Master!E:F,2,0)</f>
        <v>Sub Ass.-Mech Stator</v>
      </c>
      <c r="U268" s="277">
        <f>'MIS Working 1'!$N268-'MIS Working 1'!$AF268</f>
        <v>66699.360000000219</v>
      </c>
      <c r="V268" s="278">
        <f>'MIS Working 1'!$U268/'MIS Working 1'!$N268</f>
        <v>9.3715478090094811E-2</v>
      </c>
      <c r="W268" s="274">
        <f>'MIS Working 1'!$N268/'MIS Working 1'!$L268</f>
        <v>162.94</v>
      </c>
      <c r="X268" s="279">
        <f>SUM('MIS Working 1'!$Y268:$AE268)</f>
        <v>149.61999999999998</v>
      </c>
      <c r="Y268" s="279">
        <f>SUMIFS('COGS Break up'!$E:$E,'COGS Break up'!$A:$A,'MIS Working 1'!$D268,'COGS Break up'!$D:$D,'MIS Working 1'!$Y$1)</f>
        <v>144.21999999999997</v>
      </c>
      <c r="Z268" s="279">
        <f>SUMIFS('COGS Break up'!$E:$E,'COGS Break up'!$A:$A,'MIS Working 1'!$D268,'COGS Break up'!$D:$D,'MIS Working 1'!$Z$1)</f>
        <v>1.5</v>
      </c>
      <c r="AA268" s="279">
        <f>SUMIFS('COGS Break up'!E:E,'COGS Break up'!A:A,'MIS Working 1'!$D:$D,'COGS Break up'!C:C,'MIS Working 1'!$AA$1)</f>
        <v>0.05</v>
      </c>
      <c r="AB268" s="279">
        <f>SUMIFS('COGS Break up'!E:E,'COGS Break up'!A:A,'MIS Working 1'!$D:$D,'COGS Break up'!C:C,$AB$1)</f>
        <v>0.4</v>
      </c>
      <c r="AC268" s="279">
        <f>SUMIFS('COGS Break up'!E:E,'COGS Break up'!A:A,'MIS Working 1'!$D:$D,'COGS Break up'!C:C,$AC$1)</f>
        <v>1.5</v>
      </c>
      <c r="AD268" s="279">
        <f>SUMIFS('COGS Break up'!$E:$E,'COGS Break up'!$A:$A,'MIS Working 1'!$D268,'COGS Break up'!$D:$D,'MIS Working 1'!$AD$1)</f>
        <v>0</v>
      </c>
      <c r="AE268" s="279">
        <f>SUMIFS('COGS Break up'!$E:$E,'COGS Break up'!$A:$A,'MIS Working 1'!$D268,'COGS Break up'!$D:$D,'MIS Working 1'!$AE$1)</f>
        <v>1.95</v>
      </c>
      <c r="AF268" s="280">
        <f>'MIS Working 1'!$AG268+'MIS Working 1'!$AH268+'MIS Working 1'!$AM268+'MIS Working 1'!$AL268</f>
        <v>645022.55999999982</v>
      </c>
      <c r="AG268" s="279">
        <f>'MIS Working 1'!$L268*'MIS Working 1'!$Y268</f>
        <v>629952.95999999985</v>
      </c>
      <c r="AH268" s="279">
        <f>'MIS Working 1'!$L268*'MIS Working 1'!$Z268</f>
        <v>6552</v>
      </c>
      <c r="AI268" s="279">
        <f t="shared" si="12"/>
        <v>218.4</v>
      </c>
      <c r="AJ268" s="279">
        <f t="shared" si="13"/>
        <v>1747.2</v>
      </c>
      <c r="AK268" s="279">
        <f t="shared" si="14"/>
        <v>6552</v>
      </c>
      <c r="AL268" s="279">
        <f>'MIS Working 1'!$AD268*'MIS Working 1'!$L268</f>
        <v>0</v>
      </c>
      <c r="AM268" s="279">
        <f>'MIS Working 1'!$L268*'MIS Working 1'!$AE268+'MIS Working 1'!$AL268</f>
        <v>8517.6</v>
      </c>
    </row>
    <row r="269" spans="1:39" x14ac:dyDescent="0.3">
      <c r="A269" s="263" t="s">
        <v>479</v>
      </c>
      <c r="B269" s="264">
        <v>45972</v>
      </c>
      <c r="C269" s="265" t="s">
        <v>1802</v>
      </c>
      <c r="D269" s="265" t="s">
        <v>595</v>
      </c>
      <c r="E269" s="265" t="s">
        <v>596</v>
      </c>
      <c r="F269" s="265" t="s">
        <v>18</v>
      </c>
      <c r="G269" s="265" t="s">
        <v>34</v>
      </c>
      <c r="H269" s="265" t="s">
        <v>772</v>
      </c>
      <c r="I269" s="266">
        <v>1008</v>
      </c>
      <c r="J269" s="267">
        <v>126131.04</v>
      </c>
      <c r="K269" s="266">
        <v>1008</v>
      </c>
      <c r="L269" s="266">
        <v>1008</v>
      </c>
      <c r="M269" s="264">
        <v>45972</v>
      </c>
      <c r="N269" s="267">
        <v>133449.12</v>
      </c>
      <c r="O269" s="265" t="s">
        <v>21</v>
      </c>
      <c r="P269" s="265" t="s">
        <v>22</v>
      </c>
      <c r="Q269" s="265" t="s">
        <v>660</v>
      </c>
      <c r="R269" s="265" t="str">
        <f>VLOOKUP('MIS Working 1'!$G269,Master!$H$3:$I$8,2,0)</f>
        <v>Semi-Finished Goods</v>
      </c>
      <c r="S269" s="265" t="str">
        <f>VLOOKUP('MIS Working 1'!$H269,Master!B:C,2,0)</f>
        <v>SFG-GV5 Stator</v>
      </c>
      <c r="T269" s="265" t="str">
        <f>VLOOKUP('MIS Working 1'!$S269,Master!E:F,2,0)</f>
        <v>Sub Ass.-Mech Stator</v>
      </c>
      <c r="U269" s="268">
        <f>'MIS Working 1'!$N269-'MIS Working 1'!$AF269</f>
        <v>7318.0800000000017</v>
      </c>
      <c r="V269" s="269">
        <f>'MIS Working 1'!$U269/'MIS Working 1'!$N269</f>
        <v>5.4837978699297546E-2</v>
      </c>
      <c r="W269" s="265">
        <f>'MIS Working 1'!$N269/'MIS Working 1'!$L269</f>
        <v>132.38999999999999</v>
      </c>
      <c r="X269" s="270">
        <f>SUM('MIS Working 1'!$Y269:$AE269)</f>
        <v>127.08</v>
      </c>
      <c r="Y269" s="270">
        <f>SUMIFS('COGS Break up'!$E:$E,'COGS Break up'!$A:$A,'MIS Working 1'!$D269,'COGS Break up'!$D:$D,'MIS Working 1'!$Y$1)</f>
        <v>121.67999999999999</v>
      </c>
      <c r="Z269" s="270">
        <f>SUMIFS('COGS Break up'!$E:$E,'COGS Break up'!$A:$A,'MIS Working 1'!$D269,'COGS Break up'!$D:$D,'MIS Working 1'!$Z$1)</f>
        <v>1.5</v>
      </c>
      <c r="AA269" s="270">
        <f>SUMIFS('COGS Break up'!E:E,'COGS Break up'!A:A,'MIS Working 1'!$D:$D,'COGS Break up'!C:C,'MIS Working 1'!$AA$1)</f>
        <v>0.05</v>
      </c>
      <c r="AB269" s="270">
        <f>SUMIFS('COGS Break up'!E:E,'COGS Break up'!A:A,'MIS Working 1'!$D:$D,'COGS Break up'!C:C,$AB$1)</f>
        <v>0.4</v>
      </c>
      <c r="AC269" s="270">
        <f>SUMIFS('COGS Break up'!E:E,'COGS Break up'!A:A,'MIS Working 1'!$D:$D,'COGS Break up'!C:C,$AC$1)</f>
        <v>1.5</v>
      </c>
      <c r="AD269" s="270">
        <f>SUMIFS('COGS Break up'!$E:$E,'COGS Break up'!$A:$A,'MIS Working 1'!$D269,'COGS Break up'!$D:$D,'MIS Working 1'!$AD$1)</f>
        <v>0</v>
      </c>
      <c r="AE269" s="270">
        <f>SUMIFS('COGS Break up'!$E:$E,'COGS Break up'!$A:$A,'MIS Working 1'!$D269,'COGS Break up'!$D:$D,'MIS Working 1'!$AE$1)</f>
        <v>1.95</v>
      </c>
      <c r="AF269" s="271">
        <f>'MIS Working 1'!$AG269+'MIS Working 1'!$AH269+'MIS Working 1'!$AM269+'MIS Working 1'!$AL269</f>
        <v>126131.04</v>
      </c>
      <c r="AG269" s="270">
        <f>'MIS Working 1'!$L269*'MIS Working 1'!$Y269</f>
        <v>122653.43999999999</v>
      </c>
      <c r="AH269" s="270">
        <f>'MIS Working 1'!$L269*'MIS Working 1'!$Z269</f>
        <v>1512</v>
      </c>
      <c r="AI269" s="270">
        <f t="shared" si="12"/>
        <v>50.400000000000006</v>
      </c>
      <c r="AJ269" s="270">
        <f t="shared" si="13"/>
        <v>403.20000000000005</v>
      </c>
      <c r="AK269" s="270">
        <f t="shared" si="14"/>
        <v>1512</v>
      </c>
      <c r="AL269" s="270">
        <f>'MIS Working 1'!$AD269*'MIS Working 1'!$L269</f>
        <v>0</v>
      </c>
      <c r="AM269" s="270">
        <f>'MIS Working 1'!$L269*'MIS Working 1'!$AE269+'MIS Working 1'!$AL269</f>
        <v>1965.6</v>
      </c>
    </row>
    <row r="270" spans="1:39" x14ac:dyDescent="0.3">
      <c r="A270" s="272" t="s">
        <v>479</v>
      </c>
      <c r="B270" s="273">
        <v>45972</v>
      </c>
      <c r="C270" s="274" t="s">
        <v>1801</v>
      </c>
      <c r="D270" s="274" t="s">
        <v>595</v>
      </c>
      <c r="E270" s="274" t="s">
        <v>596</v>
      </c>
      <c r="F270" s="274" t="s">
        <v>18</v>
      </c>
      <c r="G270" s="274" t="s">
        <v>34</v>
      </c>
      <c r="H270" s="274" t="s">
        <v>772</v>
      </c>
      <c r="I270" s="275">
        <v>520</v>
      </c>
      <c r="J270" s="276">
        <v>65067.6</v>
      </c>
      <c r="K270" s="275">
        <v>520</v>
      </c>
      <c r="L270" s="275">
        <v>520</v>
      </c>
      <c r="M270" s="273">
        <v>45972</v>
      </c>
      <c r="N270" s="276">
        <v>68842.8</v>
      </c>
      <c r="O270" s="274" t="s">
        <v>21</v>
      </c>
      <c r="P270" s="274" t="s">
        <v>22</v>
      </c>
      <c r="Q270" s="274" t="s">
        <v>660</v>
      </c>
      <c r="R270" s="274" t="str">
        <f>VLOOKUP('MIS Working 1'!$G270,Master!$H$3:$I$8,2,0)</f>
        <v>Semi-Finished Goods</v>
      </c>
      <c r="S270" s="274" t="str">
        <f>VLOOKUP('MIS Working 1'!$H270,Master!B:C,2,0)</f>
        <v>SFG-GV5 Stator</v>
      </c>
      <c r="T270" s="274" t="str">
        <f>VLOOKUP('MIS Working 1'!$S270,Master!E:F,2,0)</f>
        <v>Sub Ass.-Mech Stator</v>
      </c>
      <c r="U270" s="277">
        <f>'MIS Working 1'!$N270-'MIS Working 1'!$AF270</f>
        <v>3775.2000000000044</v>
      </c>
      <c r="V270" s="278">
        <f>'MIS Working 1'!$U270/'MIS Working 1'!$N270</f>
        <v>5.4837978699297595E-2</v>
      </c>
      <c r="W270" s="274">
        <f>'MIS Working 1'!$N270/'MIS Working 1'!$L270</f>
        <v>132.39000000000001</v>
      </c>
      <c r="X270" s="279">
        <f>SUM('MIS Working 1'!$Y270:$AE270)</f>
        <v>127.08</v>
      </c>
      <c r="Y270" s="279">
        <f>SUMIFS('COGS Break up'!$E:$E,'COGS Break up'!$A:$A,'MIS Working 1'!$D270,'COGS Break up'!$D:$D,'MIS Working 1'!$Y$1)</f>
        <v>121.67999999999999</v>
      </c>
      <c r="Z270" s="279">
        <f>SUMIFS('COGS Break up'!$E:$E,'COGS Break up'!$A:$A,'MIS Working 1'!$D270,'COGS Break up'!$D:$D,'MIS Working 1'!$Z$1)</f>
        <v>1.5</v>
      </c>
      <c r="AA270" s="279">
        <f>SUMIFS('COGS Break up'!E:E,'COGS Break up'!A:A,'MIS Working 1'!$D:$D,'COGS Break up'!C:C,'MIS Working 1'!$AA$1)</f>
        <v>0.05</v>
      </c>
      <c r="AB270" s="279">
        <f>SUMIFS('COGS Break up'!E:E,'COGS Break up'!A:A,'MIS Working 1'!$D:$D,'COGS Break up'!C:C,$AB$1)</f>
        <v>0.4</v>
      </c>
      <c r="AC270" s="279">
        <f>SUMIFS('COGS Break up'!E:E,'COGS Break up'!A:A,'MIS Working 1'!$D:$D,'COGS Break up'!C:C,$AC$1)</f>
        <v>1.5</v>
      </c>
      <c r="AD270" s="279">
        <f>SUMIFS('COGS Break up'!$E:$E,'COGS Break up'!$A:$A,'MIS Working 1'!$D270,'COGS Break up'!$D:$D,'MIS Working 1'!$AD$1)</f>
        <v>0</v>
      </c>
      <c r="AE270" s="279">
        <f>SUMIFS('COGS Break up'!$E:$E,'COGS Break up'!$A:$A,'MIS Working 1'!$D270,'COGS Break up'!$D:$D,'MIS Working 1'!$AE$1)</f>
        <v>1.95</v>
      </c>
      <c r="AF270" s="280">
        <f>'MIS Working 1'!$AG270+'MIS Working 1'!$AH270+'MIS Working 1'!$AM270+'MIS Working 1'!$AL270</f>
        <v>65067.6</v>
      </c>
      <c r="AG270" s="279">
        <f>'MIS Working 1'!$L270*'MIS Working 1'!$Y270</f>
        <v>63273.599999999999</v>
      </c>
      <c r="AH270" s="279">
        <f>'MIS Working 1'!$L270*'MIS Working 1'!$Z270</f>
        <v>780</v>
      </c>
      <c r="AI270" s="279">
        <f t="shared" si="12"/>
        <v>26</v>
      </c>
      <c r="AJ270" s="279">
        <f t="shared" si="13"/>
        <v>208</v>
      </c>
      <c r="AK270" s="279">
        <f t="shared" si="14"/>
        <v>780</v>
      </c>
      <c r="AL270" s="279">
        <f>'MIS Working 1'!$AD270*'MIS Working 1'!$L270</f>
        <v>0</v>
      </c>
      <c r="AM270" s="279">
        <f>'MIS Working 1'!$L270*'MIS Working 1'!$AE270+'MIS Working 1'!$AL270</f>
        <v>1014</v>
      </c>
    </row>
    <row r="271" spans="1:39" x14ac:dyDescent="0.3">
      <c r="A271" s="263" t="s">
        <v>479</v>
      </c>
      <c r="B271" s="264">
        <v>45972</v>
      </c>
      <c r="C271" s="265" t="s">
        <v>1803</v>
      </c>
      <c r="D271" s="265" t="s">
        <v>376</v>
      </c>
      <c r="E271" s="265" t="s">
        <v>377</v>
      </c>
      <c r="F271" s="265" t="s">
        <v>18</v>
      </c>
      <c r="G271" s="265" t="s">
        <v>19</v>
      </c>
      <c r="H271" s="265" t="s">
        <v>483</v>
      </c>
      <c r="I271" s="266">
        <v>230</v>
      </c>
      <c r="J271" s="267">
        <v>85369.1</v>
      </c>
      <c r="K271" s="266">
        <v>230</v>
      </c>
      <c r="L271" s="266">
        <v>230</v>
      </c>
      <c r="M271" s="264">
        <v>45972</v>
      </c>
      <c r="N271" s="267">
        <v>114673.4</v>
      </c>
      <c r="O271" s="265" t="s">
        <v>21</v>
      </c>
      <c r="P271" s="265" t="s">
        <v>22</v>
      </c>
      <c r="Q271" s="265" t="s">
        <v>660</v>
      </c>
      <c r="R271" s="265" t="str">
        <f>VLOOKUP('MIS Working 1'!$G271,Master!$H$3:$I$8,2,0)</f>
        <v>Finished Goods</v>
      </c>
      <c r="S271" s="265" t="str">
        <f>VLOOKUP('MIS Working 1'!$H271,Master!B:C,2,0)</f>
        <v>FG-PCB-MG</v>
      </c>
      <c r="T271" s="265" t="str">
        <f>VLOOKUP('MIS Working 1'!$S271,Master!E:F,2,0)</f>
        <v>FG-PCB-MG</v>
      </c>
      <c r="U271" s="268">
        <f>'MIS Working 1'!$N271-'MIS Working 1'!$AF271</f>
        <v>29272.099999999977</v>
      </c>
      <c r="V271" s="269">
        <f>'MIS Working 1'!$U271/'MIS Working 1'!$N271</f>
        <v>0.25526495246500042</v>
      </c>
      <c r="W271" s="265">
        <f>'MIS Working 1'!$N271/'MIS Working 1'!$L271</f>
        <v>498.58</v>
      </c>
      <c r="X271" s="270">
        <f>SUM('MIS Working 1'!$Y271:$AE271)</f>
        <v>439.00000000000006</v>
      </c>
      <c r="Y271" s="270">
        <f>SUMIFS('COGS Break up'!$E:$E,'COGS Break up'!$A:$A,'MIS Working 1'!$D271,'COGS Break up'!$D:$D,'MIS Working 1'!$Y$1)</f>
        <v>244.43000000000006</v>
      </c>
      <c r="Z271" s="270">
        <f>SUMIFS('COGS Break up'!$E:$E,'COGS Break up'!$A:$A,'MIS Working 1'!$D271,'COGS Break up'!$D:$D,'MIS Working 1'!$Z$1)</f>
        <v>58.8</v>
      </c>
      <c r="AA271" s="270">
        <f>SUMIFS('COGS Break up'!E:E,'COGS Break up'!A:A,'MIS Working 1'!$D:$D,'COGS Break up'!C:C,'MIS Working 1'!$AA$1)</f>
        <v>4.8099999999999996</v>
      </c>
      <c r="AB271" s="270">
        <f>SUMIFS('COGS Break up'!E:E,'COGS Break up'!A:A,'MIS Working 1'!$D:$D,'COGS Break up'!C:C,$AB$1)</f>
        <v>42.739999999999995</v>
      </c>
      <c r="AC271" s="270">
        <f>SUMIFS('COGS Break up'!E:E,'COGS Break up'!A:A,'MIS Working 1'!$D:$D,'COGS Break up'!C:C,$AC$1)</f>
        <v>20.27</v>
      </c>
      <c r="AD271" s="270">
        <f>SUMIFS('COGS Break up'!$E:$E,'COGS Break up'!$A:$A,'MIS Working 1'!$D271,'COGS Break up'!$D:$D,'MIS Working 1'!$AD$1)</f>
        <v>0.13</v>
      </c>
      <c r="AE271" s="270">
        <f>SUMIFS('COGS Break up'!$E:$E,'COGS Break up'!$A:$A,'MIS Working 1'!$D271,'COGS Break up'!$D:$D,'MIS Working 1'!$AE$1)</f>
        <v>67.819999999999993</v>
      </c>
      <c r="AF271" s="271">
        <f>'MIS Working 1'!$AG271+'MIS Working 1'!$AH271+'MIS Working 1'!$AM271+'MIS Working 1'!$AL271</f>
        <v>85401.300000000017</v>
      </c>
      <c r="AG271" s="270">
        <f>'MIS Working 1'!$L271*'MIS Working 1'!$Y271</f>
        <v>56218.900000000016</v>
      </c>
      <c r="AH271" s="270">
        <f>'MIS Working 1'!$L271*'MIS Working 1'!$Z271</f>
        <v>13524</v>
      </c>
      <c r="AI271" s="270">
        <f t="shared" si="12"/>
        <v>1106.3</v>
      </c>
      <c r="AJ271" s="270">
        <f t="shared" si="13"/>
        <v>9830.1999999999989</v>
      </c>
      <c r="AK271" s="270">
        <f t="shared" si="14"/>
        <v>4662.0999999999995</v>
      </c>
      <c r="AL271" s="270">
        <f>'MIS Working 1'!$AD271*'MIS Working 1'!$L271</f>
        <v>29.900000000000002</v>
      </c>
      <c r="AM271" s="270">
        <f>'MIS Working 1'!$L271*'MIS Working 1'!$AE271+'MIS Working 1'!$AL271</f>
        <v>15628.499999999998</v>
      </c>
    </row>
    <row r="272" spans="1:39" x14ac:dyDescent="0.3">
      <c r="A272" s="272" t="s">
        <v>479</v>
      </c>
      <c r="B272" s="273">
        <v>45972</v>
      </c>
      <c r="C272" s="274" t="s">
        <v>1804</v>
      </c>
      <c r="D272" s="274" t="s">
        <v>378</v>
      </c>
      <c r="E272" s="274" t="s">
        <v>379</v>
      </c>
      <c r="F272" s="274" t="s">
        <v>18</v>
      </c>
      <c r="G272" s="274" t="s">
        <v>19</v>
      </c>
      <c r="H272" s="274" t="s">
        <v>27</v>
      </c>
      <c r="I272" s="275">
        <v>990</v>
      </c>
      <c r="J272" s="276">
        <v>321948</v>
      </c>
      <c r="K272" s="275">
        <v>990</v>
      </c>
      <c r="L272" s="275">
        <v>990</v>
      </c>
      <c r="M272" s="273">
        <v>45972</v>
      </c>
      <c r="N272" s="276">
        <v>359924.4</v>
      </c>
      <c r="O272" s="274" t="s">
        <v>21</v>
      </c>
      <c r="P272" s="274" t="s">
        <v>22</v>
      </c>
      <c r="Q272" s="274" t="s">
        <v>660</v>
      </c>
      <c r="R272" s="274" t="str">
        <f>VLOOKUP('MIS Working 1'!$G272,Master!$H$3:$I$8,2,0)</f>
        <v>Finished Goods</v>
      </c>
      <c r="S272" s="274" t="str">
        <f>VLOOKUP('MIS Working 1'!$H272,Master!B:C,2,0)</f>
        <v>FG-PCB-CF</v>
      </c>
      <c r="T272" s="274" t="str">
        <f>VLOOKUP('MIS Working 1'!$S272,Master!E:F,2,0)</f>
        <v>FG-PCB-CF</v>
      </c>
      <c r="U272" s="277">
        <f>'MIS Working 1'!$N272-'MIS Working 1'!$AF272</f>
        <v>37719.000000000058</v>
      </c>
      <c r="V272" s="278">
        <f>'MIS Working 1'!$U272/'MIS Working 1'!$N272</f>
        <v>0.10479700737154818</v>
      </c>
      <c r="W272" s="274">
        <f>'MIS Working 1'!$N272/'MIS Working 1'!$L272</f>
        <v>363.56</v>
      </c>
      <c r="X272" s="279">
        <f>SUM('MIS Working 1'!$Y272:$AE272)</f>
        <v>354.76999999999992</v>
      </c>
      <c r="Y272" s="279">
        <f>SUMIFS('COGS Break up'!$E:$E,'COGS Break up'!$A:$A,'MIS Working 1'!$D272,'COGS Break up'!$D:$D,'MIS Working 1'!$Y$1)</f>
        <v>271.52999999999997</v>
      </c>
      <c r="Z272" s="279">
        <f>SUMIFS('COGS Break up'!$E:$E,'COGS Break up'!$A:$A,'MIS Working 1'!$D272,'COGS Break up'!$D:$D,'MIS Working 1'!$Z$1)</f>
        <v>23.84</v>
      </c>
      <c r="AA272" s="279">
        <f>SUMIFS('COGS Break up'!E:E,'COGS Break up'!A:A,'MIS Working 1'!$D:$D,'COGS Break up'!C:C,'MIS Working 1'!$AA$1)</f>
        <v>1.9500000000000002</v>
      </c>
      <c r="AB272" s="279">
        <f>SUMIFS('COGS Break up'!E:E,'COGS Break up'!A:A,'MIS Working 1'!$D:$D,'COGS Break up'!C:C,$AB$1)</f>
        <v>17.329999999999998</v>
      </c>
      <c r="AC272" s="279">
        <f>SUMIFS('COGS Break up'!E:E,'COGS Break up'!A:A,'MIS Working 1'!$D:$D,'COGS Break up'!C:C,$AC$1)</f>
        <v>10.29</v>
      </c>
      <c r="AD272" s="279">
        <f>SUMIFS('COGS Break up'!$E:$E,'COGS Break up'!$A:$A,'MIS Working 1'!$D272,'COGS Break up'!$D:$D,'MIS Working 1'!$AD$1)</f>
        <v>0.26</v>
      </c>
      <c r="AE272" s="279">
        <f>SUMIFS('COGS Break up'!$E:$E,'COGS Break up'!$A:$A,'MIS Working 1'!$D272,'COGS Break up'!$D:$D,'MIS Working 1'!$AE$1)</f>
        <v>29.569999999999997</v>
      </c>
      <c r="AF272" s="280">
        <f>'MIS Working 1'!$AG272+'MIS Working 1'!$AH272+'MIS Working 1'!$AM272+'MIS Working 1'!$AL272</f>
        <v>322205.39999999997</v>
      </c>
      <c r="AG272" s="279">
        <f>'MIS Working 1'!$L272*'MIS Working 1'!$Y272</f>
        <v>268814.69999999995</v>
      </c>
      <c r="AH272" s="279">
        <f>'MIS Working 1'!$L272*'MIS Working 1'!$Z272</f>
        <v>23601.599999999999</v>
      </c>
      <c r="AI272" s="279">
        <f t="shared" si="12"/>
        <v>1930.5000000000002</v>
      </c>
      <c r="AJ272" s="279">
        <f t="shared" si="13"/>
        <v>17156.699999999997</v>
      </c>
      <c r="AK272" s="279">
        <f t="shared" si="14"/>
        <v>10187.099999999999</v>
      </c>
      <c r="AL272" s="279">
        <f>'MIS Working 1'!$AD272*'MIS Working 1'!$L272</f>
        <v>257.40000000000003</v>
      </c>
      <c r="AM272" s="279">
        <f>'MIS Working 1'!$L272*'MIS Working 1'!$AE272+'MIS Working 1'!$AL272</f>
        <v>29531.699999999997</v>
      </c>
    </row>
    <row r="273" spans="1:39" x14ac:dyDescent="0.3">
      <c r="A273" s="263" t="s">
        <v>479</v>
      </c>
      <c r="B273" s="264">
        <v>45972</v>
      </c>
      <c r="C273" s="265" t="s">
        <v>1804</v>
      </c>
      <c r="D273" s="265" t="s">
        <v>380</v>
      </c>
      <c r="E273" s="265" t="s">
        <v>381</v>
      </c>
      <c r="F273" s="265" t="s">
        <v>18</v>
      </c>
      <c r="G273" s="265" t="s">
        <v>19</v>
      </c>
      <c r="H273" s="265" t="s">
        <v>27</v>
      </c>
      <c r="I273" s="266">
        <v>856</v>
      </c>
      <c r="J273" s="267">
        <v>185409.6</v>
      </c>
      <c r="K273" s="266">
        <v>856</v>
      </c>
      <c r="L273" s="266">
        <v>856</v>
      </c>
      <c r="M273" s="264">
        <v>45972</v>
      </c>
      <c r="N273" s="267">
        <v>192197.68</v>
      </c>
      <c r="O273" s="265" t="s">
        <v>21</v>
      </c>
      <c r="P273" s="265" t="s">
        <v>22</v>
      </c>
      <c r="Q273" s="265" t="s">
        <v>660</v>
      </c>
      <c r="R273" s="265" t="str">
        <f>VLOOKUP('MIS Working 1'!$G273,Master!$H$3:$I$8,2,0)</f>
        <v>Finished Goods</v>
      </c>
      <c r="S273" s="265" t="str">
        <f>VLOOKUP('MIS Working 1'!$H273,Master!B:C,2,0)</f>
        <v>FG-PCB-CF</v>
      </c>
      <c r="T273" s="265" t="str">
        <f>VLOOKUP('MIS Working 1'!$S273,Master!E:F,2,0)</f>
        <v>FG-PCB-CF</v>
      </c>
      <c r="U273" s="268">
        <f>'MIS Working 1'!$N273-'MIS Working 1'!$AF273</f>
        <v>6753.8400000000256</v>
      </c>
      <c r="V273" s="269">
        <f>'MIS Working 1'!$U273/'MIS Working 1'!$N273</f>
        <v>3.5140070369215827E-2</v>
      </c>
      <c r="W273" s="265">
        <f>'MIS Working 1'!$N273/'MIS Working 1'!$L273</f>
        <v>224.53</v>
      </c>
      <c r="X273" s="270">
        <f>SUM('MIS Working 1'!$Y273:$AE273)</f>
        <v>239.77999999999994</v>
      </c>
      <c r="Y273" s="270">
        <f>SUMIFS('COGS Break up'!$E:$E,'COGS Break up'!$A:$A,'MIS Working 1'!$D273,'COGS Break up'!$D:$D,'MIS Working 1'!$Y$1)</f>
        <v>174.98999999999995</v>
      </c>
      <c r="Z273" s="270">
        <f>SUMIFS('COGS Break up'!$E:$E,'COGS Break up'!$A:$A,'MIS Working 1'!$D273,'COGS Break up'!$D:$D,'MIS Working 1'!$Z$1)</f>
        <v>18.389999999999997</v>
      </c>
      <c r="AA273" s="270">
        <f>SUMIFS('COGS Break up'!E:E,'COGS Break up'!A:A,'MIS Working 1'!$D:$D,'COGS Break up'!C:C,'MIS Working 1'!$AA$1)</f>
        <v>1.5</v>
      </c>
      <c r="AB273" s="270">
        <f>SUMIFS('COGS Break up'!E:E,'COGS Break up'!A:A,'MIS Working 1'!$D:$D,'COGS Break up'!C:C,$AB$1)</f>
        <v>13.37</v>
      </c>
      <c r="AC273" s="270">
        <f>SUMIFS('COGS Break up'!E:E,'COGS Break up'!A:A,'MIS Working 1'!$D:$D,'COGS Break up'!C:C,$AC$1)</f>
        <v>8.31</v>
      </c>
      <c r="AD273" s="270">
        <f>SUMIFS('COGS Break up'!$E:$E,'COGS Break up'!$A:$A,'MIS Working 1'!$D273,'COGS Break up'!$D:$D,'MIS Working 1'!$AD$1)</f>
        <v>0.04</v>
      </c>
      <c r="AE273" s="270">
        <f>SUMIFS('COGS Break up'!$E:$E,'COGS Break up'!$A:$A,'MIS Working 1'!$D273,'COGS Break up'!$D:$D,'MIS Working 1'!$AE$1)</f>
        <v>23.18</v>
      </c>
      <c r="AF273" s="271">
        <f>'MIS Working 1'!$AG273+'MIS Working 1'!$AH273+'MIS Working 1'!$AM273+'MIS Working 1'!$AL273</f>
        <v>185443.83999999997</v>
      </c>
      <c r="AG273" s="270">
        <f>'MIS Working 1'!$L273*'MIS Working 1'!$Y273</f>
        <v>149791.43999999997</v>
      </c>
      <c r="AH273" s="270">
        <f>'MIS Working 1'!$L273*'MIS Working 1'!$Z273</f>
        <v>15741.839999999998</v>
      </c>
      <c r="AI273" s="270">
        <f t="shared" si="12"/>
        <v>1284</v>
      </c>
      <c r="AJ273" s="270">
        <f t="shared" si="13"/>
        <v>11444.72</v>
      </c>
      <c r="AK273" s="270">
        <f t="shared" si="14"/>
        <v>7113.3600000000006</v>
      </c>
      <c r="AL273" s="270">
        <f>'MIS Working 1'!$AD273*'MIS Working 1'!$L273</f>
        <v>34.24</v>
      </c>
      <c r="AM273" s="270">
        <f>'MIS Working 1'!$L273*'MIS Working 1'!$AE273+'MIS Working 1'!$AL273</f>
        <v>19876.32</v>
      </c>
    </row>
    <row r="274" spans="1:39" x14ac:dyDescent="0.3">
      <c r="A274" s="272" t="s">
        <v>1626</v>
      </c>
      <c r="B274" s="273">
        <v>45972</v>
      </c>
      <c r="C274" s="274" t="s">
        <v>1805</v>
      </c>
      <c r="D274" s="274" t="s">
        <v>698</v>
      </c>
      <c r="E274" s="274" t="s">
        <v>699</v>
      </c>
      <c r="F274" s="274" t="s">
        <v>18</v>
      </c>
      <c r="G274" s="274" t="s">
        <v>19</v>
      </c>
      <c r="H274" s="274" t="s">
        <v>691</v>
      </c>
      <c r="I274" s="275">
        <v>245</v>
      </c>
      <c r="J274" s="276">
        <v>111359.85</v>
      </c>
      <c r="K274" s="275">
        <v>245</v>
      </c>
      <c r="L274" s="275">
        <v>245</v>
      </c>
      <c r="M274" s="273">
        <v>45972</v>
      </c>
      <c r="N274" s="276">
        <v>101895.5</v>
      </c>
      <c r="O274" s="274" t="s">
        <v>21</v>
      </c>
      <c r="P274" s="274" t="s">
        <v>22</v>
      </c>
      <c r="Q274" s="274" t="s">
        <v>1750</v>
      </c>
      <c r="R274" s="274" t="str">
        <f>VLOOKUP('MIS Working 1'!$G274,Master!$H$3:$I$8,2,0)</f>
        <v>Finished Goods</v>
      </c>
      <c r="S274" s="274" t="str">
        <f>VLOOKUP('MIS Working 1'!$H274,Master!B:C,2,0)</f>
        <v>FG-PCB-WP</v>
      </c>
      <c r="T274" s="274" t="str">
        <f>VLOOKUP('MIS Working 1'!$S274,Master!E:F,2,0)</f>
        <v>FG-PCB-WP</v>
      </c>
      <c r="U274" s="277">
        <f>'MIS Working 1'!$N274-'MIS Working 1'!$AF274</f>
        <v>-9506</v>
      </c>
      <c r="V274" s="278">
        <f>'MIS Working 1'!$U274/'MIS Working 1'!$N274</f>
        <v>-9.3291656648232746E-2</v>
      </c>
      <c r="W274" s="274">
        <f>'MIS Working 1'!$N274/'MIS Working 1'!$L274</f>
        <v>415.9</v>
      </c>
      <c r="X274" s="279">
        <f>SUM('MIS Working 1'!$Y274:$AE274)</f>
        <v>486.75000000000011</v>
      </c>
      <c r="Y274" s="279">
        <f>SUMIFS('COGS Break up'!$E:$E,'COGS Break up'!$A:$A,'MIS Working 1'!$D274,'COGS Break up'!$D:$D,'MIS Working 1'!$Y$1)</f>
        <v>392.59000000000003</v>
      </c>
      <c r="Z274" s="279">
        <f>SUMIFS('COGS Break up'!$E:$E,'COGS Break up'!$A:$A,'MIS Working 1'!$D274,'COGS Break up'!$D:$D,'MIS Working 1'!$Z$1)</f>
        <v>29.55</v>
      </c>
      <c r="AA274" s="279">
        <f>SUMIFS('COGS Break up'!E:E,'COGS Break up'!A:A,'MIS Working 1'!$D:$D,'COGS Break up'!C:C,'MIS Working 1'!$AA$1)</f>
        <v>2.42</v>
      </c>
      <c r="AB274" s="279">
        <f>SUMIFS('COGS Break up'!E:E,'COGS Break up'!A:A,'MIS Working 1'!$D:$D,'COGS Break up'!C:C,$AB$1)</f>
        <v>21.49</v>
      </c>
      <c r="AC274" s="279">
        <f>SUMIFS('COGS Break up'!E:E,'COGS Break up'!A:A,'MIS Working 1'!$D:$D,'COGS Break up'!C:C,$AC$1)</f>
        <v>8.31</v>
      </c>
      <c r="AD274" s="279">
        <f>SUMIFS('COGS Break up'!$E:$E,'COGS Break up'!$A:$A,'MIS Working 1'!$D274,'COGS Break up'!$D:$D,'MIS Working 1'!$AD$1)</f>
        <v>0.17</v>
      </c>
      <c r="AE274" s="279">
        <f>SUMIFS('COGS Break up'!$E:$E,'COGS Break up'!$A:$A,'MIS Working 1'!$D274,'COGS Break up'!$D:$D,'MIS Working 1'!$AE$1)</f>
        <v>32.22</v>
      </c>
      <c r="AF274" s="280">
        <f>'MIS Working 1'!$AG274+'MIS Working 1'!$AH274+'MIS Working 1'!$AM274+'MIS Working 1'!$AL274</f>
        <v>111401.5</v>
      </c>
      <c r="AG274" s="279">
        <f>'MIS Working 1'!$L274*'MIS Working 1'!$Y274</f>
        <v>96184.55</v>
      </c>
      <c r="AH274" s="279">
        <f>'MIS Working 1'!$L274*'MIS Working 1'!$Z274</f>
        <v>7239.75</v>
      </c>
      <c r="AI274" s="279">
        <f t="shared" si="12"/>
        <v>592.9</v>
      </c>
      <c r="AJ274" s="279">
        <f t="shared" si="13"/>
        <v>5265.0499999999993</v>
      </c>
      <c r="AK274" s="279">
        <f t="shared" si="14"/>
        <v>2035.95</v>
      </c>
      <c r="AL274" s="279">
        <f>'MIS Working 1'!$AD274*'MIS Working 1'!$L274</f>
        <v>41.650000000000006</v>
      </c>
      <c r="AM274" s="279">
        <f>'MIS Working 1'!$L274*'MIS Working 1'!$AE274+'MIS Working 1'!$AL274</f>
        <v>7935.5499999999993</v>
      </c>
    </row>
    <row r="275" spans="1:39" x14ac:dyDescent="0.3">
      <c r="A275" s="263" t="s">
        <v>479</v>
      </c>
      <c r="B275" s="264">
        <v>45972</v>
      </c>
      <c r="C275" s="265" t="s">
        <v>1806</v>
      </c>
      <c r="D275" s="265" t="s">
        <v>639</v>
      </c>
      <c r="E275" s="265" t="s">
        <v>640</v>
      </c>
      <c r="F275" s="265" t="s">
        <v>18</v>
      </c>
      <c r="G275" s="265" t="s">
        <v>19</v>
      </c>
      <c r="H275" s="265" t="s">
        <v>27</v>
      </c>
      <c r="I275" s="266">
        <v>415</v>
      </c>
      <c r="J275" s="267">
        <v>267687.45</v>
      </c>
      <c r="K275" s="266">
        <v>415</v>
      </c>
      <c r="L275" s="266">
        <v>415</v>
      </c>
      <c r="M275" s="264">
        <v>45972</v>
      </c>
      <c r="N275" s="267">
        <v>302352.40000000002</v>
      </c>
      <c r="O275" s="265" t="s">
        <v>21</v>
      </c>
      <c r="P275" s="265" t="s">
        <v>22</v>
      </c>
      <c r="Q275" s="265" t="s">
        <v>660</v>
      </c>
      <c r="R275" s="265" t="str">
        <f>VLOOKUP('MIS Working 1'!$G275,Master!$H$3:$I$8,2,0)</f>
        <v>Finished Goods</v>
      </c>
      <c r="S275" s="265" t="str">
        <f>VLOOKUP('MIS Working 1'!$H275,Master!B:C,2,0)</f>
        <v>FG-PCB-CF</v>
      </c>
      <c r="T275" s="265" t="str">
        <f>VLOOKUP('MIS Working 1'!$S275,Master!E:F,2,0)</f>
        <v>FG-PCB-CF</v>
      </c>
      <c r="U275" s="268">
        <f>'MIS Working 1'!$N275-'MIS Working 1'!$AF275</f>
        <v>34486.500000000116</v>
      </c>
      <c r="V275" s="269">
        <f>'MIS Working 1'!$U275/'MIS Working 1'!$N275</f>
        <v>0.11406061271549395</v>
      </c>
      <c r="W275" s="265">
        <f>'MIS Working 1'!$N275/'MIS Working 1'!$L275</f>
        <v>728.56000000000006</v>
      </c>
      <c r="X275" s="270">
        <f>SUM('MIS Working 1'!$Y275:$AE275)</f>
        <v>677.50999999999965</v>
      </c>
      <c r="Y275" s="270">
        <f>SUMIFS('COGS Break up'!$E:$E,'COGS Break up'!$A:$A,'MIS Working 1'!$D275,'COGS Break up'!$D:$D,'MIS Working 1'!$Y$1)</f>
        <v>582.23999999999967</v>
      </c>
      <c r="Z275" s="270">
        <f>SUMIFS('COGS Break up'!$E:$E,'COGS Break up'!$A:$A,'MIS Working 1'!$D275,'COGS Break up'!$D:$D,'MIS Working 1'!$Z$1)</f>
        <v>29.88</v>
      </c>
      <c r="AA275" s="270">
        <f>SUMIFS('COGS Break up'!E:E,'COGS Break up'!A:A,'MIS Working 1'!$D:$D,'COGS Break up'!C:C,'MIS Working 1'!$AA$1)</f>
        <v>2.4500000000000002</v>
      </c>
      <c r="AB275" s="270">
        <f>SUMIFS('COGS Break up'!E:E,'COGS Break up'!A:A,'MIS Working 1'!$D:$D,'COGS Break up'!C:C,$AB$1)</f>
        <v>21.72</v>
      </c>
      <c r="AC275" s="270">
        <f>SUMIFS('COGS Break up'!E:E,'COGS Break up'!A:A,'MIS Working 1'!$D:$D,'COGS Break up'!C:C,$AC$1)</f>
        <v>8.31</v>
      </c>
      <c r="AD275" s="270">
        <f>SUMIFS('COGS Break up'!$E:$E,'COGS Break up'!$A:$A,'MIS Working 1'!$D275,'COGS Break up'!$D:$D,'MIS Working 1'!$AD$1)</f>
        <v>0.43</v>
      </c>
      <c r="AE275" s="270">
        <f>SUMIFS('COGS Break up'!$E:$E,'COGS Break up'!$A:$A,'MIS Working 1'!$D275,'COGS Break up'!$D:$D,'MIS Working 1'!$AE$1)</f>
        <v>32.480000000000004</v>
      </c>
      <c r="AF275" s="271">
        <f>'MIS Working 1'!$AG275+'MIS Working 1'!$AH275+'MIS Working 1'!$AM275+'MIS Working 1'!$AL275</f>
        <v>267865.89999999991</v>
      </c>
      <c r="AG275" s="270">
        <f>'MIS Working 1'!$L275*'MIS Working 1'!$Y275</f>
        <v>241629.59999999986</v>
      </c>
      <c r="AH275" s="270">
        <f>'MIS Working 1'!$L275*'MIS Working 1'!$Z275</f>
        <v>12400.199999999999</v>
      </c>
      <c r="AI275" s="270">
        <f t="shared" si="12"/>
        <v>1016.7500000000001</v>
      </c>
      <c r="AJ275" s="270">
        <f t="shared" si="13"/>
        <v>9013.7999999999993</v>
      </c>
      <c r="AK275" s="270">
        <f t="shared" si="14"/>
        <v>3448.65</v>
      </c>
      <c r="AL275" s="270">
        <f>'MIS Working 1'!$AD275*'MIS Working 1'!$L275</f>
        <v>178.45</v>
      </c>
      <c r="AM275" s="270">
        <f>'MIS Working 1'!$L275*'MIS Working 1'!$AE275+'MIS Working 1'!$AL275</f>
        <v>13657.650000000003</v>
      </c>
    </row>
    <row r="276" spans="1:39" x14ac:dyDescent="0.3">
      <c r="A276" s="272" t="s">
        <v>479</v>
      </c>
      <c r="B276" s="273">
        <v>45972</v>
      </c>
      <c r="C276" s="274" t="s">
        <v>1807</v>
      </c>
      <c r="D276" s="274" t="s">
        <v>23</v>
      </c>
      <c r="E276" s="274" t="s">
        <v>24</v>
      </c>
      <c r="F276" s="274" t="s">
        <v>18</v>
      </c>
      <c r="G276" s="274" t="s">
        <v>19</v>
      </c>
      <c r="H276" s="274" t="s">
        <v>27</v>
      </c>
      <c r="I276" s="275">
        <v>1280</v>
      </c>
      <c r="J276" s="276">
        <v>539404.80000000005</v>
      </c>
      <c r="K276" s="275">
        <v>1280</v>
      </c>
      <c r="L276" s="275">
        <v>1280</v>
      </c>
      <c r="M276" s="273">
        <v>45972</v>
      </c>
      <c r="N276" s="276">
        <v>618444.80000000005</v>
      </c>
      <c r="O276" s="274" t="s">
        <v>21</v>
      </c>
      <c r="P276" s="274" t="s">
        <v>22</v>
      </c>
      <c r="Q276" s="274" t="s">
        <v>660</v>
      </c>
      <c r="R276" s="274" t="str">
        <f>VLOOKUP('MIS Working 1'!$G276,Master!$H$3:$I$8,2,0)</f>
        <v>Finished Goods</v>
      </c>
      <c r="S276" s="274" t="str">
        <f>VLOOKUP('MIS Working 1'!$H276,Master!B:C,2,0)</f>
        <v>FG-PCB-CF</v>
      </c>
      <c r="T276" s="274" t="str">
        <f>VLOOKUP('MIS Working 1'!$S276,Master!E:F,2,0)</f>
        <v>FG-PCB-CF</v>
      </c>
      <c r="U276" s="277">
        <f>'MIS Working 1'!$N276-'MIS Working 1'!$AF276</f>
        <v>78707.200000000186</v>
      </c>
      <c r="V276" s="278">
        <f>'MIS Working 1'!$U276/'MIS Working 1'!$N276</f>
        <v>0.12726632999420512</v>
      </c>
      <c r="W276" s="274">
        <f>'MIS Working 1'!$N276/'MIS Working 1'!$L276</f>
        <v>483.16</v>
      </c>
      <c r="X276" s="279">
        <f>SUM('MIS Working 1'!$Y276:$AE276)</f>
        <v>447.50999999999988</v>
      </c>
      <c r="Y276" s="279">
        <f>SUMIFS('COGS Break up'!$E:$E,'COGS Break up'!$A:$A,'MIS Working 1'!$D276,'COGS Break up'!$D:$D,'MIS Working 1'!$Y$1)</f>
        <v>373.04999999999984</v>
      </c>
      <c r="Z276" s="279">
        <f>SUMIFS('COGS Break up'!$E:$E,'COGS Break up'!$A:$A,'MIS Working 1'!$D276,'COGS Break up'!$D:$D,'MIS Working 1'!$Z$1)</f>
        <v>22</v>
      </c>
      <c r="AA276" s="279">
        <f>SUMIFS('COGS Break up'!E:E,'COGS Break up'!A:A,'MIS Working 1'!$D:$D,'COGS Break up'!C:C,'MIS Working 1'!$AA$1)</f>
        <v>1.8</v>
      </c>
      <c r="AB276" s="279">
        <f>SUMIFS('COGS Break up'!E:E,'COGS Break up'!A:A,'MIS Working 1'!$D:$D,'COGS Break up'!C:C,$AB$1)</f>
        <v>15.99</v>
      </c>
      <c r="AC276" s="279">
        <f>SUMIFS('COGS Break up'!E:E,'COGS Break up'!A:A,'MIS Working 1'!$D:$D,'COGS Break up'!C:C,$AC$1)</f>
        <v>8.31</v>
      </c>
      <c r="AD276" s="279">
        <f>SUMIFS('COGS Break up'!$E:$E,'COGS Break up'!$A:$A,'MIS Working 1'!$D276,'COGS Break up'!$D:$D,'MIS Working 1'!$AD$1)</f>
        <v>0.26</v>
      </c>
      <c r="AE276" s="279">
        <f>SUMIFS('COGS Break up'!$E:$E,'COGS Break up'!$A:$A,'MIS Working 1'!$D276,'COGS Break up'!$D:$D,'MIS Working 1'!$AE$1)</f>
        <v>26.1</v>
      </c>
      <c r="AF276" s="280">
        <f>'MIS Working 1'!$AG276+'MIS Working 1'!$AH276+'MIS Working 1'!$AM276+'MIS Working 1'!$AL276</f>
        <v>539737.59999999986</v>
      </c>
      <c r="AG276" s="279">
        <f>'MIS Working 1'!$L276*'MIS Working 1'!$Y276</f>
        <v>477503.99999999977</v>
      </c>
      <c r="AH276" s="279">
        <f>'MIS Working 1'!$L276*'MIS Working 1'!$Z276</f>
        <v>28160</v>
      </c>
      <c r="AI276" s="279">
        <f t="shared" si="12"/>
        <v>2304</v>
      </c>
      <c r="AJ276" s="279">
        <f t="shared" si="13"/>
        <v>20467.2</v>
      </c>
      <c r="AK276" s="279">
        <f t="shared" si="14"/>
        <v>10636.800000000001</v>
      </c>
      <c r="AL276" s="279">
        <f>'MIS Working 1'!$AD276*'MIS Working 1'!$L276</f>
        <v>332.8</v>
      </c>
      <c r="AM276" s="279">
        <f>'MIS Working 1'!$L276*'MIS Working 1'!$AE276+'MIS Working 1'!$AL276</f>
        <v>33740.800000000003</v>
      </c>
    </row>
    <row r="277" spans="1:39" x14ac:dyDescent="0.3">
      <c r="A277" s="263" t="s">
        <v>479</v>
      </c>
      <c r="B277" s="264">
        <v>45972</v>
      </c>
      <c r="C277" s="265" t="s">
        <v>1807</v>
      </c>
      <c r="D277" s="265" t="s">
        <v>493</v>
      </c>
      <c r="E277" s="265" t="s">
        <v>494</v>
      </c>
      <c r="F277" s="265" t="s">
        <v>18</v>
      </c>
      <c r="G277" s="265" t="s">
        <v>19</v>
      </c>
      <c r="H277" s="265" t="s">
        <v>27</v>
      </c>
      <c r="I277" s="266">
        <v>900</v>
      </c>
      <c r="J277" s="267">
        <v>294534</v>
      </c>
      <c r="K277" s="266">
        <v>900</v>
      </c>
      <c r="L277" s="266">
        <v>900</v>
      </c>
      <c r="M277" s="264">
        <v>45972</v>
      </c>
      <c r="N277" s="267">
        <v>305811</v>
      </c>
      <c r="O277" s="265" t="s">
        <v>21</v>
      </c>
      <c r="P277" s="265" t="s">
        <v>22</v>
      </c>
      <c r="Q277" s="265" t="s">
        <v>660</v>
      </c>
      <c r="R277" s="265" t="str">
        <f>VLOOKUP('MIS Working 1'!$G277,Master!$H$3:$I$8,2,0)</f>
        <v>Finished Goods</v>
      </c>
      <c r="S277" s="265" t="str">
        <f>VLOOKUP('MIS Working 1'!$H277,Master!B:C,2,0)</f>
        <v>FG-PCB-CF</v>
      </c>
      <c r="T277" s="265" t="str">
        <f>VLOOKUP('MIS Working 1'!$S277,Master!E:F,2,0)</f>
        <v>FG-PCB-CF</v>
      </c>
      <c r="U277" s="268">
        <f>'MIS Working 1'!$N277-'MIS Working 1'!$AF277</f>
        <v>11124.000000000058</v>
      </c>
      <c r="V277" s="269">
        <f>'MIS Working 1'!$U277/'MIS Working 1'!$N277</f>
        <v>3.637540834044576E-2</v>
      </c>
      <c r="W277" s="265">
        <f>'MIS Working 1'!$N277/'MIS Working 1'!$L277</f>
        <v>339.79</v>
      </c>
      <c r="X277" s="270">
        <f>SUM('MIS Working 1'!$Y277:$AE277)</f>
        <v>354.75</v>
      </c>
      <c r="Y277" s="270">
        <f>SUMIFS('COGS Break up'!$E:$E,'COGS Break up'!$A:$A,'MIS Working 1'!$D277,'COGS Break up'!$D:$D,'MIS Working 1'!$Y$1)</f>
        <v>275.87999999999994</v>
      </c>
      <c r="Z277" s="270">
        <f>SUMIFS('COGS Break up'!$E:$E,'COGS Break up'!$A:$A,'MIS Working 1'!$D277,'COGS Break up'!$D:$D,'MIS Working 1'!$Z$1)</f>
        <v>23.720000000000002</v>
      </c>
      <c r="AA277" s="270">
        <f>SUMIFS('COGS Break up'!E:E,'COGS Break up'!A:A,'MIS Working 1'!$D:$D,'COGS Break up'!C:C,'MIS Working 1'!$AA$1)</f>
        <v>1.94</v>
      </c>
      <c r="AB277" s="270">
        <f>SUMIFS('COGS Break up'!E:E,'COGS Break up'!A:A,'MIS Working 1'!$D:$D,'COGS Break up'!C:C,$AB$1)</f>
        <v>17.239999999999998</v>
      </c>
      <c r="AC277" s="270">
        <f>SUMIFS('COGS Break up'!E:E,'COGS Break up'!A:A,'MIS Working 1'!$D:$D,'COGS Break up'!C:C,$AC$1)</f>
        <v>8.31</v>
      </c>
      <c r="AD277" s="270">
        <f>SUMIFS('COGS Break up'!$E:$E,'COGS Break up'!$A:$A,'MIS Working 1'!$D277,'COGS Break up'!$D:$D,'MIS Working 1'!$AD$1)</f>
        <v>0.17</v>
      </c>
      <c r="AE277" s="270">
        <f>SUMIFS('COGS Break up'!$E:$E,'COGS Break up'!$A:$A,'MIS Working 1'!$D277,'COGS Break up'!$D:$D,'MIS Working 1'!$AE$1)</f>
        <v>27.49</v>
      </c>
      <c r="AF277" s="271">
        <f>'MIS Working 1'!$AG277+'MIS Working 1'!$AH277+'MIS Working 1'!$AM277+'MIS Working 1'!$AL277</f>
        <v>294686.99999999994</v>
      </c>
      <c r="AG277" s="270">
        <f>'MIS Working 1'!$L277*'MIS Working 1'!$Y277</f>
        <v>248291.99999999994</v>
      </c>
      <c r="AH277" s="270">
        <f>'MIS Working 1'!$L277*'MIS Working 1'!$Z277</f>
        <v>21348.000000000004</v>
      </c>
      <c r="AI277" s="270">
        <f t="shared" si="12"/>
        <v>1746</v>
      </c>
      <c r="AJ277" s="270">
        <f t="shared" si="13"/>
        <v>15515.999999999998</v>
      </c>
      <c r="AK277" s="270">
        <f t="shared" si="14"/>
        <v>7479</v>
      </c>
      <c r="AL277" s="270">
        <f>'MIS Working 1'!$AD277*'MIS Working 1'!$L277</f>
        <v>153</v>
      </c>
      <c r="AM277" s="270">
        <f>'MIS Working 1'!$L277*'MIS Working 1'!$AE277+'MIS Working 1'!$AL277</f>
        <v>24894</v>
      </c>
    </row>
    <row r="278" spans="1:39" x14ac:dyDescent="0.3">
      <c r="A278" s="272" t="s">
        <v>479</v>
      </c>
      <c r="B278" s="273">
        <v>45972</v>
      </c>
      <c r="C278" s="274" t="s">
        <v>1808</v>
      </c>
      <c r="D278" s="274" t="s">
        <v>698</v>
      </c>
      <c r="E278" s="274" t="s">
        <v>699</v>
      </c>
      <c r="F278" s="274" t="s">
        <v>18</v>
      </c>
      <c r="G278" s="274" t="s">
        <v>19</v>
      </c>
      <c r="H278" s="274" t="s">
        <v>691</v>
      </c>
      <c r="I278" s="275">
        <v>2</v>
      </c>
      <c r="J278" s="276">
        <v>909.06</v>
      </c>
      <c r="K278" s="275">
        <v>2</v>
      </c>
      <c r="L278" s="275">
        <v>2</v>
      </c>
      <c r="M278" s="273">
        <v>45972</v>
      </c>
      <c r="N278" s="276">
        <v>831.8</v>
      </c>
      <c r="O278" s="274" t="s">
        <v>21</v>
      </c>
      <c r="P278" s="274" t="s">
        <v>22</v>
      </c>
      <c r="Q278" s="274" t="s">
        <v>660</v>
      </c>
      <c r="R278" s="274" t="str">
        <f>VLOOKUP('MIS Working 1'!$G278,Master!$H$3:$I$8,2,0)</f>
        <v>Finished Goods</v>
      </c>
      <c r="S278" s="274" t="str">
        <f>VLOOKUP('MIS Working 1'!$H278,Master!B:C,2,0)</f>
        <v>FG-PCB-WP</v>
      </c>
      <c r="T278" s="274" t="str">
        <f>VLOOKUP('MIS Working 1'!$S278,Master!E:F,2,0)</f>
        <v>FG-PCB-WP</v>
      </c>
      <c r="U278" s="277">
        <f>'MIS Working 1'!$N278-'MIS Working 1'!$AF278</f>
        <v>-77.600000000000136</v>
      </c>
      <c r="V278" s="278">
        <f>'MIS Working 1'!$U278/'MIS Working 1'!$N278</f>
        <v>-9.3291656648232912E-2</v>
      </c>
      <c r="W278" s="274">
        <f>'MIS Working 1'!$N278/'MIS Working 1'!$L278</f>
        <v>415.9</v>
      </c>
      <c r="X278" s="279">
        <f>SUM('MIS Working 1'!$Y278:$AE278)</f>
        <v>486.75000000000011</v>
      </c>
      <c r="Y278" s="279">
        <f>SUMIFS('COGS Break up'!$E:$E,'COGS Break up'!$A:$A,'MIS Working 1'!$D278,'COGS Break up'!$D:$D,'MIS Working 1'!$Y$1)</f>
        <v>392.59000000000003</v>
      </c>
      <c r="Z278" s="279">
        <f>SUMIFS('COGS Break up'!$E:$E,'COGS Break up'!$A:$A,'MIS Working 1'!$D278,'COGS Break up'!$D:$D,'MIS Working 1'!$Z$1)</f>
        <v>29.55</v>
      </c>
      <c r="AA278" s="279">
        <f>SUMIFS('COGS Break up'!E:E,'COGS Break up'!A:A,'MIS Working 1'!$D:$D,'COGS Break up'!C:C,'MIS Working 1'!$AA$1)</f>
        <v>2.42</v>
      </c>
      <c r="AB278" s="279">
        <f>SUMIFS('COGS Break up'!E:E,'COGS Break up'!A:A,'MIS Working 1'!$D:$D,'COGS Break up'!C:C,$AB$1)</f>
        <v>21.49</v>
      </c>
      <c r="AC278" s="279">
        <f>SUMIFS('COGS Break up'!E:E,'COGS Break up'!A:A,'MIS Working 1'!$D:$D,'COGS Break up'!C:C,$AC$1)</f>
        <v>8.31</v>
      </c>
      <c r="AD278" s="279">
        <f>SUMIFS('COGS Break up'!$E:$E,'COGS Break up'!$A:$A,'MIS Working 1'!$D278,'COGS Break up'!$D:$D,'MIS Working 1'!$AD$1)</f>
        <v>0.17</v>
      </c>
      <c r="AE278" s="279">
        <f>SUMIFS('COGS Break up'!$E:$E,'COGS Break up'!$A:$A,'MIS Working 1'!$D278,'COGS Break up'!$D:$D,'MIS Working 1'!$AE$1)</f>
        <v>32.22</v>
      </c>
      <c r="AF278" s="280">
        <f>'MIS Working 1'!$AG278+'MIS Working 1'!$AH278+'MIS Working 1'!$AM278+'MIS Working 1'!$AL278</f>
        <v>909.40000000000009</v>
      </c>
      <c r="AG278" s="279">
        <f>'MIS Working 1'!$L278*'MIS Working 1'!$Y278</f>
        <v>785.18000000000006</v>
      </c>
      <c r="AH278" s="279">
        <f>'MIS Working 1'!$L278*'MIS Working 1'!$Z278</f>
        <v>59.1</v>
      </c>
      <c r="AI278" s="279">
        <f t="shared" si="12"/>
        <v>4.84</v>
      </c>
      <c r="AJ278" s="279">
        <f t="shared" si="13"/>
        <v>42.98</v>
      </c>
      <c r="AK278" s="279">
        <f t="shared" si="14"/>
        <v>16.62</v>
      </c>
      <c r="AL278" s="279">
        <f>'MIS Working 1'!$AD278*'MIS Working 1'!$L278</f>
        <v>0.34</v>
      </c>
      <c r="AM278" s="279">
        <f>'MIS Working 1'!$L278*'MIS Working 1'!$AE278+'MIS Working 1'!$AL278</f>
        <v>64.78</v>
      </c>
    </row>
    <row r="279" spans="1:39" x14ac:dyDescent="0.3">
      <c r="A279" s="263" t="s">
        <v>1374</v>
      </c>
      <c r="B279" s="264">
        <v>45972</v>
      </c>
      <c r="C279" s="265" t="s">
        <v>1809</v>
      </c>
      <c r="D279" s="265" t="s">
        <v>1429</v>
      </c>
      <c r="E279" s="265" t="s">
        <v>1430</v>
      </c>
      <c r="F279" s="265" t="s">
        <v>18</v>
      </c>
      <c r="G279" s="265" t="s">
        <v>48</v>
      </c>
      <c r="H279" s="265" t="s">
        <v>198</v>
      </c>
      <c r="I279" s="266">
        <v>30000</v>
      </c>
      <c r="J279" s="267">
        <v>27116.97</v>
      </c>
      <c r="K279" s="266">
        <v>30000</v>
      </c>
      <c r="L279" s="266">
        <v>30000</v>
      </c>
      <c r="M279" s="264">
        <v>45972</v>
      </c>
      <c r="N279" s="267">
        <v>27300</v>
      </c>
      <c r="O279" s="265" t="s">
        <v>21</v>
      </c>
      <c r="P279" s="265" t="s">
        <v>22</v>
      </c>
      <c r="Q279" s="265" t="s">
        <v>660</v>
      </c>
      <c r="R279" s="265" t="str">
        <f>VLOOKUP('MIS Working 1'!$G279,Master!$H$3:$I$8,2,0)</f>
        <v>Raw Material</v>
      </c>
      <c r="S279" s="265" t="str">
        <f>VLOOKUP('MIS Working 1'!$H279,Master!B:C,2,0)</f>
        <v>RM-Eletro-Capacitor</v>
      </c>
      <c r="T279" s="265" t="str">
        <f>VLOOKUP('MIS Working 1'!$S279,Master!E:F,2,0)</f>
        <v>Raw Material</v>
      </c>
      <c r="U279" s="268">
        <f>'MIS Working 1'!$N279-'MIS Working 1'!$AF279</f>
        <v>27300</v>
      </c>
      <c r="V279" s="269">
        <f>'MIS Working 1'!$U279/'MIS Working 1'!$N279</f>
        <v>1</v>
      </c>
      <c r="W279" s="265">
        <f>'MIS Working 1'!$N279/'MIS Working 1'!$L279</f>
        <v>0.91</v>
      </c>
      <c r="X279" s="270">
        <f>SUM('MIS Working 1'!$Y279:$AE279)</f>
        <v>0</v>
      </c>
      <c r="Y279" s="270">
        <f>SUMIFS('COGS Break up'!$E:$E,'COGS Break up'!$A:$A,'MIS Working 1'!$D279,'COGS Break up'!$D:$D,'MIS Working 1'!$Y$1)</f>
        <v>0</v>
      </c>
      <c r="Z279" s="270">
        <f>SUMIFS('COGS Break up'!$E:$E,'COGS Break up'!$A:$A,'MIS Working 1'!$D279,'COGS Break up'!$D:$D,'MIS Working 1'!$Z$1)</f>
        <v>0</v>
      </c>
      <c r="AA279" s="270">
        <f>SUMIFS('COGS Break up'!E:E,'COGS Break up'!A:A,'MIS Working 1'!$D:$D,'COGS Break up'!C:C,'MIS Working 1'!$AA$1)</f>
        <v>0</v>
      </c>
      <c r="AB279" s="270">
        <f>SUMIFS('COGS Break up'!E:E,'COGS Break up'!A:A,'MIS Working 1'!$D:$D,'COGS Break up'!C:C,$AB$1)</f>
        <v>0</v>
      </c>
      <c r="AC279" s="270">
        <f>SUMIFS('COGS Break up'!E:E,'COGS Break up'!A:A,'MIS Working 1'!$D:$D,'COGS Break up'!C:C,$AC$1)</f>
        <v>0</v>
      </c>
      <c r="AD279" s="270">
        <f>SUMIFS('COGS Break up'!$E:$E,'COGS Break up'!$A:$A,'MIS Working 1'!$D279,'COGS Break up'!$D:$D,'MIS Working 1'!$AD$1)</f>
        <v>0</v>
      </c>
      <c r="AE279" s="270">
        <f>SUMIFS('COGS Break up'!$E:$E,'COGS Break up'!$A:$A,'MIS Working 1'!$D279,'COGS Break up'!$D:$D,'MIS Working 1'!$AE$1)</f>
        <v>0</v>
      </c>
      <c r="AF279" s="271">
        <f>'MIS Working 1'!$AG279+'MIS Working 1'!$AH279+'MIS Working 1'!$AM279+'MIS Working 1'!$AL279</f>
        <v>0</v>
      </c>
      <c r="AG279" s="270">
        <f>'MIS Working 1'!$L279*'MIS Working 1'!$Y279</f>
        <v>0</v>
      </c>
      <c r="AH279" s="270">
        <f>'MIS Working 1'!$L279*'MIS Working 1'!$Z279</f>
        <v>0</v>
      </c>
      <c r="AI279" s="270">
        <f t="shared" si="12"/>
        <v>0</v>
      </c>
      <c r="AJ279" s="270">
        <f t="shared" si="13"/>
        <v>0</v>
      </c>
      <c r="AK279" s="270">
        <f t="shared" si="14"/>
        <v>0</v>
      </c>
      <c r="AL279" s="270">
        <f>'MIS Working 1'!$AD279*'MIS Working 1'!$L279</f>
        <v>0</v>
      </c>
      <c r="AM279" s="270">
        <f>'MIS Working 1'!$L279*'MIS Working 1'!$AE279+'MIS Working 1'!$AL279</f>
        <v>0</v>
      </c>
    </row>
    <row r="280" spans="1:39" x14ac:dyDescent="0.3">
      <c r="A280" s="272" t="s">
        <v>1374</v>
      </c>
      <c r="B280" s="273">
        <v>45972</v>
      </c>
      <c r="C280" s="274" t="s">
        <v>1809</v>
      </c>
      <c r="D280" s="274" t="s">
        <v>1588</v>
      </c>
      <c r="E280" s="274" t="s">
        <v>1589</v>
      </c>
      <c r="F280" s="274" t="s">
        <v>18</v>
      </c>
      <c r="G280" s="274" t="s">
        <v>48</v>
      </c>
      <c r="H280" s="274" t="s">
        <v>198</v>
      </c>
      <c r="I280" s="275">
        <v>20000</v>
      </c>
      <c r="J280" s="276">
        <v>7400</v>
      </c>
      <c r="K280" s="275">
        <v>20000</v>
      </c>
      <c r="L280" s="275">
        <v>20000</v>
      </c>
      <c r="M280" s="273">
        <v>45972</v>
      </c>
      <c r="N280" s="276">
        <v>7400</v>
      </c>
      <c r="O280" s="274" t="s">
        <v>21</v>
      </c>
      <c r="P280" s="274" t="s">
        <v>22</v>
      </c>
      <c r="Q280" s="274" t="s">
        <v>660</v>
      </c>
      <c r="R280" s="274" t="str">
        <f>VLOOKUP('MIS Working 1'!$G280,Master!$H$3:$I$8,2,0)</f>
        <v>Raw Material</v>
      </c>
      <c r="S280" s="274" t="str">
        <f>VLOOKUP('MIS Working 1'!$H280,Master!B:C,2,0)</f>
        <v>RM-Eletro-Capacitor</v>
      </c>
      <c r="T280" s="274" t="str">
        <f>VLOOKUP('MIS Working 1'!$S280,Master!E:F,2,0)</f>
        <v>Raw Material</v>
      </c>
      <c r="U280" s="277">
        <f>'MIS Working 1'!$N280-'MIS Working 1'!$AF280</f>
        <v>7400</v>
      </c>
      <c r="V280" s="278">
        <f>'MIS Working 1'!$U280/'MIS Working 1'!$N280</f>
        <v>1</v>
      </c>
      <c r="W280" s="274">
        <f>'MIS Working 1'!$N280/'MIS Working 1'!$L280</f>
        <v>0.37</v>
      </c>
      <c r="X280" s="279">
        <f>SUM('MIS Working 1'!$Y280:$AE280)</f>
        <v>0</v>
      </c>
      <c r="Y280" s="279">
        <f>SUMIFS('COGS Break up'!$E:$E,'COGS Break up'!$A:$A,'MIS Working 1'!$D280,'COGS Break up'!$D:$D,'MIS Working 1'!$Y$1)</f>
        <v>0</v>
      </c>
      <c r="Z280" s="279">
        <f>SUMIFS('COGS Break up'!$E:$E,'COGS Break up'!$A:$A,'MIS Working 1'!$D280,'COGS Break up'!$D:$D,'MIS Working 1'!$Z$1)</f>
        <v>0</v>
      </c>
      <c r="AA280" s="279">
        <f>SUMIFS('COGS Break up'!E:E,'COGS Break up'!A:A,'MIS Working 1'!$D:$D,'COGS Break up'!C:C,'MIS Working 1'!$AA$1)</f>
        <v>0</v>
      </c>
      <c r="AB280" s="279">
        <f>SUMIFS('COGS Break up'!E:E,'COGS Break up'!A:A,'MIS Working 1'!$D:$D,'COGS Break up'!C:C,$AB$1)</f>
        <v>0</v>
      </c>
      <c r="AC280" s="279">
        <f>SUMIFS('COGS Break up'!E:E,'COGS Break up'!A:A,'MIS Working 1'!$D:$D,'COGS Break up'!C:C,$AC$1)</f>
        <v>0</v>
      </c>
      <c r="AD280" s="279">
        <f>SUMIFS('COGS Break up'!$E:$E,'COGS Break up'!$A:$A,'MIS Working 1'!$D280,'COGS Break up'!$D:$D,'MIS Working 1'!$AD$1)</f>
        <v>0</v>
      </c>
      <c r="AE280" s="279">
        <f>SUMIFS('COGS Break up'!$E:$E,'COGS Break up'!$A:$A,'MIS Working 1'!$D280,'COGS Break up'!$D:$D,'MIS Working 1'!$AE$1)</f>
        <v>0</v>
      </c>
      <c r="AF280" s="280">
        <f>'MIS Working 1'!$AG280+'MIS Working 1'!$AH280+'MIS Working 1'!$AM280+'MIS Working 1'!$AL280</f>
        <v>0</v>
      </c>
      <c r="AG280" s="279">
        <f>'MIS Working 1'!$L280*'MIS Working 1'!$Y280</f>
        <v>0</v>
      </c>
      <c r="AH280" s="279">
        <f>'MIS Working 1'!$L280*'MIS Working 1'!$Z280</f>
        <v>0</v>
      </c>
      <c r="AI280" s="279">
        <f t="shared" si="12"/>
        <v>0</v>
      </c>
      <c r="AJ280" s="279">
        <f t="shared" si="13"/>
        <v>0</v>
      </c>
      <c r="AK280" s="279">
        <f t="shared" si="14"/>
        <v>0</v>
      </c>
      <c r="AL280" s="279">
        <f>'MIS Working 1'!$AD280*'MIS Working 1'!$L280</f>
        <v>0</v>
      </c>
      <c r="AM280" s="279">
        <f>'MIS Working 1'!$L280*'MIS Working 1'!$AE280+'MIS Working 1'!$AL280</f>
        <v>0</v>
      </c>
    </row>
    <row r="281" spans="1:39" x14ac:dyDescent="0.3">
      <c r="A281" s="263" t="s">
        <v>1374</v>
      </c>
      <c r="B281" s="264">
        <v>45972</v>
      </c>
      <c r="C281" s="265" t="s">
        <v>1809</v>
      </c>
      <c r="D281" s="265" t="s">
        <v>1439</v>
      </c>
      <c r="E281" s="265" t="s">
        <v>1440</v>
      </c>
      <c r="F281" s="265" t="s">
        <v>18</v>
      </c>
      <c r="G281" s="265" t="s">
        <v>48</v>
      </c>
      <c r="H281" s="265" t="s">
        <v>198</v>
      </c>
      <c r="I281" s="266">
        <v>51000</v>
      </c>
      <c r="J281" s="267">
        <v>32154.959999999999</v>
      </c>
      <c r="K281" s="266">
        <v>51000</v>
      </c>
      <c r="L281" s="266">
        <v>51000</v>
      </c>
      <c r="M281" s="264">
        <v>45972</v>
      </c>
      <c r="N281" s="267">
        <v>32130</v>
      </c>
      <c r="O281" s="265" t="s">
        <v>21</v>
      </c>
      <c r="P281" s="265" t="s">
        <v>22</v>
      </c>
      <c r="Q281" s="265" t="s">
        <v>660</v>
      </c>
      <c r="R281" s="265" t="str">
        <f>VLOOKUP('MIS Working 1'!$G281,Master!$H$3:$I$8,2,0)</f>
        <v>Raw Material</v>
      </c>
      <c r="S281" s="265" t="str">
        <f>VLOOKUP('MIS Working 1'!$H281,Master!B:C,2,0)</f>
        <v>RM-Eletro-Capacitor</v>
      </c>
      <c r="T281" s="265" t="str">
        <f>VLOOKUP('MIS Working 1'!$S281,Master!E:F,2,0)</f>
        <v>Raw Material</v>
      </c>
      <c r="U281" s="268">
        <f>'MIS Working 1'!$N281-'MIS Working 1'!$AF281</f>
        <v>32130</v>
      </c>
      <c r="V281" s="269">
        <f>'MIS Working 1'!$U281/'MIS Working 1'!$N281</f>
        <v>1</v>
      </c>
      <c r="W281" s="265">
        <f>'MIS Working 1'!$N281/'MIS Working 1'!$L281</f>
        <v>0.63</v>
      </c>
      <c r="X281" s="270">
        <f>SUM('MIS Working 1'!$Y281:$AE281)</f>
        <v>0</v>
      </c>
      <c r="Y281" s="270">
        <f>SUMIFS('COGS Break up'!$E:$E,'COGS Break up'!$A:$A,'MIS Working 1'!$D281,'COGS Break up'!$D:$D,'MIS Working 1'!$Y$1)</f>
        <v>0</v>
      </c>
      <c r="Z281" s="270">
        <f>SUMIFS('COGS Break up'!$E:$E,'COGS Break up'!$A:$A,'MIS Working 1'!$D281,'COGS Break up'!$D:$D,'MIS Working 1'!$Z$1)</f>
        <v>0</v>
      </c>
      <c r="AA281" s="270">
        <f>SUMIFS('COGS Break up'!E:E,'COGS Break up'!A:A,'MIS Working 1'!$D:$D,'COGS Break up'!C:C,'MIS Working 1'!$AA$1)</f>
        <v>0</v>
      </c>
      <c r="AB281" s="270">
        <f>SUMIFS('COGS Break up'!E:E,'COGS Break up'!A:A,'MIS Working 1'!$D:$D,'COGS Break up'!C:C,$AB$1)</f>
        <v>0</v>
      </c>
      <c r="AC281" s="270">
        <f>SUMIFS('COGS Break up'!E:E,'COGS Break up'!A:A,'MIS Working 1'!$D:$D,'COGS Break up'!C:C,$AC$1)</f>
        <v>0</v>
      </c>
      <c r="AD281" s="270">
        <f>SUMIFS('COGS Break up'!$E:$E,'COGS Break up'!$A:$A,'MIS Working 1'!$D281,'COGS Break up'!$D:$D,'MIS Working 1'!$AD$1)</f>
        <v>0</v>
      </c>
      <c r="AE281" s="270">
        <f>SUMIFS('COGS Break up'!$E:$E,'COGS Break up'!$A:$A,'MIS Working 1'!$D281,'COGS Break up'!$D:$D,'MIS Working 1'!$AE$1)</f>
        <v>0</v>
      </c>
      <c r="AF281" s="271">
        <f>'MIS Working 1'!$AG281+'MIS Working 1'!$AH281+'MIS Working 1'!$AM281+'MIS Working 1'!$AL281</f>
        <v>0</v>
      </c>
      <c r="AG281" s="270">
        <f>'MIS Working 1'!$L281*'MIS Working 1'!$Y281</f>
        <v>0</v>
      </c>
      <c r="AH281" s="270">
        <f>'MIS Working 1'!$L281*'MIS Working 1'!$Z281</f>
        <v>0</v>
      </c>
      <c r="AI281" s="270">
        <f t="shared" si="12"/>
        <v>0</v>
      </c>
      <c r="AJ281" s="270">
        <f t="shared" si="13"/>
        <v>0</v>
      </c>
      <c r="AK281" s="270">
        <f t="shared" si="14"/>
        <v>0</v>
      </c>
      <c r="AL281" s="270">
        <f>'MIS Working 1'!$AD281*'MIS Working 1'!$L281</f>
        <v>0</v>
      </c>
      <c r="AM281" s="270">
        <f>'MIS Working 1'!$L281*'MIS Working 1'!$AE281+'MIS Working 1'!$AL281</f>
        <v>0</v>
      </c>
    </row>
    <row r="282" spans="1:39" x14ac:dyDescent="0.3">
      <c r="A282" s="272" t="s">
        <v>1374</v>
      </c>
      <c r="B282" s="273">
        <v>45972</v>
      </c>
      <c r="C282" s="274" t="s">
        <v>1809</v>
      </c>
      <c r="D282" s="274" t="s">
        <v>1608</v>
      </c>
      <c r="E282" s="274" t="s">
        <v>448</v>
      </c>
      <c r="F282" s="274" t="s">
        <v>18</v>
      </c>
      <c r="G282" s="274" t="s">
        <v>48</v>
      </c>
      <c r="H282" s="274" t="s">
        <v>198</v>
      </c>
      <c r="I282" s="275">
        <v>30000</v>
      </c>
      <c r="J282" s="276">
        <v>49800</v>
      </c>
      <c r="K282" s="275">
        <v>30000</v>
      </c>
      <c r="L282" s="275">
        <v>30000</v>
      </c>
      <c r="M282" s="273">
        <v>45972</v>
      </c>
      <c r="N282" s="276">
        <v>49800</v>
      </c>
      <c r="O282" s="274" t="s">
        <v>21</v>
      </c>
      <c r="P282" s="274" t="s">
        <v>22</v>
      </c>
      <c r="Q282" s="274" t="s">
        <v>660</v>
      </c>
      <c r="R282" s="274" t="str">
        <f>VLOOKUP('MIS Working 1'!$G282,Master!$H$3:$I$8,2,0)</f>
        <v>Raw Material</v>
      </c>
      <c r="S282" s="274" t="str">
        <f>VLOOKUP('MIS Working 1'!$H282,Master!B:C,2,0)</f>
        <v>RM-Eletro-Capacitor</v>
      </c>
      <c r="T282" s="274" t="str">
        <f>VLOOKUP('MIS Working 1'!$S282,Master!E:F,2,0)</f>
        <v>Raw Material</v>
      </c>
      <c r="U282" s="277">
        <f>'MIS Working 1'!$N282-'MIS Working 1'!$AF282</f>
        <v>49800</v>
      </c>
      <c r="V282" s="278">
        <f>'MIS Working 1'!$U282/'MIS Working 1'!$N282</f>
        <v>1</v>
      </c>
      <c r="W282" s="274">
        <f>'MIS Working 1'!$N282/'MIS Working 1'!$L282</f>
        <v>1.66</v>
      </c>
      <c r="X282" s="279">
        <f>SUM('MIS Working 1'!$Y282:$AE282)</f>
        <v>0</v>
      </c>
      <c r="Y282" s="279">
        <f>SUMIFS('COGS Break up'!$E:$E,'COGS Break up'!$A:$A,'MIS Working 1'!$D282,'COGS Break up'!$D:$D,'MIS Working 1'!$Y$1)</f>
        <v>0</v>
      </c>
      <c r="Z282" s="279">
        <f>SUMIFS('COGS Break up'!$E:$E,'COGS Break up'!$A:$A,'MIS Working 1'!$D282,'COGS Break up'!$D:$D,'MIS Working 1'!$Z$1)</f>
        <v>0</v>
      </c>
      <c r="AA282" s="279">
        <f>SUMIFS('COGS Break up'!E:E,'COGS Break up'!A:A,'MIS Working 1'!$D:$D,'COGS Break up'!C:C,'MIS Working 1'!$AA$1)</f>
        <v>0</v>
      </c>
      <c r="AB282" s="279">
        <f>SUMIFS('COGS Break up'!E:E,'COGS Break up'!A:A,'MIS Working 1'!$D:$D,'COGS Break up'!C:C,$AB$1)</f>
        <v>0</v>
      </c>
      <c r="AC282" s="279">
        <f>SUMIFS('COGS Break up'!E:E,'COGS Break up'!A:A,'MIS Working 1'!$D:$D,'COGS Break up'!C:C,$AC$1)</f>
        <v>0</v>
      </c>
      <c r="AD282" s="279">
        <f>SUMIFS('COGS Break up'!$E:$E,'COGS Break up'!$A:$A,'MIS Working 1'!$D282,'COGS Break up'!$D:$D,'MIS Working 1'!$AD$1)</f>
        <v>0</v>
      </c>
      <c r="AE282" s="279">
        <f>SUMIFS('COGS Break up'!$E:$E,'COGS Break up'!$A:$A,'MIS Working 1'!$D282,'COGS Break up'!$D:$D,'MIS Working 1'!$AE$1)</f>
        <v>0</v>
      </c>
      <c r="AF282" s="280">
        <f>'MIS Working 1'!$AG282+'MIS Working 1'!$AH282+'MIS Working 1'!$AM282+'MIS Working 1'!$AL282</f>
        <v>0</v>
      </c>
      <c r="AG282" s="279">
        <f>'MIS Working 1'!$L282*'MIS Working 1'!$Y282</f>
        <v>0</v>
      </c>
      <c r="AH282" s="279">
        <f>'MIS Working 1'!$L282*'MIS Working 1'!$Z282</f>
        <v>0</v>
      </c>
      <c r="AI282" s="279">
        <f t="shared" si="12"/>
        <v>0</v>
      </c>
      <c r="AJ282" s="279">
        <f t="shared" si="13"/>
        <v>0</v>
      </c>
      <c r="AK282" s="279">
        <f t="shared" si="14"/>
        <v>0</v>
      </c>
      <c r="AL282" s="279">
        <f>'MIS Working 1'!$AD282*'MIS Working 1'!$L282</f>
        <v>0</v>
      </c>
      <c r="AM282" s="279">
        <f>'MIS Working 1'!$L282*'MIS Working 1'!$AE282+'MIS Working 1'!$AL282</f>
        <v>0</v>
      </c>
    </row>
    <row r="283" spans="1:39" x14ac:dyDescent="0.3">
      <c r="A283" s="263" t="s">
        <v>1374</v>
      </c>
      <c r="B283" s="264">
        <v>45972</v>
      </c>
      <c r="C283" s="265" t="s">
        <v>1809</v>
      </c>
      <c r="D283" s="265" t="s">
        <v>1609</v>
      </c>
      <c r="E283" s="265" t="s">
        <v>1610</v>
      </c>
      <c r="F283" s="265" t="s">
        <v>18</v>
      </c>
      <c r="G283" s="265" t="s">
        <v>48</v>
      </c>
      <c r="H283" s="265" t="s">
        <v>198</v>
      </c>
      <c r="I283" s="266">
        <v>52000</v>
      </c>
      <c r="J283" s="267">
        <v>26002.63</v>
      </c>
      <c r="K283" s="266">
        <v>52000</v>
      </c>
      <c r="L283" s="266">
        <v>52000</v>
      </c>
      <c r="M283" s="264">
        <v>45972</v>
      </c>
      <c r="N283" s="267">
        <v>26000</v>
      </c>
      <c r="O283" s="265" t="s">
        <v>21</v>
      </c>
      <c r="P283" s="265" t="s">
        <v>22</v>
      </c>
      <c r="Q283" s="265" t="s">
        <v>660</v>
      </c>
      <c r="R283" s="265" t="str">
        <f>VLOOKUP('MIS Working 1'!$G283,Master!$H$3:$I$8,2,0)</f>
        <v>Raw Material</v>
      </c>
      <c r="S283" s="265" t="str">
        <f>VLOOKUP('MIS Working 1'!$H283,Master!B:C,2,0)</f>
        <v>RM-Eletro-Capacitor</v>
      </c>
      <c r="T283" s="265" t="str">
        <f>VLOOKUP('MIS Working 1'!$S283,Master!E:F,2,0)</f>
        <v>Raw Material</v>
      </c>
      <c r="U283" s="268">
        <f>'MIS Working 1'!$N283-'MIS Working 1'!$AF283</f>
        <v>26000</v>
      </c>
      <c r="V283" s="269">
        <f>'MIS Working 1'!$U283/'MIS Working 1'!$N283</f>
        <v>1</v>
      </c>
      <c r="W283" s="265">
        <f>'MIS Working 1'!$N283/'MIS Working 1'!$L283</f>
        <v>0.5</v>
      </c>
      <c r="X283" s="270">
        <f>SUM('MIS Working 1'!$Y283:$AE283)</f>
        <v>0</v>
      </c>
      <c r="Y283" s="270">
        <f>SUMIFS('COGS Break up'!$E:$E,'COGS Break up'!$A:$A,'MIS Working 1'!$D283,'COGS Break up'!$D:$D,'MIS Working 1'!$Y$1)</f>
        <v>0</v>
      </c>
      <c r="Z283" s="270">
        <f>SUMIFS('COGS Break up'!$E:$E,'COGS Break up'!$A:$A,'MIS Working 1'!$D283,'COGS Break up'!$D:$D,'MIS Working 1'!$Z$1)</f>
        <v>0</v>
      </c>
      <c r="AA283" s="270">
        <f>SUMIFS('COGS Break up'!E:E,'COGS Break up'!A:A,'MIS Working 1'!$D:$D,'COGS Break up'!C:C,'MIS Working 1'!$AA$1)</f>
        <v>0</v>
      </c>
      <c r="AB283" s="270">
        <f>SUMIFS('COGS Break up'!E:E,'COGS Break up'!A:A,'MIS Working 1'!$D:$D,'COGS Break up'!C:C,$AB$1)</f>
        <v>0</v>
      </c>
      <c r="AC283" s="270">
        <f>SUMIFS('COGS Break up'!E:E,'COGS Break up'!A:A,'MIS Working 1'!$D:$D,'COGS Break up'!C:C,$AC$1)</f>
        <v>0</v>
      </c>
      <c r="AD283" s="270">
        <f>SUMIFS('COGS Break up'!$E:$E,'COGS Break up'!$A:$A,'MIS Working 1'!$D283,'COGS Break up'!$D:$D,'MIS Working 1'!$AD$1)</f>
        <v>0</v>
      </c>
      <c r="AE283" s="270">
        <f>SUMIFS('COGS Break up'!$E:$E,'COGS Break up'!$A:$A,'MIS Working 1'!$D283,'COGS Break up'!$D:$D,'MIS Working 1'!$AE$1)</f>
        <v>0</v>
      </c>
      <c r="AF283" s="271">
        <f>'MIS Working 1'!$AG283+'MIS Working 1'!$AH283+'MIS Working 1'!$AM283+'MIS Working 1'!$AL283</f>
        <v>0</v>
      </c>
      <c r="AG283" s="270">
        <f>'MIS Working 1'!$L283*'MIS Working 1'!$Y283</f>
        <v>0</v>
      </c>
      <c r="AH283" s="270">
        <f>'MIS Working 1'!$L283*'MIS Working 1'!$Z283</f>
        <v>0</v>
      </c>
      <c r="AI283" s="270">
        <f t="shared" si="12"/>
        <v>0</v>
      </c>
      <c r="AJ283" s="270">
        <f t="shared" si="13"/>
        <v>0</v>
      </c>
      <c r="AK283" s="270">
        <f t="shared" si="14"/>
        <v>0</v>
      </c>
      <c r="AL283" s="270">
        <f>'MIS Working 1'!$AD283*'MIS Working 1'!$L283</f>
        <v>0</v>
      </c>
      <c r="AM283" s="270">
        <f>'MIS Working 1'!$L283*'MIS Working 1'!$AE283+'MIS Working 1'!$AL283</f>
        <v>0</v>
      </c>
    </row>
    <row r="284" spans="1:39" x14ac:dyDescent="0.3">
      <c r="A284" s="272" t="s">
        <v>1374</v>
      </c>
      <c r="B284" s="273">
        <v>45972</v>
      </c>
      <c r="C284" s="274" t="s">
        <v>1809</v>
      </c>
      <c r="D284" s="274" t="s">
        <v>1590</v>
      </c>
      <c r="E284" s="274" t="s">
        <v>1591</v>
      </c>
      <c r="F284" s="274" t="s">
        <v>18</v>
      </c>
      <c r="G284" s="274" t="s">
        <v>48</v>
      </c>
      <c r="H284" s="274" t="s">
        <v>204</v>
      </c>
      <c r="I284" s="275">
        <v>15000</v>
      </c>
      <c r="J284" s="276">
        <v>839.99</v>
      </c>
      <c r="K284" s="275">
        <v>15000</v>
      </c>
      <c r="L284" s="275">
        <v>15000</v>
      </c>
      <c r="M284" s="273">
        <v>45972</v>
      </c>
      <c r="N284" s="276">
        <v>900</v>
      </c>
      <c r="O284" s="274" t="s">
        <v>21</v>
      </c>
      <c r="P284" s="274" t="s">
        <v>22</v>
      </c>
      <c r="Q284" s="274" t="s">
        <v>660</v>
      </c>
      <c r="R284" s="274" t="str">
        <f>VLOOKUP('MIS Working 1'!$G284,Master!$H$3:$I$8,2,0)</f>
        <v>Raw Material</v>
      </c>
      <c r="S284" s="274" t="str">
        <f>VLOOKUP('MIS Working 1'!$H284,Master!B:C,2,0)</f>
        <v>RM-Eletro-Resistor</v>
      </c>
      <c r="T284" s="274" t="str">
        <f>VLOOKUP('MIS Working 1'!$S284,Master!E:F,2,0)</f>
        <v>Raw Material</v>
      </c>
      <c r="U284" s="277">
        <f>'MIS Working 1'!$N284-'MIS Working 1'!$AF284</f>
        <v>900</v>
      </c>
      <c r="V284" s="278">
        <f>'MIS Working 1'!$U284/'MIS Working 1'!$N284</f>
        <v>1</v>
      </c>
      <c r="W284" s="274">
        <f>'MIS Working 1'!$N284/'MIS Working 1'!$L284</f>
        <v>0.06</v>
      </c>
      <c r="X284" s="279">
        <f>SUM('MIS Working 1'!$Y284:$AE284)</f>
        <v>0</v>
      </c>
      <c r="Y284" s="279">
        <f>SUMIFS('COGS Break up'!$E:$E,'COGS Break up'!$A:$A,'MIS Working 1'!$D284,'COGS Break up'!$D:$D,'MIS Working 1'!$Y$1)</f>
        <v>0</v>
      </c>
      <c r="Z284" s="279">
        <f>SUMIFS('COGS Break up'!$E:$E,'COGS Break up'!$A:$A,'MIS Working 1'!$D284,'COGS Break up'!$D:$D,'MIS Working 1'!$Z$1)</f>
        <v>0</v>
      </c>
      <c r="AA284" s="279">
        <f>SUMIFS('COGS Break up'!E:E,'COGS Break up'!A:A,'MIS Working 1'!$D:$D,'COGS Break up'!C:C,'MIS Working 1'!$AA$1)</f>
        <v>0</v>
      </c>
      <c r="AB284" s="279">
        <f>SUMIFS('COGS Break up'!E:E,'COGS Break up'!A:A,'MIS Working 1'!$D:$D,'COGS Break up'!C:C,$AB$1)</f>
        <v>0</v>
      </c>
      <c r="AC284" s="279">
        <f>SUMIFS('COGS Break up'!E:E,'COGS Break up'!A:A,'MIS Working 1'!$D:$D,'COGS Break up'!C:C,$AC$1)</f>
        <v>0</v>
      </c>
      <c r="AD284" s="279">
        <f>SUMIFS('COGS Break up'!$E:$E,'COGS Break up'!$A:$A,'MIS Working 1'!$D284,'COGS Break up'!$D:$D,'MIS Working 1'!$AD$1)</f>
        <v>0</v>
      </c>
      <c r="AE284" s="279">
        <f>SUMIFS('COGS Break up'!$E:$E,'COGS Break up'!$A:$A,'MIS Working 1'!$D284,'COGS Break up'!$D:$D,'MIS Working 1'!$AE$1)</f>
        <v>0</v>
      </c>
      <c r="AF284" s="280">
        <f>'MIS Working 1'!$AG284+'MIS Working 1'!$AH284+'MIS Working 1'!$AM284+'MIS Working 1'!$AL284</f>
        <v>0</v>
      </c>
      <c r="AG284" s="279">
        <f>'MIS Working 1'!$L284*'MIS Working 1'!$Y284</f>
        <v>0</v>
      </c>
      <c r="AH284" s="279">
        <f>'MIS Working 1'!$L284*'MIS Working 1'!$Z284</f>
        <v>0</v>
      </c>
      <c r="AI284" s="279">
        <f t="shared" si="12"/>
        <v>0</v>
      </c>
      <c r="AJ284" s="279">
        <f t="shared" si="13"/>
        <v>0</v>
      </c>
      <c r="AK284" s="279">
        <f t="shared" si="14"/>
        <v>0</v>
      </c>
      <c r="AL284" s="279">
        <f>'MIS Working 1'!$AD284*'MIS Working 1'!$L284</f>
        <v>0</v>
      </c>
      <c r="AM284" s="279">
        <f>'MIS Working 1'!$L284*'MIS Working 1'!$AE284+'MIS Working 1'!$AL284</f>
        <v>0</v>
      </c>
    </row>
    <row r="285" spans="1:39" x14ac:dyDescent="0.3">
      <c r="A285" s="263" t="s">
        <v>1374</v>
      </c>
      <c r="B285" s="264">
        <v>45972</v>
      </c>
      <c r="C285" s="265" t="s">
        <v>1809</v>
      </c>
      <c r="D285" s="265" t="s">
        <v>1586</v>
      </c>
      <c r="E285" s="265" t="s">
        <v>1587</v>
      </c>
      <c r="F285" s="265" t="s">
        <v>18</v>
      </c>
      <c r="G285" s="265" t="s">
        <v>48</v>
      </c>
      <c r="H285" s="265" t="s">
        <v>202</v>
      </c>
      <c r="I285" s="266">
        <v>5200</v>
      </c>
      <c r="J285" s="267">
        <v>503688.07</v>
      </c>
      <c r="K285" s="266">
        <v>5200</v>
      </c>
      <c r="L285" s="266">
        <v>5200</v>
      </c>
      <c r="M285" s="264">
        <v>45972</v>
      </c>
      <c r="N285" s="267">
        <v>509184</v>
      </c>
      <c r="O285" s="265" t="s">
        <v>21</v>
      </c>
      <c r="P285" s="265" t="s">
        <v>22</v>
      </c>
      <c r="Q285" s="265" t="s">
        <v>660</v>
      </c>
      <c r="R285" s="265" t="str">
        <f>VLOOKUP('MIS Working 1'!$G285,Master!$H$3:$I$8,2,0)</f>
        <v>Raw Material</v>
      </c>
      <c r="S285" s="265" t="str">
        <f>VLOOKUP('MIS Working 1'!$H285,Master!B:C,2,0)</f>
        <v>RM-Eletro-IC</v>
      </c>
      <c r="T285" s="265" t="str">
        <f>VLOOKUP('MIS Working 1'!$S285,Master!E:F,2,0)</f>
        <v>Raw Material</v>
      </c>
      <c r="U285" s="268">
        <f>'MIS Working 1'!$N285-'MIS Working 1'!$AF285</f>
        <v>509184</v>
      </c>
      <c r="V285" s="269">
        <f>'MIS Working 1'!$U285/'MIS Working 1'!$N285</f>
        <v>1</v>
      </c>
      <c r="W285" s="265">
        <f>'MIS Working 1'!$N285/'MIS Working 1'!$L285</f>
        <v>97.92</v>
      </c>
      <c r="X285" s="270">
        <f>SUM('MIS Working 1'!$Y285:$AE285)</f>
        <v>0</v>
      </c>
      <c r="Y285" s="270">
        <f>SUMIFS('COGS Break up'!$E:$E,'COGS Break up'!$A:$A,'MIS Working 1'!$D285,'COGS Break up'!$D:$D,'MIS Working 1'!$Y$1)</f>
        <v>0</v>
      </c>
      <c r="Z285" s="270">
        <f>SUMIFS('COGS Break up'!$E:$E,'COGS Break up'!$A:$A,'MIS Working 1'!$D285,'COGS Break up'!$D:$D,'MIS Working 1'!$Z$1)</f>
        <v>0</v>
      </c>
      <c r="AA285" s="270">
        <f>SUMIFS('COGS Break up'!E:E,'COGS Break up'!A:A,'MIS Working 1'!$D:$D,'COGS Break up'!C:C,'MIS Working 1'!$AA$1)</f>
        <v>0</v>
      </c>
      <c r="AB285" s="270">
        <f>SUMIFS('COGS Break up'!E:E,'COGS Break up'!A:A,'MIS Working 1'!$D:$D,'COGS Break up'!C:C,$AB$1)</f>
        <v>0</v>
      </c>
      <c r="AC285" s="270">
        <f>SUMIFS('COGS Break up'!E:E,'COGS Break up'!A:A,'MIS Working 1'!$D:$D,'COGS Break up'!C:C,$AC$1)</f>
        <v>0</v>
      </c>
      <c r="AD285" s="270">
        <f>SUMIFS('COGS Break up'!$E:$E,'COGS Break up'!$A:$A,'MIS Working 1'!$D285,'COGS Break up'!$D:$D,'MIS Working 1'!$AD$1)</f>
        <v>0</v>
      </c>
      <c r="AE285" s="270">
        <f>SUMIFS('COGS Break up'!$E:$E,'COGS Break up'!$A:$A,'MIS Working 1'!$D285,'COGS Break up'!$D:$D,'MIS Working 1'!$AE$1)</f>
        <v>0</v>
      </c>
      <c r="AF285" s="271">
        <f>'MIS Working 1'!$AG285+'MIS Working 1'!$AH285+'MIS Working 1'!$AM285+'MIS Working 1'!$AL285</f>
        <v>0</v>
      </c>
      <c r="AG285" s="270">
        <f>'MIS Working 1'!$L285*'MIS Working 1'!$Y285</f>
        <v>0</v>
      </c>
      <c r="AH285" s="270">
        <f>'MIS Working 1'!$L285*'MIS Working 1'!$Z285</f>
        <v>0</v>
      </c>
      <c r="AI285" s="270">
        <f t="shared" si="12"/>
        <v>0</v>
      </c>
      <c r="AJ285" s="270">
        <f t="shared" si="13"/>
        <v>0</v>
      </c>
      <c r="AK285" s="270">
        <f t="shared" si="14"/>
        <v>0</v>
      </c>
      <c r="AL285" s="270">
        <f>'MIS Working 1'!$AD285*'MIS Working 1'!$L285</f>
        <v>0</v>
      </c>
      <c r="AM285" s="270">
        <f>'MIS Working 1'!$L285*'MIS Working 1'!$AE285+'MIS Working 1'!$AL285</f>
        <v>0</v>
      </c>
    </row>
    <row r="286" spans="1:39" x14ac:dyDescent="0.3">
      <c r="A286" s="272" t="s">
        <v>1374</v>
      </c>
      <c r="B286" s="273">
        <v>45972</v>
      </c>
      <c r="C286" s="274" t="s">
        <v>1809</v>
      </c>
      <c r="D286" s="274" t="s">
        <v>1594</v>
      </c>
      <c r="E286" s="274" t="s">
        <v>1595</v>
      </c>
      <c r="F286" s="274" t="s">
        <v>18</v>
      </c>
      <c r="G286" s="274" t="s">
        <v>48</v>
      </c>
      <c r="H286" s="274" t="s">
        <v>168</v>
      </c>
      <c r="I286" s="275">
        <v>100000</v>
      </c>
      <c r="J286" s="276">
        <v>54552.82</v>
      </c>
      <c r="K286" s="275">
        <v>100000</v>
      </c>
      <c r="L286" s="275">
        <v>100000</v>
      </c>
      <c r="M286" s="273">
        <v>45972</v>
      </c>
      <c r="N286" s="276">
        <v>48000</v>
      </c>
      <c r="O286" s="274" t="s">
        <v>21</v>
      </c>
      <c r="P286" s="274" t="s">
        <v>22</v>
      </c>
      <c r="Q286" s="274" t="s">
        <v>660</v>
      </c>
      <c r="R286" s="274" t="str">
        <f>VLOOKUP('MIS Working 1'!$G286,Master!$H$3:$I$8,2,0)</f>
        <v>Raw Material</v>
      </c>
      <c r="S286" s="274" t="str">
        <f>VLOOKUP('MIS Working 1'!$H286,Master!B:C,2,0)</f>
        <v>Raw Materials</v>
      </c>
      <c r="T286" s="274" t="str">
        <f>VLOOKUP('MIS Working 1'!$S286,Master!E:F,2,0)</f>
        <v>Raw Material</v>
      </c>
      <c r="U286" s="277">
        <f>'MIS Working 1'!$N286-'MIS Working 1'!$AF286</f>
        <v>48000</v>
      </c>
      <c r="V286" s="278">
        <f>'MIS Working 1'!$U286/'MIS Working 1'!$N286</f>
        <v>1</v>
      </c>
      <c r="W286" s="274">
        <f>'MIS Working 1'!$N286/'MIS Working 1'!$L286</f>
        <v>0.48</v>
      </c>
      <c r="X286" s="279">
        <f>SUM('MIS Working 1'!$Y286:$AE286)</f>
        <v>0</v>
      </c>
      <c r="Y286" s="279">
        <f>SUMIFS('COGS Break up'!$E:$E,'COGS Break up'!$A:$A,'MIS Working 1'!$D286,'COGS Break up'!$D:$D,'MIS Working 1'!$Y$1)</f>
        <v>0</v>
      </c>
      <c r="Z286" s="279">
        <f>SUMIFS('COGS Break up'!$E:$E,'COGS Break up'!$A:$A,'MIS Working 1'!$D286,'COGS Break up'!$D:$D,'MIS Working 1'!$Z$1)</f>
        <v>0</v>
      </c>
      <c r="AA286" s="279">
        <f>SUMIFS('COGS Break up'!E:E,'COGS Break up'!A:A,'MIS Working 1'!$D:$D,'COGS Break up'!C:C,'MIS Working 1'!$AA$1)</f>
        <v>0</v>
      </c>
      <c r="AB286" s="279">
        <f>SUMIFS('COGS Break up'!E:E,'COGS Break up'!A:A,'MIS Working 1'!$D:$D,'COGS Break up'!C:C,$AB$1)</f>
        <v>0</v>
      </c>
      <c r="AC286" s="279">
        <f>SUMIFS('COGS Break up'!E:E,'COGS Break up'!A:A,'MIS Working 1'!$D:$D,'COGS Break up'!C:C,$AC$1)</f>
        <v>0</v>
      </c>
      <c r="AD286" s="279">
        <f>SUMIFS('COGS Break up'!$E:$E,'COGS Break up'!$A:$A,'MIS Working 1'!$D286,'COGS Break up'!$D:$D,'MIS Working 1'!$AD$1)</f>
        <v>0</v>
      </c>
      <c r="AE286" s="279">
        <f>SUMIFS('COGS Break up'!$E:$E,'COGS Break up'!$A:$A,'MIS Working 1'!$D286,'COGS Break up'!$D:$D,'MIS Working 1'!$AE$1)</f>
        <v>0</v>
      </c>
      <c r="AF286" s="280">
        <f>'MIS Working 1'!$AG286+'MIS Working 1'!$AH286+'MIS Working 1'!$AM286+'MIS Working 1'!$AL286</f>
        <v>0</v>
      </c>
      <c r="AG286" s="279">
        <f>'MIS Working 1'!$L286*'MIS Working 1'!$Y286</f>
        <v>0</v>
      </c>
      <c r="AH286" s="279">
        <f>'MIS Working 1'!$L286*'MIS Working 1'!$Z286</f>
        <v>0</v>
      </c>
      <c r="AI286" s="279">
        <f t="shared" si="12"/>
        <v>0</v>
      </c>
      <c r="AJ286" s="279">
        <f t="shared" si="13"/>
        <v>0</v>
      </c>
      <c r="AK286" s="279">
        <f t="shared" si="14"/>
        <v>0</v>
      </c>
      <c r="AL286" s="279">
        <f>'MIS Working 1'!$AD286*'MIS Working 1'!$L286</f>
        <v>0</v>
      </c>
      <c r="AM286" s="279">
        <f>'MIS Working 1'!$L286*'MIS Working 1'!$AE286+'MIS Working 1'!$AL286</f>
        <v>0</v>
      </c>
    </row>
    <row r="287" spans="1:39" x14ac:dyDescent="0.3">
      <c r="A287" s="263" t="s">
        <v>1374</v>
      </c>
      <c r="B287" s="264">
        <v>45972</v>
      </c>
      <c r="C287" s="265" t="s">
        <v>1809</v>
      </c>
      <c r="D287" s="265" t="s">
        <v>1350</v>
      </c>
      <c r="E287" s="265" t="s">
        <v>1351</v>
      </c>
      <c r="F287" s="265" t="s">
        <v>18</v>
      </c>
      <c r="G287" s="265" t="s">
        <v>48</v>
      </c>
      <c r="H287" s="265" t="s">
        <v>204</v>
      </c>
      <c r="I287" s="266">
        <v>150000</v>
      </c>
      <c r="J287" s="267">
        <v>9000</v>
      </c>
      <c r="K287" s="266">
        <v>150000</v>
      </c>
      <c r="L287" s="266">
        <v>150000</v>
      </c>
      <c r="M287" s="264">
        <v>45972</v>
      </c>
      <c r="N287" s="267">
        <v>9000</v>
      </c>
      <c r="O287" s="265" t="s">
        <v>21</v>
      </c>
      <c r="P287" s="265" t="s">
        <v>22</v>
      </c>
      <c r="Q287" s="265" t="s">
        <v>660</v>
      </c>
      <c r="R287" s="265" t="str">
        <f>VLOOKUP('MIS Working 1'!$G287,Master!$H$3:$I$8,2,0)</f>
        <v>Raw Material</v>
      </c>
      <c r="S287" s="265" t="str">
        <f>VLOOKUP('MIS Working 1'!$H287,Master!B:C,2,0)</f>
        <v>RM-Eletro-Resistor</v>
      </c>
      <c r="T287" s="265" t="str">
        <f>VLOOKUP('MIS Working 1'!$S287,Master!E:F,2,0)</f>
        <v>Raw Material</v>
      </c>
      <c r="U287" s="268">
        <f>'MIS Working 1'!$N287-'MIS Working 1'!$AF287</f>
        <v>9000</v>
      </c>
      <c r="V287" s="269">
        <f>'MIS Working 1'!$U287/'MIS Working 1'!$N287</f>
        <v>1</v>
      </c>
      <c r="W287" s="265">
        <f>'MIS Working 1'!$N287/'MIS Working 1'!$L287</f>
        <v>0.06</v>
      </c>
      <c r="X287" s="270">
        <f>SUM('MIS Working 1'!$Y287:$AE287)</f>
        <v>0</v>
      </c>
      <c r="Y287" s="270">
        <f>SUMIFS('COGS Break up'!$E:$E,'COGS Break up'!$A:$A,'MIS Working 1'!$D287,'COGS Break up'!$D:$D,'MIS Working 1'!$Y$1)</f>
        <v>0</v>
      </c>
      <c r="Z287" s="270">
        <f>SUMIFS('COGS Break up'!$E:$E,'COGS Break up'!$A:$A,'MIS Working 1'!$D287,'COGS Break up'!$D:$D,'MIS Working 1'!$Z$1)</f>
        <v>0</v>
      </c>
      <c r="AA287" s="270">
        <f>SUMIFS('COGS Break up'!E:E,'COGS Break up'!A:A,'MIS Working 1'!$D:$D,'COGS Break up'!C:C,'MIS Working 1'!$AA$1)</f>
        <v>0</v>
      </c>
      <c r="AB287" s="270">
        <f>SUMIFS('COGS Break up'!E:E,'COGS Break up'!A:A,'MIS Working 1'!$D:$D,'COGS Break up'!C:C,$AB$1)</f>
        <v>0</v>
      </c>
      <c r="AC287" s="270">
        <f>SUMIFS('COGS Break up'!E:E,'COGS Break up'!A:A,'MIS Working 1'!$D:$D,'COGS Break up'!C:C,$AC$1)</f>
        <v>0</v>
      </c>
      <c r="AD287" s="270">
        <f>SUMIFS('COGS Break up'!$E:$E,'COGS Break up'!$A:$A,'MIS Working 1'!$D287,'COGS Break up'!$D:$D,'MIS Working 1'!$AD$1)</f>
        <v>0</v>
      </c>
      <c r="AE287" s="270">
        <f>SUMIFS('COGS Break up'!$E:$E,'COGS Break up'!$A:$A,'MIS Working 1'!$D287,'COGS Break up'!$D:$D,'MIS Working 1'!$AE$1)</f>
        <v>0</v>
      </c>
      <c r="AF287" s="271">
        <f>'MIS Working 1'!$AG287+'MIS Working 1'!$AH287+'MIS Working 1'!$AM287+'MIS Working 1'!$AL287</f>
        <v>0</v>
      </c>
      <c r="AG287" s="270">
        <f>'MIS Working 1'!$L287*'MIS Working 1'!$Y287</f>
        <v>0</v>
      </c>
      <c r="AH287" s="270">
        <f>'MIS Working 1'!$L287*'MIS Working 1'!$Z287</f>
        <v>0</v>
      </c>
      <c r="AI287" s="270">
        <f t="shared" si="12"/>
        <v>0</v>
      </c>
      <c r="AJ287" s="270">
        <f t="shared" si="13"/>
        <v>0</v>
      </c>
      <c r="AK287" s="270">
        <f t="shared" si="14"/>
        <v>0</v>
      </c>
      <c r="AL287" s="270">
        <f>'MIS Working 1'!$AD287*'MIS Working 1'!$L287</f>
        <v>0</v>
      </c>
      <c r="AM287" s="270">
        <f>'MIS Working 1'!$L287*'MIS Working 1'!$AE287+'MIS Working 1'!$AL287</f>
        <v>0</v>
      </c>
    </row>
    <row r="288" spans="1:39" x14ac:dyDescent="0.3">
      <c r="A288" s="272" t="s">
        <v>1374</v>
      </c>
      <c r="B288" s="273">
        <v>45972</v>
      </c>
      <c r="C288" s="274" t="s">
        <v>1809</v>
      </c>
      <c r="D288" s="274" t="s">
        <v>1606</v>
      </c>
      <c r="E288" s="274" t="s">
        <v>1607</v>
      </c>
      <c r="F288" s="274" t="s">
        <v>18</v>
      </c>
      <c r="G288" s="274" t="s">
        <v>48</v>
      </c>
      <c r="H288" s="274" t="s">
        <v>204</v>
      </c>
      <c r="I288" s="275">
        <v>40000</v>
      </c>
      <c r="J288" s="276">
        <v>2239.9899999999998</v>
      </c>
      <c r="K288" s="275">
        <v>40000</v>
      </c>
      <c r="L288" s="275">
        <v>40000</v>
      </c>
      <c r="M288" s="273">
        <v>45972</v>
      </c>
      <c r="N288" s="276">
        <v>2400</v>
      </c>
      <c r="O288" s="274" t="s">
        <v>21</v>
      </c>
      <c r="P288" s="274" t="s">
        <v>22</v>
      </c>
      <c r="Q288" s="274" t="s">
        <v>660</v>
      </c>
      <c r="R288" s="274" t="str">
        <f>VLOOKUP('MIS Working 1'!$G288,Master!$H$3:$I$8,2,0)</f>
        <v>Raw Material</v>
      </c>
      <c r="S288" s="274" t="str">
        <f>VLOOKUP('MIS Working 1'!$H288,Master!B:C,2,0)</f>
        <v>RM-Eletro-Resistor</v>
      </c>
      <c r="T288" s="274" t="str">
        <f>VLOOKUP('MIS Working 1'!$S288,Master!E:F,2,0)</f>
        <v>Raw Material</v>
      </c>
      <c r="U288" s="277">
        <f>'MIS Working 1'!$N288-'MIS Working 1'!$AF288</f>
        <v>2400</v>
      </c>
      <c r="V288" s="278">
        <f>'MIS Working 1'!$U288/'MIS Working 1'!$N288</f>
        <v>1</v>
      </c>
      <c r="W288" s="274">
        <f>'MIS Working 1'!$N288/'MIS Working 1'!$L288</f>
        <v>0.06</v>
      </c>
      <c r="X288" s="279">
        <f>SUM('MIS Working 1'!$Y288:$AE288)</f>
        <v>0</v>
      </c>
      <c r="Y288" s="279">
        <f>SUMIFS('COGS Break up'!$E:$E,'COGS Break up'!$A:$A,'MIS Working 1'!$D288,'COGS Break up'!$D:$D,'MIS Working 1'!$Y$1)</f>
        <v>0</v>
      </c>
      <c r="Z288" s="279">
        <f>SUMIFS('COGS Break up'!$E:$E,'COGS Break up'!$A:$A,'MIS Working 1'!$D288,'COGS Break up'!$D:$D,'MIS Working 1'!$Z$1)</f>
        <v>0</v>
      </c>
      <c r="AA288" s="279">
        <f>SUMIFS('COGS Break up'!E:E,'COGS Break up'!A:A,'MIS Working 1'!$D:$D,'COGS Break up'!C:C,'MIS Working 1'!$AA$1)</f>
        <v>0</v>
      </c>
      <c r="AB288" s="279">
        <f>SUMIFS('COGS Break up'!E:E,'COGS Break up'!A:A,'MIS Working 1'!$D:$D,'COGS Break up'!C:C,$AB$1)</f>
        <v>0</v>
      </c>
      <c r="AC288" s="279">
        <f>SUMIFS('COGS Break up'!E:E,'COGS Break up'!A:A,'MIS Working 1'!$D:$D,'COGS Break up'!C:C,$AC$1)</f>
        <v>0</v>
      </c>
      <c r="AD288" s="279">
        <f>SUMIFS('COGS Break up'!$E:$E,'COGS Break up'!$A:$A,'MIS Working 1'!$D288,'COGS Break up'!$D:$D,'MIS Working 1'!$AD$1)</f>
        <v>0</v>
      </c>
      <c r="AE288" s="279">
        <f>SUMIFS('COGS Break up'!$E:$E,'COGS Break up'!$A:$A,'MIS Working 1'!$D288,'COGS Break up'!$D:$D,'MIS Working 1'!$AE$1)</f>
        <v>0</v>
      </c>
      <c r="AF288" s="280">
        <f>'MIS Working 1'!$AG288+'MIS Working 1'!$AH288+'MIS Working 1'!$AM288+'MIS Working 1'!$AL288</f>
        <v>0</v>
      </c>
      <c r="AG288" s="279">
        <f>'MIS Working 1'!$L288*'MIS Working 1'!$Y288</f>
        <v>0</v>
      </c>
      <c r="AH288" s="279">
        <f>'MIS Working 1'!$L288*'MIS Working 1'!$Z288</f>
        <v>0</v>
      </c>
      <c r="AI288" s="279">
        <f t="shared" si="12"/>
        <v>0</v>
      </c>
      <c r="AJ288" s="279">
        <f t="shared" si="13"/>
        <v>0</v>
      </c>
      <c r="AK288" s="279">
        <f t="shared" si="14"/>
        <v>0</v>
      </c>
      <c r="AL288" s="279">
        <f>'MIS Working 1'!$AD288*'MIS Working 1'!$L288</f>
        <v>0</v>
      </c>
      <c r="AM288" s="279">
        <f>'MIS Working 1'!$L288*'MIS Working 1'!$AE288+'MIS Working 1'!$AL288</f>
        <v>0</v>
      </c>
    </row>
    <row r="289" spans="1:39" x14ac:dyDescent="0.3">
      <c r="A289" s="263" t="s">
        <v>1374</v>
      </c>
      <c r="B289" s="264">
        <v>45972</v>
      </c>
      <c r="C289" s="265" t="s">
        <v>1809</v>
      </c>
      <c r="D289" s="265" t="s">
        <v>1598</v>
      </c>
      <c r="E289" s="265" t="s">
        <v>1599</v>
      </c>
      <c r="F289" s="265" t="s">
        <v>18</v>
      </c>
      <c r="G289" s="265" t="s">
        <v>48</v>
      </c>
      <c r="H289" s="265" t="s">
        <v>204</v>
      </c>
      <c r="I289" s="266">
        <v>10000</v>
      </c>
      <c r="J289" s="267">
        <v>560</v>
      </c>
      <c r="K289" s="266">
        <v>10000</v>
      </c>
      <c r="L289" s="266">
        <v>10000</v>
      </c>
      <c r="M289" s="264">
        <v>45972</v>
      </c>
      <c r="N289" s="267">
        <v>600</v>
      </c>
      <c r="O289" s="265" t="s">
        <v>21</v>
      </c>
      <c r="P289" s="265" t="s">
        <v>22</v>
      </c>
      <c r="Q289" s="265" t="s">
        <v>660</v>
      </c>
      <c r="R289" s="265" t="str">
        <f>VLOOKUP('MIS Working 1'!$G289,Master!$H$3:$I$8,2,0)</f>
        <v>Raw Material</v>
      </c>
      <c r="S289" s="265" t="str">
        <f>VLOOKUP('MIS Working 1'!$H289,Master!B:C,2,0)</f>
        <v>RM-Eletro-Resistor</v>
      </c>
      <c r="T289" s="265" t="str">
        <f>VLOOKUP('MIS Working 1'!$S289,Master!E:F,2,0)</f>
        <v>Raw Material</v>
      </c>
      <c r="U289" s="268">
        <f>'MIS Working 1'!$N289-'MIS Working 1'!$AF289</f>
        <v>600</v>
      </c>
      <c r="V289" s="269">
        <f>'MIS Working 1'!$U289/'MIS Working 1'!$N289</f>
        <v>1</v>
      </c>
      <c r="W289" s="265">
        <f>'MIS Working 1'!$N289/'MIS Working 1'!$L289</f>
        <v>0.06</v>
      </c>
      <c r="X289" s="270">
        <f>SUM('MIS Working 1'!$Y289:$AE289)</f>
        <v>0</v>
      </c>
      <c r="Y289" s="270">
        <f>SUMIFS('COGS Break up'!$E:$E,'COGS Break up'!$A:$A,'MIS Working 1'!$D289,'COGS Break up'!$D:$D,'MIS Working 1'!$Y$1)</f>
        <v>0</v>
      </c>
      <c r="Z289" s="270">
        <f>SUMIFS('COGS Break up'!$E:$E,'COGS Break up'!$A:$A,'MIS Working 1'!$D289,'COGS Break up'!$D:$D,'MIS Working 1'!$Z$1)</f>
        <v>0</v>
      </c>
      <c r="AA289" s="270">
        <f>SUMIFS('COGS Break up'!E:E,'COGS Break up'!A:A,'MIS Working 1'!$D:$D,'COGS Break up'!C:C,'MIS Working 1'!$AA$1)</f>
        <v>0</v>
      </c>
      <c r="AB289" s="270">
        <f>SUMIFS('COGS Break up'!E:E,'COGS Break up'!A:A,'MIS Working 1'!$D:$D,'COGS Break up'!C:C,$AB$1)</f>
        <v>0</v>
      </c>
      <c r="AC289" s="270">
        <f>SUMIFS('COGS Break up'!E:E,'COGS Break up'!A:A,'MIS Working 1'!$D:$D,'COGS Break up'!C:C,$AC$1)</f>
        <v>0</v>
      </c>
      <c r="AD289" s="270">
        <f>SUMIFS('COGS Break up'!$E:$E,'COGS Break up'!$A:$A,'MIS Working 1'!$D289,'COGS Break up'!$D:$D,'MIS Working 1'!$AD$1)</f>
        <v>0</v>
      </c>
      <c r="AE289" s="270">
        <f>SUMIFS('COGS Break up'!$E:$E,'COGS Break up'!$A:$A,'MIS Working 1'!$D289,'COGS Break up'!$D:$D,'MIS Working 1'!$AE$1)</f>
        <v>0</v>
      </c>
      <c r="AF289" s="271">
        <f>'MIS Working 1'!$AG289+'MIS Working 1'!$AH289+'MIS Working 1'!$AM289+'MIS Working 1'!$AL289</f>
        <v>0</v>
      </c>
      <c r="AG289" s="270">
        <f>'MIS Working 1'!$L289*'MIS Working 1'!$Y289</f>
        <v>0</v>
      </c>
      <c r="AH289" s="270">
        <f>'MIS Working 1'!$L289*'MIS Working 1'!$Z289</f>
        <v>0</v>
      </c>
      <c r="AI289" s="270">
        <f t="shared" si="12"/>
        <v>0</v>
      </c>
      <c r="AJ289" s="270">
        <f t="shared" si="13"/>
        <v>0</v>
      </c>
      <c r="AK289" s="270">
        <f t="shared" si="14"/>
        <v>0</v>
      </c>
      <c r="AL289" s="270">
        <f>'MIS Working 1'!$AD289*'MIS Working 1'!$L289</f>
        <v>0</v>
      </c>
      <c r="AM289" s="270">
        <f>'MIS Working 1'!$L289*'MIS Working 1'!$AE289+'MIS Working 1'!$AL289</f>
        <v>0</v>
      </c>
    </row>
    <row r="290" spans="1:39" x14ac:dyDescent="0.3">
      <c r="A290" s="272" t="s">
        <v>1374</v>
      </c>
      <c r="B290" s="273">
        <v>45972</v>
      </c>
      <c r="C290" s="274" t="s">
        <v>1809</v>
      </c>
      <c r="D290" s="274" t="s">
        <v>1600</v>
      </c>
      <c r="E290" s="274" t="s">
        <v>1601</v>
      </c>
      <c r="F290" s="274" t="s">
        <v>18</v>
      </c>
      <c r="G290" s="274" t="s">
        <v>48</v>
      </c>
      <c r="H290" s="274" t="s">
        <v>204</v>
      </c>
      <c r="I290" s="275">
        <v>20000</v>
      </c>
      <c r="J290" s="276">
        <v>1120</v>
      </c>
      <c r="K290" s="275">
        <v>20000</v>
      </c>
      <c r="L290" s="275">
        <v>20000</v>
      </c>
      <c r="M290" s="273">
        <v>45972</v>
      </c>
      <c r="N290" s="276">
        <v>1200</v>
      </c>
      <c r="O290" s="274" t="s">
        <v>21</v>
      </c>
      <c r="P290" s="274" t="s">
        <v>22</v>
      </c>
      <c r="Q290" s="274" t="s">
        <v>660</v>
      </c>
      <c r="R290" s="274" t="str">
        <f>VLOOKUP('MIS Working 1'!$G290,Master!$H$3:$I$8,2,0)</f>
        <v>Raw Material</v>
      </c>
      <c r="S290" s="274" t="str">
        <f>VLOOKUP('MIS Working 1'!$H290,Master!B:C,2,0)</f>
        <v>RM-Eletro-Resistor</v>
      </c>
      <c r="T290" s="274" t="str">
        <f>VLOOKUP('MIS Working 1'!$S290,Master!E:F,2,0)</f>
        <v>Raw Material</v>
      </c>
      <c r="U290" s="277">
        <f>'MIS Working 1'!$N290-'MIS Working 1'!$AF290</f>
        <v>1200</v>
      </c>
      <c r="V290" s="278">
        <f>'MIS Working 1'!$U290/'MIS Working 1'!$N290</f>
        <v>1</v>
      </c>
      <c r="W290" s="274">
        <f>'MIS Working 1'!$N290/'MIS Working 1'!$L290</f>
        <v>0.06</v>
      </c>
      <c r="X290" s="279">
        <f>SUM('MIS Working 1'!$Y290:$AE290)</f>
        <v>0</v>
      </c>
      <c r="Y290" s="279">
        <f>SUMIFS('COGS Break up'!$E:$E,'COGS Break up'!$A:$A,'MIS Working 1'!$D290,'COGS Break up'!$D:$D,'MIS Working 1'!$Y$1)</f>
        <v>0</v>
      </c>
      <c r="Z290" s="279">
        <f>SUMIFS('COGS Break up'!$E:$E,'COGS Break up'!$A:$A,'MIS Working 1'!$D290,'COGS Break up'!$D:$D,'MIS Working 1'!$Z$1)</f>
        <v>0</v>
      </c>
      <c r="AA290" s="279">
        <f>SUMIFS('COGS Break up'!E:E,'COGS Break up'!A:A,'MIS Working 1'!$D:$D,'COGS Break up'!C:C,'MIS Working 1'!$AA$1)</f>
        <v>0</v>
      </c>
      <c r="AB290" s="279">
        <f>SUMIFS('COGS Break up'!E:E,'COGS Break up'!A:A,'MIS Working 1'!$D:$D,'COGS Break up'!C:C,$AB$1)</f>
        <v>0</v>
      </c>
      <c r="AC290" s="279">
        <f>SUMIFS('COGS Break up'!E:E,'COGS Break up'!A:A,'MIS Working 1'!$D:$D,'COGS Break up'!C:C,$AC$1)</f>
        <v>0</v>
      </c>
      <c r="AD290" s="279">
        <f>SUMIFS('COGS Break up'!$E:$E,'COGS Break up'!$A:$A,'MIS Working 1'!$D290,'COGS Break up'!$D:$D,'MIS Working 1'!$AD$1)</f>
        <v>0</v>
      </c>
      <c r="AE290" s="279">
        <f>SUMIFS('COGS Break up'!$E:$E,'COGS Break up'!$A:$A,'MIS Working 1'!$D290,'COGS Break up'!$D:$D,'MIS Working 1'!$AE$1)</f>
        <v>0</v>
      </c>
      <c r="AF290" s="280">
        <f>'MIS Working 1'!$AG290+'MIS Working 1'!$AH290+'MIS Working 1'!$AM290+'MIS Working 1'!$AL290</f>
        <v>0</v>
      </c>
      <c r="AG290" s="279">
        <f>'MIS Working 1'!$L290*'MIS Working 1'!$Y290</f>
        <v>0</v>
      </c>
      <c r="AH290" s="279">
        <f>'MIS Working 1'!$L290*'MIS Working 1'!$Z290</f>
        <v>0</v>
      </c>
      <c r="AI290" s="279">
        <f t="shared" si="12"/>
        <v>0</v>
      </c>
      <c r="AJ290" s="279">
        <f t="shared" si="13"/>
        <v>0</v>
      </c>
      <c r="AK290" s="279">
        <f t="shared" si="14"/>
        <v>0</v>
      </c>
      <c r="AL290" s="279">
        <f>'MIS Working 1'!$AD290*'MIS Working 1'!$L290</f>
        <v>0</v>
      </c>
      <c r="AM290" s="279">
        <f>'MIS Working 1'!$L290*'MIS Working 1'!$AE290+'MIS Working 1'!$AL290</f>
        <v>0</v>
      </c>
    </row>
    <row r="291" spans="1:39" x14ac:dyDescent="0.3">
      <c r="A291" s="263" t="s">
        <v>1374</v>
      </c>
      <c r="B291" s="264">
        <v>45972</v>
      </c>
      <c r="C291" s="265" t="s">
        <v>1809</v>
      </c>
      <c r="D291" s="265" t="s">
        <v>1596</v>
      </c>
      <c r="E291" s="265" t="s">
        <v>1597</v>
      </c>
      <c r="F291" s="265" t="s">
        <v>18</v>
      </c>
      <c r="G291" s="265" t="s">
        <v>48</v>
      </c>
      <c r="H291" s="265" t="s">
        <v>168</v>
      </c>
      <c r="I291" s="266">
        <v>15000</v>
      </c>
      <c r="J291" s="267">
        <v>105000</v>
      </c>
      <c r="K291" s="266">
        <v>15000</v>
      </c>
      <c r="L291" s="266">
        <v>15000</v>
      </c>
      <c r="M291" s="264">
        <v>45972</v>
      </c>
      <c r="N291" s="267">
        <v>105000</v>
      </c>
      <c r="O291" s="265" t="s">
        <v>21</v>
      </c>
      <c r="P291" s="265" t="s">
        <v>22</v>
      </c>
      <c r="Q291" s="265" t="s">
        <v>660</v>
      </c>
      <c r="R291" s="265" t="str">
        <f>VLOOKUP('MIS Working 1'!$G291,Master!$H$3:$I$8,2,0)</f>
        <v>Raw Material</v>
      </c>
      <c r="S291" s="265" t="str">
        <f>VLOOKUP('MIS Working 1'!$H291,Master!B:C,2,0)</f>
        <v>Raw Materials</v>
      </c>
      <c r="T291" s="265" t="str">
        <f>VLOOKUP('MIS Working 1'!$S291,Master!E:F,2,0)</f>
        <v>Raw Material</v>
      </c>
      <c r="U291" s="268">
        <f>'MIS Working 1'!$N291-'MIS Working 1'!$AF291</f>
        <v>105000</v>
      </c>
      <c r="V291" s="269">
        <f>'MIS Working 1'!$U291/'MIS Working 1'!$N291</f>
        <v>1</v>
      </c>
      <c r="W291" s="265">
        <f>'MIS Working 1'!$N291/'MIS Working 1'!$L291</f>
        <v>7</v>
      </c>
      <c r="X291" s="270">
        <f>SUM('MIS Working 1'!$Y291:$AE291)</f>
        <v>0</v>
      </c>
      <c r="Y291" s="270">
        <f>SUMIFS('COGS Break up'!$E:$E,'COGS Break up'!$A:$A,'MIS Working 1'!$D291,'COGS Break up'!$D:$D,'MIS Working 1'!$Y$1)</f>
        <v>0</v>
      </c>
      <c r="Z291" s="270">
        <f>SUMIFS('COGS Break up'!$E:$E,'COGS Break up'!$A:$A,'MIS Working 1'!$D291,'COGS Break up'!$D:$D,'MIS Working 1'!$Z$1)</f>
        <v>0</v>
      </c>
      <c r="AA291" s="270">
        <f>SUMIFS('COGS Break up'!E:E,'COGS Break up'!A:A,'MIS Working 1'!$D:$D,'COGS Break up'!C:C,'MIS Working 1'!$AA$1)</f>
        <v>0</v>
      </c>
      <c r="AB291" s="270">
        <f>SUMIFS('COGS Break up'!E:E,'COGS Break up'!A:A,'MIS Working 1'!$D:$D,'COGS Break up'!C:C,$AB$1)</f>
        <v>0</v>
      </c>
      <c r="AC291" s="270">
        <f>SUMIFS('COGS Break up'!E:E,'COGS Break up'!A:A,'MIS Working 1'!$D:$D,'COGS Break up'!C:C,$AC$1)</f>
        <v>0</v>
      </c>
      <c r="AD291" s="270">
        <f>SUMIFS('COGS Break up'!$E:$E,'COGS Break up'!$A:$A,'MIS Working 1'!$D291,'COGS Break up'!$D:$D,'MIS Working 1'!$AD$1)</f>
        <v>0</v>
      </c>
      <c r="AE291" s="270">
        <f>SUMIFS('COGS Break up'!$E:$E,'COGS Break up'!$A:$A,'MIS Working 1'!$D291,'COGS Break up'!$D:$D,'MIS Working 1'!$AE$1)</f>
        <v>0</v>
      </c>
      <c r="AF291" s="271">
        <f>'MIS Working 1'!$AG291+'MIS Working 1'!$AH291+'MIS Working 1'!$AM291+'MIS Working 1'!$AL291</f>
        <v>0</v>
      </c>
      <c r="AG291" s="270">
        <f>'MIS Working 1'!$L291*'MIS Working 1'!$Y291</f>
        <v>0</v>
      </c>
      <c r="AH291" s="270">
        <f>'MIS Working 1'!$L291*'MIS Working 1'!$Z291</f>
        <v>0</v>
      </c>
      <c r="AI291" s="270">
        <f t="shared" si="12"/>
        <v>0</v>
      </c>
      <c r="AJ291" s="270">
        <f t="shared" si="13"/>
        <v>0</v>
      </c>
      <c r="AK291" s="270">
        <f t="shared" si="14"/>
        <v>0</v>
      </c>
      <c r="AL291" s="270">
        <f>'MIS Working 1'!$AD291*'MIS Working 1'!$L291</f>
        <v>0</v>
      </c>
      <c r="AM291" s="270">
        <f>'MIS Working 1'!$L291*'MIS Working 1'!$AE291+'MIS Working 1'!$AL291</f>
        <v>0</v>
      </c>
    </row>
    <row r="292" spans="1:39" x14ac:dyDescent="0.3">
      <c r="A292" s="272" t="s">
        <v>1374</v>
      </c>
      <c r="B292" s="273">
        <v>45972</v>
      </c>
      <c r="C292" s="274" t="s">
        <v>1809</v>
      </c>
      <c r="D292" s="274" t="s">
        <v>1592</v>
      </c>
      <c r="E292" s="274" t="s">
        <v>1593</v>
      </c>
      <c r="F292" s="274" t="s">
        <v>18</v>
      </c>
      <c r="G292" s="274" t="s">
        <v>48</v>
      </c>
      <c r="H292" s="274" t="s">
        <v>204</v>
      </c>
      <c r="I292" s="275">
        <v>10000</v>
      </c>
      <c r="J292" s="276">
        <v>560.35</v>
      </c>
      <c r="K292" s="275">
        <v>10000</v>
      </c>
      <c r="L292" s="275">
        <v>10000</v>
      </c>
      <c r="M292" s="273">
        <v>45972</v>
      </c>
      <c r="N292" s="276">
        <v>600</v>
      </c>
      <c r="O292" s="274" t="s">
        <v>21</v>
      </c>
      <c r="P292" s="274" t="s">
        <v>22</v>
      </c>
      <c r="Q292" s="274" t="s">
        <v>660</v>
      </c>
      <c r="R292" s="274" t="str">
        <f>VLOOKUP('MIS Working 1'!$G292,Master!$H$3:$I$8,2,0)</f>
        <v>Raw Material</v>
      </c>
      <c r="S292" s="274" t="str">
        <f>VLOOKUP('MIS Working 1'!$H292,Master!B:C,2,0)</f>
        <v>RM-Eletro-Resistor</v>
      </c>
      <c r="T292" s="274" t="str">
        <f>VLOOKUP('MIS Working 1'!$S292,Master!E:F,2,0)</f>
        <v>Raw Material</v>
      </c>
      <c r="U292" s="277">
        <f>'MIS Working 1'!$N292-'MIS Working 1'!$AF292</f>
        <v>600</v>
      </c>
      <c r="V292" s="278">
        <f>'MIS Working 1'!$U292/'MIS Working 1'!$N292</f>
        <v>1</v>
      </c>
      <c r="W292" s="274">
        <f>'MIS Working 1'!$N292/'MIS Working 1'!$L292</f>
        <v>0.06</v>
      </c>
      <c r="X292" s="279">
        <f>SUM('MIS Working 1'!$Y292:$AE292)</f>
        <v>0</v>
      </c>
      <c r="Y292" s="279">
        <f>SUMIFS('COGS Break up'!$E:$E,'COGS Break up'!$A:$A,'MIS Working 1'!$D292,'COGS Break up'!$D:$D,'MIS Working 1'!$Y$1)</f>
        <v>0</v>
      </c>
      <c r="Z292" s="279">
        <f>SUMIFS('COGS Break up'!$E:$E,'COGS Break up'!$A:$A,'MIS Working 1'!$D292,'COGS Break up'!$D:$D,'MIS Working 1'!$Z$1)</f>
        <v>0</v>
      </c>
      <c r="AA292" s="279">
        <f>SUMIFS('COGS Break up'!E:E,'COGS Break up'!A:A,'MIS Working 1'!$D:$D,'COGS Break up'!C:C,'MIS Working 1'!$AA$1)</f>
        <v>0</v>
      </c>
      <c r="AB292" s="279">
        <f>SUMIFS('COGS Break up'!E:E,'COGS Break up'!A:A,'MIS Working 1'!$D:$D,'COGS Break up'!C:C,$AB$1)</f>
        <v>0</v>
      </c>
      <c r="AC292" s="279">
        <f>SUMIFS('COGS Break up'!E:E,'COGS Break up'!A:A,'MIS Working 1'!$D:$D,'COGS Break up'!C:C,$AC$1)</f>
        <v>0</v>
      </c>
      <c r="AD292" s="279">
        <f>SUMIFS('COGS Break up'!$E:$E,'COGS Break up'!$A:$A,'MIS Working 1'!$D292,'COGS Break up'!$D:$D,'MIS Working 1'!$AD$1)</f>
        <v>0</v>
      </c>
      <c r="AE292" s="279">
        <f>SUMIFS('COGS Break up'!$E:$E,'COGS Break up'!$A:$A,'MIS Working 1'!$D292,'COGS Break up'!$D:$D,'MIS Working 1'!$AE$1)</f>
        <v>0</v>
      </c>
      <c r="AF292" s="280">
        <f>'MIS Working 1'!$AG292+'MIS Working 1'!$AH292+'MIS Working 1'!$AM292+'MIS Working 1'!$AL292</f>
        <v>0</v>
      </c>
      <c r="AG292" s="279">
        <f>'MIS Working 1'!$L292*'MIS Working 1'!$Y292</f>
        <v>0</v>
      </c>
      <c r="AH292" s="279">
        <f>'MIS Working 1'!$L292*'MIS Working 1'!$Z292</f>
        <v>0</v>
      </c>
      <c r="AI292" s="279">
        <f t="shared" si="12"/>
        <v>0</v>
      </c>
      <c r="AJ292" s="279">
        <f t="shared" si="13"/>
        <v>0</v>
      </c>
      <c r="AK292" s="279">
        <f t="shared" si="14"/>
        <v>0</v>
      </c>
      <c r="AL292" s="279">
        <f>'MIS Working 1'!$AD292*'MIS Working 1'!$L292</f>
        <v>0</v>
      </c>
      <c r="AM292" s="279">
        <f>'MIS Working 1'!$L292*'MIS Working 1'!$AE292+'MIS Working 1'!$AL292</f>
        <v>0</v>
      </c>
    </row>
    <row r="293" spans="1:39" x14ac:dyDescent="0.3">
      <c r="A293" s="263" t="s">
        <v>1374</v>
      </c>
      <c r="B293" s="264">
        <v>45972</v>
      </c>
      <c r="C293" s="265" t="s">
        <v>1809</v>
      </c>
      <c r="D293" s="265" t="s">
        <v>1578</v>
      </c>
      <c r="E293" s="265" t="s">
        <v>1579</v>
      </c>
      <c r="F293" s="265" t="s">
        <v>18</v>
      </c>
      <c r="G293" s="265" t="s">
        <v>48</v>
      </c>
      <c r="H293" s="265" t="s">
        <v>204</v>
      </c>
      <c r="I293" s="266">
        <v>20000</v>
      </c>
      <c r="J293" s="267">
        <v>39000</v>
      </c>
      <c r="K293" s="266">
        <v>20000</v>
      </c>
      <c r="L293" s="266">
        <v>20000</v>
      </c>
      <c r="M293" s="264">
        <v>45972</v>
      </c>
      <c r="N293" s="267">
        <v>39000</v>
      </c>
      <c r="O293" s="265" t="s">
        <v>21</v>
      </c>
      <c r="P293" s="265" t="s">
        <v>22</v>
      </c>
      <c r="Q293" s="265" t="s">
        <v>660</v>
      </c>
      <c r="R293" s="265" t="str">
        <f>VLOOKUP('MIS Working 1'!$G293,Master!$H$3:$I$8,2,0)</f>
        <v>Raw Material</v>
      </c>
      <c r="S293" s="265" t="str">
        <f>VLOOKUP('MIS Working 1'!$H293,Master!B:C,2,0)</f>
        <v>RM-Eletro-Resistor</v>
      </c>
      <c r="T293" s="265" t="str">
        <f>VLOOKUP('MIS Working 1'!$S293,Master!E:F,2,0)</f>
        <v>Raw Material</v>
      </c>
      <c r="U293" s="268">
        <f>'MIS Working 1'!$N293-'MIS Working 1'!$AF293</f>
        <v>39000</v>
      </c>
      <c r="V293" s="269">
        <f>'MIS Working 1'!$U293/'MIS Working 1'!$N293</f>
        <v>1</v>
      </c>
      <c r="W293" s="265">
        <f>'MIS Working 1'!$N293/'MIS Working 1'!$L293</f>
        <v>1.95</v>
      </c>
      <c r="X293" s="270">
        <f>SUM('MIS Working 1'!$Y293:$AE293)</f>
        <v>0</v>
      </c>
      <c r="Y293" s="270">
        <f>SUMIFS('COGS Break up'!$E:$E,'COGS Break up'!$A:$A,'MIS Working 1'!$D293,'COGS Break up'!$D:$D,'MIS Working 1'!$Y$1)</f>
        <v>0</v>
      </c>
      <c r="Z293" s="270">
        <f>SUMIFS('COGS Break up'!$E:$E,'COGS Break up'!$A:$A,'MIS Working 1'!$D293,'COGS Break up'!$D:$D,'MIS Working 1'!$Z$1)</f>
        <v>0</v>
      </c>
      <c r="AA293" s="270">
        <f>SUMIFS('COGS Break up'!E:E,'COGS Break up'!A:A,'MIS Working 1'!$D:$D,'COGS Break up'!C:C,'MIS Working 1'!$AA$1)</f>
        <v>0</v>
      </c>
      <c r="AB293" s="270">
        <f>SUMIFS('COGS Break up'!E:E,'COGS Break up'!A:A,'MIS Working 1'!$D:$D,'COGS Break up'!C:C,$AB$1)</f>
        <v>0</v>
      </c>
      <c r="AC293" s="270">
        <f>SUMIFS('COGS Break up'!E:E,'COGS Break up'!A:A,'MIS Working 1'!$D:$D,'COGS Break up'!C:C,$AC$1)</f>
        <v>0</v>
      </c>
      <c r="AD293" s="270">
        <f>SUMIFS('COGS Break up'!$E:$E,'COGS Break up'!$A:$A,'MIS Working 1'!$D293,'COGS Break up'!$D:$D,'MIS Working 1'!$AD$1)</f>
        <v>0</v>
      </c>
      <c r="AE293" s="270">
        <f>SUMIFS('COGS Break up'!$E:$E,'COGS Break up'!$A:$A,'MIS Working 1'!$D293,'COGS Break up'!$D:$D,'MIS Working 1'!$AE$1)</f>
        <v>0</v>
      </c>
      <c r="AF293" s="271">
        <f>'MIS Working 1'!$AG293+'MIS Working 1'!$AH293+'MIS Working 1'!$AM293+'MIS Working 1'!$AL293</f>
        <v>0</v>
      </c>
      <c r="AG293" s="270">
        <f>'MIS Working 1'!$L293*'MIS Working 1'!$Y293</f>
        <v>0</v>
      </c>
      <c r="AH293" s="270">
        <f>'MIS Working 1'!$L293*'MIS Working 1'!$Z293</f>
        <v>0</v>
      </c>
      <c r="AI293" s="270">
        <f t="shared" si="12"/>
        <v>0</v>
      </c>
      <c r="AJ293" s="270">
        <f t="shared" si="13"/>
        <v>0</v>
      </c>
      <c r="AK293" s="270">
        <f t="shared" si="14"/>
        <v>0</v>
      </c>
      <c r="AL293" s="270">
        <f>'MIS Working 1'!$AD293*'MIS Working 1'!$L293</f>
        <v>0</v>
      </c>
      <c r="AM293" s="270">
        <f>'MIS Working 1'!$L293*'MIS Working 1'!$AE293+'MIS Working 1'!$AL293</f>
        <v>0</v>
      </c>
    </row>
    <row r="294" spans="1:39" x14ac:dyDescent="0.3">
      <c r="A294" s="272" t="s">
        <v>1374</v>
      </c>
      <c r="B294" s="273">
        <v>45972</v>
      </c>
      <c r="C294" s="274" t="s">
        <v>1809</v>
      </c>
      <c r="D294" s="274" t="s">
        <v>1361</v>
      </c>
      <c r="E294" s="274" t="s">
        <v>1362</v>
      </c>
      <c r="F294" s="274" t="s">
        <v>18</v>
      </c>
      <c r="G294" s="274" t="s">
        <v>48</v>
      </c>
      <c r="H294" s="274" t="s">
        <v>204</v>
      </c>
      <c r="I294" s="275">
        <v>10000</v>
      </c>
      <c r="J294" s="276">
        <v>560</v>
      </c>
      <c r="K294" s="275">
        <v>10000</v>
      </c>
      <c r="L294" s="275">
        <v>10000</v>
      </c>
      <c r="M294" s="273">
        <v>45972</v>
      </c>
      <c r="N294" s="276">
        <v>600</v>
      </c>
      <c r="O294" s="274" t="s">
        <v>21</v>
      </c>
      <c r="P294" s="274" t="s">
        <v>22</v>
      </c>
      <c r="Q294" s="274" t="s">
        <v>660</v>
      </c>
      <c r="R294" s="274" t="str">
        <f>VLOOKUP('MIS Working 1'!$G294,Master!$H$3:$I$8,2,0)</f>
        <v>Raw Material</v>
      </c>
      <c r="S294" s="274" t="str">
        <f>VLOOKUP('MIS Working 1'!$H294,Master!B:C,2,0)</f>
        <v>RM-Eletro-Resistor</v>
      </c>
      <c r="T294" s="274" t="str">
        <f>VLOOKUP('MIS Working 1'!$S294,Master!E:F,2,0)</f>
        <v>Raw Material</v>
      </c>
      <c r="U294" s="277">
        <f>'MIS Working 1'!$N294-'MIS Working 1'!$AF294</f>
        <v>600</v>
      </c>
      <c r="V294" s="278">
        <f>'MIS Working 1'!$U294/'MIS Working 1'!$N294</f>
        <v>1</v>
      </c>
      <c r="W294" s="274">
        <f>'MIS Working 1'!$N294/'MIS Working 1'!$L294</f>
        <v>0.06</v>
      </c>
      <c r="X294" s="279">
        <f>SUM('MIS Working 1'!$Y294:$AE294)</f>
        <v>0</v>
      </c>
      <c r="Y294" s="279">
        <f>SUMIFS('COGS Break up'!$E:$E,'COGS Break up'!$A:$A,'MIS Working 1'!$D294,'COGS Break up'!$D:$D,'MIS Working 1'!$Y$1)</f>
        <v>0</v>
      </c>
      <c r="Z294" s="279">
        <f>SUMIFS('COGS Break up'!$E:$E,'COGS Break up'!$A:$A,'MIS Working 1'!$D294,'COGS Break up'!$D:$D,'MIS Working 1'!$Z$1)</f>
        <v>0</v>
      </c>
      <c r="AA294" s="279">
        <f>SUMIFS('COGS Break up'!E:E,'COGS Break up'!A:A,'MIS Working 1'!$D:$D,'COGS Break up'!C:C,'MIS Working 1'!$AA$1)</f>
        <v>0</v>
      </c>
      <c r="AB294" s="279">
        <f>SUMIFS('COGS Break up'!E:E,'COGS Break up'!A:A,'MIS Working 1'!$D:$D,'COGS Break up'!C:C,$AB$1)</f>
        <v>0</v>
      </c>
      <c r="AC294" s="279">
        <f>SUMIFS('COGS Break up'!E:E,'COGS Break up'!A:A,'MIS Working 1'!$D:$D,'COGS Break up'!C:C,$AC$1)</f>
        <v>0</v>
      </c>
      <c r="AD294" s="279">
        <f>SUMIFS('COGS Break up'!$E:$E,'COGS Break up'!$A:$A,'MIS Working 1'!$D294,'COGS Break up'!$D:$D,'MIS Working 1'!$AD$1)</f>
        <v>0</v>
      </c>
      <c r="AE294" s="279">
        <f>SUMIFS('COGS Break up'!$E:$E,'COGS Break up'!$A:$A,'MIS Working 1'!$D294,'COGS Break up'!$D:$D,'MIS Working 1'!$AE$1)</f>
        <v>0</v>
      </c>
      <c r="AF294" s="280">
        <f>'MIS Working 1'!$AG294+'MIS Working 1'!$AH294+'MIS Working 1'!$AM294+'MIS Working 1'!$AL294</f>
        <v>0</v>
      </c>
      <c r="AG294" s="279">
        <f>'MIS Working 1'!$L294*'MIS Working 1'!$Y294</f>
        <v>0</v>
      </c>
      <c r="AH294" s="279">
        <f>'MIS Working 1'!$L294*'MIS Working 1'!$Z294</f>
        <v>0</v>
      </c>
      <c r="AI294" s="279">
        <f t="shared" si="12"/>
        <v>0</v>
      </c>
      <c r="AJ294" s="279">
        <f t="shared" si="13"/>
        <v>0</v>
      </c>
      <c r="AK294" s="279">
        <f t="shared" si="14"/>
        <v>0</v>
      </c>
      <c r="AL294" s="279">
        <f>'MIS Working 1'!$AD294*'MIS Working 1'!$L294</f>
        <v>0</v>
      </c>
      <c r="AM294" s="279">
        <f>'MIS Working 1'!$L294*'MIS Working 1'!$AE294+'MIS Working 1'!$AL294</f>
        <v>0</v>
      </c>
    </row>
    <row r="295" spans="1:39" x14ac:dyDescent="0.3">
      <c r="A295" s="263" t="s">
        <v>1374</v>
      </c>
      <c r="B295" s="264">
        <v>45972</v>
      </c>
      <c r="C295" s="265" t="s">
        <v>1809</v>
      </c>
      <c r="D295" s="265" t="s">
        <v>1611</v>
      </c>
      <c r="E295" s="265" t="s">
        <v>1612</v>
      </c>
      <c r="F295" s="265" t="s">
        <v>18</v>
      </c>
      <c r="G295" s="265" t="s">
        <v>48</v>
      </c>
      <c r="H295" s="265" t="s">
        <v>204</v>
      </c>
      <c r="I295" s="266">
        <v>15000</v>
      </c>
      <c r="J295" s="267">
        <v>840</v>
      </c>
      <c r="K295" s="266">
        <v>15000</v>
      </c>
      <c r="L295" s="266">
        <v>15000</v>
      </c>
      <c r="M295" s="264">
        <v>45972</v>
      </c>
      <c r="N295" s="267">
        <v>900</v>
      </c>
      <c r="O295" s="265" t="s">
        <v>21</v>
      </c>
      <c r="P295" s="265" t="s">
        <v>22</v>
      </c>
      <c r="Q295" s="265" t="s">
        <v>660</v>
      </c>
      <c r="R295" s="265" t="str">
        <f>VLOOKUP('MIS Working 1'!$G295,Master!$H$3:$I$8,2,0)</f>
        <v>Raw Material</v>
      </c>
      <c r="S295" s="265" t="str">
        <f>VLOOKUP('MIS Working 1'!$H295,Master!B:C,2,0)</f>
        <v>RM-Eletro-Resistor</v>
      </c>
      <c r="T295" s="265" t="str">
        <f>VLOOKUP('MIS Working 1'!$S295,Master!E:F,2,0)</f>
        <v>Raw Material</v>
      </c>
      <c r="U295" s="268">
        <f>'MIS Working 1'!$N295-'MIS Working 1'!$AF295</f>
        <v>900</v>
      </c>
      <c r="V295" s="269">
        <f>'MIS Working 1'!$U295/'MIS Working 1'!$N295</f>
        <v>1</v>
      </c>
      <c r="W295" s="265">
        <f>'MIS Working 1'!$N295/'MIS Working 1'!$L295</f>
        <v>0.06</v>
      </c>
      <c r="X295" s="270">
        <f>SUM('MIS Working 1'!$Y295:$AE295)</f>
        <v>0</v>
      </c>
      <c r="Y295" s="270">
        <f>SUMIFS('COGS Break up'!$E:$E,'COGS Break up'!$A:$A,'MIS Working 1'!$D295,'COGS Break up'!$D:$D,'MIS Working 1'!$Y$1)</f>
        <v>0</v>
      </c>
      <c r="Z295" s="270">
        <f>SUMIFS('COGS Break up'!$E:$E,'COGS Break up'!$A:$A,'MIS Working 1'!$D295,'COGS Break up'!$D:$D,'MIS Working 1'!$Z$1)</f>
        <v>0</v>
      </c>
      <c r="AA295" s="270">
        <f>SUMIFS('COGS Break up'!E:E,'COGS Break up'!A:A,'MIS Working 1'!$D:$D,'COGS Break up'!C:C,'MIS Working 1'!$AA$1)</f>
        <v>0</v>
      </c>
      <c r="AB295" s="270">
        <f>SUMIFS('COGS Break up'!E:E,'COGS Break up'!A:A,'MIS Working 1'!$D:$D,'COGS Break up'!C:C,$AB$1)</f>
        <v>0</v>
      </c>
      <c r="AC295" s="270">
        <f>SUMIFS('COGS Break up'!E:E,'COGS Break up'!A:A,'MIS Working 1'!$D:$D,'COGS Break up'!C:C,$AC$1)</f>
        <v>0</v>
      </c>
      <c r="AD295" s="270">
        <f>SUMIFS('COGS Break up'!$E:$E,'COGS Break up'!$A:$A,'MIS Working 1'!$D295,'COGS Break up'!$D:$D,'MIS Working 1'!$AD$1)</f>
        <v>0</v>
      </c>
      <c r="AE295" s="270">
        <f>SUMIFS('COGS Break up'!$E:$E,'COGS Break up'!$A:$A,'MIS Working 1'!$D295,'COGS Break up'!$D:$D,'MIS Working 1'!$AE$1)</f>
        <v>0</v>
      </c>
      <c r="AF295" s="271">
        <f>'MIS Working 1'!$AG295+'MIS Working 1'!$AH295+'MIS Working 1'!$AM295+'MIS Working 1'!$AL295</f>
        <v>0</v>
      </c>
      <c r="AG295" s="270">
        <f>'MIS Working 1'!$L295*'MIS Working 1'!$Y295</f>
        <v>0</v>
      </c>
      <c r="AH295" s="270">
        <f>'MIS Working 1'!$L295*'MIS Working 1'!$Z295</f>
        <v>0</v>
      </c>
      <c r="AI295" s="270">
        <f t="shared" si="12"/>
        <v>0</v>
      </c>
      <c r="AJ295" s="270">
        <f t="shared" si="13"/>
        <v>0</v>
      </c>
      <c r="AK295" s="270">
        <f t="shared" si="14"/>
        <v>0</v>
      </c>
      <c r="AL295" s="270">
        <f>'MIS Working 1'!$AD295*'MIS Working 1'!$L295</f>
        <v>0</v>
      </c>
      <c r="AM295" s="270">
        <f>'MIS Working 1'!$L295*'MIS Working 1'!$AE295+'MIS Working 1'!$AL295</f>
        <v>0</v>
      </c>
    </row>
    <row r="296" spans="1:39" x14ac:dyDescent="0.3">
      <c r="A296" s="272" t="s">
        <v>1374</v>
      </c>
      <c r="B296" s="273">
        <v>45972</v>
      </c>
      <c r="C296" s="274" t="s">
        <v>1809</v>
      </c>
      <c r="D296" s="274" t="s">
        <v>1604</v>
      </c>
      <c r="E296" s="274" t="s">
        <v>1605</v>
      </c>
      <c r="F296" s="274" t="s">
        <v>18</v>
      </c>
      <c r="G296" s="274" t="s">
        <v>48</v>
      </c>
      <c r="H296" s="274" t="s">
        <v>204</v>
      </c>
      <c r="I296" s="275">
        <v>10000</v>
      </c>
      <c r="J296" s="276">
        <v>720</v>
      </c>
      <c r="K296" s="275">
        <v>10000</v>
      </c>
      <c r="L296" s="275">
        <v>10000</v>
      </c>
      <c r="M296" s="273">
        <v>45972</v>
      </c>
      <c r="N296" s="276">
        <v>700</v>
      </c>
      <c r="O296" s="274" t="s">
        <v>21</v>
      </c>
      <c r="P296" s="274" t="s">
        <v>22</v>
      </c>
      <c r="Q296" s="274" t="s">
        <v>660</v>
      </c>
      <c r="R296" s="274" t="str">
        <f>VLOOKUP('MIS Working 1'!$G296,Master!$H$3:$I$8,2,0)</f>
        <v>Raw Material</v>
      </c>
      <c r="S296" s="274" t="str">
        <f>VLOOKUP('MIS Working 1'!$H296,Master!B:C,2,0)</f>
        <v>RM-Eletro-Resistor</v>
      </c>
      <c r="T296" s="274" t="str">
        <f>VLOOKUP('MIS Working 1'!$S296,Master!E:F,2,0)</f>
        <v>Raw Material</v>
      </c>
      <c r="U296" s="277">
        <f>'MIS Working 1'!$N296-'MIS Working 1'!$AF296</f>
        <v>700</v>
      </c>
      <c r="V296" s="278">
        <f>'MIS Working 1'!$U296/'MIS Working 1'!$N296</f>
        <v>1</v>
      </c>
      <c r="W296" s="274">
        <f>'MIS Working 1'!$N296/'MIS Working 1'!$L296</f>
        <v>7.0000000000000007E-2</v>
      </c>
      <c r="X296" s="279">
        <f>SUM('MIS Working 1'!$Y296:$AE296)</f>
        <v>0</v>
      </c>
      <c r="Y296" s="279">
        <f>SUMIFS('COGS Break up'!$E:$E,'COGS Break up'!$A:$A,'MIS Working 1'!$D296,'COGS Break up'!$D:$D,'MIS Working 1'!$Y$1)</f>
        <v>0</v>
      </c>
      <c r="Z296" s="279">
        <f>SUMIFS('COGS Break up'!$E:$E,'COGS Break up'!$A:$A,'MIS Working 1'!$D296,'COGS Break up'!$D:$D,'MIS Working 1'!$Z$1)</f>
        <v>0</v>
      </c>
      <c r="AA296" s="279">
        <f>SUMIFS('COGS Break up'!E:E,'COGS Break up'!A:A,'MIS Working 1'!$D:$D,'COGS Break up'!C:C,'MIS Working 1'!$AA$1)</f>
        <v>0</v>
      </c>
      <c r="AB296" s="279">
        <f>SUMIFS('COGS Break up'!E:E,'COGS Break up'!A:A,'MIS Working 1'!$D:$D,'COGS Break up'!C:C,$AB$1)</f>
        <v>0</v>
      </c>
      <c r="AC296" s="279">
        <f>SUMIFS('COGS Break up'!E:E,'COGS Break up'!A:A,'MIS Working 1'!$D:$D,'COGS Break up'!C:C,$AC$1)</f>
        <v>0</v>
      </c>
      <c r="AD296" s="279">
        <f>SUMIFS('COGS Break up'!$E:$E,'COGS Break up'!$A:$A,'MIS Working 1'!$D296,'COGS Break up'!$D:$D,'MIS Working 1'!$AD$1)</f>
        <v>0</v>
      </c>
      <c r="AE296" s="279">
        <f>SUMIFS('COGS Break up'!$E:$E,'COGS Break up'!$A:$A,'MIS Working 1'!$D296,'COGS Break up'!$D:$D,'MIS Working 1'!$AE$1)</f>
        <v>0</v>
      </c>
      <c r="AF296" s="280">
        <f>'MIS Working 1'!$AG296+'MIS Working 1'!$AH296+'MIS Working 1'!$AM296+'MIS Working 1'!$AL296</f>
        <v>0</v>
      </c>
      <c r="AG296" s="279">
        <f>'MIS Working 1'!$L296*'MIS Working 1'!$Y296</f>
        <v>0</v>
      </c>
      <c r="AH296" s="279">
        <f>'MIS Working 1'!$L296*'MIS Working 1'!$Z296</f>
        <v>0</v>
      </c>
      <c r="AI296" s="279">
        <f t="shared" si="12"/>
        <v>0</v>
      </c>
      <c r="AJ296" s="279">
        <f t="shared" si="13"/>
        <v>0</v>
      </c>
      <c r="AK296" s="279">
        <f t="shared" si="14"/>
        <v>0</v>
      </c>
      <c r="AL296" s="279">
        <f>'MIS Working 1'!$AD296*'MIS Working 1'!$L296</f>
        <v>0</v>
      </c>
      <c r="AM296" s="279">
        <f>'MIS Working 1'!$L296*'MIS Working 1'!$AE296+'MIS Working 1'!$AL296</f>
        <v>0</v>
      </c>
    </row>
    <row r="297" spans="1:39" x14ac:dyDescent="0.3">
      <c r="A297" s="263" t="s">
        <v>1374</v>
      </c>
      <c r="B297" s="264">
        <v>45972</v>
      </c>
      <c r="C297" s="265" t="s">
        <v>1809</v>
      </c>
      <c r="D297" s="265" t="s">
        <v>1602</v>
      </c>
      <c r="E297" s="265" t="s">
        <v>1603</v>
      </c>
      <c r="F297" s="265" t="s">
        <v>18</v>
      </c>
      <c r="G297" s="265" t="s">
        <v>48</v>
      </c>
      <c r="H297" s="265" t="s">
        <v>204</v>
      </c>
      <c r="I297" s="266">
        <v>20000</v>
      </c>
      <c r="J297" s="267">
        <v>1780</v>
      </c>
      <c r="K297" s="266">
        <v>20000</v>
      </c>
      <c r="L297" s="266">
        <v>20000</v>
      </c>
      <c r="M297" s="264">
        <v>45972</v>
      </c>
      <c r="N297" s="267">
        <v>1800</v>
      </c>
      <c r="O297" s="265" t="s">
        <v>21</v>
      </c>
      <c r="P297" s="265" t="s">
        <v>22</v>
      </c>
      <c r="Q297" s="265" t="s">
        <v>660</v>
      </c>
      <c r="R297" s="265" t="str">
        <f>VLOOKUP('MIS Working 1'!$G297,Master!$H$3:$I$8,2,0)</f>
        <v>Raw Material</v>
      </c>
      <c r="S297" s="265" t="str">
        <f>VLOOKUP('MIS Working 1'!$H297,Master!B:C,2,0)</f>
        <v>RM-Eletro-Resistor</v>
      </c>
      <c r="T297" s="265" t="str">
        <f>VLOOKUP('MIS Working 1'!$S297,Master!E:F,2,0)</f>
        <v>Raw Material</v>
      </c>
      <c r="U297" s="268">
        <f>'MIS Working 1'!$N297-'MIS Working 1'!$AF297</f>
        <v>1800</v>
      </c>
      <c r="V297" s="269">
        <f>'MIS Working 1'!$U297/'MIS Working 1'!$N297</f>
        <v>1</v>
      </c>
      <c r="W297" s="265">
        <f>'MIS Working 1'!$N297/'MIS Working 1'!$L297</f>
        <v>0.09</v>
      </c>
      <c r="X297" s="270">
        <f>SUM('MIS Working 1'!$Y297:$AE297)</f>
        <v>0</v>
      </c>
      <c r="Y297" s="270">
        <f>SUMIFS('COGS Break up'!$E:$E,'COGS Break up'!$A:$A,'MIS Working 1'!$D297,'COGS Break up'!$D:$D,'MIS Working 1'!$Y$1)</f>
        <v>0</v>
      </c>
      <c r="Z297" s="270">
        <f>SUMIFS('COGS Break up'!$E:$E,'COGS Break up'!$A:$A,'MIS Working 1'!$D297,'COGS Break up'!$D:$D,'MIS Working 1'!$Z$1)</f>
        <v>0</v>
      </c>
      <c r="AA297" s="270">
        <f>SUMIFS('COGS Break up'!E:E,'COGS Break up'!A:A,'MIS Working 1'!$D:$D,'COGS Break up'!C:C,'MIS Working 1'!$AA$1)</f>
        <v>0</v>
      </c>
      <c r="AB297" s="270">
        <f>SUMIFS('COGS Break up'!E:E,'COGS Break up'!A:A,'MIS Working 1'!$D:$D,'COGS Break up'!C:C,$AB$1)</f>
        <v>0</v>
      </c>
      <c r="AC297" s="270">
        <f>SUMIFS('COGS Break up'!E:E,'COGS Break up'!A:A,'MIS Working 1'!$D:$D,'COGS Break up'!C:C,$AC$1)</f>
        <v>0</v>
      </c>
      <c r="AD297" s="270">
        <f>SUMIFS('COGS Break up'!$E:$E,'COGS Break up'!$A:$A,'MIS Working 1'!$D297,'COGS Break up'!$D:$D,'MIS Working 1'!$AD$1)</f>
        <v>0</v>
      </c>
      <c r="AE297" s="270">
        <f>SUMIFS('COGS Break up'!$E:$E,'COGS Break up'!$A:$A,'MIS Working 1'!$D297,'COGS Break up'!$D:$D,'MIS Working 1'!$AE$1)</f>
        <v>0</v>
      </c>
      <c r="AF297" s="271">
        <f>'MIS Working 1'!$AG297+'MIS Working 1'!$AH297+'MIS Working 1'!$AM297+'MIS Working 1'!$AL297</f>
        <v>0</v>
      </c>
      <c r="AG297" s="270">
        <f>'MIS Working 1'!$L297*'MIS Working 1'!$Y297</f>
        <v>0</v>
      </c>
      <c r="AH297" s="270">
        <f>'MIS Working 1'!$L297*'MIS Working 1'!$Z297</f>
        <v>0</v>
      </c>
      <c r="AI297" s="270">
        <f t="shared" si="12"/>
        <v>0</v>
      </c>
      <c r="AJ297" s="270">
        <f t="shared" si="13"/>
        <v>0</v>
      </c>
      <c r="AK297" s="270">
        <f t="shared" si="14"/>
        <v>0</v>
      </c>
      <c r="AL297" s="270">
        <f>'MIS Working 1'!$AD297*'MIS Working 1'!$L297</f>
        <v>0</v>
      </c>
      <c r="AM297" s="270">
        <f>'MIS Working 1'!$L297*'MIS Working 1'!$AE297+'MIS Working 1'!$AL297</f>
        <v>0</v>
      </c>
    </row>
    <row r="298" spans="1:39" x14ac:dyDescent="0.3">
      <c r="A298" s="272" t="s">
        <v>1374</v>
      </c>
      <c r="B298" s="273">
        <v>45972</v>
      </c>
      <c r="C298" s="274" t="s">
        <v>1809</v>
      </c>
      <c r="D298" s="274" t="s">
        <v>1521</v>
      </c>
      <c r="E298" s="274" t="s">
        <v>1522</v>
      </c>
      <c r="F298" s="274" t="s">
        <v>18</v>
      </c>
      <c r="G298" s="274" t="s">
        <v>48</v>
      </c>
      <c r="H298" s="274" t="s">
        <v>198</v>
      </c>
      <c r="I298" s="275">
        <v>13500</v>
      </c>
      <c r="J298" s="276">
        <v>137409.1</v>
      </c>
      <c r="K298" s="275">
        <v>13500</v>
      </c>
      <c r="L298" s="275">
        <v>13500</v>
      </c>
      <c r="M298" s="273">
        <v>45972</v>
      </c>
      <c r="N298" s="276">
        <v>140400</v>
      </c>
      <c r="O298" s="274" t="s">
        <v>21</v>
      </c>
      <c r="P298" s="274" t="s">
        <v>22</v>
      </c>
      <c r="Q298" s="274" t="s">
        <v>660</v>
      </c>
      <c r="R298" s="274" t="str">
        <f>VLOOKUP('MIS Working 1'!$G298,Master!$H$3:$I$8,2,0)</f>
        <v>Raw Material</v>
      </c>
      <c r="S298" s="274" t="str">
        <f>VLOOKUP('MIS Working 1'!$H298,Master!B:C,2,0)</f>
        <v>RM-Eletro-Capacitor</v>
      </c>
      <c r="T298" s="274" t="str">
        <f>VLOOKUP('MIS Working 1'!$S298,Master!E:F,2,0)</f>
        <v>Raw Material</v>
      </c>
      <c r="U298" s="277">
        <f>'MIS Working 1'!$N298-'MIS Working 1'!$AF298</f>
        <v>140400</v>
      </c>
      <c r="V298" s="278">
        <f>'MIS Working 1'!$U298/'MIS Working 1'!$N298</f>
        <v>1</v>
      </c>
      <c r="W298" s="274">
        <f>'MIS Working 1'!$N298/'MIS Working 1'!$L298</f>
        <v>10.4</v>
      </c>
      <c r="X298" s="279">
        <f>SUM('MIS Working 1'!$Y298:$AE298)</f>
        <v>0</v>
      </c>
      <c r="Y298" s="279">
        <f>SUMIFS('COGS Break up'!$E:$E,'COGS Break up'!$A:$A,'MIS Working 1'!$D298,'COGS Break up'!$D:$D,'MIS Working 1'!$Y$1)</f>
        <v>0</v>
      </c>
      <c r="Z298" s="279">
        <f>SUMIFS('COGS Break up'!$E:$E,'COGS Break up'!$A:$A,'MIS Working 1'!$D298,'COGS Break up'!$D:$D,'MIS Working 1'!$Z$1)</f>
        <v>0</v>
      </c>
      <c r="AA298" s="279">
        <f>SUMIFS('COGS Break up'!E:E,'COGS Break up'!A:A,'MIS Working 1'!$D:$D,'COGS Break up'!C:C,'MIS Working 1'!$AA$1)</f>
        <v>0</v>
      </c>
      <c r="AB298" s="279">
        <f>SUMIFS('COGS Break up'!E:E,'COGS Break up'!A:A,'MIS Working 1'!$D:$D,'COGS Break up'!C:C,$AB$1)</f>
        <v>0</v>
      </c>
      <c r="AC298" s="279">
        <f>SUMIFS('COGS Break up'!E:E,'COGS Break up'!A:A,'MIS Working 1'!$D:$D,'COGS Break up'!C:C,$AC$1)</f>
        <v>0</v>
      </c>
      <c r="AD298" s="279">
        <f>SUMIFS('COGS Break up'!$E:$E,'COGS Break up'!$A:$A,'MIS Working 1'!$D298,'COGS Break up'!$D:$D,'MIS Working 1'!$AD$1)</f>
        <v>0</v>
      </c>
      <c r="AE298" s="279">
        <f>SUMIFS('COGS Break up'!$E:$E,'COGS Break up'!$A:$A,'MIS Working 1'!$D298,'COGS Break up'!$D:$D,'MIS Working 1'!$AE$1)</f>
        <v>0</v>
      </c>
      <c r="AF298" s="280">
        <f>'MIS Working 1'!$AG298+'MIS Working 1'!$AH298+'MIS Working 1'!$AM298+'MIS Working 1'!$AL298</f>
        <v>0</v>
      </c>
      <c r="AG298" s="279">
        <f>'MIS Working 1'!$L298*'MIS Working 1'!$Y298</f>
        <v>0</v>
      </c>
      <c r="AH298" s="279">
        <f>'MIS Working 1'!$L298*'MIS Working 1'!$Z298</f>
        <v>0</v>
      </c>
      <c r="AI298" s="279">
        <f t="shared" si="12"/>
        <v>0</v>
      </c>
      <c r="AJ298" s="279">
        <f t="shared" si="13"/>
        <v>0</v>
      </c>
      <c r="AK298" s="279">
        <f t="shared" si="14"/>
        <v>0</v>
      </c>
      <c r="AL298" s="279">
        <f>'MIS Working 1'!$AD298*'MIS Working 1'!$L298</f>
        <v>0</v>
      </c>
      <c r="AM298" s="279">
        <f>'MIS Working 1'!$L298*'MIS Working 1'!$AE298+'MIS Working 1'!$AL298</f>
        <v>0</v>
      </c>
    </row>
    <row r="299" spans="1:39" x14ac:dyDescent="0.3">
      <c r="A299" s="263" t="s">
        <v>1374</v>
      </c>
      <c r="B299" s="264">
        <v>45972</v>
      </c>
      <c r="C299" s="265" t="s">
        <v>1809</v>
      </c>
      <c r="D299" s="265" t="s">
        <v>1621</v>
      </c>
      <c r="E299" s="265" t="s">
        <v>1622</v>
      </c>
      <c r="F299" s="265" t="s">
        <v>18</v>
      </c>
      <c r="G299" s="265" t="s">
        <v>48</v>
      </c>
      <c r="H299" s="265" t="s">
        <v>207</v>
      </c>
      <c r="I299" s="266">
        <v>20000</v>
      </c>
      <c r="J299" s="267">
        <v>100000</v>
      </c>
      <c r="K299" s="266">
        <v>20000</v>
      </c>
      <c r="L299" s="266">
        <v>20000</v>
      </c>
      <c r="M299" s="264">
        <v>45972</v>
      </c>
      <c r="N299" s="267">
        <v>100000</v>
      </c>
      <c r="O299" s="265" t="s">
        <v>21</v>
      </c>
      <c r="P299" s="265" t="s">
        <v>22</v>
      </c>
      <c r="Q299" s="265" t="s">
        <v>660</v>
      </c>
      <c r="R299" s="265" t="str">
        <f>VLOOKUP('MIS Working 1'!$G299,Master!$H$3:$I$8,2,0)</f>
        <v>Raw Material</v>
      </c>
      <c r="S299" s="265" t="str">
        <f>VLOOKUP('MIS Working 1'!$H299,Master!B:C,2,0)</f>
        <v>RM-Mech. Accessories</v>
      </c>
      <c r="T299" s="265" t="str">
        <f>VLOOKUP('MIS Working 1'!$S299,Master!E:F,2,0)</f>
        <v>Raw Material</v>
      </c>
      <c r="U299" s="268">
        <f>'MIS Working 1'!$N299-'MIS Working 1'!$AF299</f>
        <v>100000</v>
      </c>
      <c r="V299" s="269">
        <f>'MIS Working 1'!$U299/'MIS Working 1'!$N299</f>
        <v>1</v>
      </c>
      <c r="W299" s="265">
        <f>'MIS Working 1'!$N299/'MIS Working 1'!$L299</f>
        <v>5</v>
      </c>
      <c r="X299" s="270">
        <f>SUM('MIS Working 1'!$Y299:$AE299)</f>
        <v>0</v>
      </c>
      <c r="Y299" s="270">
        <f>SUMIFS('COGS Break up'!$E:$E,'COGS Break up'!$A:$A,'MIS Working 1'!$D299,'COGS Break up'!$D:$D,'MIS Working 1'!$Y$1)</f>
        <v>0</v>
      </c>
      <c r="Z299" s="270">
        <f>SUMIFS('COGS Break up'!$E:$E,'COGS Break up'!$A:$A,'MIS Working 1'!$D299,'COGS Break up'!$D:$D,'MIS Working 1'!$Z$1)</f>
        <v>0</v>
      </c>
      <c r="AA299" s="270">
        <f>SUMIFS('COGS Break up'!E:E,'COGS Break up'!A:A,'MIS Working 1'!$D:$D,'COGS Break up'!C:C,'MIS Working 1'!$AA$1)</f>
        <v>0</v>
      </c>
      <c r="AB299" s="270">
        <f>SUMIFS('COGS Break up'!E:E,'COGS Break up'!A:A,'MIS Working 1'!$D:$D,'COGS Break up'!C:C,$AB$1)</f>
        <v>0</v>
      </c>
      <c r="AC299" s="270">
        <f>SUMIFS('COGS Break up'!E:E,'COGS Break up'!A:A,'MIS Working 1'!$D:$D,'COGS Break up'!C:C,$AC$1)</f>
        <v>0</v>
      </c>
      <c r="AD299" s="270">
        <f>SUMIFS('COGS Break up'!$E:$E,'COGS Break up'!$A:$A,'MIS Working 1'!$D299,'COGS Break up'!$D:$D,'MIS Working 1'!$AD$1)</f>
        <v>0</v>
      </c>
      <c r="AE299" s="270">
        <f>SUMIFS('COGS Break up'!$E:$E,'COGS Break up'!$A:$A,'MIS Working 1'!$D299,'COGS Break up'!$D:$D,'MIS Working 1'!$AE$1)</f>
        <v>0</v>
      </c>
      <c r="AF299" s="271">
        <f>'MIS Working 1'!$AG299+'MIS Working 1'!$AH299+'MIS Working 1'!$AM299+'MIS Working 1'!$AL299</f>
        <v>0</v>
      </c>
      <c r="AG299" s="270">
        <f>'MIS Working 1'!$L299*'MIS Working 1'!$Y299</f>
        <v>0</v>
      </c>
      <c r="AH299" s="270">
        <f>'MIS Working 1'!$L299*'MIS Working 1'!$Z299</f>
        <v>0</v>
      </c>
      <c r="AI299" s="270">
        <f t="shared" si="12"/>
        <v>0</v>
      </c>
      <c r="AJ299" s="270">
        <f t="shared" si="13"/>
        <v>0</v>
      </c>
      <c r="AK299" s="270">
        <f t="shared" si="14"/>
        <v>0</v>
      </c>
      <c r="AL299" s="270">
        <f>'MIS Working 1'!$AD299*'MIS Working 1'!$L299</f>
        <v>0</v>
      </c>
      <c r="AM299" s="270">
        <f>'MIS Working 1'!$L299*'MIS Working 1'!$AE299+'MIS Working 1'!$AL299</f>
        <v>0</v>
      </c>
    </row>
    <row r="300" spans="1:39" x14ac:dyDescent="0.3">
      <c r="A300" s="272" t="s">
        <v>1374</v>
      </c>
      <c r="B300" s="273">
        <v>45972</v>
      </c>
      <c r="C300" s="274" t="s">
        <v>1809</v>
      </c>
      <c r="D300" s="274" t="s">
        <v>1213</v>
      </c>
      <c r="E300" s="274" t="s">
        <v>1214</v>
      </c>
      <c r="F300" s="274" t="s">
        <v>18</v>
      </c>
      <c r="G300" s="274" t="s">
        <v>48</v>
      </c>
      <c r="H300" s="274" t="s">
        <v>207</v>
      </c>
      <c r="I300" s="275">
        <v>45000</v>
      </c>
      <c r="J300" s="276">
        <v>21796.880000000001</v>
      </c>
      <c r="K300" s="275">
        <v>45000</v>
      </c>
      <c r="L300" s="275">
        <v>45000</v>
      </c>
      <c r="M300" s="273">
        <v>45972</v>
      </c>
      <c r="N300" s="276">
        <v>19350</v>
      </c>
      <c r="O300" s="274" t="s">
        <v>21</v>
      </c>
      <c r="P300" s="274" t="s">
        <v>22</v>
      </c>
      <c r="Q300" s="274" t="s">
        <v>660</v>
      </c>
      <c r="R300" s="274" t="str">
        <f>VLOOKUP('MIS Working 1'!$G300,Master!$H$3:$I$8,2,0)</f>
        <v>Raw Material</v>
      </c>
      <c r="S300" s="274" t="str">
        <f>VLOOKUP('MIS Working 1'!$H300,Master!B:C,2,0)</f>
        <v>RM-Mech. Accessories</v>
      </c>
      <c r="T300" s="274" t="str">
        <f>VLOOKUP('MIS Working 1'!$S300,Master!E:F,2,0)</f>
        <v>Raw Material</v>
      </c>
      <c r="U300" s="277">
        <f>'MIS Working 1'!$N300-'MIS Working 1'!$AF300</f>
        <v>19350</v>
      </c>
      <c r="V300" s="278">
        <f>'MIS Working 1'!$U300/'MIS Working 1'!$N300</f>
        <v>1</v>
      </c>
      <c r="W300" s="274">
        <f>'MIS Working 1'!$N300/'MIS Working 1'!$L300</f>
        <v>0.43</v>
      </c>
      <c r="X300" s="279">
        <f>SUM('MIS Working 1'!$Y300:$AE300)</f>
        <v>0</v>
      </c>
      <c r="Y300" s="279">
        <f>SUMIFS('COGS Break up'!$E:$E,'COGS Break up'!$A:$A,'MIS Working 1'!$D300,'COGS Break up'!$D:$D,'MIS Working 1'!$Y$1)</f>
        <v>0</v>
      </c>
      <c r="Z300" s="279">
        <f>SUMIFS('COGS Break up'!$E:$E,'COGS Break up'!$A:$A,'MIS Working 1'!$D300,'COGS Break up'!$D:$D,'MIS Working 1'!$Z$1)</f>
        <v>0</v>
      </c>
      <c r="AA300" s="279">
        <f>SUMIFS('COGS Break up'!E:E,'COGS Break up'!A:A,'MIS Working 1'!$D:$D,'COGS Break up'!C:C,'MIS Working 1'!$AA$1)</f>
        <v>0</v>
      </c>
      <c r="AB300" s="279">
        <f>SUMIFS('COGS Break up'!E:E,'COGS Break up'!A:A,'MIS Working 1'!$D:$D,'COGS Break up'!C:C,$AB$1)</f>
        <v>0</v>
      </c>
      <c r="AC300" s="279">
        <f>SUMIFS('COGS Break up'!E:E,'COGS Break up'!A:A,'MIS Working 1'!$D:$D,'COGS Break up'!C:C,$AC$1)</f>
        <v>0</v>
      </c>
      <c r="AD300" s="279">
        <f>SUMIFS('COGS Break up'!$E:$E,'COGS Break up'!$A:$A,'MIS Working 1'!$D300,'COGS Break up'!$D:$D,'MIS Working 1'!$AD$1)</f>
        <v>0</v>
      </c>
      <c r="AE300" s="279">
        <f>SUMIFS('COGS Break up'!$E:$E,'COGS Break up'!$A:$A,'MIS Working 1'!$D300,'COGS Break up'!$D:$D,'MIS Working 1'!$AE$1)</f>
        <v>0</v>
      </c>
      <c r="AF300" s="280">
        <f>'MIS Working 1'!$AG300+'MIS Working 1'!$AH300+'MIS Working 1'!$AM300+'MIS Working 1'!$AL300</f>
        <v>0</v>
      </c>
      <c r="AG300" s="279">
        <f>'MIS Working 1'!$L300*'MIS Working 1'!$Y300</f>
        <v>0</v>
      </c>
      <c r="AH300" s="279">
        <f>'MIS Working 1'!$L300*'MIS Working 1'!$Z300</f>
        <v>0</v>
      </c>
      <c r="AI300" s="279">
        <f t="shared" si="12"/>
        <v>0</v>
      </c>
      <c r="AJ300" s="279">
        <f t="shared" si="13"/>
        <v>0</v>
      </c>
      <c r="AK300" s="279">
        <f t="shared" si="14"/>
        <v>0</v>
      </c>
      <c r="AL300" s="279">
        <f>'MIS Working 1'!$AD300*'MIS Working 1'!$L300</f>
        <v>0</v>
      </c>
      <c r="AM300" s="279">
        <f>'MIS Working 1'!$L300*'MIS Working 1'!$AE300+'MIS Working 1'!$AL300</f>
        <v>0</v>
      </c>
    </row>
    <row r="301" spans="1:39" x14ac:dyDescent="0.3">
      <c r="A301" s="263" t="s">
        <v>1374</v>
      </c>
      <c r="B301" s="264">
        <v>45972</v>
      </c>
      <c r="C301" s="265" t="s">
        <v>1809</v>
      </c>
      <c r="D301" s="265" t="s">
        <v>1615</v>
      </c>
      <c r="E301" s="265" t="s">
        <v>1616</v>
      </c>
      <c r="F301" s="265" t="s">
        <v>18</v>
      </c>
      <c r="G301" s="265" t="s">
        <v>48</v>
      </c>
      <c r="H301" s="265" t="s">
        <v>207</v>
      </c>
      <c r="I301" s="266">
        <v>20000</v>
      </c>
      <c r="J301" s="267">
        <v>154216.14000000001</v>
      </c>
      <c r="K301" s="266">
        <v>20000</v>
      </c>
      <c r="L301" s="266">
        <v>20000</v>
      </c>
      <c r="M301" s="264">
        <v>45972</v>
      </c>
      <c r="N301" s="267">
        <v>156800</v>
      </c>
      <c r="O301" s="265" t="s">
        <v>21</v>
      </c>
      <c r="P301" s="265" t="s">
        <v>22</v>
      </c>
      <c r="Q301" s="265" t="s">
        <v>660</v>
      </c>
      <c r="R301" s="265" t="str">
        <f>VLOOKUP('MIS Working 1'!$G301,Master!$H$3:$I$8,2,0)</f>
        <v>Raw Material</v>
      </c>
      <c r="S301" s="265" t="str">
        <f>VLOOKUP('MIS Working 1'!$H301,Master!B:C,2,0)</f>
        <v>RM-Mech. Accessories</v>
      </c>
      <c r="T301" s="265" t="str">
        <f>VLOOKUP('MIS Working 1'!$S301,Master!E:F,2,0)</f>
        <v>Raw Material</v>
      </c>
      <c r="U301" s="268">
        <f>'MIS Working 1'!$N301-'MIS Working 1'!$AF301</f>
        <v>156800</v>
      </c>
      <c r="V301" s="269">
        <f>'MIS Working 1'!$U301/'MIS Working 1'!$N301</f>
        <v>1</v>
      </c>
      <c r="W301" s="265">
        <f>'MIS Working 1'!$N301/'MIS Working 1'!$L301</f>
        <v>7.84</v>
      </c>
      <c r="X301" s="270">
        <f>SUM('MIS Working 1'!$Y301:$AE301)</f>
        <v>0</v>
      </c>
      <c r="Y301" s="270">
        <f>SUMIFS('COGS Break up'!$E:$E,'COGS Break up'!$A:$A,'MIS Working 1'!$D301,'COGS Break up'!$D:$D,'MIS Working 1'!$Y$1)</f>
        <v>0</v>
      </c>
      <c r="Z301" s="270">
        <f>SUMIFS('COGS Break up'!$E:$E,'COGS Break up'!$A:$A,'MIS Working 1'!$D301,'COGS Break up'!$D:$D,'MIS Working 1'!$Z$1)</f>
        <v>0</v>
      </c>
      <c r="AA301" s="270">
        <f>SUMIFS('COGS Break up'!E:E,'COGS Break up'!A:A,'MIS Working 1'!$D:$D,'COGS Break up'!C:C,'MIS Working 1'!$AA$1)</f>
        <v>0</v>
      </c>
      <c r="AB301" s="270">
        <f>SUMIFS('COGS Break up'!E:E,'COGS Break up'!A:A,'MIS Working 1'!$D:$D,'COGS Break up'!C:C,$AB$1)</f>
        <v>0</v>
      </c>
      <c r="AC301" s="270">
        <f>SUMIFS('COGS Break up'!E:E,'COGS Break up'!A:A,'MIS Working 1'!$D:$D,'COGS Break up'!C:C,$AC$1)</f>
        <v>0</v>
      </c>
      <c r="AD301" s="270">
        <f>SUMIFS('COGS Break up'!$E:$E,'COGS Break up'!$A:$A,'MIS Working 1'!$D301,'COGS Break up'!$D:$D,'MIS Working 1'!$AD$1)</f>
        <v>0</v>
      </c>
      <c r="AE301" s="270">
        <f>SUMIFS('COGS Break up'!$E:$E,'COGS Break up'!$A:$A,'MIS Working 1'!$D301,'COGS Break up'!$D:$D,'MIS Working 1'!$AE$1)</f>
        <v>0</v>
      </c>
      <c r="AF301" s="271">
        <f>'MIS Working 1'!$AG301+'MIS Working 1'!$AH301+'MIS Working 1'!$AM301+'MIS Working 1'!$AL301</f>
        <v>0</v>
      </c>
      <c r="AG301" s="270">
        <f>'MIS Working 1'!$L301*'MIS Working 1'!$Y301</f>
        <v>0</v>
      </c>
      <c r="AH301" s="270">
        <f>'MIS Working 1'!$L301*'MIS Working 1'!$Z301</f>
        <v>0</v>
      </c>
      <c r="AI301" s="270">
        <f t="shared" si="12"/>
        <v>0</v>
      </c>
      <c r="AJ301" s="270">
        <f t="shared" si="13"/>
        <v>0</v>
      </c>
      <c r="AK301" s="270">
        <f t="shared" si="14"/>
        <v>0</v>
      </c>
      <c r="AL301" s="270">
        <f>'MIS Working 1'!$AD301*'MIS Working 1'!$L301</f>
        <v>0</v>
      </c>
      <c r="AM301" s="270">
        <f>'MIS Working 1'!$L301*'MIS Working 1'!$AE301+'MIS Working 1'!$AL301</f>
        <v>0</v>
      </c>
    </row>
    <row r="302" spans="1:39" x14ac:dyDescent="0.3">
      <c r="A302" s="272" t="s">
        <v>1374</v>
      </c>
      <c r="B302" s="273">
        <v>45972</v>
      </c>
      <c r="C302" s="274" t="s">
        <v>1809</v>
      </c>
      <c r="D302" s="274" t="s">
        <v>1663</v>
      </c>
      <c r="E302" s="274" t="s">
        <v>1618</v>
      </c>
      <c r="F302" s="274" t="s">
        <v>18</v>
      </c>
      <c r="G302" s="274" t="s">
        <v>48</v>
      </c>
      <c r="H302" s="274" t="s">
        <v>204</v>
      </c>
      <c r="I302" s="275">
        <v>200000</v>
      </c>
      <c r="J302" s="276">
        <v>4000</v>
      </c>
      <c r="K302" s="275">
        <v>200000</v>
      </c>
      <c r="L302" s="275">
        <v>200000</v>
      </c>
      <c r="M302" s="273">
        <v>45972</v>
      </c>
      <c r="N302" s="276">
        <v>4000</v>
      </c>
      <c r="O302" s="274" t="s">
        <v>21</v>
      </c>
      <c r="P302" s="274" t="s">
        <v>22</v>
      </c>
      <c r="Q302" s="274" t="s">
        <v>660</v>
      </c>
      <c r="R302" s="274" t="str">
        <f>VLOOKUP('MIS Working 1'!$G302,Master!$H$3:$I$8,2,0)</f>
        <v>Raw Material</v>
      </c>
      <c r="S302" s="274" t="str">
        <f>VLOOKUP('MIS Working 1'!$H302,Master!B:C,2,0)</f>
        <v>RM-Eletro-Resistor</v>
      </c>
      <c r="T302" s="274" t="str">
        <f>VLOOKUP('MIS Working 1'!$S302,Master!E:F,2,0)</f>
        <v>Raw Material</v>
      </c>
      <c r="U302" s="277">
        <f>'MIS Working 1'!$N302-'MIS Working 1'!$AF302</f>
        <v>4000</v>
      </c>
      <c r="V302" s="278">
        <f>'MIS Working 1'!$U302/'MIS Working 1'!$N302</f>
        <v>1</v>
      </c>
      <c r="W302" s="274">
        <f>'MIS Working 1'!$N302/'MIS Working 1'!$L302</f>
        <v>0.02</v>
      </c>
      <c r="X302" s="279">
        <f>SUM('MIS Working 1'!$Y302:$AE302)</f>
        <v>0</v>
      </c>
      <c r="Y302" s="279">
        <f>SUMIFS('COGS Break up'!$E:$E,'COGS Break up'!$A:$A,'MIS Working 1'!$D302,'COGS Break up'!$D:$D,'MIS Working 1'!$Y$1)</f>
        <v>0</v>
      </c>
      <c r="Z302" s="279">
        <f>SUMIFS('COGS Break up'!$E:$E,'COGS Break up'!$A:$A,'MIS Working 1'!$D302,'COGS Break up'!$D:$D,'MIS Working 1'!$Z$1)</f>
        <v>0</v>
      </c>
      <c r="AA302" s="279">
        <f>SUMIFS('COGS Break up'!E:E,'COGS Break up'!A:A,'MIS Working 1'!$D:$D,'COGS Break up'!C:C,'MIS Working 1'!$AA$1)</f>
        <v>0</v>
      </c>
      <c r="AB302" s="279">
        <f>SUMIFS('COGS Break up'!E:E,'COGS Break up'!A:A,'MIS Working 1'!$D:$D,'COGS Break up'!C:C,$AB$1)</f>
        <v>0</v>
      </c>
      <c r="AC302" s="279">
        <f>SUMIFS('COGS Break up'!E:E,'COGS Break up'!A:A,'MIS Working 1'!$D:$D,'COGS Break up'!C:C,$AC$1)</f>
        <v>0</v>
      </c>
      <c r="AD302" s="279">
        <f>SUMIFS('COGS Break up'!$E:$E,'COGS Break up'!$A:$A,'MIS Working 1'!$D302,'COGS Break up'!$D:$D,'MIS Working 1'!$AD$1)</f>
        <v>0</v>
      </c>
      <c r="AE302" s="279">
        <f>SUMIFS('COGS Break up'!$E:$E,'COGS Break up'!$A:$A,'MIS Working 1'!$D302,'COGS Break up'!$D:$D,'MIS Working 1'!$AE$1)</f>
        <v>0</v>
      </c>
      <c r="AF302" s="280">
        <f>'MIS Working 1'!$AG302+'MIS Working 1'!$AH302+'MIS Working 1'!$AM302+'MIS Working 1'!$AL302</f>
        <v>0</v>
      </c>
      <c r="AG302" s="279">
        <f>'MIS Working 1'!$L302*'MIS Working 1'!$Y302</f>
        <v>0</v>
      </c>
      <c r="AH302" s="279">
        <f>'MIS Working 1'!$L302*'MIS Working 1'!$Z302</f>
        <v>0</v>
      </c>
      <c r="AI302" s="279">
        <f t="shared" si="12"/>
        <v>0</v>
      </c>
      <c r="AJ302" s="279">
        <f t="shared" si="13"/>
        <v>0</v>
      </c>
      <c r="AK302" s="279">
        <f t="shared" si="14"/>
        <v>0</v>
      </c>
      <c r="AL302" s="279">
        <f>'MIS Working 1'!$AD302*'MIS Working 1'!$L302</f>
        <v>0</v>
      </c>
      <c r="AM302" s="279">
        <f>'MIS Working 1'!$L302*'MIS Working 1'!$AE302+'MIS Working 1'!$AL302</f>
        <v>0</v>
      </c>
    </row>
    <row r="303" spans="1:39" x14ac:dyDescent="0.3">
      <c r="A303" s="263" t="s">
        <v>1374</v>
      </c>
      <c r="B303" s="264">
        <v>45972</v>
      </c>
      <c r="C303" s="265" t="s">
        <v>1810</v>
      </c>
      <c r="D303" s="265" t="s">
        <v>1664</v>
      </c>
      <c r="E303" s="265" t="s">
        <v>1665</v>
      </c>
      <c r="F303" s="265" t="s">
        <v>18</v>
      </c>
      <c r="G303" s="265" t="s">
        <v>48</v>
      </c>
      <c r="H303" s="265" t="s">
        <v>201</v>
      </c>
      <c r="I303" s="266">
        <v>45000</v>
      </c>
      <c r="J303" s="267">
        <v>29654.06</v>
      </c>
      <c r="K303" s="266">
        <v>45000</v>
      </c>
      <c r="L303" s="266">
        <v>45000</v>
      </c>
      <c r="M303" s="264">
        <v>45972</v>
      </c>
      <c r="N303" s="267">
        <v>29700</v>
      </c>
      <c r="O303" s="265" t="s">
        <v>21</v>
      </c>
      <c r="P303" s="265" t="s">
        <v>22</v>
      </c>
      <c r="Q303" s="265" t="s">
        <v>660</v>
      </c>
      <c r="R303" s="265" t="str">
        <f>VLOOKUP('MIS Working 1'!$G303,Master!$H$3:$I$8,2,0)</f>
        <v>Raw Material</v>
      </c>
      <c r="S303" s="265" t="str">
        <f>VLOOKUP('MIS Working 1'!$H303,Master!B:C,2,0)</f>
        <v>RM-Eletro-Diodes</v>
      </c>
      <c r="T303" s="265" t="str">
        <f>VLOOKUP('MIS Working 1'!$S303,Master!E:F,2,0)</f>
        <v>Raw Material</v>
      </c>
      <c r="U303" s="268">
        <f>'MIS Working 1'!$N303-'MIS Working 1'!$AF303</f>
        <v>29700</v>
      </c>
      <c r="V303" s="269">
        <f>'MIS Working 1'!$U303/'MIS Working 1'!$N303</f>
        <v>1</v>
      </c>
      <c r="W303" s="265">
        <f>'MIS Working 1'!$N303/'MIS Working 1'!$L303</f>
        <v>0.66</v>
      </c>
      <c r="X303" s="270">
        <f>SUM('MIS Working 1'!$Y303:$AE303)</f>
        <v>0</v>
      </c>
      <c r="Y303" s="270">
        <f>SUMIFS('COGS Break up'!$E:$E,'COGS Break up'!$A:$A,'MIS Working 1'!$D303,'COGS Break up'!$D:$D,'MIS Working 1'!$Y$1)</f>
        <v>0</v>
      </c>
      <c r="Z303" s="270">
        <f>SUMIFS('COGS Break up'!$E:$E,'COGS Break up'!$A:$A,'MIS Working 1'!$D303,'COGS Break up'!$D:$D,'MIS Working 1'!$Z$1)</f>
        <v>0</v>
      </c>
      <c r="AA303" s="270">
        <f>SUMIFS('COGS Break up'!E:E,'COGS Break up'!A:A,'MIS Working 1'!$D:$D,'COGS Break up'!C:C,'MIS Working 1'!$AA$1)</f>
        <v>0</v>
      </c>
      <c r="AB303" s="270">
        <f>SUMIFS('COGS Break up'!E:E,'COGS Break up'!A:A,'MIS Working 1'!$D:$D,'COGS Break up'!C:C,$AB$1)</f>
        <v>0</v>
      </c>
      <c r="AC303" s="270">
        <f>SUMIFS('COGS Break up'!E:E,'COGS Break up'!A:A,'MIS Working 1'!$D:$D,'COGS Break up'!C:C,$AC$1)</f>
        <v>0</v>
      </c>
      <c r="AD303" s="270">
        <f>SUMIFS('COGS Break up'!$E:$E,'COGS Break up'!$A:$A,'MIS Working 1'!$D303,'COGS Break up'!$D:$D,'MIS Working 1'!$AD$1)</f>
        <v>0</v>
      </c>
      <c r="AE303" s="270">
        <f>SUMIFS('COGS Break up'!$E:$E,'COGS Break up'!$A:$A,'MIS Working 1'!$D303,'COGS Break up'!$D:$D,'MIS Working 1'!$AE$1)</f>
        <v>0</v>
      </c>
      <c r="AF303" s="271">
        <f>'MIS Working 1'!$AG303+'MIS Working 1'!$AH303+'MIS Working 1'!$AM303+'MIS Working 1'!$AL303</f>
        <v>0</v>
      </c>
      <c r="AG303" s="270">
        <f>'MIS Working 1'!$L303*'MIS Working 1'!$Y303</f>
        <v>0</v>
      </c>
      <c r="AH303" s="270">
        <f>'MIS Working 1'!$L303*'MIS Working 1'!$Z303</f>
        <v>0</v>
      </c>
      <c r="AI303" s="270">
        <f t="shared" si="12"/>
        <v>0</v>
      </c>
      <c r="AJ303" s="270">
        <f t="shared" si="13"/>
        <v>0</v>
      </c>
      <c r="AK303" s="270">
        <f t="shared" si="14"/>
        <v>0</v>
      </c>
      <c r="AL303" s="270">
        <f>'MIS Working 1'!$AD303*'MIS Working 1'!$L303</f>
        <v>0</v>
      </c>
      <c r="AM303" s="270">
        <f>'MIS Working 1'!$L303*'MIS Working 1'!$AE303+'MIS Working 1'!$AL303</f>
        <v>0</v>
      </c>
    </row>
    <row r="304" spans="1:39" x14ac:dyDescent="0.3">
      <c r="A304" s="272" t="s">
        <v>1374</v>
      </c>
      <c r="B304" s="273">
        <v>45972</v>
      </c>
      <c r="C304" s="274" t="s">
        <v>1810</v>
      </c>
      <c r="D304" s="274" t="s">
        <v>1666</v>
      </c>
      <c r="E304" s="274" t="s">
        <v>1667</v>
      </c>
      <c r="F304" s="274" t="s">
        <v>18</v>
      </c>
      <c r="G304" s="274" t="s">
        <v>48</v>
      </c>
      <c r="H304" s="274" t="s">
        <v>205</v>
      </c>
      <c r="I304" s="275">
        <v>219000</v>
      </c>
      <c r="J304" s="276">
        <v>113932.94</v>
      </c>
      <c r="K304" s="275">
        <v>219000</v>
      </c>
      <c r="L304" s="275">
        <v>219000</v>
      </c>
      <c r="M304" s="273">
        <v>45972</v>
      </c>
      <c r="N304" s="276">
        <v>109500</v>
      </c>
      <c r="O304" s="274" t="s">
        <v>21</v>
      </c>
      <c r="P304" s="274" t="s">
        <v>22</v>
      </c>
      <c r="Q304" s="274" t="s">
        <v>660</v>
      </c>
      <c r="R304" s="274" t="str">
        <f>VLOOKUP('MIS Working 1'!$G304,Master!$H$3:$I$8,2,0)</f>
        <v>Raw Material</v>
      </c>
      <c r="S304" s="274" t="str">
        <f>VLOOKUP('MIS Working 1'!$H304,Master!B:C,2,0)</f>
        <v>RM-Eletro-Transistor</v>
      </c>
      <c r="T304" s="274" t="str">
        <f>VLOOKUP('MIS Working 1'!$S304,Master!E:F,2,0)</f>
        <v>Raw Material</v>
      </c>
      <c r="U304" s="277">
        <f>'MIS Working 1'!$N304-'MIS Working 1'!$AF304</f>
        <v>109500</v>
      </c>
      <c r="V304" s="278">
        <f>'MIS Working 1'!$U304/'MIS Working 1'!$N304</f>
        <v>1</v>
      </c>
      <c r="W304" s="274">
        <f>'MIS Working 1'!$N304/'MIS Working 1'!$L304</f>
        <v>0.5</v>
      </c>
      <c r="X304" s="279">
        <f>SUM('MIS Working 1'!$Y304:$AE304)</f>
        <v>0</v>
      </c>
      <c r="Y304" s="279">
        <f>SUMIFS('COGS Break up'!$E:$E,'COGS Break up'!$A:$A,'MIS Working 1'!$D304,'COGS Break up'!$D:$D,'MIS Working 1'!$Y$1)</f>
        <v>0</v>
      </c>
      <c r="Z304" s="279">
        <f>SUMIFS('COGS Break up'!$E:$E,'COGS Break up'!$A:$A,'MIS Working 1'!$D304,'COGS Break up'!$D:$D,'MIS Working 1'!$Z$1)</f>
        <v>0</v>
      </c>
      <c r="AA304" s="279">
        <f>SUMIFS('COGS Break up'!E:E,'COGS Break up'!A:A,'MIS Working 1'!$D:$D,'COGS Break up'!C:C,'MIS Working 1'!$AA$1)</f>
        <v>0</v>
      </c>
      <c r="AB304" s="279">
        <f>SUMIFS('COGS Break up'!E:E,'COGS Break up'!A:A,'MIS Working 1'!$D:$D,'COGS Break up'!C:C,$AB$1)</f>
        <v>0</v>
      </c>
      <c r="AC304" s="279">
        <f>SUMIFS('COGS Break up'!E:E,'COGS Break up'!A:A,'MIS Working 1'!$D:$D,'COGS Break up'!C:C,$AC$1)</f>
        <v>0</v>
      </c>
      <c r="AD304" s="279">
        <f>SUMIFS('COGS Break up'!$E:$E,'COGS Break up'!$A:$A,'MIS Working 1'!$D304,'COGS Break up'!$D:$D,'MIS Working 1'!$AD$1)</f>
        <v>0</v>
      </c>
      <c r="AE304" s="279">
        <f>SUMIFS('COGS Break up'!$E:$E,'COGS Break up'!$A:$A,'MIS Working 1'!$D304,'COGS Break up'!$D:$D,'MIS Working 1'!$AE$1)</f>
        <v>0</v>
      </c>
      <c r="AF304" s="280">
        <f>'MIS Working 1'!$AG304+'MIS Working 1'!$AH304+'MIS Working 1'!$AM304+'MIS Working 1'!$AL304</f>
        <v>0</v>
      </c>
      <c r="AG304" s="279">
        <f>'MIS Working 1'!$L304*'MIS Working 1'!$Y304</f>
        <v>0</v>
      </c>
      <c r="AH304" s="279">
        <f>'MIS Working 1'!$L304*'MIS Working 1'!$Z304</f>
        <v>0</v>
      </c>
      <c r="AI304" s="279">
        <f t="shared" si="12"/>
        <v>0</v>
      </c>
      <c r="AJ304" s="279">
        <f t="shared" si="13"/>
        <v>0</v>
      </c>
      <c r="AK304" s="279">
        <f t="shared" si="14"/>
        <v>0</v>
      </c>
      <c r="AL304" s="279">
        <f>'MIS Working 1'!$AD304*'MIS Working 1'!$L304</f>
        <v>0</v>
      </c>
      <c r="AM304" s="279">
        <f>'MIS Working 1'!$L304*'MIS Working 1'!$AE304+'MIS Working 1'!$AL304</f>
        <v>0</v>
      </c>
    </row>
    <row r="305" spans="1:39" x14ac:dyDescent="0.3">
      <c r="A305" s="263" t="s">
        <v>1374</v>
      </c>
      <c r="B305" s="264">
        <v>45972</v>
      </c>
      <c r="C305" s="265" t="s">
        <v>1810</v>
      </c>
      <c r="D305" s="265" t="s">
        <v>1668</v>
      </c>
      <c r="E305" s="265" t="s">
        <v>1669</v>
      </c>
      <c r="F305" s="265" t="s">
        <v>18</v>
      </c>
      <c r="G305" s="265" t="s">
        <v>48</v>
      </c>
      <c r="H305" s="265" t="s">
        <v>205</v>
      </c>
      <c r="I305" s="266">
        <v>54000</v>
      </c>
      <c r="J305" s="267">
        <v>24923.5</v>
      </c>
      <c r="K305" s="266">
        <v>54000</v>
      </c>
      <c r="L305" s="266">
        <v>54000</v>
      </c>
      <c r="M305" s="264">
        <v>45972</v>
      </c>
      <c r="N305" s="267">
        <v>24840</v>
      </c>
      <c r="O305" s="265" t="s">
        <v>21</v>
      </c>
      <c r="P305" s="265" t="s">
        <v>22</v>
      </c>
      <c r="Q305" s="265" t="s">
        <v>660</v>
      </c>
      <c r="R305" s="265" t="str">
        <f>VLOOKUP('MIS Working 1'!$G305,Master!$H$3:$I$8,2,0)</f>
        <v>Raw Material</v>
      </c>
      <c r="S305" s="265" t="str">
        <f>VLOOKUP('MIS Working 1'!$H305,Master!B:C,2,0)</f>
        <v>RM-Eletro-Transistor</v>
      </c>
      <c r="T305" s="265" t="str">
        <f>VLOOKUP('MIS Working 1'!$S305,Master!E:F,2,0)</f>
        <v>Raw Material</v>
      </c>
      <c r="U305" s="268">
        <f>'MIS Working 1'!$N305-'MIS Working 1'!$AF305</f>
        <v>24840</v>
      </c>
      <c r="V305" s="269">
        <f>'MIS Working 1'!$U305/'MIS Working 1'!$N305</f>
        <v>1</v>
      </c>
      <c r="W305" s="265">
        <f>'MIS Working 1'!$N305/'MIS Working 1'!$L305</f>
        <v>0.46</v>
      </c>
      <c r="X305" s="270">
        <f>SUM('MIS Working 1'!$Y305:$AE305)</f>
        <v>0</v>
      </c>
      <c r="Y305" s="270">
        <f>SUMIFS('COGS Break up'!$E:$E,'COGS Break up'!$A:$A,'MIS Working 1'!$D305,'COGS Break up'!$D:$D,'MIS Working 1'!$Y$1)</f>
        <v>0</v>
      </c>
      <c r="Z305" s="270">
        <f>SUMIFS('COGS Break up'!$E:$E,'COGS Break up'!$A:$A,'MIS Working 1'!$D305,'COGS Break up'!$D:$D,'MIS Working 1'!$Z$1)</f>
        <v>0</v>
      </c>
      <c r="AA305" s="270">
        <f>SUMIFS('COGS Break up'!E:E,'COGS Break up'!A:A,'MIS Working 1'!$D:$D,'COGS Break up'!C:C,'MIS Working 1'!$AA$1)</f>
        <v>0</v>
      </c>
      <c r="AB305" s="270">
        <f>SUMIFS('COGS Break up'!E:E,'COGS Break up'!A:A,'MIS Working 1'!$D:$D,'COGS Break up'!C:C,$AB$1)</f>
        <v>0</v>
      </c>
      <c r="AC305" s="270">
        <f>SUMIFS('COGS Break up'!E:E,'COGS Break up'!A:A,'MIS Working 1'!$D:$D,'COGS Break up'!C:C,$AC$1)</f>
        <v>0</v>
      </c>
      <c r="AD305" s="270">
        <f>SUMIFS('COGS Break up'!$E:$E,'COGS Break up'!$A:$A,'MIS Working 1'!$D305,'COGS Break up'!$D:$D,'MIS Working 1'!$AD$1)</f>
        <v>0</v>
      </c>
      <c r="AE305" s="270">
        <f>SUMIFS('COGS Break up'!$E:$E,'COGS Break up'!$A:$A,'MIS Working 1'!$D305,'COGS Break up'!$D:$D,'MIS Working 1'!$AE$1)</f>
        <v>0</v>
      </c>
      <c r="AF305" s="271">
        <f>'MIS Working 1'!$AG305+'MIS Working 1'!$AH305+'MIS Working 1'!$AM305+'MIS Working 1'!$AL305</f>
        <v>0</v>
      </c>
      <c r="AG305" s="270">
        <f>'MIS Working 1'!$L305*'MIS Working 1'!$Y305</f>
        <v>0</v>
      </c>
      <c r="AH305" s="270">
        <f>'MIS Working 1'!$L305*'MIS Working 1'!$Z305</f>
        <v>0</v>
      </c>
      <c r="AI305" s="270">
        <f t="shared" si="12"/>
        <v>0</v>
      </c>
      <c r="AJ305" s="270">
        <f t="shared" si="13"/>
        <v>0</v>
      </c>
      <c r="AK305" s="270">
        <f t="shared" si="14"/>
        <v>0</v>
      </c>
      <c r="AL305" s="270">
        <f>'MIS Working 1'!$AD305*'MIS Working 1'!$L305</f>
        <v>0</v>
      </c>
      <c r="AM305" s="270">
        <f>'MIS Working 1'!$L305*'MIS Working 1'!$AE305+'MIS Working 1'!$AL305</f>
        <v>0</v>
      </c>
    </row>
    <row r="306" spans="1:39" x14ac:dyDescent="0.3">
      <c r="A306" s="272" t="s">
        <v>1374</v>
      </c>
      <c r="B306" s="273">
        <v>45972</v>
      </c>
      <c r="C306" s="274" t="s">
        <v>1810</v>
      </c>
      <c r="D306" s="274" t="s">
        <v>1670</v>
      </c>
      <c r="E306" s="274" t="s">
        <v>1671</v>
      </c>
      <c r="F306" s="274" t="s">
        <v>18</v>
      </c>
      <c r="G306" s="274" t="s">
        <v>48</v>
      </c>
      <c r="H306" s="274" t="s">
        <v>207</v>
      </c>
      <c r="I306" s="275">
        <v>9000</v>
      </c>
      <c r="J306" s="276">
        <v>26963.08</v>
      </c>
      <c r="K306" s="275">
        <v>9000</v>
      </c>
      <c r="L306" s="275">
        <v>9000</v>
      </c>
      <c r="M306" s="273">
        <v>45972</v>
      </c>
      <c r="N306" s="276">
        <v>27360</v>
      </c>
      <c r="O306" s="274" t="s">
        <v>21</v>
      </c>
      <c r="P306" s="274" t="s">
        <v>22</v>
      </c>
      <c r="Q306" s="274" t="s">
        <v>660</v>
      </c>
      <c r="R306" s="274" t="str">
        <f>VLOOKUP('MIS Working 1'!$G306,Master!$H$3:$I$8,2,0)</f>
        <v>Raw Material</v>
      </c>
      <c r="S306" s="274" t="str">
        <f>VLOOKUP('MIS Working 1'!$H306,Master!B:C,2,0)</f>
        <v>RM-Mech. Accessories</v>
      </c>
      <c r="T306" s="274" t="str">
        <f>VLOOKUP('MIS Working 1'!$S306,Master!E:F,2,0)</f>
        <v>Raw Material</v>
      </c>
      <c r="U306" s="277">
        <f>'MIS Working 1'!$N306-'MIS Working 1'!$AF306</f>
        <v>27360</v>
      </c>
      <c r="V306" s="278">
        <f>'MIS Working 1'!$U306/'MIS Working 1'!$N306</f>
        <v>1</v>
      </c>
      <c r="W306" s="274">
        <f>'MIS Working 1'!$N306/'MIS Working 1'!$L306</f>
        <v>3.04</v>
      </c>
      <c r="X306" s="279">
        <f>SUM('MIS Working 1'!$Y306:$AE306)</f>
        <v>0</v>
      </c>
      <c r="Y306" s="279">
        <f>SUMIFS('COGS Break up'!$E:$E,'COGS Break up'!$A:$A,'MIS Working 1'!$D306,'COGS Break up'!$D:$D,'MIS Working 1'!$Y$1)</f>
        <v>0</v>
      </c>
      <c r="Z306" s="279">
        <f>SUMIFS('COGS Break up'!$E:$E,'COGS Break up'!$A:$A,'MIS Working 1'!$D306,'COGS Break up'!$D:$D,'MIS Working 1'!$Z$1)</f>
        <v>0</v>
      </c>
      <c r="AA306" s="279">
        <f>SUMIFS('COGS Break up'!E:E,'COGS Break up'!A:A,'MIS Working 1'!$D:$D,'COGS Break up'!C:C,'MIS Working 1'!$AA$1)</f>
        <v>0</v>
      </c>
      <c r="AB306" s="279">
        <f>SUMIFS('COGS Break up'!E:E,'COGS Break up'!A:A,'MIS Working 1'!$D:$D,'COGS Break up'!C:C,$AB$1)</f>
        <v>0</v>
      </c>
      <c r="AC306" s="279">
        <f>SUMIFS('COGS Break up'!E:E,'COGS Break up'!A:A,'MIS Working 1'!$D:$D,'COGS Break up'!C:C,$AC$1)</f>
        <v>0</v>
      </c>
      <c r="AD306" s="279">
        <f>SUMIFS('COGS Break up'!$E:$E,'COGS Break up'!$A:$A,'MIS Working 1'!$D306,'COGS Break up'!$D:$D,'MIS Working 1'!$AD$1)</f>
        <v>0</v>
      </c>
      <c r="AE306" s="279">
        <f>SUMIFS('COGS Break up'!$E:$E,'COGS Break up'!$A:$A,'MIS Working 1'!$D306,'COGS Break up'!$D:$D,'MIS Working 1'!$AE$1)</f>
        <v>0</v>
      </c>
      <c r="AF306" s="280">
        <f>'MIS Working 1'!$AG306+'MIS Working 1'!$AH306+'MIS Working 1'!$AM306+'MIS Working 1'!$AL306</f>
        <v>0</v>
      </c>
      <c r="AG306" s="279">
        <f>'MIS Working 1'!$L306*'MIS Working 1'!$Y306</f>
        <v>0</v>
      </c>
      <c r="AH306" s="279">
        <f>'MIS Working 1'!$L306*'MIS Working 1'!$Z306</f>
        <v>0</v>
      </c>
      <c r="AI306" s="279">
        <f t="shared" si="12"/>
        <v>0</v>
      </c>
      <c r="AJ306" s="279">
        <f t="shared" si="13"/>
        <v>0</v>
      </c>
      <c r="AK306" s="279">
        <f t="shared" si="14"/>
        <v>0</v>
      </c>
      <c r="AL306" s="279">
        <f>'MIS Working 1'!$AD306*'MIS Working 1'!$L306</f>
        <v>0</v>
      </c>
      <c r="AM306" s="279">
        <f>'MIS Working 1'!$L306*'MIS Working 1'!$AE306+'MIS Working 1'!$AL306</f>
        <v>0</v>
      </c>
    </row>
    <row r="307" spans="1:39" x14ac:dyDescent="0.3">
      <c r="A307" s="263" t="s">
        <v>1374</v>
      </c>
      <c r="B307" s="264">
        <v>45972</v>
      </c>
      <c r="C307" s="265" t="s">
        <v>1810</v>
      </c>
      <c r="D307" s="265" t="s">
        <v>1672</v>
      </c>
      <c r="E307" s="265" t="s">
        <v>1673</v>
      </c>
      <c r="F307" s="265" t="s">
        <v>18</v>
      </c>
      <c r="G307" s="265" t="s">
        <v>48</v>
      </c>
      <c r="H307" s="265" t="s">
        <v>201</v>
      </c>
      <c r="I307" s="266">
        <v>21000</v>
      </c>
      <c r="J307" s="267">
        <v>14046.36</v>
      </c>
      <c r="K307" s="266">
        <v>21000</v>
      </c>
      <c r="L307" s="266">
        <v>21000</v>
      </c>
      <c r="M307" s="264">
        <v>45972</v>
      </c>
      <c r="N307" s="267">
        <v>13860</v>
      </c>
      <c r="O307" s="265" t="s">
        <v>21</v>
      </c>
      <c r="P307" s="265" t="s">
        <v>22</v>
      </c>
      <c r="Q307" s="265" t="s">
        <v>660</v>
      </c>
      <c r="R307" s="265" t="str">
        <f>VLOOKUP('MIS Working 1'!$G307,Master!$H$3:$I$8,2,0)</f>
        <v>Raw Material</v>
      </c>
      <c r="S307" s="265" t="str">
        <f>VLOOKUP('MIS Working 1'!$H307,Master!B:C,2,0)</f>
        <v>RM-Eletro-Diodes</v>
      </c>
      <c r="T307" s="265" t="str">
        <f>VLOOKUP('MIS Working 1'!$S307,Master!E:F,2,0)</f>
        <v>Raw Material</v>
      </c>
      <c r="U307" s="268">
        <f>'MIS Working 1'!$N307-'MIS Working 1'!$AF307</f>
        <v>13860</v>
      </c>
      <c r="V307" s="269">
        <f>'MIS Working 1'!$U307/'MIS Working 1'!$N307</f>
        <v>1</v>
      </c>
      <c r="W307" s="265">
        <f>'MIS Working 1'!$N307/'MIS Working 1'!$L307</f>
        <v>0.66</v>
      </c>
      <c r="X307" s="270">
        <f>SUM('MIS Working 1'!$Y307:$AE307)</f>
        <v>0</v>
      </c>
      <c r="Y307" s="270">
        <f>SUMIFS('COGS Break up'!$E:$E,'COGS Break up'!$A:$A,'MIS Working 1'!$D307,'COGS Break up'!$D:$D,'MIS Working 1'!$Y$1)</f>
        <v>0</v>
      </c>
      <c r="Z307" s="270">
        <f>SUMIFS('COGS Break up'!$E:$E,'COGS Break up'!$A:$A,'MIS Working 1'!$D307,'COGS Break up'!$D:$D,'MIS Working 1'!$Z$1)</f>
        <v>0</v>
      </c>
      <c r="AA307" s="270">
        <f>SUMIFS('COGS Break up'!E:E,'COGS Break up'!A:A,'MIS Working 1'!$D:$D,'COGS Break up'!C:C,'MIS Working 1'!$AA$1)</f>
        <v>0</v>
      </c>
      <c r="AB307" s="270">
        <f>SUMIFS('COGS Break up'!E:E,'COGS Break up'!A:A,'MIS Working 1'!$D:$D,'COGS Break up'!C:C,$AB$1)</f>
        <v>0</v>
      </c>
      <c r="AC307" s="270">
        <f>SUMIFS('COGS Break up'!E:E,'COGS Break up'!A:A,'MIS Working 1'!$D:$D,'COGS Break up'!C:C,$AC$1)</f>
        <v>0</v>
      </c>
      <c r="AD307" s="270">
        <f>SUMIFS('COGS Break up'!$E:$E,'COGS Break up'!$A:$A,'MIS Working 1'!$D307,'COGS Break up'!$D:$D,'MIS Working 1'!$AD$1)</f>
        <v>0</v>
      </c>
      <c r="AE307" s="270">
        <f>SUMIFS('COGS Break up'!$E:$E,'COGS Break up'!$A:$A,'MIS Working 1'!$D307,'COGS Break up'!$D:$D,'MIS Working 1'!$AE$1)</f>
        <v>0</v>
      </c>
      <c r="AF307" s="271">
        <f>'MIS Working 1'!$AG307+'MIS Working 1'!$AH307+'MIS Working 1'!$AM307+'MIS Working 1'!$AL307</f>
        <v>0</v>
      </c>
      <c r="AG307" s="270">
        <f>'MIS Working 1'!$L307*'MIS Working 1'!$Y307</f>
        <v>0</v>
      </c>
      <c r="AH307" s="270">
        <f>'MIS Working 1'!$L307*'MIS Working 1'!$Z307</f>
        <v>0</v>
      </c>
      <c r="AI307" s="270">
        <f t="shared" si="12"/>
        <v>0</v>
      </c>
      <c r="AJ307" s="270">
        <f t="shared" si="13"/>
        <v>0</v>
      </c>
      <c r="AK307" s="270">
        <f t="shared" si="14"/>
        <v>0</v>
      </c>
      <c r="AL307" s="270">
        <f>'MIS Working 1'!$AD307*'MIS Working 1'!$L307</f>
        <v>0</v>
      </c>
      <c r="AM307" s="270">
        <f>'MIS Working 1'!$L307*'MIS Working 1'!$AE307+'MIS Working 1'!$AL307</f>
        <v>0</v>
      </c>
    </row>
    <row r="308" spans="1:39" x14ac:dyDescent="0.3">
      <c r="A308" s="272" t="s">
        <v>1291</v>
      </c>
      <c r="B308" s="273">
        <v>45972</v>
      </c>
      <c r="C308" s="274" t="s">
        <v>1811</v>
      </c>
      <c r="D308" s="274" t="s">
        <v>1674</v>
      </c>
      <c r="E308" s="274" t="s">
        <v>1675</v>
      </c>
      <c r="F308" s="274" t="s">
        <v>18</v>
      </c>
      <c r="G308" s="274" t="s">
        <v>1676</v>
      </c>
      <c r="H308" s="274" t="s">
        <v>1677</v>
      </c>
      <c r="I308" s="275">
        <v>1</v>
      </c>
      <c r="J308" s="276">
        <v>1</v>
      </c>
      <c r="K308" s="275">
        <v>1</v>
      </c>
      <c r="L308" s="275">
        <v>1</v>
      </c>
      <c r="M308" s="273">
        <v>45972</v>
      </c>
      <c r="N308" s="276">
        <v>5000000</v>
      </c>
      <c r="O308" s="274" t="s">
        <v>21</v>
      </c>
      <c r="P308" s="274" t="s">
        <v>22</v>
      </c>
      <c r="Q308" s="274" t="s">
        <v>660</v>
      </c>
      <c r="R308" s="274" t="e">
        <f>VLOOKUP('MIS Working 1'!$G308,Master!$H$3:$I$8,2,0)</f>
        <v>#N/A</v>
      </c>
      <c r="S308" s="274" t="e">
        <f>VLOOKUP('MIS Working 1'!$H308,Master!B:C,2,0)</f>
        <v>#N/A</v>
      </c>
      <c r="T308" s="274" t="e">
        <f>VLOOKUP('MIS Working 1'!$S308,Master!E:F,2,0)</f>
        <v>#N/A</v>
      </c>
      <c r="U308" s="277">
        <f>'MIS Working 1'!$N308-'MIS Working 1'!$AF308</f>
        <v>5000000</v>
      </c>
      <c r="V308" s="278">
        <f>'MIS Working 1'!$U308/'MIS Working 1'!$N308</f>
        <v>1</v>
      </c>
      <c r="W308" s="274">
        <f>'MIS Working 1'!$N308/'MIS Working 1'!$L308</f>
        <v>5000000</v>
      </c>
      <c r="X308" s="279">
        <f>SUM('MIS Working 1'!$Y308:$AE308)</f>
        <v>0</v>
      </c>
      <c r="Y308" s="279">
        <f>SUMIFS('COGS Break up'!$E:$E,'COGS Break up'!$A:$A,'MIS Working 1'!$D308,'COGS Break up'!$D:$D,'MIS Working 1'!$Y$1)</f>
        <v>0</v>
      </c>
      <c r="Z308" s="279">
        <f>SUMIFS('COGS Break up'!$E:$E,'COGS Break up'!$A:$A,'MIS Working 1'!$D308,'COGS Break up'!$D:$D,'MIS Working 1'!$Z$1)</f>
        <v>0</v>
      </c>
      <c r="AA308" s="279">
        <f>SUMIFS('COGS Break up'!E:E,'COGS Break up'!A:A,'MIS Working 1'!$D:$D,'COGS Break up'!C:C,'MIS Working 1'!$AA$1)</f>
        <v>0</v>
      </c>
      <c r="AB308" s="279">
        <f>SUMIFS('COGS Break up'!E:E,'COGS Break up'!A:A,'MIS Working 1'!$D:$D,'COGS Break up'!C:C,$AB$1)</f>
        <v>0</v>
      </c>
      <c r="AC308" s="279">
        <f>SUMIFS('COGS Break up'!E:E,'COGS Break up'!A:A,'MIS Working 1'!$D:$D,'COGS Break up'!C:C,$AC$1)</f>
        <v>0</v>
      </c>
      <c r="AD308" s="279">
        <f>SUMIFS('COGS Break up'!$E:$E,'COGS Break up'!$A:$A,'MIS Working 1'!$D308,'COGS Break up'!$D:$D,'MIS Working 1'!$AD$1)</f>
        <v>0</v>
      </c>
      <c r="AE308" s="279">
        <f>SUMIFS('COGS Break up'!$E:$E,'COGS Break up'!$A:$A,'MIS Working 1'!$D308,'COGS Break up'!$D:$D,'MIS Working 1'!$AE$1)</f>
        <v>0</v>
      </c>
      <c r="AF308" s="280">
        <f>'MIS Working 1'!$AG308+'MIS Working 1'!$AH308+'MIS Working 1'!$AM308+'MIS Working 1'!$AL308</f>
        <v>0</v>
      </c>
      <c r="AG308" s="279">
        <f>'MIS Working 1'!$L308*'MIS Working 1'!$Y308</f>
        <v>0</v>
      </c>
      <c r="AH308" s="279">
        <f>'MIS Working 1'!$L308*'MIS Working 1'!$Z308</f>
        <v>0</v>
      </c>
      <c r="AI308" s="279">
        <f t="shared" si="12"/>
        <v>0</v>
      </c>
      <c r="AJ308" s="279">
        <f t="shared" si="13"/>
        <v>0</v>
      </c>
      <c r="AK308" s="279">
        <f t="shared" si="14"/>
        <v>0</v>
      </c>
      <c r="AL308" s="279">
        <f>'MIS Working 1'!$AD308*'MIS Working 1'!$L308</f>
        <v>0</v>
      </c>
      <c r="AM308" s="279">
        <f>'MIS Working 1'!$L308*'MIS Working 1'!$AE308+'MIS Working 1'!$AL308</f>
        <v>0</v>
      </c>
    </row>
    <row r="309" spans="1:39" x14ac:dyDescent="0.3">
      <c r="A309" s="263" t="s">
        <v>1291</v>
      </c>
      <c r="B309" s="264">
        <v>45971</v>
      </c>
      <c r="C309" s="265" t="s">
        <v>1812</v>
      </c>
      <c r="D309" s="265" t="s">
        <v>36</v>
      </c>
      <c r="E309" s="265" t="s">
        <v>37</v>
      </c>
      <c r="F309" s="265" t="s">
        <v>18</v>
      </c>
      <c r="G309" s="265" t="s">
        <v>19</v>
      </c>
      <c r="H309" s="265" t="s">
        <v>20</v>
      </c>
      <c r="I309" s="266">
        <v>4000</v>
      </c>
      <c r="J309" s="267">
        <v>1845480</v>
      </c>
      <c r="K309" s="266">
        <v>4000</v>
      </c>
      <c r="L309" s="266">
        <v>4000</v>
      </c>
      <c r="M309" s="264">
        <v>45971</v>
      </c>
      <c r="N309" s="267">
        <v>2637240</v>
      </c>
      <c r="O309" s="265" t="s">
        <v>21</v>
      </c>
      <c r="P309" s="265" t="s">
        <v>22</v>
      </c>
      <c r="Q309" s="265" t="s">
        <v>660</v>
      </c>
      <c r="R309" s="265" t="str">
        <f>VLOOKUP('MIS Working 1'!$G309,Master!$H$3:$I$8,2,0)</f>
        <v>Finished Goods</v>
      </c>
      <c r="S309" s="265" t="str">
        <f>VLOOKUP('MIS Working 1'!$H309,Master!B:C,2,0)</f>
        <v>FG-PCB-Ref</v>
      </c>
      <c r="T309" s="265" t="str">
        <f>VLOOKUP('MIS Working 1'!$S309,Master!E:F,2,0)</f>
        <v>FG-PCB-Ref</v>
      </c>
      <c r="U309" s="268">
        <f>'MIS Working 1'!$N309-'MIS Working 1'!$AF309</f>
        <v>790799.99999999977</v>
      </c>
      <c r="V309" s="269">
        <f>'MIS Working 1'!$U309/'MIS Working 1'!$N309</f>
        <v>0.29985894344086989</v>
      </c>
      <c r="W309" s="265">
        <f>'MIS Working 1'!$N309/'MIS Working 1'!$L309</f>
        <v>659.31</v>
      </c>
      <c r="X309" s="270">
        <f>SUM('MIS Working 1'!$Y309:$AE309)</f>
        <v>492.59000000000003</v>
      </c>
      <c r="Y309" s="270">
        <f>SUMIFS('COGS Break up'!$E:$E,'COGS Break up'!$A:$A,'MIS Working 1'!$D309,'COGS Break up'!$D:$D,'MIS Working 1'!$Y$1)</f>
        <v>401.59000000000003</v>
      </c>
      <c r="Z309" s="270">
        <f>SUMIFS('COGS Break up'!$E:$E,'COGS Break up'!$A:$A,'MIS Working 1'!$D309,'COGS Break up'!$D:$D,'MIS Working 1'!$Z$1)</f>
        <v>28.32</v>
      </c>
      <c r="AA309" s="270">
        <f>SUMIFS('COGS Break up'!E:E,'COGS Break up'!A:A,'MIS Working 1'!$D:$D,'COGS Break up'!C:C,'MIS Working 1'!$AA$1)</f>
        <v>2.3199999999999998</v>
      </c>
      <c r="AB309" s="270">
        <f>SUMIFS('COGS Break up'!E:E,'COGS Break up'!A:A,'MIS Working 1'!$D:$D,'COGS Break up'!C:C,$AB$1)</f>
        <v>20.59</v>
      </c>
      <c r="AC309" s="270">
        <f>SUMIFS('COGS Break up'!E:E,'COGS Break up'!A:A,'MIS Working 1'!$D:$D,'COGS Break up'!C:C,$AC$1)</f>
        <v>8.31</v>
      </c>
      <c r="AD309" s="270">
        <f>SUMIFS('COGS Break up'!$E:$E,'COGS Break up'!$A:$A,'MIS Working 1'!$D309,'COGS Break up'!$D:$D,'MIS Working 1'!$AD$1)</f>
        <v>0.24</v>
      </c>
      <c r="AE309" s="270">
        <f>SUMIFS('COGS Break up'!$E:$E,'COGS Break up'!$A:$A,'MIS Working 1'!$D309,'COGS Break up'!$D:$D,'MIS Working 1'!$AE$1)</f>
        <v>31.22</v>
      </c>
      <c r="AF309" s="271">
        <f>'MIS Working 1'!$AG309+'MIS Working 1'!$AH309+'MIS Working 1'!$AM309+'MIS Working 1'!$AL309</f>
        <v>1846440.0000000002</v>
      </c>
      <c r="AG309" s="270">
        <f>'MIS Working 1'!$L309*'MIS Working 1'!$Y309</f>
        <v>1606360.0000000002</v>
      </c>
      <c r="AH309" s="270">
        <f>'MIS Working 1'!$L309*'MIS Working 1'!$Z309</f>
        <v>113280</v>
      </c>
      <c r="AI309" s="270">
        <f t="shared" si="12"/>
        <v>9280</v>
      </c>
      <c r="AJ309" s="270">
        <f t="shared" si="13"/>
        <v>82360</v>
      </c>
      <c r="AK309" s="270">
        <f t="shared" si="14"/>
        <v>33240</v>
      </c>
      <c r="AL309" s="270">
        <f>'MIS Working 1'!$AD309*'MIS Working 1'!$L309</f>
        <v>960</v>
      </c>
      <c r="AM309" s="270">
        <f>'MIS Working 1'!$L309*'MIS Working 1'!$AE309+'MIS Working 1'!$AL309</f>
        <v>125840</v>
      </c>
    </row>
    <row r="310" spans="1:39" x14ac:dyDescent="0.3">
      <c r="A310" s="272" t="s">
        <v>479</v>
      </c>
      <c r="B310" s="273">
        <v>45971</v>
      </c>
      <c r="C310" s="274" t="s">
        <v>1813</v>
      </c>
      <c r="D310" s="274" t="s">
        <v>40</v>
      </c>
      <c r="E310" s="274" t="s">
        <v>41</v>
      </c>
      <c r="F310" s="274" t="s">
        <v>18</v>
      </c>
      <c r="G310" s="274" t="s">
        <v>34</v>
      </c>
      <c r="H310" s="274" t="s">
        <v>772</v>
      </c>
      <c r="I310" s="275">
        <v>2128</v>
      </c>
      <c r="J310" s="276">
        <v>314241.76</v>
      </c>
      <c r="K310" s="275">
        <v>2128</v>
      </c>
      <c r="L310" s="275">
        <v>2128</v>
      </c>
      <c r="M310" s="273">
        <v>45971</v>
      </c>
      <c r="N310" s="276">
        <v>346736.32</v>
      </c>
      <c r="O310" s="274" t="s">
        <v>21</v>
      </c>
      <c r="P310" s="274" t="s">
        <v>22</v>
      </c>
      <c r="Q310" s="274" t="s">
        <v>660</v>
      </c>
      <c r="R310" s="274" t="str">
        <f>VLOOKUP('MIS Working 1'!$G310,Master!$H$3:$I$8,2,0)</f>
        <v>Semi-Finished Goods</v>
      </c>
      <c r="S310" s="274" t="str">
        <f>VLOOKUP('MIS Working 1'!$H310,Master!B:C,2,0)</f>
        <v>SFG-GV5 Stator</v>
      </c>
      <c r="T310" s="274" t="str">
        <f>VLOOKUP('MIS Working 1'!$S310,Master!E:F,2,0)</f>
        <v>Sub Ass.-Mech Stator</v>
      </c>
      <c r="U310" s="277">
        <f>'MIS Working 1'!$N310-'MIS Working 1'!$AF310</f>
        <v>32494.560000000114</v>
      </c>
      <c r="V310" s="278">
        <f>'MIS Working 1'!$U310/'MIS Working 1'!$N310</f>
        <v>9.3715478090094839E-2</v>
      </c>
      <c r="W310" s="274">
        <f>'MIS Working 1'!$N310/'MIS Working 1'!$L310</f>
        <v>162.94</v>
      </c>
      <c r="X310" s="279">
        <f>SUM('MIS Working 1'!$Y310:$AE310)</f>
        <v>149.61999999999998</v>
      </c>
      <c r="Y310" s="279">
        <f>SUMIFS('COGS Break up'!$E:$E,'COGS Break up'!$A:$A,'MIS Working 1'!$D310,'COGS Break up'!$D:$D,'MIS Working 1'!$Y$1)</f>
        <v>144.21999999999997</v>
      </c>
      <c r="Z310" s="279">
        <f>SUMIFS('COGS Break up'!$E:$E,'COGS Break up'!$A:$A,'MIS Working 1'!$D310,'COGS Break up'!$D:$D,'MIS Working 1'!$Z$1)</f>
        <v>1.5</v>
      </c>
      <c r="AA310" s="279">
        <f>SUMIFS('COGS Break up'!E:E,'COGS Break up'!A:A,'MIS Working 1'!$D:$D,'COGS Break up'!C:C,'MIS Working 1'!$AA$1)</f>
        <v>0.05</v>
      </c>
      <c r="AB310" s="279">
        <f>SUMIFS('COGS Break up'!E:E,'COGS Break up'!A:A,'MIS Working 1'!$D:$D,'COGS Break up'!C:C,$AB$1)</f>
        <v>0.4</v>
      </c>
      <c r="AC310" s="279">
        <f>SUMIFS('COGS Break up'!E:E,'COGS Break up'!A:A,'MIS Working 1'!$D:$D,'COGS Break up'!C:C,$AC$1)</f>
        <v>1.5</v>
      </c>
      <c r="AD310" s="279">
        <f>SUMIFS('COGS Break up'!$E:$E,'COGS Break up'!$A:$A,'MIS Working 1'!$D310,'COGS Break up'!$D:$D,'MIS Working 1'!$AD$1)</f>
        <v>0</v>
      </c>
      <c r="AE310" s="279">
        <f>SUMIFS('COGS Break up'!$E:$E,'COGS Break up'!$A:$A,'MIS Working 1'!$D310,'COGS Break up'!$D:$D,'MIS Working 1'!$AE$1)</f>
        <v>1.95</v>
      </c>
      <c r="AF310" s="280">
        <f>'MIS Working 1'!$AG310+'MIS Working 1'!$AH310+'MIS Working 1'!$AM310+'MIS Working 1'!$AL310</f>
        <v>314241.75999999989</v>
      </c>
      <c r="AG310" s="279">
        <f>'MIS Working 1'!$L310*'MIS Working 1'!$Y310</f>
        <v>306900.15999999992</v>
      </c>
      <c r="AH310" s="279">
        <f>'MIS Working 1'!$L310*'MIS Working 1'!$Z310</f>
        <v>3192</v>
      </c>
      <c r="AI310" s="279">
        <f t="shared" si="12"/>
        <v>106.4</v>
      </c>
      <c r="AJ310" s="279">
        <f t="shared" si="13"/>
        <v>851.2</v>
      </c>
      <c r="AK310" s="279">
        <f t="shared" si="14"/>
        <v>3192</v>
      </c>
      <c r="AL310" s="279">
        <f>'MIS Working 1'!$AD310*'MIS Working 1'!$L310</f>
        <v>0</v>
      </c>
      <c r="AM310" s="279">
        <f>'MIS Working 1'!$L310*'MIS Working 1'!$AE310+'MIS Working 1'!$AL310</f>
        <v>4149.5999999999995</v>
      </c>
    </row>
    <row r="311" spans="1:39" x14ac:dyDescent="0.3">
      <c r="A311" s="263" t="s">
        <v>479</v>
      </c>
      <c r="B311" s="264">
        <v>45971</v>
      </c>
      <c r="C311" s="265" t="s">
        <v>1814</v>
      </c>
      <c r="D311" s="265" t="s">
        <v>40</v>
      </c>
      <c r="E311" s="265" t="s">
        <v>41</v>
      </c>
      <c r="F311" s="265" t="s">
        <v>18</v>
      </c>
      <c r="G311" s="265" t="s">
        <v>34</v>
      </c>
      <c r="H311" s="265" t="s">
        <v>772</v>
      </c>
      <c r="I311" s="266">
        <v>1008</v>
      </c>
      <c r="J311" s="267">
        <v>148851.35999999999</v>
      </c>
      <c r="K311" s="266">
        <v>1008</v>
      </c>
      <c r="L311" s="266">
        <v>1008</v>
      </c>
      <c r="M311" s="264">
        <v>45971</v>
      </c>
      <c r="N311" s="267">
        <v>164243.51999999999</v>
      </c>
      <c r="O311" s="265" t="s">
        <v>21</v>
      </c>
      <c r="P311" s="265" t="s">
        <v>22</v>
      </c>
      <c r="Q311" s="265" t="s">
        <v>660</v>
      </c>
      <c r="R311" s="265" t="str">
        <f>VLOOKUP('MIS Working 1'!$G311,Master!$H$3:$I$8,2,0)</f>
        <v>Semi-Finished Goods</v>
      </c>
      <c r="S311" s="265" t="str">
        <f>VLOOKUP('MIS Working 1'!$H311,Master!B:C,2,0)</f>
        <v>SFG-GV5 Stator</v>
      </c>
      <c r="T311" s="265" t="str">
        <f>VLOOKUP('MIS Working 1'!$S311,Master!E:F,2,0)</f>
        <v>Sub Ass.-Mech Stator</v>
      </c>
      <c r="U311" s="268">
        <f>'MIS Working 1'!$N311-'MIS Working 1'!$AF311</f>
        <v>15392.160000000003</v>
      </c>
      <c r="V311" s="269">
        <f>'MIS Working 1'!$U311/'MIS Working 1'!$N311</f>
        <v>9.3715478090094534E-2</v>
      </c>
      <c r="W311" s="265">
        <f>'MIS Working 1'!$N311/'MIS Working 1'!$L311</f>
        <v>162.94</v>
      </c>
      <c r="X311" s="270">
        <f>SUM('MIS Working 1'!$Y311:$AE311)</f>
        <v>149.61999999999998</v>
      </c>
      <c r="Y311" s="270">
        <f>SUMIFS('COGS Break up'!$E:$E,'COGS Break up'!$A:$A,'MIS Working 1'!$D311,'COGS Break up'!$D:$D,'MIS Working 1'!$Y$1)</f>
        <v>144.21999999999997</v>
      </c>
      <c r="Z311" s="270">
        <f>SUMIFS('COGS Break up'!$E:$E,'COGS Break up'!$A:$A,'MIS Working 1'!$D311,'COGS Break up'!$D:$D,'MIS Working 1'!$Z$1)</f>
        <v>1.5</v>
      </c>
      <c r="AA311" s="270">
        <f>SUMIFS('COGS Break up'!E:E,'COGS Break up'!A:A,'MIS Working 1'!$D:$D,'COGS Break up'!C:C,'MIS Working 1'!$AA$1)</f>
        <v>0.05</v>
      </c>
      <c r="AB311" s="270">
        <f>SUMIFS('COGS Break up'!E:E,'COGS Break up'!A:A,'MIS Working 1'!$D:$D,'COGS Break up'!C:C,$AB$1)</f>
        <v>0.4</v>
      </c>
      <c r="AC311" s="270">
        <f>SUMIFS('COGS Break up'!E:E,'COGS Break up'!A:A,'MIS Working 1'!$D:$D,'COGS Break up'!C:C,$AC$1)</f>
        <v>1.5</v>
      </c>
      <c r="AD311" s="270">
        <f>SUMIFS('COGS Break up'!$E:$E,'COGS Break up'!$A:$A,'MIS Working 1'!$D311,'COGS Break up'!$D:$D,'MIS Working 1'!$AD$1)</f>
        <v>0</v>
      </c>
      <c r="AE311" s="270">
        <f>SUMIFS('COGS Break up'!$E:$E,'COGS Break up'!$A:$A,'MIS Working 1'!$D311,'COGS Break up'!$D:$D,'MIS Working 1'!$AE$1)</f>
        <v>1.95</v>
      </c>
      <c r="AF311" s="271">
        <f>'MIS Working 1'!$AG311+'MIS Working 1'!$AH311+'MIS Working 1'!$AM311+'MIS Working 1'!$AL311</f>
        <v>148851.35999999999</v>
      </c>
      <c r="AG311" s="270">
        <f>'MIS Working 1'!$L311*'MIS Working 1'!$Y311</f>
        <v>145373.75999999998</v>
      </c>
      <c r="AH311" s="270">
        <f>'MIS Working 1'!$L311*'MIS Working 1'!$Z311</f>
        <v>1512</v>
      </c>
      <c r="AI311" s="270">
        <f t="shared" si="12"/>
        <v>50.400000000000006</v>
      </c>
      <c r="AJ311" s="270">
        <f t="shared" si="13"/>
        <v>403.20000000000005</v>
      </c>
      <c r="AK311" s="270">
        <f t="shared" si="14"/>
        <v>1512</v>
      </c>
      <c r="AL311" s="270">
        <f>'MIS Working 1'!$AD311*'MIS Working 1'!$L311</f>
        <v>0</v>
      </c>
      <c r="AM311" s="270">
        <f>'MIS Working 1'!$L311*'MIS Working 1'!$AE311+'MIS Working 1'!$AL311</f>
        <v>1965.6</v>
      </c>
    </row>
    <row r="312" spans="1:39" x14ac:dyDescent="0.3">
      <c r="A312" s="272" t="s">
        <v>479</v>
      </c>
      <c r="B312" s="273">
        <v>45971</v>
      </c>
      <c r="C312" s="274" t="s">
        <v>1815</v>
      </c>
      <c r="D312" s="274" t="s">
        <v>595</v>
      </c>
      <c r="E312" s="274" t="s">
        <v>596</v>
      </c>
      <c r="F312" s="274" t="s">
        <v>18</v>
      </c>
      <c r="G312" s="274" t="s">
        <v>34</v>
      </c>
      <c r="H312" s="274" t="s">
        <v>772</v>
      </c>
      <c r="I312" s="275">
        <v>520</v>
      </c>
      <c r="J312" s="276">
        <v>65067.6</v>
      </c>
      <c r="K312" s="275">
        <v>520</v>
      </c>
      <c r="L312" s="275">
        <v>520</v>
      </c>
      <c r="M312" s="273">
        <v>45971</v>
      </c>
      <c r="N312" s="276">
        <v>68842.8</v>
      </c>
      <c r="O312" s="274" t="s">
        <v>21</v>
      </c>
      <c r="P312" s="274" t="s">
        <v>22</v>
      </c>
      <c r="Q312" s="274" t="s">
        <v>660</v>
      </c>
      <c r="R312" s="274" t="str">
        <f>VLOOKUP('MIS Working 1'!$G312,Master!$H$3:$I$8,2,0)</f>
        <v>Semi-Finished Goods</v>
      </c>
      <c r="S312" s="274" t="str">
        <f>VLOOKUP('MIS Working 1'!$H312,Master!B:C,2,0)</f>
        <v>SFG-GV5 Stator</v>
      </c>
      <c r="T312" s="274" t="str">
        <f>VLOOKUP('MIS Working 1'!$S312,Master!E:F,2,0)</f>
        <v>Sub Ass.-Mech Stator</v>
      </c>
      <c r="U312" s="277">
        <f>'MIS Working 1'!$N312-'MIS Working 1'!$AF312</f>
        <v>3775.2000000000044</v>
      </c>
      <c r="V312" s="278">
        <f>'MIS Working 1'!$U312/'MIS Working 1'!$N312</f>
        <v>5.4837978699297595E-2</v>
      </c>
      <c r="W312" s="274">
        <f>'MIS Working 1'!$N312/'MIS Working 1'!$L312</f>
        <v>132.39000000000001</v>
      </c>
      <c r="X312" s="279">
        <f>SUM('MIS Working 1'!$Y312:$AE312)</f>
        <v>127.08</v>
      </c>
      <c r="Y312" s="279">
        <f>SUMIFS('COGS Break up'!$E:$E,'COGS Break up'!$A:$A,'MIS Working 1'!$D312,'COGS Break up'!$D:$D,'MIS Working 1'!$Y$1)</f>
        <v>121.67999999999999</v>
      </c>
      <c r="Z312" s="279">
        <f>SUMIFS('COGS Break up'!$E:$E,'COGS Break up'!$A:$A,'MIS Working 1'!$D312,'COGS Break up'!$D:$D,'MIS Working 1'!$Z$1)</f>
        <v>1.5</v>
      </c>
      <c r="AA312" s="279">
        <f>SUMIFS('COGS Break up'!E:E,'COGS Break up'!A:A,'MIS Working 1'!$D:$D,'COGS Break up'!C:C,'MIS Working 1'!$AA$1)</f>
        <v>0.05</v>
      </c>
      <c r="AB312" s="279">
        <f>SUMIFS('COGS Break up'!E:E,'COGS Break up'!A:A,'MIS Working 1'!$D:$D,'COGS Break up'!C:C,$AB$1)</f>
        <v>0.4</v>
      </c>
      <c r="AC312" s="279">
        <f>SUMIFS('COGS Break up'!E:E,'COGS Break up'!A:A,'MIS Working 1'!$D:$D,'COGS Break up'!C:C,$AC$1)</f>
        <v>1.5</v>
      </c>
      <c r="AD312" s="279">
        <f>SUMIFS('COGS Break up'!$E:$E,'COGS Break up'!$A:$A,'MIS Working 1'!$D312,'COGS Break up'!$D:$D,'MIS Working 1'!$AD$1)</f>
        <v>0</v>
      </c>
      <c r="AE312" s="279">
        <f>SUMIFS('COGS Break up'!$E:$E,'COGS Break up'!$A:$A,'MIS Working 1'!$D312,'COGS Break up'!$D:$D,'MIS Working 1'!$AE$1)</f>
        <v>1.95</v>
      </c>
      <c r="AF312" s="280">
        <f>'MIS Working 1'!$AG312+'MIS Working 1'!$AH312+'MIS Working 1'!$AM312+'MIS Working 1'!$AL312</f>
        <v>65067.6</v>
      </c>
      <c r="AG312" s="279">
        <f>'MIS Working 1'!$L312*'MIS Working 1'!$Y312</f>
        <v>63273.599999999999</v>
      </c>
      <c r="AH312" s="279">
        <f>'MIS Working 1'!$L312*'MIS Working 1'!$Z312</f>
        <v>780</v>
      </c>
      <c r="AI312" s="279">
        <f t="shared" si="12"/>
        <v>26</v>
      </c>
      <c r="AJ312" s="279">
        <f t="shared" si="13"/>
        <v>208</v>
      </c>
      <c r="AK312" s="279">
        <f t="shared" si="14"/>
        <v>780</v>
      </c>
      <c r="AL312" s="279">
        <f>'MIS Working 1'!$AD312*'MIS Working 1'!$L312</f>
        <v>0</v>
      </c>
      <c r="AM312" s="279">
        <f>'MIS Working 1'!$L312*'MIS Working 1'!$AE312+'MIS Working 1'!$AL312</f>
        <v>1014</v>
      </c>
    </row>
    <row r="313" spans="1:39" x14ac:dyDescent="0.3">
      <c r="A313" s="263" t="s">
        <v>479</v>
      </c>
      <c r="B313" s="264">
        <v>45971</v>
      </c>
      <c r="C313" s="265" t="s">
        <v>1816</v>
      </c>
      <c r="D313" s="265" t="s">
        <v>378</v>
      </c>
      <c r="E313" s="265" t="s">
        <v>379</v>
      </c>
      <c r="F313" s="265" t="s">
        <v>18</v>
      </c>
      <c r="G313" s="265" t="s">
        <v>19</v>
      </c>
      <c r="H313" s="265" t="s">
        <v>27</v>
      </c>
      <c r="I313" s="266">
        <v>866</v>
      </c>
      <c r="J313" s="267">
        <v>281623.2</v>
      </c>
      <c r="K313" s="266">
        <v>866</v>
      </c>
      <c r="L313" s="266">
        <v>866</v>
      </c>
      <c r="M313" s="264">
        <v>45971</v>
      </c>
      <c r="N313" s="267">
        <v>314842.96000000002</v>
      </c>
      <c r="O313" s="265" t="s">
        <v>21</v>
      </c>
      <c r="P313" s="265" t="s">
        <v>22</v>
      </c>
      <c r="Q313" s="265" t="s">
        <v>660</v>
      </c>
      <c r="R313" s="265" t="str">
        <f>VLOOKUP('MIS Working 1'!$G313,Master!$H$3:$I$8,2,0)</f>
        <v>Finished Goods</v>
      </c>
      <c r="S313" s="265" t="str">
        <f>VLOOKUP('MIS Working 1'!$H313,Master!B:C,2,0)</f>
        <v>FG-PCB-CF</v>
      </c>
      <c r="T313" s="265" t="str">
        <f>VLOOKUP('MIS Working 1'!$S313,Master!E:F,2,0)</f>
        <v>FG-PCB-CF</v>
      </c>
      <c r="U313" s="268">
        <f>'MIS Working 1'!$N313-'MIS Working 1'!$AF313</f>
        <v>32994.600000000093</v>
      </c>
      <c r="V313" s="269">
        <f>'MIS Working 1'!$U313/'MIS Working 1'!$N313</f>
        <v>0.10479700737154832</v>
      </c>
      <c r="W313" s="265">
        <f>'MIS Working 1'!$N313/'MIS Working 1'!$L313</f>
        <v>363.56</v>
      </c>
      <c r="X313" s="270">
        <f>SUM('MIS Working 1'!$Y313:$AE313)</f>
        <v>354.76999999999992</v>
      </c>
      <c r="Y313" s="270">
        <f>SUMIFS('COGS Break up'!$E:$E,'COGS Break up'!$A:$A,'MIS Working 1'!$D313,'COGS Break up'!$D:$D,'MIS Working 1'!$Y$1)</f>
        <v>271.52999999999997</v>
      </c>
      <c r="Z313" s="270">
        <f>SUMIFS('COGS Break up'!$E:$E,'COGS Break up'!$A:$A,'MIS Working 1'!$D313,'COGS Break up'!$D:$D,'MIS Working 1'!$Z$1)</f>
        <v>23.84</v>
      </c>
      <c r="AA313" s="270">
        <f>SUMIFS('COGS Break up'!E:E,'COGS Break up'!A:A,'MIS Working 1'!$D:$D,'COGS Break up'!C:C,'MIS Working 1'!$AA$1)</f>
        <v>1.9500000000000002</v>
      </c>
      <c r="AB313" s="270">
        <f>SUMIFS('COGS Break up'!E:E,'COGS Break up'!A:A,'MIS Working 1'!$D:$D,'COGS Break up'!C:C,$AB$1)</f>
        <v>17.329999999999998</v>
      </c>
      <c r="AC313" s="270">
        <f>SUMIFS('COGS Break up'!E:E,'COGS Break up'!A:A,'MIS Working 1'!$D:$D,'COGS Break up'!C:C,$AC$1)</f>
        <v>10.29</v>
      </c>
      <c r="AD313" s="270">
        <f>SUMIFS('COGS Break up'!$E:$E,'COGS Break up'!$A:$A,'MIS Working 1'!$D313,'COGS Break up'!$D:$D,'MIS Working 1'!$AD$1)</f>
        <v>0.26</v>
      </c>
      <c r="AE313" s="270">
        <f>SUMIFS('COGS Break up'!$E:$E,'COGS Break up'!$A:$A,'MIS Working 1'!$D313,'COGS Break up'!$D:$D,'MIS Working 1'!$AE$1)</f>
        <v>29.569999999999997</v>
      </c>
      <c r="AF313" s="271">
        <f>'MIS Working 1'!$AG313+'MIS Working 1'!$AH313+'MIS Working 1'!$AM313+'MIS Working 1'!$AL313</f>
        <v>281848.35999999993</v>
      </c>
      <c r="AG313" s="270">
        <f>'MIS Working 1'!$L313*'MIS Working 1'!$Y313</f>
        <v>235144.97999999998</v>
      </c>
      <c r="AH313" s="270">
        <f>'MIS Working 1'!$L313*'MIS Working 1'!$Z313</f>
        <v>20645.439999999999</v>
      </c>
      <c r="AI313" s="270">
        <f t="shared" si="12"/>
        <v>1688.7</v>
      </c>
      <c r="AJ313" s="270">
        <f t="shared" si="13"/>
        <v>15007.779999999999</v>
      </c>
      <c r="AK313" s="270">
        <f t="shared" si="14"/>
        <v>8911.14</v>
      </c>
      <c r="AL313" s="270">
        <f>'MIS Working 1'!$AD313*'MIS Working 1'!$L313</f>
        <v>225.16</v>
      </c>
      <c r="AM313" s="270">
        <f>'MIS Working 1'!$L313*'MIS Working 1'!$AE313+'MIS Working 1'!$AL313</f>
        <v>25832.78</v>
      </c>
    </row>
    <row r="314" spans="1:39" x14ac:dyDescent="0.3">
      <c r="A314" s="272" t="s">
        <v>479</v>
      </c>
      <c r="B314" s="273">
        <v>45971</v>
      </c>
      <c r="C314" s="274" t="s">
        <v>1817</v>
      </c>
      <c r="D314" s="274" t="s">
        <v>380</v>
      </c>
      <c r="E314" s="274" t="s">
        <v>381</v>
      </c>
      <c r="F314" s="274" t="s">
        <v>18</v>
      </c>
      <c r="G314" s="274" t="s">
        <v>19</v>
      </c>
      <c r="H314" s="274" t="s">
        <v>27</v>
      </c>
      <c r="I314" s="275">
        <v>795</v>
      </c>
      <c r="J314" s="276">
        <v>172197</v>
      </c>
      <c r="K314" s="275">
        <v>795</v>
      </c>
      <c r="L314" s="275">
        <v>795</v>
      </c>
      <c r="M314" s="273">
        <v>45971</v>
      </c>
      <c r="N314" s="276">
        <v>178501.35</v>
      </c>
      <c r="O314" s="274" t="s">
        <v>21</v>
      </c>
      <c r="P314" s="274" t="s">
        <v>22</v>
      </c>
      <c r="Q314" s="274" t="s">
        <v>660</v>
      </c>
      <c r="R314" s="274" t="str">
        <f>VLOOKUP('MIS Working 1'!$G314,Master!$H$3:$I$8,2,0)</f>
        <v>Finished Goods</v>
      </c>
      <c r="S314" s="274" t="str">
        <f>VLOOKUP('MIS Working 1'!$H314,Master!B:C,2,0)</f>
        <v>FG-PCB-CF</v>
      </c>
      <c r="T314" s="274" t="str">
        <f>VLOOKUP('MIS Working 1'!$S314,Master!E:F,2,0)</f>
        <v>FG-PCB-CF</v>
      </c>
      <c r="U314" s="277">
        <f>'MIS Working 1'!$N314-'MIS Working 1'!$AF314</f>
        <v>6272.5500000000757</v>
      </c>
      <c r="V314" s="278">
        <f>'MIS Working 1'!$U314/'MIS Working 1'!$N314</f>
        <v>3.5140070369216118E-2</v>
      </c>
      <c r="W314" s="274">
        <f>'MIS Working 1'!$N314/'MIS Working 1'!$L314</f>
        <v>224.53</v>
      </c>
      <c r="X314" s="279">
        <f>SUM('MIS Working 1'!$Y314:$AE314)</f>
        <v>239.77999999999994</v>
      </c>
      <c r="Y314" s="279">
        <f>SUMIFS('COGS Break up'!$E:$E,'COGS Break up'!$A:$A,'MIS Working 1'!$D314,'COGS Break up'!$D:$D,'MIS Working 1'!$Y$1)</f>
        <v>174.98999999999995</v>
      </c>
      <c r="Z314" s="279">
        <f>SUMIFS('COGS Break up'!$E:$E,'COGS Break up'!$A:$A,'MIS Working 1'!$D314,'COGS Break up'!$D:$D,'MIS Working 1'!$Z$1)</f>
        <v>18.389999999999997</v>
      </c>
      <c r="AA314" s="279">
        <f>SUMIFS('COGS Break up'!E:E,'COGS Break up'!A:A,'MIS Working 1'!$D:$D,'COGS Break up'!C:C,'MIS Working 1'!$AA$1)</f>
        <v>1.5</v>
      </c>
      <c r="AB314" s="279">
        <f>SUMIFS('COGS Break up'!E:E,'COGS Break up'!A:A,'MIS Working 1'!$D:$D,'COGS Break up'!C:C,$AB$1)</f>
        <v>13.37</v>
      </c>
      <c r="AC314" s="279">
        <f>SUMIFS('COGS Break up'!E:E,'COGS Break up'!A:A,'MIS Working 1'!$D:$D,'COGS Break up'!C:C,$AC$1)</f>
        <v>8.31</v>
      </c>
      <c r="AD314" s="279">
        <f>SUMIFS('COGS Break up'!$E:$E,'COGS Break up'!$A:$A,'MIS Working 1'!$D314,'COGS Break up'!$D:$D,'MIS Working 1'!$AD$1)</f>
        <v>0.04</v>
      </c>
      <c r="AE314" s="279">
        <f>SUMIFS('COGS Break up'!$E:$E,'COGS Break up'!$A:$A,'MIS Working 1'!$D314,'COGS Break up'!$D:$D,'MIS Working 1'!$AE$1)</f>
        <v>23.18</v>
      </c>
      <c r="AF314" s="280">
        <f>'MIS Working 1'!$AG314+'MIS Working 1'!$AH314+'MIS Working 1'!$AM314+'MIS Working 1'!$AL314</f>
        <v>172228.79999999993</v>
      </c>
      <c r="AG314" s="279">
        <f>'MIS Working 1'!$L314*'MIS Working 1'!$Y314</f>
        <v>139117.04999999996</v>
      </c>
      <c r="AH314" s="279">
        <f>'MIS Working 1'!$L314*'MIS Working 1'!$Z314</f>
        <v>14620.049999999997</v>
      </c>
      <c r="AI314" s="279">
        <f t="shared" si="12"/>
        <v>1192.5</v>
      </c>
      <c r="AJ314" s="279">
        <f t="shared" si="13"/>
        <v>10629.15</v>
      </c>
      <c r="AK314" s="279">
        <f t="shared" si="14"/>
        <v>6606.4500000000007</v>
      </c>
      <c r="AL314" s="279">
        <f>'MIS Working 1'!$AD314*'MIS Working 1'!$L314</f>
        <v>31.8</v>
      </c>
      <c r="AM314" s="279">
        <f>'MIS Working 1'!$L314*'MIS Working 1'!$AE314+'MIS Working 1'!$AL314</f>
        <v>18459.899999999998</v>
      </c>
    </row>
    <row r="315" spans="1:39" x14ac:dyDescent="0.3">
      <c r="A315" s="263" t="s">
        <v>479</v>
      </c>
      <c r="B315" s="264">
        <v>45971</v>
      </c>
      <c r="C315" s="265" t="s">
        <v>1818</v>
      </c>
      <c r="D315" s="265" t="s">
        <v>639</v>
      </c>
      <c r="E315" s="265" t="s">
        <v>640</v>
      </c>
      <c r="F315" s="265" t="s">
        <v>18</v>
      </c>
      <c r="G315" s="265" t="s">
        <v>19</v>
      </c>
      <c r="H315" s="265" t="s">
        <v>27</v>
      </c>
      <c r="I315" s="266">
        <v>404</v>
      </c>
      <c r="J315" s="267">
        <v>260592.12</v>
      </c>
      <c r="K315" s="266">
        <v>404</v>
      </c>
      <c r="L315" s="266">
        <v>404</v>
      </c>
      <c r="M315" s="264">
        <v>45971</v>
      </c>
      <c r="N315" s="267">
        <v>294338.24</v>
      </c>
      <c r="O315" s="265" t="s">
        <v>21</v>
      </c>
      <c r="P315" s="265" t="s">
        <v>22</v>
      </c>
      <c r="Q315" s="265" t="s">
        <v>660</v>
      </c>
      <c r="R315" s="265" t="str">
        <f>VLOOKUP('MIS Working 1'!$G315,Master!$H$3:$I$8,2,0)</f>
        <v>Finished Goods</v>
      </c>
      <c r="S315" s="265" t="str">
        <f>VLOOKUP('MIS Working 1'!$H315,Master!B:C,2,0)</f>
        <v>FG-PCB-CF</v>
      </c>
      <c r="T315" s="265" t="str">
        <f>VLOOKUP('MIS Working 1'!$S315,Master!E:F,2,0)</f>
        <v>FG-PCB-CF</v>
      </c>
      <c r="U315" s="268">
        <f>'MIS Working 1'!$N315-'MIS Working 1'!$AF315</f>
        <v>33572.400000000111</v>
      </c>
      <c r="V315" s="269">
        <f>'MIS Working 1'!$U315/'MIS Working 1'!$N315</f>
        <v>0.11406061271549396</v>
      </c>
      <c r="W315" s="265">
        <f>'MIS Working 1'!$N315/'MIS Working 1'!$L315</f>
        <v>728.56</v>
      </c>
      <c r="X315" s="270">
        <f>SUM('MIS Working 1'!$Y315:$AE315)</f>
        <v>677.50999999999965</v>
      </c>
      <c r="Y315" s="270">
        <f>SUMIFS('COGS Break up'!$E:$E,'COGS Break up'!$A:$A,'MIS Working 1'!$D315,'COGS Break up'!$D:$D,'MIS Working 1'!$Y$1)</f>
        <v>582.23999999999967</v>
      </c>
      <c r="Z315" s="270">
        <f>SUMIFS('COGS Break up'!$E:$E,'COGS Break up'!$A:$A,'MIS Working 1'!$D315,'COGS Break up'!$D:$D,'MIS Working 1'!$Z$1)</f>
        <v>29.88</v>
      </c>
      <c r="AA315" s="270">
        <f>SUMIFS('COGS Break up'!E:E,'COGS Break up'!A:A,'MIS Working 1'!$D:$D,'COGS Break up'!C:C,'MIS Working 1'!$AA$1)</f>
        <v>2.4500000000000002</v>
      </c>
      <c r="AB315" s="270">
        <f>SUMIFS('COGS Break up'!E:E,'COGS Break up'!A:A,'MIS Working 1'!$D:$D,'COGS Break up'!C:C,$AB$1)</f>
        <v>21.72</v>
      </c>
      <c r="AC315" s="270">
        <f>SUMIFS('COGS Break up'!E:E,'COGS Break up'!A:A,'MIS Working 1'!$D:$D,'COGS Break up'!C:C,$AC$1)</f>
        <v>8.31</v>
      </c>
      <c r="AD315" s="270">
        <f>SUMIFS('COGS Break up'!$E:$E,'COGS Break up'!$A:$A,'MIS Working 1'!$D315,'COGS Break up'!$D:$D,'MIS Working 1'!$AD$1)</f>
        <v>0.43</v>
      </c>
      <c r="AE315" s="270">
        <f>SUMIFS('COGS Break up'!$E:$E,'COGS Break up'!$A:$A,'MIS Working 1'!$D315,'COGS Break up'!$D:$D,'MIS Working 1'!$AE$1)</f>
        <v>32.480000000000004</v>
      </c>
      <c r="AF315" s="271">
        <f>'MIS Working 1'!$AG315+'MIS Working 1'!$AH315+'MIS Working 1'!$AM315+'MIS Working 1'!$AL315</f>
        <v>260765.83999999988</v>
      </c>
      <c r="AG315" s="270">
        <f>'MIS Working 1'!$L315*'MIS Working 1'!$Y315</f>
        <v>235224.95999999988</v>
      </c>
      <c r="AH315" s="270">
        <f>'MIS Working 1'!$L315*'MIS Working 1'!$Z315</f>
        <v>12071.52</v>
      </c>
      <c r="AI315" s="270">
        <f t="shared" si="12"/>
        <v>989.80000000000007</v>
      </c>
      <c r="AJ315" s="270">
        <f t="shared" si="13"/>
        <v>8774.8799999999992</v>
      </c>
      <c r="AK315" s="270">
        <f t="shared" si="14"/>
        <v>3357.2400000000002</v>
      </c>
      <c r="AL315" s="270">
        <f>'MIS Working 1'!$AD315*'MIS Working 1'!$L315</f>
        <v>173.72</v>
      </c>
      <c r="AM315" s="270">
        <f>'MIS Working 1'!$L315*'MIS Working 1'!$AE315+'MIS Working 1'!$AL315</f>
        <v>13295.640000000001</v>
      </c>
    </row>
    <row r="316" spans="1:39" x14ac:dyDescent="0.3">
      <c r="A316" s="272" t="s">
        <v>479</v>
      </c>
      <c r="B316" s="273">
        <v>45971</v>
      </c>
      <c r="C316" s="274" t="s">
        <v>1818</v>
      </c>
      <c r="D316" s="274" t="s">
        <v>42</v>
      </c>
      <c r="E316" s="274" t="s">
        <v>43</v>
      </c>
      <c r="F316" s="274" t="s">
        <v>18</v>
      </c>
      <c r="G316" s="274" t="s">
        <v>19</v>
      </c>
      <c r="H316" s="274" t="s">
        <v>27</v>
      </c>
      <c r="I316" s="275">
        <v>1260</v>
      </c>
      <c r="J316" s="276">
        <v>412183.8</v>
      </c>
      <c r="K316" s="275">
        <v>1260</v>
      </c>
      <c r="L316" s="275">
        <v>1260</v>
      </c>
      <c r="M316" s="273">
        <v>45971</v>
      </c>
      <c r="N316" s="276">
        <v>429748.2</v>
      </c>
      <c r="O316" s="274" t="s">
        <v>21</v>
      </c>
      <c r="P316" s="274" t="s">
        <v>22</v>
      </c>
      <c r="Q316" s="274" t="s">
        <v>660</v>
      </c>
      <c r="R316" s="274" t="str">
        <f>VLOOKUP('MIS Working 1'!$G316,Master!$H$3:$I$8,2,0)</f>
        <v>Finished Goods</v>
      </c>
      <c r="S316" s="274" t="str">
        <f>VLOOKUP('MIS Working 1'!$H316,Master!B:C,2,0)</f>
        <v>FG-PCB-CF</v>
      </c>
      <c r="T316" s="274" t="str">
        <f>VLOOKUP('MIS Working 1'!$S316,Master!E:F,2,0)</f>
        <v>FG-PCB-CF</v>
      </c>
      <c r="U316" s="277">
        <f>'MIS Working 1'!$N316-'MIS Working 1'!$AF316</f>
        <v>17350.199999999895</v>
      </c>
      <c r="V316" s="278">
        <f>'MIS Working 1'!$U316/'MIS Working 1'!$N316</f>
        <v>4.0372943970445704E-2</v>
      </c>
      <c r="W316" s="274">
        <f>'MIS Working 1'!$N316/'MIS Working 1'!$L316</f>
        <v>341.07</v>
      </c>
      <c r="X316" s="279">
        <f>SUM('MIS Working 1'!$Y316:$AE316)</f>
        <v>353.55</v>
      </c>
      <c r="Y316" s="279">
        <f>SUMIFS('COGS Break up'!$E:$E,'COGS Break up'!$A:$A,'MIS Working 1'!$D316,'COGS Break up'!$D:$D,'MIS Working 1'!$Y$1)</f>
        <v>278.14000000000004</v>
      </c>
      <c r="Z316" s="279">
        <f>SUMIFS('COGS Break up'!$E:$E,'COGS Break up'!$A:$A,'MIS Working 1'!$D316,'COGS Break up'!$D:$D,'MIS Working 1'!$Z$1)</f>
        <v>22.400000000000002</v>
      </c>
      <c r="AA316" s="279">
        <f>SUMIFS('COGS Break up'!E:E,'COGS Break up'!A:A,'MIS Working 1'!$D:$D,'COGS Break up'!C:C,'MIS Working 1'!$AA$1)</f>
        <v>1.8299999999999998</v>
      </c>
      <c r="AB316" s="279">
        <f>SUMIFS('COGS Break up'!E:E,'COGS Break up'!A:A,'MIS Working 1'!$D:$D,'COGS Break up'!C:C,$AB$1)</f>
        <v>16.28</v>
      </c>
      <c r="AC316" s="279">
        <f>SUMIFS('COGS Break up'!E:E,'COGS Break up'!A:A,'MIS Working 1'!$D:$D,'COGS Break up'!C:C,$AC$1)</f>
        <v>8.31</v>
      </c>
      <c r="AD316" s="279">
        <f>SUMIFS('COGS Break up'!$E:$E,'COGS Break up'!$A:$A,'MIS Working 1'!$D316,'COGS Break up'!$D:$D,'MIS Working 1'!$AD$1)</f>
        <v>0.17</v>
      </c>
      <c r="AE316" s="279">
        <f>SUMIFS('COGS Break up'!$E:$E,'COGS Break up'!$A:$A,'MIS Working 1'!$D316,'COGS Break up'!$D:$D,'MIS Working 1'!$AE$1)</f>
        <v>26.42</v>
      </c>
      <c r="AF316" s="280">
        <f>'MIS Working 1'!$AG316+'MIS Working 1'!$AH316+'MIS Working 1'!$AM316+'MIS Working 1'!$AL316</f>
        <v>412398.00000000012</v>
      </c>
      <c r="AG316" s="279">
        <f>'MIS Working 1'!$L316*'MIS Working 1'!$Y316</f>
        <v>350456.40000000008</v>
      </c>
      <c r="AH316" s="279">
        <f>'MIS Working 1'!$L316*'MIS Working 1'!$Z316</f>
        <v>28224.000000000004</v>
      </c>
      <c r="AI316" s="279">
        <f t="shared" si="12"/>
        <v>2305.7999999999997</v>
      </c>
      <c r="AJ316" s="279">
        <f t="shared" si="13"/>
        <v>20512.800000000003</v>
      </c>
      <c r="AK316" s="279">
        <f t="shared" si="14"/>
        <v>10470.6</v>
      </c>
      <c r="AL316" s="279">
        <f>'MIS Working 1'!$AD316*'MIS Working 1'!$L316</f>
        <v>214.20000000000002</v>
      </c>
      <c r="AM316" s="279">
        <f>'MIS Working 1'!$L316*'MIS Working 1'!$AE316+'MIS Working 1'!$AL316</f>
        <v>33503.4</v>
      </c>
    </row>
    <row r="317" spans="1:39" x14ac:dyDescent="0.3">
      <c r="A317" s="263" t="s">
        <v>479</v>
      </c>
      <c r="B317" s="264">
        <v>45971</v>
      </c>
      <c r="C317" s="265" t="s">
        <v>1818</v>
      </c>
      <c r="D317" s="265" t="s">
        <v>23</v>
      </c>
      <c r="E317" s="265" t="s">
        <v>24</v>
      </c>
      <c r="F317" s="265" t="s">
        <v>18</v>
      </c>
      <c r="G317" s="265" t="s">
        <v>19</v>
      </c>
      <c r="H317" s="265" t="s">
        <v>27</v>
      </c>
      <c r="I317" s="266">
        <v>840</v>
      </c>
      <c r="J317" s="267">
        <v>353984.4</v>
      </c>
      <c r="K317" s="266">
        <v>840</v>
      </c>
      <c r="L317" s="266">
        <v>840</v>
      </c>
      <c r="M317" s="264">
        <v>45971</v>
      </c>
      <c r="N317" s="267">
        <v>405854.4</v>
      </c>
      <c r="O317" s="265" t="s">
        <v>21</v>
      </c>
      <c r="P317" s="265" t="s">
        <v>22</v>
      </c>
      <c r="Q317" s="265" t="s">
        <v>660</v>
      </c>
      <c r="R317" s="265" t="str">
        <f>VLOOKUP('MIS Working 1'!$G317,Master!$H$3:$I$8,2,0)</f>
        <v>Finished Goods</v>
      </c>
      <c r="S317" s="265" t="str">
        <f>VLOOKUP('MIS Working 1'!$H317,Master!B:C,2,0)</f>
        <v>FG-PCB-CF</v>
      </c>
      <c r="T317" s="265" t="str">
        <f>VLOOKUP('MIS Working 1'!$S317,Master!E:F,2,0)</f>
        <v>FG-PCB-CF</v>
      </c>
      <c r="U317" s="268">
        <f>'MIS Working 1'!$N317-'MIS Working 1'!$AF317</f>
        <v>51651.600000000093</v>
      </c>
      <c r="V317" s="269">
        <f>'MIS Working 1'!$U317/'MIS Working 1'!$N317</f>
        <v>0.12726632999420504</v>
      </c>
      <c r="W317" s="265">
        <f>'MIS Working 1'!$N317/'MIS Working 1'!$L317</f>
        <v>483.16</v>
      </c>
      <c r="X317" s="270">
        <f>SUM('MIS Working 1'!$Y317:$AE317)</f>
        <v>447.50999999999988</v>
      </c>
      <c r="Y317" s="270">
        <f>SUMIFS('COGS Break up'!$E:$E,'COGS Break up'!$A:$A,'MIS Working 1'!$D317,'COGS Break up'!$D:$D,'MIS Working 1'!$Y$1)</f>
        <v>373.04999999999984</v>
      </c>
      <c r="Z317" s="270">
        <f>SUMIFS('COGS Break up'!$E:$E,'COGS Break up'!$A:$A,'MIS Working 1'!$D317,'COGS Break up'!$D:$D,'MIS Working 1'!$Z$1)</f>
        <v>22</v>
      </c>
      <c r="AA317" s="270">
        <f>SUMIFS('COGS Break up'!E:E,'COGS Break up'!A:A,'MIS Working 1'!$D:$D,'COGS Break up'!C:C,'MIS Working 1'!$AA$1)</f>
        <v>1.8</v>
      </c>
      <c r="AB317" s="270">
        <f>SUMIFS('COGS Break up'!E:E,'COGS Break up'!A:A,'MIS Working 1'!$D:$D,'COGS Break up'!C:C,$AB$1)</f>
        <v>15.99</v>
      </c>
      <c r="AC317" s="270">
        <f>SUMIFS('COGS Break up'!E:E,'COGS Break up'!A:A,'MIS Working 1'!$D:$D,'COGS Break up'!C:C,$AC$1)</f>
        <v>8.31</v>
      </c>
      <c r="AD317" s="270">
        <f>SUMIFS('COGS Break up'!$E:$E,'COGS Break up'!$A:$A,'MIS Working 1'!$D317,'COGS Break up'!$D:$D,'MIS Working 1'!$AD$1)</f>
        <v>0.26</v>
      </c>
      <c r="AE317" s="270">
        <f>SUMIFS('COGS Break up'!$E:$E,'COGS Break up'!$A:$A,'MIS Working 1'!$D317,'COGS Break up'!$D:$D,'MIS Working 1'!$AE$1)</f>
        <v>26.1</v>
      </c>
      <c r="AF317" s="271">
        <f>'MIS Working 1'!$AG317+'MIS Working 1'!$AH317+'MIS Working 1'!$AM317+'MIS Working 1'!$AL317</f>
        <v>354202.79999999993</v>
      </c>
      <c r="AG317" s="270">
        <f>'MIS Working 1'!$L317*'MIS Working 1'!$Y317</f>
        <v>313361.99999999988</v>
      </c>
      <c r="AH317" s="270">
        <f>'MIS Working 1'!$L317*'MIS Working 1'!$Z317</f>
        <v>18480</v>
      </c>
      <c r="AI317" s="270">
        <f t="shared" si="12"/>
        <v>1512</v>
      </c>
      <c r="AJ317" s="270">
        <f t="shared" si="13"/>
        <v>13431.6</v>
      </c>
      <c r="AK317" s="270">
        <f t="shared" si="14"/>
        <v>6980.4000000000005</v>
      </c>
      <c r="AL317" s="270">
        <f>'MIS Working 1'!$AD317*'MIS Working 1'!$L317</f>
        <v>218.4</v>
      </c>
      <c r="AM317" s="270">
        <f>'MIS Working 1'!$L317*'MIS Working 1'!$AE317+'MIS Working 1'!$AL317</f>
        <v>22142.400000000001</v>
      </c>
    </row>
    <row r="318" spans="1:39" x14ac:dyDescent="0.3">
      <c r="A318" s="272" t="s">
        <v>479</v>
      </c>
      <c r="B318" s="273">
        <v>45971</v>
      </c>
      <c r="C318" s="274" t="s">
        <v>1819</v>
      </c>
      <c r="D318" s="274" t="s">
        <v>23</v>
      </c>
      <c r="E318" s="274" t="s">
        <v>24</v>
      </c>
      <c r="F318" s="274" t="s">
        <v>18</v>
      </c>
      <c r="G318" s="274" t="s">
        <v>19</v>
      </c>
      <c r="H318" s="274" t="s">
        <v>27</v>
      </c>
      <c r="I318" s="275">
        <v>828</v>
      </c>
      <c r="J318" s="276">
        <v>348927.48</v>
      </c>
      <c r="K318" s="275">
        <v>828</v>
      </c>
      <c r="L318" s="275">
        <v>828</v>
      </c>
      <c r="M318" s="273">
        <v>45971</v>
      </c>
      <c r="N318" s="276">
        <v>400056.48</v>
      </c>
      <c r="O318" s="274" t="s">
        <v>21</v>
      </c>
      <c r="P318" s="274" t="s">
        <v>22</v>
      </c>
      <c r="Q318" s="274" t="s">
        <v>660</v>
      </c>
      <c r="R318" s="274" t="str">
        <f>VLOOKUP('MIS Working 1'!$G318,Master!$H$3:$I$8,2,0)</f>
        <v>Finished Goods</v>
      </c>
      <c r="S318" s="274" t="str">
        <f>VLOOKUP('MIS Working 1'!$H318,Master!B:C,2,0)</f>
        <v>FG-PCB-CF</v>
      </c>
      <c r="T318" s="274" t="str">
        <f>VLOOKUP('MIS Working 1'!$S318,Master!E:F,2,0)</f>
        <v>FG-PCB-CF</v>
      </c>
      <c r="U318" s="277">
        <f>'MIS Working 1'!$N318-'MIS Working 1'!$AF318</f>
        <v>50913.720000000088</v>
      </c>
      <c r="V318" s="278">
        <f>'MIS Working 1'!$U318/'MIS Working 1'!$N318</f>
        <v>0.12726632999420504</v>
      </c>
      <c r="W318" s="274">
        <f>'MIS Working 1'!$N318/'MIS Working 1'!$L318</f>
        <v>483.15999999999997</v>
      </c>
      <c r="X318" s="279">
        <f>SUM('MIS Working 1'!$Y318:$AE318)</f>
        <v>447.50999999999988</v>
      </c>
      <c r="Y318" s="279">
        <f>SUMIFS('COGS Break up'!$E:$E,'COGS Break up'!$A:$A,'MIS Working 1'!$D318,'COGS Break up'!$D:$D,'MIS Working 1'!$Y$1)</f>
        <v>373.04999999999984</v>
      </c>
      <c r="Z318" s="279">
        <f>SUMIFS('COGS Break up'!$E:$E,'COGS Break up'!$A:$A,'MIS Working 1'!$D318,'COGS Break up'!$D:$D,'MIS Working 1'!$Z$1)</f>
        <v>22</v>
      </c>
      <c r="AA318" s="279">
        <f>SUMIFS('COGS Break up'!E:E,'COGS Break up'!A:A,'MIS Working 1'!$D:$D,'COGS Break up'!C:C,'MIS Working 1'!$AA$1)</f>
        <v>1.8</v>
      </c>
      <c r="AB318" s="279">
        <f>SUMIFS('COGS Break up'!E:E,'COGS Break up'!A:A,'MIS Working 1'!$D:$D,'COGS Break up'!C:C,$AB$1)</f>
        <v>15.99</v>
      </c>
      <c r="AC318" s="279">
        <f>SUMIFS('COGS Break up'!E:E,'COGS Break up'!A:A,'MIS Working 1'!$D:$D,'COGS Break up'!C:C,$AC$1)</f>
        <v>8.31</v>
      </c>
      <c r="AD318" s="279">
        <f>SUMIFS('COGS Break up'!$E:$E,'COGS Break up'!$A:$A,'MIS Working 1'!$D318,'COGS Break up'!$D:$D,'MIS Working 1'!$AD$1)</f>
        <v>0.26</v>
      </c>
      <c r="AE318" s="279">
        <f>SUMIFS('COGS Break up'!$E:$E,'COGS Break up'!$A:$A,'MIS Working 1'!$D318,'COGS Break up'!$D:$D,'MIS Working 1'!$AE$1)</f>
        <v>26.1</v>
      </c>
      <c r="AF318" s="280">
        <f>'MIS Working 1'!$AG318+'MIS Working 1'!$AH318+'MIS Working 1'!$AM318+'MIS Working 1'!$AL318</f>
        <v>349142.75999999989</v>
      </c>
      <c r="AG318" s="279">
        <f>'MIS Working 1'!$L318*'MIS Working 1'!$Y318</f>
        <v>308885.39999999985</v>
      </c>
      <c r="AH318" s="279">
        <f>'MIS Working 1'!$L318*'MIS Working 1'!$Z318</f>
        <v>18216</v>
      </c>
      <c r="AI318" s="279">
        <f t="shared" si="12"/>
        <v>1490.4</v>
      </c>
      <c r="AJ318" s="279">
        <f t="shared" si="13"/>
        <v>13239.72</v>
      </c>
      <c r="AK318" s="279">
        <f t="shared" si="14"/>
        <v>6880.68</v>
      </c>
      <c r="AL318" s="279">
        <f>'MIS Working 1'!$AD318*'MIS Working 1'!$L318</f>
        <v>215.28</v>
      </c>
      <c r="AM318" s="279">
        <f>'MIS Working 1'!$L318*'MIS Working 1'!$AE318+'MIS Working 1'!$AL318</f>
        <v>21826.080000000002</v>
      </c>
    </row>
    <row r="319" spans="1:39" x14ac:dyDescent="0.3">
      <c r="A319" s="263" t="s">
        <v>479</v>
      </c>
      <c r="B319" s="264">
        <v>45971</v>
      </c>
      <c r="C319" s="265" t="s">
        <v>1819</v>
      </c>
      <c r="D319" s="265" t="s">
        <v>1184</v>
      </c>
      <c r="E319" s="265" t="s">
        <v>1185</v>
      </c>
      <c r="F319" s="265" t="s">
        <v>18</v>
      </c>
      <c r="G319" s="265" t="s">
        <v>19</v>
      </c>
      <c r="H319" s="265" t="s">
        <v>27</v>
      </c>
      <c r="I319" s="266">
        <v>310</v>
      </c>
      <c r="J319" s="267">
        <v>130627.8</v>
      </c>
      <c r="K319" s="266">
        <v>310</v>
      </c>
      <c r="L319" s="266">
        <v>310</v>
      </c>
      <c r="M319" s="264">
        <v>45971</v>
      </c>
      <c r="N319" s="267">
        <v>149779.6</v>
      </c>
      <c r="O319" s="265" t="s">
        <v>21</v>
      </c>
      <c r="P319" s="265" t="s">
        <v>22</v>
      </c>
      <c r="Q319" s="265" t="s">
        <v>660</v>
      </c>
      <c r="R319" s="265" t="str">
        <f>VLOOKUP('MIS Working 1'!$G319,Master!$H$3:$I$8,2,0)</f>
        <v>Finished Goods</v>
      </c>
      <c r="S319" s="265" t="str">
        <f>VLOOKUP('MIS Working 1'!$H319,Master!B:C,2,0)</f>
        <v>FG-PCB-CF</v>
      </c>
      <c r="T319" s="265" t="str">
        <f>VLOOKUP('MIS Working 1'!$S319,Master!E:F,2,0)</f>
        <v>FG-PCB-CF</v>
      </c>
      <c r="U319" s="268">
        <f>'MIS Working 1'!$N319-'MIS Working 1'!$AF319</f>
        <v>19071.200000000055</v>
      </c>
      <c r="V319" s="269">
        <f>'MIS Working 1'!$U319/'MIS Working 1'!$N319</f>
        <v>0.12732842122692312</v>
      </c>
      <c r="W319" s="265">
        <f>'MIS Working 1'!$N319/'MIS Working 1'!$L319</f>
        <v>483.16</v>
      </c>
      <c r="X319" s="270">
        <f>SUM('MIS Working 1'!$Y319:$AE319)</f>
        <v>447.47999999999985</v>
      </c>
      <c r="Y319" s="270">
        <f>SUMIFS('COGS Break up'!$E:$E,'COGS Break up'!$A:$A,'MIS Working 1'!$D319,'COGS Break up'!$D:$D,'MIS Working 1'!$Y$1)</f>
        <v>373.01999999999981</v>
      </c>
      <c r="Z319" s="270">
        <f>SUMIFS('COGS Break up'!$E:$E,'COGS Break up'!$A:$A,'MIS Working 1'!$D319,'COGS Break up'!$D:$D,'MIS Working 1'!$Z$1)</f>
        <v>22</v>
      </c>
      <c r="AA319" s="270">
        <f>SUMIFS('COGS Break up'!E:E,'COGS Break up'!A:A,'MIS Working 1'!$D:$D,'COGS Break up'!C:C,'MIS Working 1'!$AA$1)</f>
        <v>1.8</v>
      </c>
      <c r="AB319" s="270">
        <f>SUMIFS('COGS Break up'!E:E,'COGS Break up'!A:A,'MIS Working 1'!$D:$D,'COGS Break up'!C:C,$AB$1)</f>
        <v>15.99</v>
      </c>
      <c r="AC319" s="270">
        <f>SUMIFS('COGS Break up'!E:E,'COGS Break up'!A:A,'MIS Working 1'!$D:$D,'COGS Break up'!C:C,$AC$1)</f>
        <v>8.31</v>
      </c>
      <c r="AD319" s="270">
        <f>SUMIFS('COGS Break up'!$E:$E,'COGS Break up'!$A:$A,'MIS Working 1'!$D319,'COGS Break up'!$D:$D,'MIS Working 1'!$AD$1)</f>
        <v>0.26</v>
      </c>
      <c r="AE319" s="270">
        <f>SUMIFS('COGS Break up'!$E:$E,'COGS Break up'!$A:$A,'MIS Working 1'!$D319,'COGS Break up'!$D:$D,'MIS Working 1'!$AE$1)</f>
        <v>26.1</v>
      </c>
      <c r="AF319" s="271">
        <f>'MIS Working 1'!$AG319+'MIS Working 1'!$AH319+'MIS Working 1'!$AM319+'MIS Working 1'!$AL319</f>
        <v>130708.39999999995</v>
      </c>
      <c r="AG319" s="270">
        <f>'MIS Working 1'!$L319*'MIS Working 1'!$Y319</f>
        <v>115636.19999999994</v>
      </c>
      <c r="AH319" s="270">
        <f>'MIS Working 1'!$L319*'MIS Working 1'!$Z319</f>
        <v>6820</v>
      </c>
      <c r="AI319" s="270">
        <f t="shared" si="12"/>
        <v>558</v>
      </c>
      <c r="AJ319" s="270">
        <f t="shared" si="13"/>
        <v>4956.8999999999996</v>
      </c>
      <c r="AK319" s="270">
        <f t="shared" si="14"/>
        <v>2576.1000000000004</v>
      </c>
      <c r="AL319" s="270">
        <f>'MIS Working 1'!$AD319*'MIS Working 1'!$L319</f>
        <v>80.600000000000009</v>
      </c>
      <c r="AM319" s="270">
        <f>'MIS Working 1'!$L319*'MIS Working 1'!$AE319+'MIS Working 1'!$AL319</f>
        <v>8171.6</v>
      </c>
    </row>
    <row r="320" spans="1:39" x14ac:dyDescent="0.3">
      <c r="A320" s="272" t="s">
        <v>479</v>
      </c>
      <c r="B320" s="273">
        <v>45971</v>
      </c>
      <c r="C320" s="274" t="s">
        <v>1818</v>
      </c>
      <c r="D320" s="274" t="s">
        <v>38</v>
      </c>
      <c r="E320" s="274" t="s">
        <v>39</v>
      </c>
      <c r="F320" s="274" t="s">
        <v>18</v>
      </c>
      <c r="G320" s="274" t="s">
        <v>19</v>
      </c>
      <c r="H320" s="274" t="s">
        <v>27</v>
      </c>
      <c r="I320" s="275">
        <v>1770</v>
      </c>
      <c r="J320" s="276">
        <v>579020.1</v>
      </c>
      <c r="K320" s="275">
        <v>1770</v>
      </c>
      <c r="L320" s="275">
        <v>1770</v>
      </c>
      <c r="M320" s="273">
        <v>45971</v>
      </c>
      <c r="N320" s="276">
        <v>603693.9</v>
      </c>
      <c r="O320" s="274" t="s">
        <v>21</v>
      </c>
      <c r="P320" s="274" t="s">
        <v>22</v>
      </c>
      <c r="Q320" s="274" t="s">
        <v>660</v>
      </c>
      <c r="R320" s="274" t="str">
        <f>VLOOKUP('MIS Working 1'!$G320,Master!$H$3:$I$8,2,0)</f>
        <v>Finished Goods</v>
      </c>
      <c r="S320" s="274" t="str">
        <f>VLOOKUP('MIS Working 1'!$H320,Master!B:C,2,0)</f>
        <v>FG-PCB-CF</v>
      </c>
      <c r="T320" s="274" t="str">
        <f>VLOOKUP('MIS Working 1'!$S320,Master!E:F,2,0)</f>
        <v>FG-PCB-CF</v>
      </c>
      <c r="U320" s="277">
        <f>'MIS Working 1'!$N320-'MIS Working 1'!$AF320</f>
        <v>24372.899999999907</v>
      </c>
      <c r="V320" s="278">
        <f>'MIS Working 1'!$U320/'MIS Working 1'!$N320</f>
        <v>4.0372943970445795E-2</v>
      </c>
      <c r="W320" s="274">
        <f>'MIS Working 1'!$N320/'MIS Working 1'!$L320</f>
        <v>341.07</v>
      </c>
      <c r="X320" s="279">
        <f>SUM('MIS Working 1'!$Y320:$AE320)</f>
        <v>353.55</v>
      </c>
      <c r="Y320" s="279">
        <f>SUMIFS('COGS Break up'!$E:$E,'COGS Break up'!$A:$A,'MIS Working 1'!$D320,'COGS Break up'!$D:$D,'MIS Working 1'!$Y$1)</f>
        <v>278.14</v>
      </c>
      <c r="Z320" s="279">
        <f>SUMIFS('COGS Break up'!$E:$E,'COGS Break up'!$A:$A,'MIS Working 1'!$D320,'COGS Break up'!$D:$D,'MIS Working 1'!$Z$1)</f>
        <v>22.400000000000002</v>
      </c>
      <c r="AA320" s="279">
        <f>SUMIFS('COGS Break up'!E:E,'COGS Break up'!A:A,'MIS Working 1'!$D:$D,'COGS Break up'!C:C,'MIS Working 1'!$AA$1)</f>
        <v>1.8299999999999998</v>
      </c>
      <c r="AB320" s="279">
        <f>SUMIFS('COGS Break up'!E:E,'COGS Break up'!A:A,'MIS Working 1'!$D:$D,'COGS Break up'!C:C,$AB$1)</f>
        <v>16.28</v>
      </c>
      <c r="AC320" s="279">
        <f>SUMIFS('COGS Break up'!E:E,'COGS Break up'!A:A,'MIS Working 1'!$D:$D,'COGS Break up'!C:C,$AC$1)</f>
        <v>8.31</v>
      </c>
      <c r="AD320" s="279">
        <f>SUMIFS('COGS Break up'!$E:$E,'COGS Break up'!$A:$A,'MIS Working 1'!$D320,'COGS Break up'!$D:$D,'MIS Working 1'!$AD$1)</f>
        <v>0.17</v>
      </c>
      <c r="AE320" s="279">
        <f>SUMIFS('COGS Break up'!$E:$E,'COGS Break up'!$A:$A,'MIS Working 1'!$D320,'COGS Break up'!$D:$D,'MIS Working 1'!$AE$1)</f>
        <v>26.42</v>
      </c>
      <c r="AF320" s="280">
        <f>'MIS Working 1'!$AG320+'MIS Working 1'!$AH320+'MIS Working 1'!$AM320+'MIS Working 1'!$AL320</f>
        <v>579321.00000000012</v>
      </c>
      <c r="AG320" s="279">
        <f>'MIS Working 1'!$L320*'MIS Working 1'!$Y320</f>
        <v>492307.8</v>
      </c>
      <c r="AH320" s="279">
        <f>'MIS Working 1'!$L320*'MIS Working 1'!$Z320</f>
        <v>39648.000000000007</v>
      </c>
      <c r="AI320" s="279">
        <f t="shared" si="12"/>
        <v>3239.1</v>
      </c>
      <c r="AJ320" s="279">
        <f t="shared" si="13"/>
        <v>28815.600000000002</v>
      </c>
      <c r="AK320" s="279">
        <f t="shared" si="14"/>
        <v>14708.7</v>
      </c>
      <c r="AL320" s="279">
        <f>'MIS Working 1'!$AD320*'MIS Working 1'!$L320</f>
        <v>300.90000000000003</v>
      </c>
      <c r="AM320" s="279">
        <f>'MIS Working 1'!$L320*'MIS Working 1'!$AE320+'MIS Working 1'!$AL320</f>
        <v>47064.3</v>
      </c>
    </row>
    <row r="321" spans="1:39" x14ac:dyDescent="0.3">
      <c r="A321" s="263" t="s">
        <v>479</v>
      </c>
      <c r="B321" s="264">
        <v>45971</v>
      </c>
      <c r="C321" s="265" t="s">
        <v>1818</v>
      </c>
      <c r="D321" s="265" t="s">
        <v>46</v>
      </c>
      <c r="E321" s="265" t="s">
        <v>47</v>
      </c>
      <c r="F321" s="265" t="s">
        <v>18</v>
      </c>
      <c r="G321" s="265" t="s">
        <v>19</v>
      </c>
      <c r="H321" s="265" t="s">
        <v>27</v>
      </c>
      <c r="I321" s="266">
        <v>700</v>
      </c>
      <c r="J321" s="267">
        <v>228970</v>
      </c>
      <c r="K321" s="266">
        <v>700</v>
      </c>
      <c r="L321" s="266">
        <v>700</v>
      </c>
      <c r="M321" s="264">
        <v>45971</v>
      </c>
      <c r="N321" s="267">
        <v>238749</v>
      </c>
      <c r="O321" s="265" t="s">
        <v>21</v>
      </c>
      <c r="P321" s="265" t="s">
        <v>22</v>
      </c>
      <c r="Q321" s="265" t="s">
        <v>660</v>
      </c>
      <c r="R321" s="265" t="str">
        <f>VLOOKUP('MIS Working 1'!$G321,Master!$H$3:$I$8,2,0)</f>
        <v>Finished Goods</v>
      </c>
      <c r="S321" s="265" t="str">
        <f>VLOOKUP('MIS Working 1'!$H321,Master!B:C,2,0)</f>
        <v>FG-PCB-CF</v>
      </c>
      <c r="T321" s="265" t="str">
        <f>VLOOKUP('MIS Working 1'!$S321,Master!E:F,2,0)</f>
        <v>FG-PCB-CF</v>
      </c>
      <c r="U321" s="268">
        <f>'MIS Working 1'!$N321-'MIS Working 1'!$AF321</f>
        <v>9660.0000000000582</v>
      </c>
      <c r="V321" s="269">
        <f>'MIS Working 1'!$U321/'MIS Working 1'!$N321</f>
        <v>4.0460902454041936E-2</v>
      </c>
      <c r="W321" s="265">
        <f>'MIS Working 1'!$N321/'MIS Working 1'!$L321</f>
        <v>341.07</v>
      </c>
      <c r="X321" s="270">
        <f>SUM('MIS Working 1'!$Y321:$AE321)</f>
        <v>353.51999999999992</v>
      </c>
      <c r="Y321" s="270">
        <f>SUMIFS('COGS Break up'!$E:$E,'COGS Break up'!$A:$A,'MIS Working 1'!$D321,'COGS Break up'!$D:$D,'MIS Working 1'!$Y$1)</f>
        <v>278.1099999999999</v>
      </c>
      <c r="Z321" s="270">
        <f>SUMIFS('COGS Break up'!$E:$E,'COGS Break up'!$A:$A,'MIS Working 1'!$D321,'COGS Break up'!$D:$D,'MIS Working 1'!$Z$1)</f>
        <v>22.400000000000002</v>
      </c>
      <c r="AA321" s="270">
        <f>SUMIFS('COGS Break up'!E:E,'COGS Break up'!A:A,'MIS Working 1'!$D:$D,'COGS Break up'!C:C,'MIS Working 1'!$AA$1)</f>
        <v>1.8299999999999998</v>
      </c>
      <c r="AB321" s="270">
        <f>SUMIFS('COGS Break up'!E:E,'COGS Break up'!A:A,'MIS Working 1'!$D:$D,'COGS Break up'!C:C,$AB$1)</f>
        <v>16.28</v>
      </c>
      <c r="AC321" s="270">
        <f>SUMIFS('COGS Break up'!E:E,'COGS Break up'!A:A,'MIS Working 1'!$D:$D,'COGS Break up'!C:C,$AC$1)</f>
        <v>8.31</v>
      </c>
      <c r="AD321" s="270">
        <f>SUMIFS('COGS Break up'!$E:$E,'COGS Break up'!$A:$A,'MIS Working 1'!$D321,'COGS Break up'!$D:$D,'MIS Working 1'!$AD$1)</f>
        <v>0.17</v>
      </c>
      <c r="AE321" s="270">
        <f>SUMIFS('COGS Break up'!$E:$E,'COGS Break up'!$A:$A,'MIS Working 1'!$D321,'COGS Break up'!$D:$D,'MIS Working 1'!$AE$1)</f>
        <v>26.42</v>
      </c>
      <c r="AF321" s="271">
        <f>'MIS Working 1'!$AG321+'MIS Working 1'!$AH321+'MIS Working 1'!$AM321+'MIS Working 1'!$AL321</f>
        <v>229088.99999999994</v>
      </c>
      <c r="AG321" s="270">
        <f>'MIS Working 1'!$L321*'MIS Working 1'!$Y321</f>
        <v>194676.99999999994</v>
      </c>
      <c r="AH321" s="270">
        <f>'MIS Working 1'!$L321*'MIS Working 1'!$Z321</f>
        <v>15680.000000000002</v>
      </c>
      <c r="AI321" s="270">
        <f t="shared" si="12"/>
        <v>1281</v>
      </c>
      <c r="AJ321" s="270">
        <f t="shared" si="13"/>
        <v>11396</v>
      </c>
      <c r="AK321" s="270">
        <f t="shared" si="14"/>
        <v>5817</v>
      </c>
      <c r="AL321" s="270">
        <f>'MIS Working 1'!$AD321*'MIS Working 1'!$L321</f>
        <v>119.00000000000001</v>
      </c>
      <c r="AM321" s="270">
        <f>'MIS Working 1'!$L321*'MIS Working 1'!$AE321+'MIS Working 1'!$AL321</f>
        <v>18613</v>
      </c>
    </row>
    <row r="322" spans="1:39" x14ac:dyDescent="0.3">
      <c r="A322" s="272" t="s">
        <v>1658</v>
      </c>
      <c r="B322" s="273">
        <v>45971</v>
      </c>
      <c r="C322" s="274" t="s">
        <v>1820</v>
      </c>
      <c r="D322" s="274" t="s">
        <v>1659</v>
      </c>
      <c r="E322" s="274" t="s">
        <v>1660</v>
      </c>
      <c r="F322" s="274" t="s">
        <v>18</v>
      </c>
      <c r="G322" s="274" t="s">
        <v>48</v>
      </c>
      <c r="H322" s="274" t="s">
        <v>229</v>
      </c>
      <c r="I322" s="275">
        <v>3500</v>
      </c>
      <c r="J322" s="276">
        <v>477443.29</v>
      </c>
      <c r="K322" s="275">
        <v>3500</v>
      </c>
      <c r="L322" s="275">
        <v>3500</v>
      </c>
      <c r="M322" s="273">
        <v>45971</v>
      </c>
      <c r="N322" s="276">
        <v>477435</v>
      </c>
      <c r="O322" s="274" t="s">
        <v>21</v>
      </c>
      <c r="P322" s="274" t="s">
        <v>22</v>
      </c>
      <c r="Q322" s="274" t="s">
        <v>1750</v>
      </c>
      <c r="R322" s="274" t="str">
        <f>VLOOKUP('MIS Working 1'!$G322,Master!$H$3:$I$8,2,0)</f>
        <v>Raw Material</v>
      </c>
      <c r="S322" s="274" t="str">
        <f>VLOOKUP('MIS Working 1'!$H322,Master!B:C,2,0)</f>
        <v>RM-Mech. Metal</v>
      </c>
      <c r="T322" s="274" t="str">
        <f>VLOOKUP('MIS Working 1'!$S322,Master!E:F,2,0)</f>
        <v>Raw Material</v>
      </c>
      <c r="U322" s="277">
        <f>'MIS Working 1'!$N322-'MIS Working 1'!$AF322</f>
        <v>477435</v>
      </c>
      <c r="V322" s="278">
        <f>'MIS Working 1'!$U322/'MIS Working 1'!$N322</f>
        <v>1</v>
      </c>
      <c r="W322" s="274">
        <f>'MIS Working 1'!$N322/'MIS Working 1'!$L322</f>
        <v>136.41</v>
      </c>
      <c r="X322" s="279">
        <f>SUM('MIS Working 1'!$Y322:$AE322)</f>
        <v>0</v>
      </c>
      <c r="Y322" s="279">
        <f>SUMIFS('COGS Break up'!$E:$E,'COGS Break up'!$A:$A,'MIS Working 1'!$D322,'COGS Break up'!$D:$D,'MIS Working 1'!$Y$1)</f>
        <v>0</v>
      </c>
      <c r="Z322" s="279">
        <f>SUMIFS('COGS Break up'!$E:$E,'COGS Break up'!$A:$A,'MIS Working 1'!$D322,'COGS Break up'!$D:$D,'MIS Working 1'!$Z$1)</f>
        <v>0</v>
      </c>
      <c r="AA322" s="279">
        <f>SUMIFS('COGS Break up'!E:E,'COGS Break up'!A:A,'MIS Working 1'!$D:$D,'COGS Break up'!C:C,'MIS Working 1'!$AA$1)</f>
        <v>0</v>
      </c>
      <c r="AB322" s="279">
        <f>SUMIFS('COGS Break up'!E:E,'COGS Break up'!A:A,'MIS Working 1'!$D:$D,'COGS Break up'!C:C,$AB$1)</f>
        <v>0</v>
      </c>
      <c r="AC322" s="279">
        <f>SUMIFS('COGS Break up'!E:E,'COGS Break up'!A:A,'MIS Working 1'!$D:$D,'COGS Break up'!C:C,$AC$1)</f>
        <v>0</v>
      </c>
      <c r="AD322" s="279">
        <f>SUMIFS('COGS Break up'!$E:$E,'COGS Break up'!$A:$A,'MIS Working 1'!$D322,'COGS Break up'!$D:$D,'MIS Working 1'!$AD$1)</f>
        <v>0</v>
      </c>
      <c r="AE322" s="279">
        <f>SUMIFS('COGS Break up'!$E:$E,'COGS Break up'!$A:$A,'MIS Working 1'!$D322,'COGS Break up'!$D:$D,'MIS Working 1'!$AE$1)</f>
        <v>0</v>
      </c>
      <c r="AF322" s="280">
        <f>'MIS Working 1'!$AG322+'MIS Working 1'!$AH322+'MIS Working 1'!$AM322+'MIS Working 1'!$AL322</f>
        <v>0</v>
      </c>
      <c r="AG322" s="279">
        <f>'MIS Working 1'!$L322*'MIS Working 1'!$Y322</f>
        <v>0</v>
      </c>
      <c r="AH322" s="279">
        <f>'MIS Working 1'!$L322*'MIS Working 1'!$Z322</f>
        <v>0</v>
      </c>
      <c r="AI322" s="279">
        <f t="shared" ref="AI322:AI385" si="15">AA322*$L322</f>
        <v>0</v>
      </c>
      <c r="AJ322" s="279">
        <f t="shared" ref="AJ322:AJ385" si="16">AB322*$L322</f>
        <v>0</v>
      </c>
      <c r="AK322" s="279">
        <f t="shared" ref="AK322:AK385" si="17">AC322*$L322</f>
        <v>0</v>
      </c>
      <c r="AL322" s="279">
        <f>'MIS Working 1'!$AD322*'MIS Working 1'!$L322</f>
        <v>0</v>
      </c>
      <c r="AM322" s="279">
        <f>'MIS Working 1'!$L322*'MIS Working 1'!$AE322+'MIS Working 1'!$AL322</f>
        <v>0</v>
      </c>
    </row>
    <row r="323" spans="1:39" x14ac:dyDescent="0.3">
      <c r="A323" s="263" t="s">
        <v>1658</v>
      </c>
      <c r="B323" s="264">
        <v>45971</v>
      </c>
      <c r="C323" s="265" t="s">
        <v>1820</v>
      </c>
      <c r="D323" s="265" t="s">
        <v>1661</v>
      </c>
      <c r="E323" s="265" t="s">
        <v>1662</v>
      </c>
      <c r="F323" s="265" t="s">
        <v>18</v>
      </c>
      <c r="G323" s="265" t="s">
        <v>48</v>
      </c>
      <c r="H323" s="265" t="s">
        <v>223</v>
      </c>
      <c r="I323" s="266">
        <v>2952</v>
      </c>
      <c r="J323" s="267">
        <v>124685.23</v>
      </c>
      <c r="K323" s="266">
        <v>2952</v>
      </c>
      <c r="L323" s="266">
        <v>2952</v>
      </c>
      <c r="M323" s="264">
        <v>45971</v>
      </c>
      <c r="N323" s="267">
        <v>124692.48</v>
      </c>
      <c r="O323" s="265" t="s">
        <v>21</v>
      </c>
      <c r="P323" s="265" t="s">
        <v>22</v>
      </c>
      <c r="Q323" s="265" t="s">
        <v>1750</v>
      </c>
      <c r="R323" s="265" t="str">
        <f>VLOOKUP('MIS Working 1'!$G323,Master!$H$3:$I$8,2,0)</f>
        <v>Raw Material</v>
      </c>
      <c r="S323" s="265" t="str">
        <f>VLOOKUP('MIS Working 1'!$H323,Master!B:C,2,0)</f>
        <v>RM-Mech-Rotor</v>
      </c>
      <c r="T323" s="265" t="str">
        <f>VLOOKUP('MIS Working 1'!$S323,Master!E:F,2,0)</f>
        <v>Raw Material</v>
      </c>
      <c r="U323" s="268">
        <f>'MIS Working 1'!$N323-'MIS Working 1'!$AF323</f>
        <v>124692.48</v>
      </c>
      <c r="V323" s="269">
        <f>'MIS Working 1'!$U323/'MIS Working 1'!$N323</f>
        <v>1</v>
      </c>
      <c r="W323" s="265">
        <f>'MIS Working 1'!$N323/'MIS Working 1'!$L323</f>
        <v>42.24</v>
      </c>
      <c r="X323" s="270">
        <f>SUM('MIS Working 1'!$Y323:$AE323)</f>
        <v>0</v>
      </c>
      <c r="Y323" s="270">
        <f>SUMIFS('COGS Break up'!$E:$E,'COGS Break up'!$A:$A,'MIS Working 1'!$D323,'COGS Break up'!$D:$D,'MIS Working 1'!$Y$1)</f>
        <v>0</v>
      </c>
      <c r="Z323" s="270">
        <f>SUMIFS('COGS Break up'!$E:$E,'COGS Break up'!$A:$A,'MIS Working 1'!$D323,'COGS Break up'!$D:$D,'MIS Working 1'!$Z$1)</f>
        <v>0</v>
      </c>
      <c r="AA323" s="270">
        <f>SUMIFS('COGS Break up'!E:E,'COGS Break up'!A:A,'MIS Working 1'!$D:$D,'COGS Break up'!C:C,'MIS Working 1'!$AA$1)</f>
        <v>0</v>
      </c>
      <c r="AB323" s="270">
        <f>SUMIFS('COGS Break up'!E:E,'COGS Break up'!A:A,'MIS Working 1'!$D:$D,'COGS Break up'!C:C,$AB$1)</f>
        <v>0</v>
      </c>
      <c r="AC323" s="270">
        <f>SUMIFS('COGS Break up'!E:E,'COGS Break up'!A:A,'MIS Working 1'!$D:$D,'COGS Break up'!C:C,$AC$1)</f>
        <v>0</v>
      </c>
      <c r="AD323" s="270">
        <f>SUMIFS('COGS Break up'!$E:$E,'COGS Break up'!$A:$A,'MIS Working 1'!$D323,'COGS Break up'!$D:$D,'MIS Working 1'!$AD$1)</f>
        <v>0</v>
      </c>
      <c r="AE323" s="270">
        <f>SUMIFS('COGS Break up'!$E:$E,'COGS Break up'!$A:$A,'MIS Working 1'!$D323,'COGS Break up'!$D:$D,'MIS Working 1'!$AE$1)</f>
        <v>0</v>
      </c>
      <c r="AF323" s="271">
        <f>'MIS Working 1'!$AG323+'MIS Working 1'!$AH323+'MIS Working 1'!$AM323+'MIS Working 1'!$AL323</f>
        <v>0</v>
      </c>
      <c r="AG323" s="270">
        <f>'MIS Working 1'!$L323*'MIS Working 1'!$Y323</f>
        <v>0</v>
      </c>
      <c r="AH323" s="270">
        <f>'MIS Working 1'!$L323*'MIS Working 1'!$Z323</f>
        <v>0</v>
      </c>
      <c r="AI323" s="270">
        <f t="shared" si="15"/>
        <v>0</v>
      </c>
      <c r="AJ323" s="270">
        <f t="shared" si="16"/>
        <v>0</v>
      </c>
      <c r="AK323" s="270">
        <f t="shared" si="17"/>
        <v>0</v>
      </c>
      <c r="AL323" s="270">
        <f>'MIS Working 1'!$AD323*'MIS Working 1'!$L323</f>
        <v>0</v>
      </c>
      <c r="AM323" s="270">
        <f>'MIS Working 1'!$L323*'MIS Working 1'!$AE323+'MIS Working 1'!$AL323</f>
        <v>0</v>
      </c>
    </row>
    <row r="324" spans="1:39" x14ac:dyDescent="0.3">
      <c r="A324" s="272" t="s">
        <v>479</v>
      </c>
      <c r="B324" s="273">
        <v>45969</v>
      </c>
      <c r="C324" s="274" t="s">
        <v>1822</v>
      </c>
      <c r="D324" s="274" t="s">
        <v>40</v>
      </c>
      <c r="E324" s="274" t="s">
        <v>41</v>
      </c>
      <c r="F324" s="274" t="s">
        <v>18</v>
      </c>
      <c r="G324" s="274" t="s">
        <v>34</v>
      </c>
      <c r="H324" s="274" t="s">
        <v>772</v>
      </c>
      <c r="I324" s="275">
        <v>1072</v>
      </c>
      <c r="J324" s="276">
        <v>158302.24</v>
      </c>
      <c r="K324" s="275">
        <v>1072</v>
      </c>
      <c r="L324" s="275">
        <v>1072</v>
      </c>
      <c r="M324" s="273">
        <v>45969</v>
      </c>
      <c r="N324" s="276">
        <v>174671.68</v>
      </c>
      <c r="O324" s="274" t="s">
        <v>21</v>
      </c>
      <c r="P324" s="274" t="s">
        <v>22</v>
      </c>
      <c r="Q324" s="274" t="s">
        <v>660</v>
      </c>
      <c r="R324" s="274" t="str">
        <f>VLOOKUP('MIS Working 1'!$G324,Master!$H$3:$I$8,2,0)</f>
        <v>Semi-Finished Goods</v>
      </c>
      <c r="S324" s="274" t="str">
        <f>VLOOKUP('MIS Working 1'!$H324,Master!B:C,2,0)</f>
        <v>SFG-GV5 Stator</v>
      </c>
      <c r="T324" s="274" t="str">
        <f>VLOOKUP('MIS Working 1'!$S324,Master!E:F,2,0)</f>
        <v>Sub Ass.-Mech Stator</v>
      </c>
      <c r="U324" s="277">
        <f>'MIS Working 1'!$N324-'MIS Working 1'!$AF324</f>
        <v>16369.440000000031</v>
      </c>
      <c r="V324" s="278">
        <f>'MIS Working 1'!$U324/'MIS Working 1'!$N324</f>
        <v>9.37154780900947E-2</v>
      </c>
      <c r="W324" s="274">
        <f>'MIS Working 1'!$N324/'MIS Working 1'!$L324</f>
        <v>162.94</v>
      </c>
      <c r="X324" s="279">
        <f>SUM('MIS Working 1'!$Y324:$AE324)</f>
        <v>149.61999999999998</v>
      </c>
      <c r="Y324" s="279">
        <f>SUMIFS('COGS Break up'!$E:$E,'COGS Break up'!$A:$A,'MIS Working 1'!$D324,'COGS Break up'!$D:$D,'MIS Working 1'!$Y$1)</f>
        <v>144.21999999999997</v>
      </c>
      <c r="Z324" s="279">
        <f>SUMIFS('COGS Break up'!$E:$E,'COGS Break up'!$A:$A,'MIS Working 1'!$D324,'COGS Break up'!$D:$D,'MIS Working 1'!$Z$1)</f>
        <v>1.5</v>
      </c>
      <c r="AA324" s="279">
        <f>SUMIFS('COGS Break up'!E:E,'COGS Break up'!A:A,'MIS Working 1'!$D:$D,'COGS Break up'!C:C,'MIS Working 1'!$AA$1)</f>
        <v>0.05</v>
      </c>
      <c r="AB324" s="279">
        <f>SUMIFS('COGS Break up'!E:E,'COGS Break up'!A:A,'MIS Working 1'!$D:$D,'COGS Break up'!C:C,$AB$1)</f>
        <v>0.4</v>
      </c>
      <c r="AC324" s="279">
        <f>SUMIFS('COGS Break up'!E:E,'COGS Break up'!A:A,'MIS Working 1'!$D:$D,'COGS Break up'!C:C,$AC$1)</f>
        <v>1.5</v>
      </c>
      <c r="AD324" s="279">
        <f>SUMIFS('COGS Break up'!$E:$E,'COGS Break up'!$A:$A,'MIS Working 1'!$D324,'COGS Break up'!$D:$D,'MIS Working 1'!$AD$1)</f>
        <v>0</v>
      </c>
      <c r="AE324" s="279">
        <f>SUMIFS('COGS Break up'!$E:$E,'COGS Break up'!$A:$A,'MIS Working 1'!$D324,'COGS Break up'!$D:$D,'MIS Working 1'!$AE$1)</f>
        <v>1.95</v>
      </c>
      <c r="AF324" s="280">
        <f>'MIS Working 1'!$AG324+'MIS Working 1'!$AH324+'MIS Working 1'!$AM324+'MIS Working 1'!$AL324</f>
        <v>158302.23999999996</v>
      </c>
      <c r="AG324" s="279">
        <f>'MIS Working 1'!$L324*'MIS Working 1'!$Y324</f>
        <v>154603.83999999997</v>
      </c>
      <c r="AH324" s="279">
        <f>'MIS Working 1'!$L324*'MIS Working 1'!$Z324</f>
        <v>1608</v>
      </c>
      <c r="AI324" s="279">
        <f t="shared" si="15"/>
        <v>53.6</v>
      </c>
      <c r="AJ324" s="279">
        <f t="shared" si="16"/>
        <v>428.8</v>
      </c>
      <c r="AK324" s="279">
        <f t="shared" si="17"/>
        <v>1608</v>
      </c>
      <c r="AL324" s="279">
        <f>'MIS Working 1'!$AD324*'MIS Working 1'!$L324</f>
        <v>0</v>
      </c>
      <c r="AM324" s="279">
        <f>'MIS Working 1'!$L324*'MIS Working 1'!$AE324+'MIS Working 1'!$AL324</f>
        <v>2090.4</v>
      </c>
    </row>
    <row r="325" spans="1:39" x14ac:dyDescent="0.3">
      <c r="A325" s="263" t="s">
        <v>479</v>
      </c>
      <c r="B325" s="264">
        <v>45969</v>
      </c>
      <c r="C325" s="265" t="s">
        <v>1821</v>
      </c>
      <c r="D325" s="265" t="s">
        <v>40</v>
      </c>
      <c r="E325" s="265" t="s">
        <v>41</v>
      </c>
      <c r="F325" s="265" t="s">
        <v>18</v>
      </c>
      <c r="G325" s="265" t="s">
        <v>34</v>
      </c>
      <c r="H325" s="265" t="s">
        <v>772</v>
      </c>
      <c r="I325" s="266">
        <v>2128</v>
      </c>
      <c r="J325" s="267">
        <v>314241.76</v>
      </c>
      <c r="K325" s="266">
        <v>2128</v>
      </c>
      <c r="L325" s="266">
        <v>2128</v>
      </c>
      <c r="M325" s="264">
        <v>45969</v>
      </c>
      <c r="N325" s="267">
        <v>346736.32</v>
      </c>
      <c r="O325" s="265" t="s">
        <v>21</v>
      </c>
      <c r="P325" s="265" t="s">
        <v>22</v>
      </c>
      <c r="Q325" s="265" t="s">
        <v>660</v>
      </c>
      <c r="R325" s="265" t="str">
        <f>VLOOKUP('MIS Working 1'!$G325,Master!$H$3:$I$8,2,0)</f>
        <v>Semi-Finished Goods</v>
      </c>
      <c r="S325" s="265" t="str">
        <f>VLOOKUP('MIS Working 1'!$H325,Master!B:C,2,0)</f>
        <v>SFG-GV5 Stator</v>
      </c>
      <c r="T325" s="265" t="str">
        <f>VLOOKUP('MIS Working 1'!$S325,Master!E:F,2,0)</f>
        <v>Sub Ass.-Mech Stator</v>
      </c>
      <c r="U325" s="268">
        <f>'MIS Working 1'!$N325-'MIS Working 1'!$AF325</f>
        <v>32494.560000000114</v>
      </c>
      <c r="V325" s="269">
        <f>'MIS Working 1'!$U325/'MIS Working 1'!$N325</f>
        <v>9.3715478090094839E-2</v>
      </c>
      <c r="W325" s="265">
        <f>'MIS Working 1'!$N325/'MIS Working 1'!$L325</f>
        <v>162.94</v>
      </c>
      <c r="X325" s="270">
        <f>SUM('MIS Working 1'!$Y325:$AE325)</f>
        <v>149.61999999999998</v>
      </c>
      <c r="Y325" s="270">
        <f>SUMIFS('COGS Break up'!$E:$E,'COGS Break up'!$A:$A,'MIS Working 1'!$D325,'COGS Break up'!$D:$D,'MIS Working 1'!$Y$1)</f>
        <v>144.21999999999997</v>
      </c>
      <c r="Z325" s="270">
        <f>SUMIFS('COGS Break up'!$E:$E,'COGS Break up'!$A:$A,'MIS Working 1'!$D325,'COGS Break up'!$D:$D,'MIS Working 1'!$Z$1)</f>
        <v>1.5</v>
      </c>
      <c r="AA325" s="270">
        <f>SUMIFS('COGS Break up'!E:E,'COGS Break up'!A:A,'MIS Working 1'!$D:$D,'COGS Break up'!C:C,'MIS Working 1'!$AA$1)</f>
        <v>0.05</v>
      </c>
      <c r="AB325" s="270">
        <f>SUMIFS('COGS Break up'!E:E,'COGS Break up'!A:A,'MIS Working 1'!$D:$D,'COGS Break up'!C:C,$AB$1)</f>
        <v>0.4</v>
      </c>
      <c r="AC325" s="270">
        <f>SUMIFS('COGS Break up'!E:E,'COGS Break up'!A:A,'MIS Working 1'!$D:$D,'COGS Break up'!C:C,$AC$1)</f>
        <v>1.5</v>
      </c>
      <c r="AD325" s="270">
        <f>SUMIFS('COGS Break up'!$E:$E,'COGS Break up'!$A:$A,'MIS Working 1'!$D325,'COGS Break up'!$D:$D,'MIS Working 1'!$AD$1)</f>
        <v>0</v>
      </c>
      <c r="AE325" s="270">
        <f>SUMIFS('COGS Break up'!$E:$E,'COGS Break up'!$A:$A,'MIS Working 1'!$D325,'COGS Break up'!$D:$D,'MIS Working 1'!$AE$1)</f>
        <v>1.95</v>
      </c>
      <c r="AF325" s="271">
        <f>'MIS Working 1'!$AG325+'MIS Working 1'!$AH325+'MIS Working 1'!$AM325+'MIS Working 1'!$AL325</f>
        <v>314241.75999999989</v>
      </c>
      <c r="AG325" s="270">
        <f>'MIS Working 1'!$L325*'MIS Working 1'!$Y325</f>
        <v>306900.15999999992</v>
      </c>
      <c r="AH325" s="270">
        <f>'MIS Working 1'!$L325*'MIS Working 1'!$Z325</f>
        <v>3192</v>
      </c>
      <c r="AI325" s="270">
        <f t="shared" si="15"/>
        <v>106.4</v>
      </c>
      <c r="AJ325" s="270">
        <f t="shared" si="16"/>
        <v>851.2</v>
      </c>
      <c r="AK325" s="270">
        <f t="shared" si="17"/>
        <v>3192</v>
      </c>
      <c r="AL325" s="270">
        <f>'MIS Working 1'!$AD325*'MIS Working 1'!$L325</f>
        <v>0</v>
      </c>
      <c r="AM325" s="270">
        <f>'MIS Working 1'!$L325*'MIS Working 1'!$AE325+'MIS Working 1'!$AL325</f>
        <v>4149.5999999999995</v>
      </c>
    </row>
    <row r="326" spans="1:39" x14ac:dyDescent="0.3">
      <c r="A326" s="272" t="s">
        <v>479</v>
      </c>
      <c r="B326" s="273">
        <v>45969</v>
      </c>
      <c r="C326" s="274" t="s">
        <v>1823</v>
      </c>
      <c r="D326" s="274" t="s">
        <v>378</v>
      </c>
      <c r="E326" s="274" t="s">
        <v>379</v>
      </c>
      <c r="F326" s="274" t="s">
        <v>18</v>
      </c>
      <c r="G326" s="274" t="s">
        <v>19</v>
      </c>
      <c r="H326" s="274" t="s">
        <v>27</v>
      </c>
      <c r="I326" s="275">
        <v>1136</v>
      </c>
      <c r="J326" s="276">
        <v>369427.20000000001</v>
      </c>
      <c r="K326" s="275">
        <v>1136</v>
      </c>
      <c r="L326" s="275">
        <v>1136</v>
      </c>
      <c r="M326" s="273">
        <v>45969</v>
      </c>
      <c r="N326" s="276">
        <v>413004.16</v>
      </c>
      <c r="O326" s="274" t="s">
        <v>21</v>
      </c>
      <c r="P326" s="274" t="s">
        <v>22</v>
      </c>
      <c r="Q326" s="274" t="s">
        <v>660</v>
      </c>
      <c r="R326" s="274" t="str">
        <f>VLOOKUP('MIS Working 1'!$G326,Master!$H$3:$I$8,2,0)</f>
        <v>Finished Goods</v>
      </c>
      <c r="S326" s="274" t="str">
        <f>VLOOKUP('MIS Working 1'!$H326,Master!B:C,2,0)</f>
        <v>FG-PCB-CF</v>
      </c>
      <c r="T326" s="274" t="str">
        <f>VLOOKUP('MIS Working 1'!$S326,Master!E:F,2,0)</f>
        <v>FG-PCB-CF</v>
      </c>
      <c r="U326" s="277">
        <f>'MIS Working 1'!$N326-'MIS Working 1'!$AF326</f>
        <v>43281.600000000035</v>
      </c>
      <c r="V326" s="278">
        <f>'MIS Working 1'!$U326/'MIS Working 1'!$N326</f>
        <v>0.10479700737154811</v>
      </c>
      <c r="W326" s="274">
        <f>'MIS Working 1'!$N326/'MIS Working 1'!$L326</f>
        <v>363.56</v>
      </c>
      <c r="X326" s="279">
        <f>SUM('MIS Working 1'!$Y326:$AE326)</f>
        <v>354.76999999999992</v>
      </c>
      <c r="Y326" s="279">
        <f>SUMIFS('COGS Break up'!$E:$E,'COGS Break up'!$A:$A,'MIS Working 1'!$D326,'COGS Break up'!$D:$D,'MIS Working 1'!$Y$1)</f>
        <v>271.52999999999997</v>
      </c>
      <c r="Z326" s="279">
        <f>SUMIFS('COGS Break up'!$E:$E,'COGS Break up'!$A:$A,'MIS Working 1'!$D326,'COGS Break up'!$D:$D,'MIS Working 1'!$Z$1)</f>
        <v>23.84</v>
      </c>
      <c r="AA326" s="279">
        <f>SUMIFS('COGS Break up'!E:E,'COGS Break up'!A:A,'MIS Working 1'!$D:$D,'COGS Break up'!C:C,'MIS Working 1'!$AA$1)</f>
        <v>1.9500000000000002</v>
      </c>
      <c r="AB326" s="279">
        <f>SUMIFS('COGS Break up'!E:E,'COGS Break up'!A:A,'MIS Working 1'!$D:$D,'COGS Break up'!C:C,$AB$1)</f>
        <v>17.329999999999998</v>
      </c>
      <c r="AC326" s="279">
        <f>SUMIFS('COGS Break up'!E:E,'COGS Break up'!A:A,'MIS Working 1'!$D:$D,'COGS Break up'!C:C,$AC$1)</f>
        <v>10.29</v>
      </c>
      <c r="AD326" s="279">
        <f>SUMIFS('COGS Break up'!$E:$E,'COGS Break up'!$A:$A,'MIS Working 1'!$D326,'COGS Break up'!$D:$D,'MIS Working 1'!$AD$1)</f>
        <v>0.26</v>
      </c>
      <c r="AE326" s="279">
        <f>SUMIFS('COGS Break up'!$E:$E,'COGS Break up'!$A:$A,'MIS Working 1'!$D326,'COGS Break up'!$D:$D,'MIS Working 1'!$AE$1)</f>
        <v>29.569999999999997</v>
      </c>
      <c r="AF326" s="280">
        <f>'MIS Working 1'!$AG326+'MIS Working 1'!$AH326+'MIS Working 1'!$AM326+'MIS Working 1'!$AL326</f>
        <v>369722.55999999994</v>
      </c>
      <c r="AG326" s="279">
        <f>'MIS Working 1'!$L326*'MIS Working 1'!$Y326</f>
        <v>308458.07999999996</v>
      </c>
      <c r="AH326" s="279">
        <f>'MIS Working 1'!$L326*'MIS Working 1'!$Z326</f>
        <v>27082.240000000002</v>
      </c>
      <c r="AI326" s="279">
        <f t="shared" si="15"/>
        <v>2215.2000000000003</v>
      </c>
      <c r="AJ326" s="279">
        <f t="shared" si="16"/>
        <v>19686.879999999997</v>
      </c>
      <c r="AK326" s="279">
        <f t="shared" si="17"/>
        <v>11689.439999999999</v>
      </c>
      <c r="AL326" s="279">
        <f>'MIS Working 1'!$AD326*'MIS Working 1'!$L326</f>
        <v>295.36</v>
      </c>
      <c r="AM326" s="279">
        <f>'MIS Working 1'!$L326*'MIS Working 1'!$AE326+'MIS Working 1'!$AL326</f>
        <v>33886.879999999997</v>
      </c>
    </row>
    <row r="327" spans="1:39" x14ac:dyDescent="0.3">
      <c r="A327" s="263" t="s">
        <v>479</v>
      </c>
      <c r="B327" s="264">
        <v>45969</v>
      </c>
      <c r="C327" s="265" t="s">
        <v>1824</v>
      </c>
      <c r="D327" s="265" t="s">
        <v>42</v>
      </c>
      <c r="E327" s="265" t="s">
        <v>43</v>
      </c>
      <c r="F327" s="265" t="s">
        <v>18</v>
      </c>
      <c r="G327" s="265" t="s">
        <v>19</v>
      </c>
      <c r="H327" s="265" t="s">
        <v>27</v>
      </c>
      <c r="I327" s="266">
        <v>840</v>
      </c>
      <c r="J327" s="267">
        <v>274789.2</v>
      </c>
      <c r="K327" s="266">
        <v>840</v>
      </c>
      <c r="L327" s="266">
        <v>840</v>
      </c>
      <c r="M327" s="264">
        <v>45969</v>
      </c>
      <c r="N327" s="267">
        <v>286498.8</v>
      </c>
      <c r="O327" s="265" t="s">
        <v>21</v>
      </c>
      <c r="P327" s="265" t="s">
        <v>22</v>
      </c>
      <c r="Q327" s="265" t="s">
        <v>660</v>
      </c>
      <c r="R327" s="265" t="str">
        <f>VLOOKUP('MIS Working 1'!$G327,Master!$H$3:$I$8,2,0)</f>
        <v>Finished Goods</v>
      </c>
      <c r="S327" s="265" t="str">
        <f>VLOOKUP('MIS Working 1'!$H327,Master!B:C,2,0)</f>
        <v>FG-PCB-CF</v>
      </c>
      <c r="T327" s="265" t="str">
        <f>VLOOKUP('MIS Working 1'!$S327,Master!E:F,2,0)</f>
        <v>FG-PCB-CF</v>
      </c>
      <c r="U327" s="268">
        <f>'MIS Working 1'!$N327-'MIS Working 1'!$AF327</f>
        <v>11566.799999999988</v>
      </c>
      <c r="V327" s="269">
        <f>'MIS Working 1'!$U327/'MIS Working 1'!$N327</f>
        <v>4.0372943970445913E-2</v>
      </c>
      <c r="W327" s="265">
        <f>'MIS Working 1'!$N327/'MIS Working 1'!$L327</f>
        <v>341.07</v>
      </c>
      <c r="X327" s="270">
        <f>SUM('MIS Working 1'!$Y327:$AE327)</f>
        <v>353.55</v>
      </c>
      <c r="Y327" s="270">
        <f>SUMIFS('COGS Break up'!$E:$E,'COGS Break up'!$A:$A,'MIS Working 1'!$D327,'COGS Break up'!$D:$D,'MIS Working 1'!$Y$1)</f>
        <v>278.14000000000004</v>
      </c>
      <c r="Z327" s="270">
        <f>SUMIFS('COGS Break up'!$E:$E,'COGS Break up'!$A:$A,'MIS Working 1'!$D327,'COGS Break up'!$D:$D,'MIS Working 1'!$Z$1)</f>
        <v>22.400000000000002</v>
      </c>
      <c r="AA327" s="270">
        <f>SUMIFS('COGS Break up'!E:E,'COGS Break up'!A:A,'MIS Working 1'!$D:$D,'COGS Break up'!C:C,'MIS Working 1'!$AA$1)</f>
        <v>1.8299999999999998</v>
      </c>
      <c r="AB327" s="270">
        <f>SUMIFS('COGS Break up'!E:E,'COGS Break up'!A:A,'MIS Working 1'!$D:$D,'COGS Break up'!C:C,$AB$1)</f>
        <v>16.28</v>
      </c>
      <c r="AC327" s="270">
        <f>SUMIFS('COGS Break up'!E:E,'COGS Break up'!A:A,'MIS Working 1'!$D:$D,'COGS Break up'!C:C,$AC$1)</f>
        <v>8.31</v>
      </c>
      <c r="AD327" s="270">
        <f>SUMIFS('COGS Break up'!$E:$E,'COGS Break up'!$A:$A,'MIS Working 1'!$D327,'COGS Break up'!$D:$D,'MIS Working 1'!$AD$1)</f>
        <v>0.17</v>
      </c>
      <c r="AE327" s="270">
        <f>SUMIFS('COGS Break up'!$E:$E,'COGS Break up'!$A:$A,'MIS Working 1'!$D327,'COGS Break up'!$D:$D,'MIS Working 1'!$AE$1)</f>
        <v>26.42</v>
      </c>
      <c r="AF327" s="271">
        <f>'MIS Working 1'!$AG327+'MIS Working 1'!$AH327+'MIS Working 1'!$AM327+'MIS Working 1'!$AL327</f>
        <v>274932</v>
      </c>
      <c r="AG327" s="270">
        <f>'MIS Working 1'!$L327*'MIS Working 1'!$Y327</f>
        <v>233637.60000000003</v>
      </c>
      <c r="AH327" s="270">
        <f>'MIS Working 1'!$L327*'MIS Working 1'!$Z327</f>
        <v>18816</v>
      </c>
      <c r="AI327" s="270">
        <f t="shared" si="15"/>
        <v>1537.1999999999998</v>
      </c>
      <c r="AJ327" s="270">
        <f t="shared" si="16"/>
        <v>13675.2</v>
      </c>
      <c r="AK327" s="270">
        <f t="shared" si="17"/>
        <v>6980.4000000000005</v>
      </c>
      <c r="AL327" s="270">
        <f>'MIS Working 1'!$AD327*'MIS Working 1'!$L327</f>
        <v>142.80000000000001</v>
      </c>
      <c r="AM327" s="270">
        <f>'MIS Working 1'!$L327*'MIS Working 1'!$AE327+'MIS Working 1'!$AL327</f>
        <v>22335.600000000002</v>
      </c>
    </row>
    <row r="328" spans="1:39" x14ac:dyDescent="0.3">
      <c r="A328" s="272" t="s">
        <v>479</v>
      </c>
      <c r="B328" s="273">
        <v>45969</v>
      </c>
      <c r="C328" s="274" t="s">
        <v>1825</v>
      </c>
      <c r="D328" s="274" t="s">
        <v>1182</v>
      </c>
      <c r="E328" s="274" t="s">
        <v>1183</v>
      </c>
      <c r="F328" s="274" t="s">
        <v>18</v>
      </c>
      <c r="G328" s="274" t="s">
        <v>19</v>
      </c>
      <c r="H328" s="274" t="s">
        <v>27</v>
      </c>
      <c r="I328" s="275">
        <v>420</v>
      </c>
      <c r="J328" s="276">
        <v>176979.6</v>
      </c>
      <c r="K328" s="275">
        <v>420</v>
      </c>
      <c r="L328" s="275">
        <v>420</v>
      </c>
      <c r="M328" s="273">
        <v>45969</v>
      </c>
      <c r="N328" s="276">
        <v>202927.2</v>
      </c>
      <c r="O328" s="274" t="s">
        <v>21</v>
      </c>
      <c r="P328" s="274" t="s">
        <v>22</v>
      </c>
      <c r="Q328" s="274" t="s">
        <v>660</v>
      </c>
      <c r="R328" s="274" t="str">
        <f>VLOOKUP('MIS Working 1'!$G328,Master!$H$3:$I$8,2,0)</f>
        <v>Finished Goods</v>
      </c>
      <c r="S328" s="274" t="str">
        <f>VLOOKUP('MIS Working 1'!$H328,Master!B:C,2,0)</f>
        <v>FG-PCB-CF</v>
      </c>
      <c r="T328" s="274" t="str">
        <f>VLOOKUP('MIS Working 1'!$S328,Master!E:F,2,0)</f>
        <v>FG-PCB-CF</v>
      </c>
      <c r="U328" s="277">
        <f>'MIS Working 1'!$N328-'MIS Working 1'!$AF328</f>
        <v>25838.400000000081</v>
      </c>
      <c r="V328" s="278">
        <f>'MIS Working 1'!$U328/'MIS Working 1'!$N328</f>
        <v>0.12732842122692314</v>
      </c>
      <c r="W328" s="274">
        <f>'MIS Working 1'!$N328/'MIS Working 1'!$L328</f>
        <v>483.16</v>
      </c>
      <c r="X328" s="279">
        <f>SUM('MIS Working 1'!$Y328:$AE328)</f>
        <v>447.47999999999985</v>
      </c>
      <c r="Y328" s="279">
        <f>SUMIFS('COGS Break up'!$E:$E,'COGS Break up'!$A:$A,'MIS Working 1'!$D328,'COGS Break up'!$D:$D,'MIS Working 1'!$Y$1)</f>
        <v>373.01999999999981</v>
      </c>
      <c r="Z328" s="279">
        <f>SUMIFS('COGS Break up'!$E:$E,'COGS Break up'!$A:$A,'MIS Working 1'!$D328,'COGS Break up'!$D:$D,'MIS Working 1'!$Z$1)</f>
        <v>22</v>
      </c>
      <c r="AA328" s="279">
        <f>SUMIFS('COGS Break up'!E:E,'COGS Break up'!A:A,'MIS Working 1'!$D:$D,'COGS Break up'!C:C,'MIS Working 1'!$AA$1)</f>
        <v>1.8</v>
      </c>
      <c r="AB328" s="279">
        <f>SUMIFS('COGS Break up'!E:E,'COGS Break up'!A:A,'MIS Working 1'!$D:$D,'COGS Break up'!C:C,$AB$1)</f>
        <v>15.99</v>
      </c>
      <c r="AC328" s="279">
        <f>SUMIFS('COGS Break up'!E:E,'COGS Break up'!A:A,'MIS Working 1'!$D:$D,'COGS Break up'!C:C,$AC$1)</f>
        <v>8.31</v>
      </c>
      <c r="AD328" s="279">
        <f>SUMIFS('COGS Break up'!$E:$E,'COGS Break up'!$A:$A,'MIS Working 1'!$D328,'COGS Break up'!$D:$D,'MIS Working 1'!$AD$1)</f>
        <v>0.26</v>
      </c>
      <c r="AE328" s="279">
        <f>SUMIFS('COGS Break up'!$E:$E,'COGS Break up'!$A:$A,'MIS Working 1'!$D328,'COGS Break up'!$D:$D,'MIS Working 1'!$AE$1)</f>
        <v>26.1</v>
      </c>
      <c r="AF328" s="280">
        <f>'MIS Working 1'!$AG328+'MIS Working 1'!$AH328+'MIS Working 1'!$AM328+'MIS Working 1'!$AL328</f>
        <v>177088.79999999993</v>
      </c>
      <c r="AG328" s="279">
        <f>'MIS Working 1'!$L328*'MIS Working 1'!$Y328</f>
        <v>156668.39999999991</v>
      </c>
      <c r="AH328" s="279">
        <f>'MIS Working 1'!$L328*'MIS Working 1'!$Z328</f>
        <v>9240</v>
      </c>
      <c r="AI328" s="279">
        <f t="shared" si="15"/>
        <v>756</v>
      </c>
      <c r="AJ328" s="279">
        <f t="shared" si="16"/>
        <v>6715.8</v>
      </c>
      <c r="AK328" s="279">
        <f t="shared" si="17"/>
        <v>3490.2000000000003</v>
      </c>
      <c r="AL328" s="279">
        <f>'MIS Working 1'!$AD328*'MIS Working 1'!$L328</f>
        <v>109.2</v>
      </c>
      <c r="AM328" s="279">
        <f>'MIS Working 1'!$L328*'MIS Working 1'!$AE328+'MIS Working 1'!$AL328</f>
        <v>11071.2</v>
      </c>
    </row>
    <row r="329" spans="1:39" x14ac:dyDescent="0.3">
      <c r="A329" s="263" t="s">
        <v>479</v>
      </c>
      <c r="B329" s="264">
        <v>45969</v>
      </c>
      <c r="C329" s="265" t="s">
        <v>1824</v>
      </c>
      <c r="D329" s="265" t="s">
        <v>1182</v>
      </c>
      <c r="E329" s="265" t="s">
        <v>1183</v>
      </c>
      <c r="F329" s="265" t="s">
        <v>18</v>
      </c>
      <c r="G329" s="265" t="s">
        <v>19</v>
      </c>
      <c r="H329" s="265" t="s">
        <v>27</v>
      </c>
      <c r="I329" s="266">
        <v>310</v>
      </c>
      <c r="J329" s="267">
        <v>130627.8</v>
      </c>
      <c r="K329" s="266">
        <v>310</v>
      </c>
      <c r="L329" s="266">
        <v>310</v>
      </c>
      <c r="M329" s="264">
        <v>45969</v>
      </c>
      <c r="N329" s="267">
        <v>149779.6</v>
      </c>
      <c r="O329" s="265" t="s">
        <v>21</v>
      </c>
      <c r="P329" s="265" t="s">
        <v>22</v>
      </c>
      <c r="Q329" s="265" t="s">
        <v>660</v>
      </c>
      <c r="R329" s="265" t="str">
        <f>VLOOKUP('MIS Working 1'!$G329,Master!$H$3:$I$8,2,0)</f>
        <v>Finished Goods</v>
      </c>
      <c r="S329" s="265" t="str">
        <f>VLOOKUP('MIS Working 1'!$H329,Master!B:C,2,0)</f>
        <v>FG-PCB-CF</v>
      </c>
      <c r="T329" s="265" t="str">
        <f>VLOOKUP('MIS Working 1'!$S329,Master!E:F,2,0)</f>
        <v>FG-PCB-CF</v>
      </c>
      <c r="U329" s="268">
        <f>'MIS Working 1'!$N329-'MIS Working 1'!$AF329</f>
        <v>19071.200000000055</v>
      </c>
      <c r="V329" s="269">
        <f>'MIS Working 1'!$U329/'MIS Working 1'!$N329</f>
        <v>0.12732842122692312</v>
      </c>
      <c r="W329" s="265">
        <f>'MIS Working 1'!$N329/'MIS Working 1'!$L329</f>
        <v>483.16</v>
      </c>
      <c r="X329" s="270">
        <f>SUM('MIS Working 1'!$Y329:$AE329)</f>
        <v>447.47999999999985</v>
      </c>
      <c r="Y329" s="270">
        <f>SUMIFS('COGS Break up'!$E:$E,'COGS Break up'!$A:$A,'MIS Working 1'!$D329,'COGS Break up'!$D:$D,'MIS Working 1'!$Y$1)</f>
        <v>373.01999999999981</v>
      </c>
      <c r="Z329" s="270">
        <f>SUMIFS('COGS Break up'!$E:$E,'COGS Break up'!$A:$A,'MIS Working 1'!$D329,'COGS Break up'!$D:$D,'MIS Working 1'!$Z$1)</f>
        <v>22</v>
      </c>
      <c r="AA329" s="270">
        <f>SUMIFS('COGS Break up'!E:E,'COGS Break up'!A:A,'MIS Working 1'!$D:$D,'COGS Break up'!C:C,'MIS Working 1'!$AA$1)</f>
        <v>1.8</v>
      </c>
      <c r="AB329" s="270">
        <f>SUMIFS('COGS Break up'!E:E,'COGS Break up'!A:A,'MIS Working 1'!$D:$D,'COGS Break up'!C:C,$AB$1)</f>
        <v>15.99</v>
      </c>
      <c r="AC329" s="270">
        <f>SUMIFS('COGS Break up'!E:E,'COGS Break up'!A:A,'MIS Working 1'!$D:$D,'COGS Break up'!C:C,$AC$1)</f>
        <v>8.31</v>
      </c>
      <c r="AD329" s="270">
        <f>SUMIFS('COGS Break up'!$E:$E,'COGS Break up'!$A:$A,'MIS Working 1'!$D329,'COGS Break up'!$D:$D,'MIS Working 1'!$AD$1)</f>
        <v>0.26</v>
      </c>
      <c r="AE329" s="270">
        <f>SUMIFS('COGS Break up'!$E:$E,'COGS Break up'!$A:$A,'MIS Working 1'!$D329,'COGS Break up'!$D:$D,'MIS Working 1'!$AE$1)</f>
        <v>26.1</v>
      </c>
      <c r="AF329" s="271">
        <f>'MIS Working 1'!$AG329+'MIS Working 1'!$AH329+'MIS Working 1'!$AM329+'MIS Working 1'!$AL329</f>
        <v>130708.39999999995</v>
      </c>
      <c r="AG329" s="270">
        <f>'MIS Working 1'!$L329*'MIS Working 1'!$Y329</f>
        <v>115636.19999999994</v>
      </c>
      <c r="AH329" s="270">
        <f>'MIS Working 1'!$L329*'MIS Working 1'!$Z329</f>
        <v>6820</v>
      </c>
      <c r="AI329" s="270">
        <f t="shared" si="15"/>
        <v>558</v>
      </c>
      <c r="AJ329" s="270">
        <f t="shared" si="16"/>
        <v>4956.8999999999996</v>
      </c>
      <c r="AK329" s="270">
        <f t="shared" si="17"/>
        <v>2576.1000000000004</v>
      </c>
      <c r="AL329" s="270">
        <f>'MIS Working 1'!$AD329*'MIS Working 1'!$L329</f>
        <v>80.600000000000009</v>
      </c>
      <c r="AM329" s="270">
        <f>'MIS Working 1'!$L329*'MIS Working 1'!$AE329+'MIS Working 1'!$AL329</f>
        <v>8171.6</v>
      </c>
    </row>
    <row r="330" spans="1:39" x14ac:dyDescent="0.3">
      <c r="A330" s="272" t="s">
        <v>479</v>
      </c>
      <c r="B330" s="273">
        <v>45969</v>
      </c>
      <c r="C330" s="274" t="s">
        <v>1826</v>
      </c>
      <c r="D330" s="274" t="s">
        <v>1182</v>
      </c>
      <c r="E330" s="274" t="s">
        <v>1183</v>
      </c>
      <c r="F330" s="274" t="s">
        <v>18</v>
      </c>
      <c r="G330" s="274" t="s">
        <v>19</v>
      </c>
      <c r="H330" s="274" t="s">
        <v>27</v>
      </c>
      <c r="I330" s="275">
        <v>410</v>
      </c>
      <c r="J330" s="276">
        <v>172765.8</v>
      </c>
      <c r="K330" s="275">
        <v>410</v>
      </c>
      <c r="L330" s="275">
        <v>410</v>
      </c>
      <c r="M330" s="273">
        <v>45969</v>
      </c>
      <c r="N330" s="276">
        <v>198095.6</v>
      </c>
      <c r="O330" s="274" t="s">
        <v>21</v>
      </c>
      <c r="P330" s="274" t="s">
        <v>22</v>
      </c>
      <c r="Q330" s="274" t="s">
        <v>660</v>
      </c>
      <c r="R330" s="274" t="str">
        <f>VLOOKUP('MIS Working 1'!$G330,Master!$H$3:$I$8,2,0)</f>
        <v>Finished Goods</v>
      </c>
      <c r="S330" s="274" t="str">
        <f>VLOOKUP('MIS Working 1'!$H330,Master!B:C,2,0)</f>
        <v>FG-PCB-CF</v>
      </c>
      <c r="T330" s="274" t="str">
        <f>VLOOKUP('MIS Working 1'!$S330,Master!E:F,2,0)</f>
        <v>FG-PCB-CF</v>
      </c>
      <c r="U330" s="277">
        <f>'MIS Working 1'!$N330-'MIS Working 1'!$AF330</f>
        <v>25223.20000000007</v>
      </c>
      <c r="V330" s="278">
        <f>'MIS Working 1'!$U330/'MIS Working 1'!$N330</f>
        <v>0.12732842122692312</v>
      </c>
      <c r="W330" s="274">
        <f>'MIS Working 1'!$N330/'MIS Working 1'!$L330</f>
        <v>483.16</v>
      </c>
      <c r="X330" s="279">
        <f>SUM('MIS Working 1'!$Y330:$AE330)</f>
        <v>447.47999999999985</v>
      </c>
      <c r="Y330" s="279">
        <f>SUMIFS('COGS Break up'!$E:$E,'COGS Break up'!$A:$A,'MIS Working 1'!$D330,'COGS Break up'!$D:$D,'MIS Working 1'!$Y$1)</f>
        <v>373.01999999999981</v>
      </c>
      <c r="Z330" s="279">
        <f>SUMIFS('COGS Break up'!$E:$E,'COGS Break up'!$A:$A,'MIS Working 1'!$D330,'COGS Break up'!$D:$D,'MIS Working 1'!$Z$1)</f>
        <v>22</v>
      </c>
      <c r="AA330" s="279">
        <f>SUMIFS('COGS Break up'!E:E,'COGS Break up'!A:A,'MIS Working 1'!$D:$D,'COGS Break up'!C:C,'MIS Working 1'!$AA$1)</f>
        <v>1.8</v>
      </c>
      <c r="AB330" s="279">
        <f>SUMIFS('COGS Break up'!E:E,'COGS Break up'!A:A,'MIS Working 1'!$D:$D,'COGS Break up'!C:C,$AB$1)</f>
        <v>15.99</v>
      </c>
      <c r="AC330" s="279">
        <f>SUMIFS('COGS Break up'!E:E,'COGS Break up'!A:A,'MIS Working 1'!$D:$D,'COGS Break up'!C:C,$AC$1)</f>
        <v>8.31</v>
      </c>
      <c r="AD330" s="279">
        <f>SUMIFS('COGS Break up'!$E:$E,'COGS Break up'!$A:$A,'MIS Working 1'!$D330,'COGS Break up'!$D:$D,'MIS Working 1'!$AD$1)</f>
        <v>0.26</v>
      </c>
      <c r="AE330" s="279">
        <f>SUMIFS('COGS Break up'!$E:$E,'COGS Break up'!$A:$A,'MIS Working 1'!$D330,'COGS Break up'!$D:$D,'MIS Working 1'!$AE$1)</f>
        <v>26.1</v>
      </c>
      <c r="AF330" s="280">
        <f>'MIS Working 1'!$AG330+'MIS Working 1'!$AH330+'MIS Working 1'!$AM330+'MIS Working 1'!$AL330</f>
        <v>172872.39999999994</v>
      </c>
      <c r="AG330" s="279">
        <f>'MIS Working 1'!$L330*'MIS Working 1'!$Y330</f>
        <v>152938.19999999992</v>
      </c>
      <c r="AH330" s="279">
        <f>'MIS Working 1'!$L330*'MIS Working 1'!$Z330</f>
        <v>9020</v>
      </c>
      <c r="AI330" s="279">
        <f t="shared" si="15"/>
        <v>738</v>
      </c>
      <c r="AJ330" s="279">
        <f t="shared" si="16"/>
        <v>6555.9</v>
      </c>
      <c r="AK330" s="279">
        <f t="shared" si="17"/>
        <v>3407.1000000000004</v>
      </c>
      <c r="AL330" s="279">
        <f>'MIS Working 1'!$AD330*'MIS Working 1'!$L330</f>
        <v>106.60000000000001</v>
      </c>
      <c r="AM330" s="279">
        <f>'MIS Working 1'!$L330*'MIS Working 1'!$AE330+'MIS Working 1'!$AL330</f>
        <v>10807.6</v>
      </c>
    </row>
    <row r="331" spans="1:39" x14ac:dyDescent="0.3">
      <c r="A331" s="263" t="s">
        <v>1212</v>
      </c>
      <c r="B331" s="264">
        <v>45969</v>
      </c>
      <c r="C331" s="265" t="s">
        <v>1827</v>
      </c>
      <c r="D331" s="265" t="s">
        <v>1429</v>
      </c>
      <c r="E331" s="265" t="s">
        <v>1430</v>
      </c>
      <c r="F331" s="265" t="s">
        <v>18</v>
      </c>
      <c r="G331" s="265" t="s">
        <v>48</v>
      </c>
      <c r="H331" s="265" t="s">
        <v>198</v>
      </c>
      <c r="I331" s="266">
        <v>50000</v>
      </c>
      <c r="J331" s="267">
        <v>45194.96</v>
      </c>
      <c r="K331" s="266">
        <v>50000</v>
      </c>
      <c r="L331" s="266">
        <v>50000</v>
      </c>
      <c r="M331" s="264">
        <v>45969</v>
      </c>
      <c r="N331" s="267">
        <v>45500</v>
      </c>
      <c r="O331" s="265" t="s">
        <v>21</v>
      </c>
      <c r="P331" s="265" t="s">
        <v>22</v>
      </c>
      <c r="Q331" s="265" t="s">
        <v>1750</v>
      </c>
      <c r="R331" s="265" t="str">
        <f>VLOOKUP('MIS Working 1'!$G331,Master!$H$3:$I$8,2,0)</f>
        <v>Raw Material</v>
      </c>
      <c r="S331" s="265" t="str">
        <f>VLOOKUP('MIS Working 1'!$H331,Master!B:C,2,0)</f>
        <v>RM-Eletro-Capacitor</v>
      </c>
      <c r="T331" s="265" t="str">
        <f>VLOOKUP('MIS Working 1'!$S331,Master!E:F,2,0)</f>
        <v>Raw Material</v>
      </c>
      <c r="U331" s="268">
        <f>'MIS Working 1'!$N331-'MIS Working 1'!$AF331</f>
        <v>45500</v>
      </c>
      <c r="V331" s="269">
        <f>'MIS Working 1'!$U331/'MIS Working 1'!$N331</f>
        <v>1</v>
      </c>
      <c r="W331" s="265">
        <f>'MIS Working 1'!$N331/'MIS Working 1'!$L331</f>
        <v>0.91</v>
      </c>
      <c r="X331" s="270">
        <f>SUM('MIS Working 1'!$Y331:$AE331)</f>
        <v>0</v>
      </c>
      <c r="Y331" s="270">
        <f>SUMIFS('COGS Break up'!$E:$E,'COGS Break up'!$A:$A,'MIS Working 1'!$D331,'COGS Break up'!$D:$D,'MIS Working 1'!$Y$1)</f>
        <v>0</v>
      </c>
      <c r="Z331" s="270">
        <f>SUMIFS('COGS Break up'!$E:$E,'COGS Break up'!$A:$A,'MIS Working 1'!$D331,'COGS Break up'!$D:$D,'MIS Working 1'!$Z$1)</f>
        <v>0</v>
      </c>
      <c r="AA331" s="270">
        <f>SUMIFS('COGS Break up'!E:E,'COGS Break up'!A:A,'MIS Working 1'!$D:$D,'COGS Break up'!C:C,'MIS Working 1'!$AA$1)</f>
        <v>0</v>
      </c>
      <c r="AB331" s="270">
        <f>SUMIFS('COGS Break up'!E:E,'COGS Break up'!A:A,'MIS Working 1'!$D:$D,'COGS Break up'!C:C,$AB$1)</f>
        <v>0</v>
      </c>
      <c r="AC331" s="270">
        <f>SUMIFS('COGS Break up'!E:E,'COGS Break up'!A:A,'MIS Working 1'!$D:$D,'COGS Break up'!C:C,$AC$1)</f>
        <v>0</v>
      </c>
      <c r="AD331" s="270">
        <f>SUMIFS('COGS Break up'!$E:$E,'COGS Break up'!$A:$A,'MIS Working 1'!$D331,'COGS Break up'!$D:$D,'MIS Working 1'!$AD$1)</f>
        <v>0</v>
      </c>
      <c r="AE331" s="270">
        <f>SUMIFS('COGS Break up'!$E:$E,'COGS Break up'!$A:$A,'MIS Working 1'!$D331,'COGS Break up'!$D:$D,'MIS Working 1'!$AE$1)</f>
        <v>0</v>
      </c>
      <c r="AF331" s="271">
        <f>'MIS Working 1'!$AG331+'MIS Working 1'!$AH331+'MIS Working 1'!$AM331+'MIS Working 1'!$AL331</f>
        <v>0</v>
      </c>
      <c r="AG331" s="270">
        <f>'MIS Working 1'!$L331*'MIS Working 1'!$Y331</f>
        <v>0</v>
      </c>
      <c r="AH331" s="270">
        <f>'MIS Working 1'!$L331*'MIS Working 1'!$Z331</f>
        <v>0</v>
      </c>
      <c r="AI331" s="270">
        <f t="shared" si="15"/>
        <v>0</v>
      </c>
      <c r="AJ331" s="270">
        <f t="shared" si="16"/>
        <v>0</v>
      </c>
      <c r="AK331" s="270">
        <f t="shared" si="17"/>
        <v>0</v>
      </c>
      <c r="AL331" s="270">
        <f>'MIS Working 1'!$AD331*'MIS Working 1'!$L331</f>
        <v>0</v>
      </c>
      <c r="AM331" s="270">
        <f>'MIS Working 1'!$L331*'MIS Working 1'!$AE331+'MIS Working 1'!$AL331</f>
        <v>0</v>
      </c>
    </row>
    <row r="332" spans="1:39" x14ac:dyDescent="0.3">
      <c r="A332" s="272" t="s">
        <v>479</v>
      </c>
      <c r="B332" s="273">
        <v>45969</v>
      </c>
      <c r="C332" s="274" t="s">
        <v>1828</v>
      </c>
      <c r="D332" s="274" t="s">
        <v>1182</v>
      </c>
      <c r="E332" s="274" t="s">
        <v>1183</v>
      </c>
      <c r="F332" s="274" t="s">
        <v>18</v>
      </c>
      <c r="G332" s="274" t="s">
        <v>19</v>
      </c>
      <c r="H332" s="274" t="s">
        <v>27</v>
      </c>
      <c r="I332" s="275">
        <v>-360</v>
      </c>
      <c r="J332" s="282">
        <v>-151696.79999999999</v>
      </c>
      <c r="K332" s="275">
        <v>-360</v>
      </c>
      <c r="L332" s="275">
        <v>-360</v>
      </c>
      <c r="M332" s="273">
        <v>45969</v>
      </c>
      <c r="N332" s="282">
        <v>-173937.6</v>
      </c>
      <c r="O332" s="274" t="s">
        <v>21</v>
      </c>
      <c r="P332" s="274" t="s">
        <v>22</v>
      </c>
      <c r="Q332" s="274" t="s">
        <v>660</v>
      </c>
      <c r="R332" s="274" t="str">
        <f>VLOOKUP('MIS Working 1'!$G332,Master!$H$3:$I$8,2,0)</f>
        <v>Finished Goods</v>
      </c>
      <c r="S332" s="274" t="str">
        <f>VLOOKUP('MIS Working 1'!$H332,Master!B:C,2,0)</f>
        <v>FG-PCB-CF</v>
      </c>
      <c r="T332" s="274" t="str">
        <f>VLOOKUP('MIS Working 1'!$S332,Master!E:F,2,0)</f>
        <v>FG-PCB-CF</v>
      </c>
      <c r="U332" s="277">
        <f>'MIS Working 1'!$N332-'MIS Working 1'!$AF332</f>
        <v>-22147.20000000007</v>
      </c>
      <c r="V332" s="278">
        <f>'MIS Working 1'!$U332/'MIS Working 1'!$N332</f>
        <v>0.12732842122692314</v>
      </c>
      <c r="W332" s="274">
        <f>'MIS Working 1'!$N332/'MIS Working 1'!$L332</f>
        <v>483.16</v>
      </c>
      <c r="X332" s="279">
        <f>SUM('MIS Working 1'!$Y332:$AE332)</f>
        <v>447.47999999999985</v>
      </c>
      <c r="Y332" s="279">
        <f>SUMIFS('COGS Break up'!$E:$E,'COGS Break up'!$A:$A,'MIS Working 1'!$D332,'COGS Break up'!$D:$D,'MIS Working 1'!$Y$1)</f>
        <v>373.01999999999981</v>
      </c>
      <c r="Z332" s="279">
        <f>SUMIFS('COGS Break up'!$E:$E,'COGS Break up'!$A:$A,'MIS Working 1'!$D332,'COGS Break up'!$D:$D,'MIS Working 1'!$Z$1)</f>
        <v>22</v>
      </c>
      <c r="AA332" s="279">
        <f>SUMIFS('COGS Break up'!E:E,'COGS Break up'!A:A,'MIS Working 1'!$D:$D,'COGS Break up'!C:C,'MIS Working 1'!$AA$1)</f>
        <v>1.8</v>
      </c>
      <c r="AB332" s="279">
        <f>SUMIFS('COGS Break up'!E:E,'COGS Break up'!A:A,'MIS Working 1'!$D:$D,'COGS Break up'!C:C,$AB$1)</f>
        <v>15.99</v>
      </c>
      <c r="AC332" s="279">
        <f>SUMIFS('COGS Break up'!E:E,'COGS Break up'!A:A,'MIS Working 1'!$D:$D,'COGS Break up'!C:C,$AC$1)</f>
        <v>8.31</v>
      </c>
      <c r="AD332" s="279">
        <f>SUMIFS('COGS Break up'!$E:$E,'COGS Break up'!$A:$A,'MIS Working 1'!$D332,'COGS Break up'!$D:$D,'MIS Working 1'!$AD$1)</f>
        <v>0.26</v>
      </c>
      <c r="AE332" s="279">
        <f>SUMIFS('COGS Break up'!$E:$E,'COGS Break up'!$A:$A,'MIS Working 1'!$D332,'COGS Break up'!$D:$D,'MIS Working 1'!$AE$1)</f>
        <v>26.1</v>
      </c>
      <c r="AF332" s="280">
        <f>'MIS Working 1'!$AG332+'MIS Working 1'!$AH332+'MIS Working 1'!$AM332+'MIS Working 1'!$AL332</f>
        <v>-151790.39999999994</v>
      </c>
      <c r="AG332" s="279">
        <f>'MIS Working 1'!$L332*'MIS Working 1'!$Y332</f>
        <v>-134287.19999999992</v>
      </c>
      <c r="AH332" s="279">
        <f>'MIS Working 1'!$L332*'MIS Working 1'!$Z332</f>
        <v>-7920</v>
      </c>
      <c r="AI332" s="279">
        <f t="shared" si="15"/>
        <v>-648</v>
      </c>
      <c r="AJ332" s="279">
        <f t="shared" si="16"/>
        <v>-5756.4</v>
      </c>
      <c r="AK332" s="279">
        <f t="shared" si="17"/>
        <v>-2991.6000000000004</v>
      </c>
      <c r="AL332" s="279">
        <f>'MIS Working 1'!$AD332*'MIS Working 1'!$L332</f>
        <v>-93.600000000000009</v>
      </c>
      <c r="AM332" s="279">
        <f>'MIS Working 1'!$L332*'MIS Working 1'!$AE332+'MIS Working 1'!$AL332</f>
        <v>-9489.6</v>
      </c>
    </row>
    <row r="333" spans="1:39" x14ac:dyDescent="0.3">
      <c r="A333" s="263" t="s">
        <v>1295</v>
      </c>
      <c r="B333" s="264">
        <v>45968</v>
      </c>
      <c r="C333" s="265" t="s">
        <v>1829</v>
      </c>
      <c r="D333" s="265" t="s">
        <v>36</v>
      </c>
      <c r="E333" s="265" t="s">
        <v>37</v>
      </c>
      <c r="F333" s="265" t="s">
        <v>18</v>
      </c>
      <c r="G333" s="265" t="s">
        <v>19</v>
      </c>
      <c r="H333" s="265" t="s">
        <v>20</v>
      </c>
      <c r="I333" s="266">
        <v>2300</v>
      </c>
      <c r="J333" s="267">
        <v>1061151</v>
      </c>
      <c r="K333" s="266">
        <v>2300</v>
      </c>
      <c r="L333" s="266">
        <v>2300</v>
      </c>
      <c r="M333" s="264">
        <v>45968</v>
      </c>
      <c r="N333" s="267">
        <v>1509513</v>
      </c>
      <c r="O333" s="265" t="s">
        <v>21</v>
      </c>
      <c r="P333" s="265" t="s">
        <v>22</v>
      </c>
      <c r="Q333" s="265" t="s">
        <v>660</v>
      </c>
      <c r="R333" s="265" t="str">
        <f>VLOOKUP('MIS Working 1'!$G333,Master!$H$3:$I$8,2,0)</f>
        <v>Finished Goods</v>
      </c>
      <c r="S333" s="265" t="str">
        <f>VLOOKUP('MIS Working 1'!$H333,Master!B:C,2,0)</f>
        <v>FG-PCB-Ref</v>
      </c>
      <c r="T333" s="265" t="str">
        <f>VLOOKUP('MIS Working 1'!$S333,Master!E:F,2,0)</f>
        <v>FG-PCB-Ref</v>
      </c>
      <c r="U333" s="268">
        <f>'MIS Working 1'!$N333-'MIS Working 1'!$AF333</f>
        <v>447810</v>
      </c>
      <c r="V333" s="269">
        <f>'MIS Working 1'!$U333/'MIS Working 1'!$N333</f>
        <v>0.29665859121451754</v>
      </c>
      <c r="W333" s="265">
        <f>'MIS Working 1'!$N333/'MIS Working 1'!$L333</f>
        <v>656.31</v>
      </c>
      <c r="X333" s="270">
        <f>SUM('MIS Working 1'!$Y333:$AE333)</f>
        <v>492.59000000000003</v>
      </c>
      <c r="Y333" s="270">
        <f>SUMIFS('COGS Break up'!$E:$E,'COGS Break up'!$A:$A,'MIS Working 1'!$D333,'COGS Break up'!$D:$D,'MIS Working 1'!$Y$1)</f>
        <v>401.59000000000003</v>
      </c>
      <c r="Z333" s="270">
        <f>SUMIFS('COGS Break up'!$E:$E,'COGS Break up'!$A:$A,'MIS Working 1'!$D333,'COGS Break up'!$D:$D,'MIS Working 1'!$Z$1)</f>
        <v>28.32</v>
      </c>
      <c r="AA333" s="270">
        <f>SUMIFS('COGS Break up'!E:E,'COGS Break up'!A:A,'MIS Working 1'!$D:$D,'COGS Break up'!C:C,'MIS Working 1'!$AA$1)</f>
        <v>2.3199999999999998</v>
      </c>
      <c r="AB333" s="270">
        <f>SUMIFS('COGS Break up'!E:E,'COGS Break up'!A:A,'MIS Working 1'!$D:$D,'COGS Break up'!C:C,$AB$1)</f>
        <v>20.59</v>
      </c>
      <c r="AC333" s="270">
        <f>SUMIFS('COGS Break up'!E:E,'COGS Break up'!A:A,'MIS Working 1'!$D:$D,'COGS Break up'!C:C,$AC$1)</f>
        <v>8.31</v>
      </c>
      <c r="AD333" s="270">
        <f>SUMIFS('COGS Break up'!$E:$E,'COGS Break up'!$A:$A,'MIS Working 1'!$D333,'COGS Break up'!$D:$D,'MIS Working 1'!$AD$1)</f>
        <v>0.24</v>
      </c>
      <c r="AE333" s="270">
        <f>SUMIFS('COGS Break up'!$E:$E,'COGS Break up'!$A:$A,'MIS Working 1'!$D333,'COGS Break up'!$D:$D,'MIS Working 1'!$AE$1)</f>
        <v>31.22</v>
      </c>
      <c r="AF333" s="271">
        <f>'MIS Working 1'!$AG333+'MIS Working 1'!$AH333+'MIS Working 1'!$AM333+'MIS Working 1'!$AL333</f>
        <v>1061703</v>
      </c>
      <c r="AG333" s="270">
        <f>'MIS Working 1'!$L333*'MIS Working 1'!$Y333</f>
        <v>923657.00000000012</v>
      </c>
      <c r="AH333" s="270">
        <f>'MIS Working 1'!$L333*'MIS Working 1'!$Z333</f>
        <v>65136</v>
      </c>
      <c r="AI333" s="270">
        <f t="shared" si="15"/>
        <v>5336</v>
      </c>
      <c r="AJ333" s="270">
        <f t="shared" si="16"/>
        <v>47357</v>
      </c>
      <c r="AK333" s="270">
        <f t="shared" si="17"/>
        <v>19113</v>
      </c>
      <c r="AL333" s="270">
        <f>'MIS Working 1'!$AD333*'MIS Working 1'!$L333</f>
        <v>552</v>
      </c>
      <c r="AM333" s="270">
        <f>'MIS Working 1'!$L333*'MIS Working 1'!$AE333+'MIS Working 1'!$AL333</f>
        <v>72358</v>
      </c>
    </row>
    <row r="334" spans="1:39" x14ac:dyDescent="0.3">
      <c r="A334" s="272" t="s">
        <v>479</v>
      </c>
      <c r="B334" s="273">
        <v>45968</v>
      </c>
      <c r="C334" s="274" t="s">
        <v>1831</v>
      </c>
      <c r="D334" s="274" t="s">
        <v>40</v>
      </c>
      <c r="E334" s="274" t="s">
        <v>41</v>
      </c>
      <c r="F334" s="274" t="s">
        <v>18</v>
      </c>
      <c r="G334" s="274" t="s">
        <v>34</v>
      </c>
      <c r="H334" s="274" t="s">
        <v>772</v>
      </c>
      <c r="I334" s="275">
        <v>1120</v>
      </c>
      <c r="J334" s="276">
        <v>165390.39999999999</v>
      </c>
      <c r="K334" s="275">
        <v>1120</v>
      </c>
      <c r="L334" s="275">
        <v>1120</v>
      </c>
      <c r="M334" s="273">
        <v>45968</v>
      </c>
      <c r="N334" s="276">
        <v>182492.79999999999</v>
      </c>
      <c r="O334" s="274" t="s">
        <v>21</v>
      </c>
      <c r="P334" s="274" t="s">
        <v>22</v>
      </c>
      <c r="Q334" s="274" t="s">
        <v>660</v>
      </c>
      <c r="R334" s="274" t="str">
        <f>VLOOKUP('MIS Working 1'!$G334,Master!$H$3:$I$8,2,0)</f>
        <v>Semi-Finished Goods</v>
      </c>
      <c r="S334" s="274" t="str">
        <f>VLOOKUP('MIS Working 1'!$H334,Master!B:C,2,0)</f>
        <v>SFG-GV5 Stator</v>
      </c>
      <c r="T334" s="274" t="str">
        <f>VLOOKUP('MIS Working 1'!$S334,Master!E:F,2,0)</f>
        <v>Sub Ass.-Mech Stator</v>
      </c>
      <c r="U334" s="277">
        <f>'MIS Working 1'!$N334-'MIS Working 1'!$AF334</f>
        <v>17102.400000000023</v>
      </c>
      <c r="V334" s="278">
        <f>'MIS Working 1'!$U334/'MIS Working 1'!$N334</f>
        <v>9.3715478090094645E-2</v>
      </c>
      <c r="W334" s="274">
        <f>'MIS Working 1'!$N334/'MIS Working 1'!$L334</f>
        <v>162.94</v>
      </c>
      <c r="X334" s="279">
        <f>SUM('MIS Working 1'!$Y334:$AE334)</f>
        <v>149.61999999999998</v>
      </c>
      <c r="Y334" s="279">
        <f>SUMIFS('COGS Break up'!$E:$E,'COGS Break up'!$A:$A,'MIS Working 1'!$D334,'COGS Break up'!$D:$D,'MIS Working 1'!$Y$1)</f>
        <v>144.21999999999997</v>
      </c>
      <c r="Z334" s="279">
        <f>SUMIFS('COGS Break up'!$E:$E,'COGS Break up'!$A:$A,'MIS Working 1'!$D334,'COGS Break up'!$D:$D,'MIS Working 1'!$Z$1)</f>
        <v>1.5</v>
      </c>
      <c r="AA334" s="279">
        <f>SUMIFS('COGS Break up'!E:E,'COGS Break up'!A:A,'MIS Working 1'!$D:$D,'COGS Break up'!C:C,'MIS Working 1'!$AA$1)</f>
        <v>0.05</v>
      </c>
      <c r="AB334" s="279">
        <f>SUMIFS('COGS Break up'!E:E,'COGS Break up'!A:A,'MIS Working 1'!$D:$D,'COGS Break up'!C:C,$AB$1)</f>
        <v>0.4</v>
      </c>
      <c r="AC334" s="279">
        <f>SUMIFS('COGS Break up'!E:E,'COGS Break up'!A:A,'MIS Working 1'!$D:$D,'COGS Break up'!C:C,$AC$1)</f>
        <v>1.5</v>
      </c>
      <c r="AD334" s="279">
        <f>SUMIFS('COGS Break up'!$E:$E,'COGS Break up'!$A:$A,'MIS Working 1'!$D334,'COGS Break up'!$D:$D,'MIS Working 1'!$AD$1)</f>
        <v>0</v>
      </c>
      <c r="AE334" s="279">
        <f>SUMIFS('COGS Break up'!$E:$E,'COGS Break up'!$A:$A,'MIS Working 1'!$D334,'COGS Break up'!$D:$D,'MIS Working 1'!$AE$1)</f>
        <v>1.95</v>
      </c>
      <c r="AF334" s="280">
        <f>'MIS Working 1'!$AG334+'MIS Working 1'!$AH334+'MIS Working 1'!$AM334+'MIS Working 1'!$AL334</f>
        <v>165390.39999999997</v>
      </c>
      <c r="AG334" s="279">
        <f>'MIS Working 1'!$L334*'MIS Working 1'!$Y334</f>
        <v>161526.39999999997</v>
      </c>
      <c r="AH334" s="279">
        <f>'MIS Working 1'!$L334*'MIS Working 1'!$Z334</f>
        <v>1680</v>
      </c>
      <c r="AI334" s="279">
        <f t="shared" si="15"/>
        <v>56</v>
      </c>
      <c r="AJ334" s="279">
        <f t="shared" si="16"/>
        <v>448</v>
      </c>
      <c r="AK334" s="279">
        <f t="shared" si="17"/>
        <v>1680</v>
      </c>
      <c r="AL334" s="279">
        <f>'MIS Working 1'!$AD334*'MIS Working 1'!$L334</f>
        <v>0</v>
      </c>
      <c r="AM334" s="279">
        <f>'MIS Working 1'!$L334*'MIS Working 1'!$AE334+'MIS Working 1'!$AL334</f>
        <v>2184</v>
      </c>
    </row>
    <row r="335" spans="1:39" x14ac:dyDescent="0.3">
      <c r="A335" s="263" t="s">
        <v>479</v>
      </c>
      <c r="B335" s="264">
        <v>45968</v>
      </c>
      <c r="C335" s="265" t="s">
        <v>1830</v>
      </c>
      <c r="D335" s="265" t="s">
        <v>40</v>
      </c>
      <c r="E335" s="265" t="s">
        <v>41</v>
      </c>
      <c r="F335" s="265" t="s">
        <v>18</v>
      </c>
      <c r="G335" s="265" t="s">
        <v>34</v>
      </c>
      <c r="H335" s="265" t="s">
        <v>772</v>
      </c>
      <c r="I335" s="266">
        <v>2728</v>
      </c>
      <c r="J335" s="267">
        <v>402843.76</v>
      </c>
      <c r="K335" s="266">
        <v>2728</v>
      </c>
      <c r="L335" s="266">
        <v>2728</v>
      </c>
      <c r="M335" s="264">
        <v>45968</v>
      </c>
      <c r="N335" s="267">
        <v>444500.32</v>
      </c>
      <c r="O335" s="265" t="s">
        <v>21</v>
      </c>
      <c r="P335" s="265" t="s">
        <v>22</v>
      </c>
      <c r="Q335" s="265" t="s">
        <v>660</v>
      </c>
      <c r="R335" s="265" t="str">
        <f>VLOOKUP('MIS Working 1'!$G335,Master!$H$3:$I$8,2,0)</f>
        <v>Semi-Finished Goods</v>
      </c>
      <c r="S335" s="265" t="str">
        <f>VLOOKUP('MIS Working 1'!$H335,Master!B:C,2,0)</f>
        <v>SFG-GV5 Stator</v>
      </c>
      <c r="T335" s="265" t="str">
        <f>VLOOKUP('MIS Working 1'!$S335,Master!E:F,2,0)</f>
        <v>Sub Ass.-Mech Stator</v>
      </c>
      <c r="U335" s="268">
        <f>'MIS Working 1'!$N335-'MIS Working 1'!$AF335</f>
        <v>41656.560000000114</v>
      </c>
      <c r="V335" s="269">
        <f>'MIS Working 1'!$U335/'MIS Working 1'!$N335</f>
        <v>9.371547809009477E-2</v>
      </c>
      <c r="W335" s="265">
        <f>'MIS Working 1'!$N335/'MIS Working 1'!$L335</f>
        <v>162.94</v>
      </c>
      <c r="X335" s="270">
        <f>SUM('MIS Working 1'!$Y335:$AE335)</f>
        <v>149.61999999999998</v>
      </c>
      <c r="Y335" s="270">
        <f>SUMIFS('COGS Break up'!$E:$E,'COGS Break up'!$A:$A,'MIS Working 1'!$D335,'COGS Break up'!$D:$D,'MIS Working 1'!$Y$1)</f>
        <v>144.21999999999997</v>
      </c>
      <c r="Z335" s="270">
        <f>SUMIFS('COGS Break up'!$E:$E,'COGS Break up'!$A:$A,'MIS Working 1'!$D335,'COGS Break up'!$D:$D,'MIS Working 1'!$Z$1)</f>
        <v>1.5</v>
      </c>
      <c r="AA335" s="270">
        <f>SUMIFS('COGS Break up'!E:E,'COGS Break up'!A:A,'MIS Working 1'!$D:$D,'COGS Break up'!C:C,'MIS Working 1'!$AA$1)</f>
        <v>0.05</v>
      </c>
      <c r="AB335" s="270">
        <f>SUMIFS('COGS Break up'!E:E,'COGS Break up'!A:A,'MIS Working 1'!$D:$D,'COGS Break up'!C:C,$AB$1)</f>
        <v>0.4</v>
      </c>
      <c r="AC335" s="270">
        <f>SUMIFS('COGS Break up'!E:E,'COGS Break up'!A:A,'MIS Working 1'!$D:$D,'COGS Break up'!C:C,$AC$1)</f>
        <v>1.5</v>
      </c>
      <c r="AD335" s="270">
        <f>SUMIFS('COGS Break up'!$E:$E,'COGS Break up'!$A:$A,'MIS Working 1'!$D335,'COGS Break up'!$D:$D,'MIS Working 1'!$AD$1)</f>
        <v>0</v>
      </c>
      <c r="AE335" s="270">
        <f>SUMIFS('COGS Break up'!$E:$E,'COGS Break up'!$A:$A,'MIS Working 1'!$D335,'COGS Break up'!$D:$D,'MIS Working 1'!$AE$1)</f>
        <v>1.95</v>
      </c>
      <c r="AF335" s="271">
        <f>'MIS Working 1'!$AG335+'MIS Working 1'!$AH335+'MIS Working 1'!$AM335+'MIS Working 1'!$AL335</f>
        <v>402843.75999999989</v>
      </c>
      <c r="AG335" s="270">
        <f>'MIS Working 1'!$L335*'MIS Working 1'!$Y335</f>
        <v>393432.15999999992</v>
      </c>
      <c r="AH335" s="270">
        <f>'MIS Working 1'!$L335*'MIS Working 1'!$Z335</f>
        <v>4092</v>
      </c>
      <c r="AI335" s="270">
        <f t="shared" si="15"/>
        <v>136.4</v>
      </c>
      <c r="AJ335" s="270">
        <f t="shared" si="16"/>
        <v>1091.2</v>
      </c>
      <c r="AK335" s="270">
        <f t="shared" si="17"/>
        <v>4092</v>
      </c>
      <c r="AL335" s="270">
        <f>'MIS Working 1'!$AD335*'MIS Working 1'!$L335</f>
        <v>0</v>
      </c>
      <c r="AM335" s="270">
        <f>'MIS Working 1'!$L335*'MIS Working 1'!$AE335+'MIS Working 1'!$AL335</f>
        <v>5319.5999999999995</v>
      </c>
    </row>
    <row r="336" spans="1:39" x14ac:dyDescent="0.3">
      <c r="A336" s="272" t="s">
        <v>1626</v>
      </c>
      <c r="B336" s="273">
        <v>45968</v>
      </c>
      <c r="C336" s="274" t="s">
        <v>1832</v>
      </c>
      <c r="D336" s="274" t="s">
        <v>698</v>
      </c>
      <c r="E336" s="274" t="s">
        <v>699</v>
      </c>
      <c r="F336" s="274" t="s">
        <v>18</v>
      </c>
      <c r="G336" s="274" t="s">
        <v>19</v>
      </c>
      <c r="H336" s="274" t="s">
        <v>691</v>
      </c>
      <c r="I336" s="275">
        <v>175</v>
      </c>
      <c r="J336" s="276">
        <v>79542.75</v>
      </c>
      <c r="K336" s="275">
        <v>175</v>
      </c>
      <c r="L336" s="275">
        <v>175</v>
      </c>
      <c r="M336" s="273">
        <v>45968</v>
      </c>
      <c r="N336" s="276">
        <v>72782.5</v>
      </c>
      <c r="O336" s="274" t="s">
        <v>21</v>
      </c>
      <c r="P336" s="274" t="s">
        <v>22</v>
      </c>
      <c r="Q336" s="274" t="s">
        <v>1750</v>
      </c>
      <c r="R336" s="274" t="str">
        <f>VLOOKUP('MIS Working 1'!$G336,Master!$H$3:$I$8,2,0)</f>
        <v>Finished Goods</v>
      </c>
      <c r="S336" s="274" t="str">
        <f>VLOOKUP('MIS Working 1'!$H336,Master!B:C,2,0)</f>
        <v>FG-PCB-WP</v>
      </c>
      <c r="T336" s="274" t="str">
        <f>VLOOKUP('MIS Working 1'!$S336,Master!E:F,2,0)</f>
        <v>FG-PCB-WP</v>
      </c>
      <c r="U336" s="277">
        <f>'MIS Working 1'!$N336-'MIS Working 1'!$AF336</f>
        <v>-6790</v>
      </c>
      <c r="V336" s="278">
        <f>'MIS Working 1'!$U336/'MIS Working 1'!$N336</f>
        <v>-9.3291656648232746E-2</v>
      </c>
      <c r="W336" s="274">
        <f>'MIS Working 1'!$N336/'MIS Working 1'!$L336</f>
        <v>415.9</v>
      </c>
      <c r="X336" s="279">
        <f>SUM('MIS Working 1'!$Y336:$AE336)</f>
        <v>486.75000000000011</v>
      </c>
      <c r="Y336" s="279">
        <f>SUMIFS('COGS Break up'!$E:$E,'COGS Break up'!$A:$A,'MIS Working 1'!$D336,'COGS Break up'!$D:$D,'MIS Working 1'!$Y$1)</f>
        <v>392.59000000000003</v>
      </c>
      <c r="Z336" s="279">
        <f>SUMIFS('COGS Break up'!$E:$E,'COGS Break up'!$A:$A,'MIS Working 1'!$D336,'COGS Break up'!$D:$D,'MIS Working 1'!$Z$1)</f>
        <v>29.55</v>
      </c>
      <c r="AA336" s="279">
        <f>SUMIFS('COGS Break up'!E:E,'COGS Break up'!A:A,'MIS Working 1'!$D:$D,'COGS Break up'!C:C,'MIS Working 1'!$AA$1)</f>
        <v>2.42</v>
      </c>
      <c r="AB336" s="279">
        <f>SUMIFS('COGS Break up'!E:E,'COGS Break up'!A:A,'MIS Working 1'!$D:$D,'COGS Break up'!C:C,$AB$1)</f>
        <v>21.49</v>
      </c>
      <c r="AC336" s="279">
        <f>SUMIFS('COGS Break up'!E:E,'COGS Break up'!A:A,'MIS Working 1'!$D:$D,'COGS Break up'!C:C,$AC$1)</f>
        <v>8.31</v>
      </c>
      <c r="AD336" s="279">
        <f>SUMIFS('COGS Break up'!$E:$E,'COGS Break up'!$A:$A,'MIS Working 1'!$D336,'COGS Break up'!$D:$D,'MIS Working 1'!$AD$1)</f>
        <v>0.17</v>
      </c>
      <c r="AE336" s="279">
        <f>SUMIFS('COGS Break up'!$E:$E,'COGS Break up'!$A:$A,'MIS Working 1'!$D336,'COGS Break up'!$D:$D,'MIS Working 1'!$AE$1)</f>
        <v>32.22</v>
      </c>
      <c r="AF336" s="280">
        <f>'MIS Working 1'!$AG336+'MIS Working 1'!$AH336+'MIS Working 1'!$AM336+'MIS Working 1'!$AL336</f>
        <v>79572.5</v>
      </c>
      <c r="AG336" s="279">
        <f>'MIS Working 1'!$L336*'MIS Working 1'!$Y336</f>
        <v>68703.25</v>
      </c>
      <c r="AH336" s="279">
        <f>'MIS Working 1'!$L336*'MIS Working 1'!$Z336</f>
        <v>5171.25</v>
      </c>
      <c r="AI336" s="279">
        <f t="shared" si="15"/>
        <v>423.5</v>
      </c>
      <c r="AJ336" s="279">
        <f t="shared" si="16"/>
        <v>3760.7499999999995</v>
      </c>
      <c r="AK336" s="279">
        <f t="shared" si="17"/>
        <v>1454.25</v>
      </c>
      <c r="AL336" s="279">
        <f>'MIS Working 1'!$AD336*'MIS Working 1'!$L336</f>
        <v>29.750000000000004</v>
      </c>
      <c r="AM336" s="279">
        <f>'MIS Working 1'!$L336*'MIS Working 1'!$AE336+'MIS Working 1'!$AL336</f>
        <v>5668.25</v>
      </c>
    </row>
    <row r="337" spans="1:39" x14ac:dyDescent="0.3">
      <c r="A337" s="263" t="s">
        <v>479</v>
      </c>
      <c r="B337" s="264">
        <v>45968</v>
      </c>
      <c r="C337" s="265" t="s">
        <v>1833</v>
      </c>
      <c r="D337" s="265" t="s">
        <v>639</v>
      </c>
      <c r="E337" s="265" t="s">
        <v>640</v>
      </c>
      <c r="F337" s="265" t="s">
        <v>18</v>
      </c>
      <c r="G337" s="265" t="s">
        <v>19</v>
      </c>
      <c r="H337" s="265" t="s">
        <v>27</v>
      </c>
      <c r="I337" s="266">
        <v>928</v>
      </c>
      <c r="J337" s="267">
        <v>598587.84</v>
      </c>
      <c r="K337" s="266">
        <v>928</v>
      </c>
      <c r="L337" s="266">
        <v>928</v>
      </c>
      <c r="M337" s="264">
        <v>45968</v>
      </c>
      <c r="N337" s="267">
        <v>676103.68000000005</v>
      </c>
      <c r="O337" s="265" t="s">
        <v>21</v>
      </c>
      <c r="P337" s="265" t="s">
        <v>22</v>
      </c>
      <c r="Q337" s="265" t="s">
        <v>660</v>
      </c>
      <c r="R337" s="265" t="str">
        <f>VLOOKUP('MIS Working 1'!$G337,Master!$H$3:$I$8,2,0)</f>
        <v>Finished Goods</v>
      </c>
      <c r="S337" s="265" t="str">
        <f>VLOOKUP('MIS Working 1'!$H337,Master!B:C,2,0)</f>
        <v>FG-PCB-CF</v>
      </c>
      <c r="T337" s="265" t="str">
        <f>VLOOKUP('MIS Working 1'!$S337,Master!E:F,2,0)</f>
        <v>FG-PCB-CF</v>
      </c>
      <c r="U337" s="268">
        <f>'MIS Working 1'!$N337-'MIS Working 1'!$AF337</f>
        <v>77116.800000000279</v>
      </c>
      <c r="V337" s="269">
        <f>'MIS Working 1'!$U337/'MIS Working 1'!$N337</f>
        <v>0.11406061271549398</v>
      </c>
      <c r="W337" s="265">
        <f>'MIS Working 1'!$N337/'MIS Working 1'!$L337</f>
        <v>728.56000000000006</v>
      </c>
      <c r="X337" s="270">
        <f>SUM('MIS Working 1'!$Y337:$AE337)</f>
        <v>677.50999999999965</v>
      </c>
      <c r="Y337" s="270">
        <f>SUMIFS('COGS Break up'!$E:$E,'COGS Break up'!$A:$A,'MIS Working 1'!$D337,'COGS Break up'!$D:$D,'MIS Working 1'!$Y$1)</f>
        <v>582.23999999999967</v>
      </c>
      <c r="Z337" s="270">
        <f>SUMIFS('COGS Break up'!$E:$E,'COGS Break up'!$A:$A,'MIS Working 1'!$D337,'COGS Break up'!$D:$D,'MIS Working 1'!$Z$1)</f>
        <v>29.88</v>
      </c>
      <c r="AA337" s="270">
        <f>SUMIFS('COGS Break up'!E:E,'COGS Break up'!A:A,'MIS Working 1'!$D:$D,'COGS Break up'!C:C,'MIS Working 1'!$AA$1)</f>
        <v>2.4500000000000002</v>
      </c>
      <c r="AB337" s="270">
        <f>SUMIFS('COGS Break up'!E:E,'COGS Break up'!A:A,'MIS Working 1'!$D:$D,'COGS Break up'!C:C,$AB$1)</f>
        <v>21.72</v>
      </c>
      <c r="AC337" s="270">
        <f>SUMIFS('COGS Break up'!E:E,'COGS Break up'!A:A,'MIS Working 1'!$D:$D,'COGS Break up'!C:C,$AC$1)</f>
        <v>8.31</v>
      </c>
      <c r="AD337" s="270">
        <f>SUMIFS('COGS Break up'!$E:$E,'COGS Break up'!$A:$A,'MIS Working 1'!$D337,'COGS Break up'!$D:$D,'MIS Working 1'!$AD$1)</f>
        <v>0.43</v>
      </c>
      <c r="AE337" s="270">
        <f>SUMIFS('COGS Break up'!$E:$E,'COGS Break up'!$A:$A,'MIS Working 1'!$D337,'COGS Break up'!$D:$D,'MIS Working 1'!$AE$1)</f>
        <v>32.480000000000004</v>
      </c>
      <c r="AF337" s="271">
        <f>'MIS Working 1'!$AG337+'MIS Working 1'!$AH337+'MIS Working 1'!$AM337+'MIS Working 1'!$AL337</f>
        <v>598986.87999999977</v>
      </c>
      <c r="AG337" s="270">
        <f>'MIS Working 1'!$L337*'MIS Working 1'!$Y337</f>
        <v>540318.71999999974</v>
      </c>
      <c r="AH337" s="270">
        <f>'MIS Working 1'!$L337*'MIS Working 1'!$Z337</f>
        <v>27728.639999999999</v>
      </c>
      <c r="AI337" s="270">
        <f t="shared" si="15"/>
        <v>2273.6000000000004</v>
      </c>
      <c r="AJ337" s="270">
        <f t="shared" si="16"/>
        <v>20156.16</v>
      </c>
      <c r="AK337" s="270">
        <f t="shared" si="17"/>
        <v>7711.68</v>
      </c>
      <c r="AL337" s="270">
        <f>'MIS Working 1'!$AD337*'MIS Working 1'!$L337</f>
        <v>399.04</v>
      </c>
      <c r="AM337" s="270">
        <f>'MIS Working 1'!$L337*'MIS Working 1'!$AE337+'MIS Working 1'!$AL337</f>
        <v>30540.480000000003</v>
      </c>
    </row>
    <row r="338" spans="1:39" x14ac:dyDescent="0.3">
      <c r="A338" s="272" t="s">
        <v>479</v>
      </c>
      <c r="B338" s="273">
        <v>45968</v>
      </c>
      <c r="C338" s="274" t="s">
        <v>1834</v>
      </c>
      <c r="D338" s="274" t="s">
        <v>639</v>
      </c>
      <c r="E338" s="274" t="s">
        <v>640</v>
      </c>
      <c r="F338" s="274" t="s">
        <v>18</v>
      </c>
      <c r="G338" s="274" t="s">
        <v>19</v>
      </c>
      <c r="H338" s="274" t="s">
        <v>27</v>
      </c>
      <c r="I338" s="275">
        <v>396</v>
      </c>
      <c r="J338" s="276">
        <v>255431.88</v>
      </c>
      <c r="K338" s="275">
        <v>396</v>
      </c>
      <c r="L338" s="275">
        <v>396</v>
      </c>
      <c r="M338" s="273">
        <v>45968</v>
      </c>
      <c r="N338" s="276">
        <v>288509.76</v>
      </c>
      <c r="O338" s="274" t="s">
        <v>21</v>
      </c>
      <c r="P338" s="274" t="s">
        <v>22</v>
      </c>
      <c r="Q338" s="274" t="s">
        <v>660</v>
      </c>
      <c r="R338" s="274" t="str">
        <f>VLOOKUP('MIS Working 1'!$G338,Master!$H$3:$I$8,2,0)</f>
        <v>Finished Goods</v>
      </c>
      <c r="S338" s="274" t="str">
        <f>VLOOKUP('MIS Working 1'!$H338,Master!B:C,2,0)</f>
        <v>FG-PCB-CF</v>
      </c>
      <c r="T338" s="274" t="str">
        <f>VLOOKUP('MIS Working 1'!$S338,Master!E:F,2,0)</f>
        <v>FG-PCB-CF</v>
      </c>
      <c r="U338" s="277">
        <f>'MIS Working 1'!$N338-'MIS Working 1'!$AF338</f>
        <v>32907.600000000122</v>
      </c>
      <c r="V338" s="278">
        <f>'MIS Working 1'!$U338/'MIS Working 1'!$N338</f>
        <v>0.114060612715494</v>
      </c>
      <c r="W338" s="274">
        <f>'MIS Working 1'!$N338/'MIS Working 1'!$L338</f>
        <v>728.56000000000006</v>
      </c>
      <c r="X338" s="279">
        <f>SUM('MIS Working 1'!$Y338:$AE338)</f>
        <v>677.50999999999965</v>
      </c>
      <c r="Y338" s="279">
        <f>SUMIFS('COGS Break up'!$E:$E,'COGS Break up'!$A:$A,'MIS Working 1'!$D338,'COGS Break up'!$D:$D,'MIS Working 1'!$Y$1)</f>
        <v>582.23999999999967</v>
      </c>
      <c r="Z338" s="279">
        <f>SUMIFS('COGS Break up'!$E:$E,'COGS Break up'!$A:$A,'MIS Working 1'!$D338,'COGS Break up'!$D:$D,'MIS Working 1'!$Z$1)</f>
        <v>29.88</v>
      </c>
      <c r="AA338" s="279">
        <f>SUMIFS('COGS Break up'!E:E,'COGS Break up'!A:A,'MIS Working 1'!$D:$D,'COGS Break up'!C:C,'MIS Working 1'!$AA$1)</f>
        <v>2.4500000000000002</v>
      </c>
      <c r="AB338" s="279">
        <f>SUMIFS('COGS Break up'!E:E,'COGS Break up'!A:A,'MIS Working 1'!$D:$D,'COGS Break up'!C:C,$AB$1)</f>
        <v>21.72</v>
      </c>
      <c r="AC338" s="279">
        <f>SUMIFS('COGS Break up'!E:E,'COGS Break up'!A:A,'MIS Working 1'!$D:$D,'COGS Break up'!C:C,$AC$1)</f>
        <v>8.31</v>
      </c>
      <c r="AD338" s="279">
        <f>SUMIFS('COGS Break up'!$E:$E,'COGS Break up'!$A:$A,'MIS Working 1'!$D338,'COGS Break up'!$D:$D,'MIS Working 1'!$AD$1)</f>
        <v>0.43</v>
      </c>
      <c r="AE338" s="279">
        <f>SUMIFS('COGS Break up'!$E:$E,'COGS Break up'!$A:$A,'MIS Working 1'!$D338,'COGS Break up'!$D:$D,'MIS Working 1'!$AE$1)</f>
        <v>32.480000000000004</v>
      </c>
      <c r="AF338" s="280">
        <f>'MIS Working 1'!$AG338+'MIS Working 1'!$AH338+'MIS Working 1'!$AM338+'MIS Working 1'!$AL338</f>
        <v>255602.15999999989</v>
      </c>
      <c r="AG338" s="279">
        <f>'MIS Working 1'!$L338*'MIS Working 1'!$Y338</f>
        <v>230567.03999999986</v>
      </c>
      <c r="AH338" s="279">
        <f>'MIS Working 1'!$L338*'MIS Working 1'!$Z338</f>
        <v>11832.48</v>
      </c>
      <c r="AI338" s="279">
        <f t="shared" si="15"/>
        <v>970.2</v>
      </c>
      <c r="AJ338" s="279">
        <f t="shared" si="16"/>
        <v>8601.119999999999</v>
      </c>
      <c r="AK338" s="279">
        <f t="shared" si="17"/>
        <v>3290.76</v>
      </c>
      <c r="AL338" s="279">
        <f>'MIS Working 1'!$AD338*'MIS Working 1'!$L338</f>
        <v>170.28</v>
      </c>
      <c r="AM338" s="279">
        <f>'MIS Working 1'!$L338*'MIS Working 1'!$AE338+'MIS Working 1'!$AL338</f>
        <v>13032.360000000002</v>
      </c>
    </row>
    <row r="339" spans="1:39" x14ac:dyDescent="0.3">
      <c r="A339" s="263" t="s">
        <v>479</v>
      </c>
      <c r="B339" s="264">
        <v>45968</v>
      </c>
      <c r="C339" s="265" t="s">
        <v>1835</v>
      </c>
      <c r="D339" s="265" t="s">
        <v>493</v>
      </c>
      <c r="E339" s="265" t="s">
        <v>494</v>
      </c>
      <c r="F339" s="265" t="s">
        <v>18</v>
      </c>
      <c r="G339" s="265" t="s">
        <v>19</v>
      </c>
      <c r="H339" s="265" t="s">
        <v>27</v>
      </c>
      <c r="I339" s="266">
        <v>105</v>
      </c>
      <c r="J339" s="267">
        <v>34362.300000000003</v>
      </c>
      <c r="K339" s="266">
        <v>105</v>
      </c>
      <c r="L339" s="266">
        <v>105</v>
      </c>
      <c r="M339" s="264">
        <v>45968</v>
      </c>
      <c r="N339" s="267">
        <v>35677.949999999997</v>
      </c>
      <c r="O339" s="265" t="s">
        <v>21</v>
      </c>
      <c r="P339" s="265" t="s">
        <v>22</v>
      </c>
      <c r="Q339" s="265" t="s">
        <v>660</v>
      </c>
      <c r="R339" s="265" t="str">
        <f>VLOOKUP('MIS Working 1'!$G339,Master!$H$3:$I$8,2,0)</f>
        <v>Finished Goods</v>
      </c>
      <c r="S339" s="265" t="str">
        <f>VLOOKUP('MIS Working 1'!$H339,Master!B:C,2,0)</f>
        <v>FG-PCB-CF</v>
      </c>
      <c r="T339" s="265" t="str">
        <f>VLOOKUP('MIS Working 1'!$S339,Master!E:F,2,0)</f>
        <v>FG-PCB-CF</v>
      </c>
      <c r="U339" s="268">
        <f>'MIS Working 1'!$N339-'MIS Working 1'!$AF339</f>
        <v>1297.8000000000029</v>
      </c>
      <c r="V339" s="269">
        <f>'MIS Working 1'!$U339/'MIS Working 1'!$N339</f>
        <v>3.6375408340445656E-2</v>
      </c>
      <c r="W339" s="265">
        <f>'MIS Working 1'!$N339/'MIS Working 1'!$L339</f>
        <v>339.78999999999996</v>
      </c>
      <c r="X339" s="270">
        <f>SUM('MIS Working 1'!$Y339:$AE339)</f>
        <v>354.75</v>
      </c>
      <c r="Y339" s="270">
        <f>SUMIFS('COGS Break up'!$E:$E,'COGS Break up'!$A:$A,'MIS Working 1'!$D339,'COGS Break up'!$D:$D,'MIS Working 1'!$Y$1)</f>
        <v>275.87999999999994</v>
      </c>
      <c r="Z339" s="270">
        <f>SUMIFS('COGS Break up'!$E:$E,'COGS Break up'!$A:$A,'MIS Working 1'!$D339,'COGS Break up'!$D:$D,'MIS Working 1'!$Z$1)</f>
        <v>23.720000000000002</v>
      </c>
      <c r="AA339" s="270">
        <f>SUMIFS('COGS Break up'!E:E,'COGS Break up'!A:A,'MIS Working 1'!$D:$D,'COGS Break up'!C:C,'MIS Working 1'!$AA$1)</f>
        <v>1.94</v>
      </c>
      <c r="AB339" s="270">
        <f>SUMIFS('COGS Break up'!E:E,'COGS Break up'!A:A,'MIS Working 1'!$D:$D,'COGS Break up'!C:C,$AB$1)</f>
        <v>17.239999999999998</v>
      </c>
      <c r="AC339" s="270">
        <f>SUMIFS('COGS Break up'!E:E,'COGS Break up'!A:A,'MIS Working 1'!$D:$D,'COGS Break up'!C:C,$AC$1)</f>
        <v>8.31</v>
      </c>
      <c r="AD339" s="270">
        <f>SUMIFS('COGS Break up'!$E:$E,'COGS Break up'!$A:$A,'MIS Working 1'!$D339,'COGS Break up'!$D:$D,'MIS Working 1'!$AD$1)</f>
        <v>0.17</v>
      </c>
      <c r="AE339" s="270">
        <f>SUMIFS('COGS Break up'!$E:$E,'COGS Break up'!$A:$A,'MIS Working 1'!$D339,'COGS Break up'!$D:$D,'MIS Working 1'!$AE$1)</f>
        <v>27.49</v>
      </c>
      <c r="AF339" s="271">
        <f>'MIS Working 1'!$AG339+'MIS Working 1'!$AH339+'MIS Working 1'!$AM339+'MIS Working 1'!$AL339</f>
        <v>34380.149999999994</v>
      </c>
      <c r="AG339" s="270">
        <f>'MIS Working 1'!$L339*'MIS Working 1'!$Y339</f>
        <v>28967.399999999994</v>
      </c>
      <c r="AH339" s="270">
        <f>'MIS Working 1'!$L339*'MIS Working 1'!$Z339</f>
        <v>2490.6000000000004</v>
      </c>
      <c r="AI339" s="270">
        <f t="shared" si="15"/>
        <v>203.7</v>
      </c>
      <c r="AJ339" s="270">
        <f t="shared" si="16"/>
        <v>1810.1999999999998</v>
      </c>
      <c r="AK339" s="270">
        <f t="shared" si="17"/>
        <v>872.55000000000007</v>
      </c>
      <c r="AL339" s="270">
        <f>'MIS Working 1'!$AD339*'MIS Working 1'!$L339</f>
        <v>17.850000000000001</v>
      </c>
      <c r="AM339" s="270">
        <f>'MIS Working 1'!$L339*'MIS Working 1'!$AE339+'MIS Working 1'!$AL339</f>
        <v>2904.2999999999997</v>
      </c>
    </row>
    <row r="340" spans="1:39" x14ac:dyDescent="0.3">
      <c r="A340" s="272" t="s">
        <v>1212</v>
      </c>
      <c r="B340" s="273">
        <v>45968</v>
      </c>
      <c r="C340" s="274" t="s">
        <v>1836</v>
      </c>
      <c r="D340" s="274" t="s">
        <v>1645</v>
      </c>
      <c r="E340" s="274" t="s">
        <v>1646</v>
      </c>
      <c r="F340" s="274" t="s">
        <v>18</v>
      </c>
      <c r="G340" s="274" t="s">
        <v>48</v>
      </c>
      <c r="H340" s="274" t="s">
        <v>201</v>
      </c>
      <c r="I340" s="275">
        <v>30000</v>
      </c>
      <c r="J340" s="276">
        <v>78000</v>
      </c>
      <c r="K340" s="275">
        <v>30000</v>
      </c>
      <c r="L340" s="275">
        <v>30000</v>
      </c>
      <c r="M340" s="273">
        <v>45968</v>
      </c>
      <c r="N340" s="276">
        <v>78000</v>
      </c>
      <c r="O340" s="274" t="s">
        <v>21</v>
      </c>
      <c r="P340" s="274" t="s">
        <v>22</v>
      </c>
      <c r="Q340" s="274" t="s">
        <v>1750</v>
      </c>
      <c r="R340" s="274" t="str">
        <f>VLOOKUP('MIS Working 1'!$G340,Master!$H$3:$I$8,2,0)</f>
        <v>Raw Material</v>
      </c>
      <c r="S340" s="274" t="str">
        <f>VLOOKUP('MIS Working 1'!$H340,Master!B:C,2,0)</f>
        <v>RM-Eletro-Diodes</v>
      </c>
      <c r="T340" s="274" t="str">
        <f>VLOOKUP('MIS Working 1'!$S340,Master!E:F,2,0)</f>
        <v>Raw Material</v>
      </c>
      <c r="U340" s="277">
        <f>'MIS Working 1'!$N340-'MIS Working 1'!$AF340</f>
        <v>78000</v>
      </c>
      <c r="V340" s="278">
        <f>'MIS Working 1'!$U340/'MIS Working 1'!$N340</f>
        <v>1</v>
      </c>
      <c r="W340" s="274">
        <f>'MIS Working 1'!$N340/'MIS Working 1'!$L340</f>
        <v>2.6</v>
      </c>
      <c r="X340" s="279">
        <f>SUM('MIS Working 1'!$Y340:$AE340)</f>
        <v>0</v>
      </c>
      <c r="Y340" s="279">
        <f>SUMIFS('COGS Break up'!$E:$E,'COGS Break up'!$A:$A,'MIS Working 1'!$D340,'COGS Break up'!$D:$D,'MIS Working 1'!$Y$1)</f>
        <v>0</v>
      </c>
      <c r="Z340" s="279">
        <f>SUMIFS('COGS Break up'!$E:$E,'COGS Break up'!$A:$A,'MIS Working 1'!$D340,'COGS Break up'!$D:$D,'MIS Working 1'!$Z$1)</f>
        <v>0</v>
      </c>
      <c r="AA340" s="279">
        <f>SUMIFS('COGS Break up'!E:E,'COGS Break up'!A:A,'MIS Working 1'!$D:$D,'COGS Break up'!C:C,'MIS Working 1'!$AA$1)</f>
        <v>0</v>
      </c>
      <c r="AB340" s="279">
        <f>SUMIFS('COGS Break up'!E:E,'COGS Break up'!A:A,'MIS Working 1'!$D:$D,'COGS Break up'!C:C,$AB$1)</f>
        <v>0</v>
      </c>
      <c r="AC340" s="279">
        <f>SUMIFS('COGS Break up'!E:E,'COGS Break up'!A:A,'MIS Working 1'!$D:$D,'COGS Break up'!C:C,$AC$1)</f>
        <v>0</v>
      </c>
      <c r="AD340" s="279">
        <f>SUMIFS('COGS Break up'!$E:$E,'COGS Break up'!$A:$A,'MIS Working 1'!$D340,'COGS Break up'!$D:$D,'MIS Working 1'!$AD$1)</f>
        <v>0</v>
      </c>
      <c r="AE340" s="279">
        <f>SUMIFS('COGS Break up'!$E:$E,'COGS Break up'!$A:$A,'MIS Working 1'!$D340,'COGS Break up'!$D:$D,'MIS Working 1'!$AE$1)</f>
        <v>0</v>
      </c>
      <c r="AF340" s="280">
        <f>'MIS Working 1'!$AG340+'MIS Working 1'!$AH340+'MIS Working 1'!$AM340+'MIS Working 1'!$AL340</f>
        <v>0</v>
      </c>
      <c r="AG340" s="279">
        <f>'MIS Working 1'!$L340*'MIS Working 1'!$Y340</f>
        <v>0</v>
      </c>
      <c r="AH340" s="279">
        <f>'MIS Working 1'!$L340*'MIS Working 1'!$Z340</f>
        <v>0</v>
      </c>
      <c r="AI340" s="279">
        <f t="shared" si="15"/>
        <v>0</v>
      </c>
      <c r="AJ340" s="279">
        <f t="shared" si="16"/>
        <v>0</v>
      </c>
      <c r="AK340" s="279">
        <f t="shared" si="17"/>
        <v>0</v>
      </c>
      <c r="AL340" s="279">
        <f>'MIS Working 1'!$AD340*'MIS Working 1'!$L340</f>
        <v>0</v>
      </c>
      <c r="AM340" s="279">
        <f>'MIS Working 1'!$L340*'MIS Working 1'!$AE340+'MIS Working 1'!$AL340</f>
        <v>0</v>
      </c>
    </row>
    <row r="341" spans="1:39" x14ac:dyDescent="0.3">
      <c r="A341" s="263" t="s">
        <v>1212</v>
      </c>
      <c r="B341" s="264">
        <v>45968</v>
      </c>
      <c r="C341" s="265" t="s">
        <v>1836</v>
      </c>
      <c r="D341" s="265" t="s">
        <v>1457</v>
      </c>
      <c r="E341" s="265" t="s">
        <v>1458</v>
      </c>
      <c r="F341" s="265" t="s">
        <v>18</v>
      </c>
      <c r="G341" s="265" t="s">
        <v>48</v>
      </c>
      <c r="H341" s="265" t="s">
        <v>168</v>
      </c>
      <c r="I341" s="266">
        <v>40000</v>
      </c>
      <c r="J341" s="267">
        <v>110000</v>
      </c>
      <c r="K341" s="266">
        <v>40000</v>
      </c>
      <c r="L341" s="266">
        <v>40000</v>
      </c>
      <c r="M341" s="264">
        <v>45968</v>
      </c>
      <c r="N341" s="267">
        <v>110000</v>
      </c>
      <c r="O341" s="265" t="s">
        <v>21</v>
      </c>
      <c r="P341" s="265" t="s">
        <v>22</v>
      </c>
      <c r="Q341" s="265" t="s">
        <v>1750</v>
      </c>
      <c r="R341" s="265" t="str">
        <f>VLOOKUP('MIS Working 1'!$G341,Master!$H$3:$I$8,2,0)</f>
        <v>Raw Material</v>
      </c>
      <c r="S341" s="265" t="str">
        <f>VLOOKUP('MIS Working 1'!$H341,Master!B:C,2,0)</f>
        <v>Raw Materials</v>
      </c>
      <c r="T341" s="265" t="str">
        <f>VLOOKUP('MIS Working 1'!$S341,Master!E:F,2,0)</f>
        <v>Raw Material</v>
      </c>
      <c r="U341" s="268">
        <f>'MIS Working 1'!$N341-'MIS Working 1'!$AF341</f>
        <v>110000</v>
      </c>
      <c r="V341" s="269">
        <f>'MIS Working 1'!$U341/'MIS Working 1'!$N341</f>
        <v>1</v>
      </c>
      <c r="W341" s="265">
        <f>'MIS Working 1'!$N341/'MIS Working 1'!$L341</f>
        <v>2.75</v>
      </c>
      <c r="X341" s="270">
        <f>SUM('MIS Working 1'!$Y341:$AE341)</f>
        <v>0</v>
      </c>
      <c r="Y341" s="270">
        <f>SUMIFS('COGS Break up'!$E:$E,'COGS Break up'!$A:$A,'MIS Working 1'!$D341,'COGS Break up'!$D:$D,'MIS Working 1'!$Y$1)</f>
        <v>0</v>
      </c>
      <c r="Z341" s="270">
        <f>SUMIFS('COGS Break up'!$E:$E,'COGS Break up'!$A:$A,'MIS Working 1'!$D341,'COGS Break up'!$D:$D,'MIS Working 1'!$Z$1)</f>
        <v>0</v>
      </c>
      <c r="AA341" s="270">
        <f>SUMIFS('COGS Break up'!E:E,'COGS Break up'!A:A,'MIS Working 1'!$D:$D,'COGS Break up'!C:C,'MIS Working 1'!$AA$1)</f>
        <v>0</v>
      </c>
      <c r="AB341" s="270">
        <f>SUMIFS('COGS Break up'!E:E,'COGS Break up'!A:A,'MIS Working 1'!$D:$D,'COGS Break up'!C:C,$AB$1)</f>
        <v>0</v>
      </c>
      <c r="AC341" s="270">
        <f>SUMIFS('COGS Break up'!E:E,'COGS Break up'!A:A,'MIS Working 1'!$D:$D,'COGS Break up'!C:C,$AC$1)</f>
        <v>0</v>
      </c>
      <c r="AD341" s="270">
        <f>SUMIFS('COGS Break up'!$E:$E,'COGS Break up'!$A:$A,'MIS Working 1'!$D341,'COGS Break up'!$D:$D,'MIS Working 1'!$AD$1)</f>
        <v>0</v>
      </c>
      <c r="AE341" s="270">
        <f>SUMIFS('COGS Break up'!$E:$E,'COGS Break up'!$A:$A,'MIS Working 1'!$D341,'COGS Break up'!$D:$D,'MIS Working 1'!$AE$1)</f>
        <v>0</v>
      </c>
      <c r="AF341" s="271">
        <f>'MIS Working 1'!$AG341+'MIS Working 1'!$AH341+'MIS Working 1'!$AM341+'MIS Working 1'!$AL341</f>
        <v>0</v>
      </c>
      <c r="AG341" s="270">
        <f>'MIS Working 1'!$L341*'MIS Working 1'!$Y341</f>
        <v>0</v>
      </c>
      <c r="AH341" s="270">
        <f>'MIS Working 1'!$L341*'MIS Working 1'!$Z341</f>
        <v>0</v>
      </c>
      <c r="AI341" s="270">
        <f t="shared" si="15"/>
        <v>0</v>
      </c>
      <c r="AJ341" s="270">
        <f t="shared" si="16"/>
        <v>0</v>
      </c>
      <c r="AK341" s="270">
        <f t="shared" si="17"/>
        <v>0</v>
      </c>
      <c r="AL341" s="270">
        <f>'MIS Working 1'!$AD341*'MIS Working 1'!$L341</f>
        <v>0</v>
      </c>
      <c r="AM341" s="270">
        <f>'MIS Working 1'!$L341*'MIS Working 1'!$AE341+'MIS Working 1'!$AL341</f>
        <v>0</v>
      </c>
    </row>
    <row r="342" spans="1:39" x14ac:dyDescent="0.3">
      <c r="A342" s="272" t="s">
        <v>1212</v>
      </c>
      <c r="B342" s="273">
        <v>45968</v>
      </c>
      <c r="C342" s="274" t="s">
        <v>1836</v>
      </c>
      <c r="D342" s="274" t="s">
        <v>1647</v>
      </c>
      <c r="E342" s="274" t="s">
        <v>1648</v>
      </c>
      <c r="F342" s="274" t="s">
        <v>18</v>
      </c>
      <c r="G342" s="274" t="s">
        <v>48</v>
      </c>
      <c r="H342" s="274" t="s">
        <v>225</v>
      </c>
      <c r="I342" s="275">
        <v>39600</v>
      </c>
      <c r="J342" s="276">
        <v>1268216.29</v>
      </c>
      <c r="K342" s="275">
        <v>39600</v>
      </c>
      <c r="L342" s="275">
        <v>39600</v>
      </c>
      <c r="M342" s="273">
        <v>45968</v>
      </c>
      <c r="N342" s="276">
        <v>1184832</v>
      </c>
      <c r="O342" s="274" t="s">
        <v>21</v>
      </c>
      <c r="P342" s="274" t="s">
        <v>22</v>
      </c>
      <c r="Q342" s="274" t="s">
        <v>1750</v>
      </c>
      <c r="R342" s="274" t="str">
        <f>VLOOKUP('MIS Working 1'!$G342,Master!$H$3:$I$8,2,0)</f>
        <v>Raw Material</v>
      </c>
      <c r="S342" s="274" t="str">
        <f>VLOOKUP('MIS Working 1'!$H342,Master!B:C,2,0)</f>
        <v>RM-Eletro-PCB</v>
      </c>
      <c r="T342" s="274" t="str">
        <f>VLOOKUP('MIS Working 1'!$S342,Master!E:F,2,0)</f>
        <v>Raw Material</v>
      </c>
      <c r="U342" s="277">
        <f>'MIS Working 1'!$N342-'MIS Working 1'!$AF342</f>
        <v>1184832</v>
      </c>
      <c r="V342" s="278">
        <f>'MIS Working 1'!$U342/'MIS Working 1'!$N342</f>
        <v>1</v>
      </c>
      <c r="W342" s="274">
        <f>'MIS Working 1'!$N342/'MIS Working 1'!$L342</f>
        <v>29.92</v>
      </c>
      <c r="X342" s="279">
        <f>SUM('MIS Working 1'!$Y342:$AE342)</f>
        <v>0</v>
      </c>
      <c r="Y342" s="279">
        <f>SUMIFS('COGS Break up'!$E:$E,'COGS Break up'!$A:$A,'MIS Working 1'!$D342,'COGS Break up'!$D:$D,'MIS Working 1'!$Y$1)</f>
        <v>0</v>
      </c>
      <c r="Z342" s="279">
        <f>SUMIFS('COGS Break up'!$E:$E,'COGS Break up'!$A:$A,'MIS Working 1'!$D342,'COGS Break up'!$D:$D,'MIS Working 1'!$Z$1)</f>
        <v>0</v>
      </c>
      <c r="AA342" s="279">
        <f>SUMIFS('COGS Break up'!E:E,'COGS Break up'!A:A,'MIS Working 1'!$D:$D,'COGS Break up'!C:C,'MIS Working 1'!$AA$1)</f>
        <v>0</v>
      </c>
      <c r="AB342" s="279">
        <f>SUMIFS('COGS Break up'!E:E,'COGS Break up'!A:A,'MIS Working 1'!$D:$D,'COGS Break up'!C:C,$AB$1)</f>
        <v>0</v>
      </c>
      <c r="AC342" s="279">
        <f>SUMIFS('COGS Break up'!E:E,'COGS Break up'!A:A,'MIS Working 1'!$D:$D,'COGS Break up'!C:C,$AC$1)</f>
        <v>0</v>
      </c>
      <c r="AD342" s="279">
        <f>SUMIFS('COGS Break up'!$E:$E,'COGS Break up'!$A:$A,'MIS Working 1'!$D342,'COGS Break up'!$D:$D,'MIS Working 1'!$AD$1)</f>
        <v>0</v>
      </c>
      <c r="AE342" s="279">
        <f>SUMIFS('COGS Break up'!$E:$E,'COGS Break up'!$A:$A,'MIS Working 1'!$D342,'COGS Break up'!$D:$D,'MIS Working 1'!$AE$1)</f>
        <v>0</v>
      </c>
      <c r="AF342" s="280">
        <f>'MIS Working 1'!$AG342+'MIS Working 1'!$AH342+'MIS Working 1'!$AM342+'MIS Working 1'!$AL342</f>
        <v>0</v>
      </c>
      <c r="AG342" s="279">
        <f>'MIS Working 1'!$L342*'MIS Working 1'!$Y342</f>
        <v>0</v>
      </c>
      <c r="AH342" s="279">
        <f>'MIS Working 1'!$L342*'MIS Working 1'!$Z342</f>
        <v>0</v>
      </c>
      <c r="AI342" s="279">
        <f t="shared" si="15"/>
        <v>0</v>
      </c>
      <c r="AJ342" s="279">
        <f t="shared" si="16"/>
        <v>0</v>
      </c>
      <c r="AK342" s="279">
        <f t="shared" si="17"/>
        <v>0</v>
      </c>
      <c r="AL342" s="279">
        <f>'MIS Working 1'!$AD342*'MIS Working 1'!$L342</f>
        <v>0</v>
      </c>
      <c r="AM342" s="279">
        <f>'MIS Working 1'!$L342*'MIS Working 1'!$AE342+'MIS Working 1'!$AL342</f>
        <v>0</v>
      </c>
    </row>
    <row r="343" spans="1:39" x14ac:dyDescent="0.3">
      <c r="A343" s="263" t="s">
        <v>1212</v>
      </c>
      <c r="B343" s="264">
        <v>45968</v>
      </c>
      <c r="C343" s="265" t="s">
        <v>1836</v>
      </c>
      <c r="D343" s="265" t="s">
        <v>1649</v>
      </c>
      <c r="E343" s="265" t="s">
        <v>1650</v>
      </c>
      <c r="F343" s="265" t="s">
        <v>18</v>
      </c>
      <c r="G343" s="265" t="s">
        <v>48</v>
      </c>
      <c r="H343" s="265" t="s">
        <v>168</v>
      </c>
      <c r="I343" s="266">
        <v>5000</v>
      </c>
      <c r="J343" s="267">
        <v>18750</v>
      </c>
      <c r="K343" s="266">
        <v>5000</v>
      </c>
      <c r="L343" s="266">
        <v>5000</v>
      </c>
      <c r="M343" s="264">
        <v>45968</v>
      </c>
      <c r="N343" s="267">
        <v>18750</v>
      </c>
      <c r="O343" s="265" t="s">
        <v>21</v>
      </c>
      <c r="P343" s="265" t="s">
        <v>22</v>
      </c>
      <c r="Q343" s="265" t="s">
        <v>1750</v>
      </c>
      <c r="R343" s="265" t="str">
        <f>VLOOKUP('MIS Working 1'!$G343,Master!$H$3:$I$8,2,0)</f>
        <v>Raw Material</v>
      </c>
      <c r="S343" s="265" t="str">
        <f>VLOOKUP('MIS Working 1'!$H343,Master!B:C,2,0)</f>
        <v>Raw Materials</v>
      </c>
      <c r="T343" s="265" t="str">
        <f>VLOOKUP('MIS Working 1'!$S343,Master!E:F,2,0)</f>
        <v>Raw Material</v>
      </c>
      <c r="U343" s="268">
        <f>'MIS Working 1'!$N343-'MIS Working 1'!$AF343</f>
        <v>18750</v>
      </c>
      <c r="V343" s="269">
        <f>'MIS Working 1'!$U343/'MIS Working 1'!$N343</f>
        <v>1</v>
      </c>
      <c r="W343" s="265">
        <f>'MIS Working 1'!$N343/'MIS Working 1'!$L343</f>
        <v>3.75</v>
      </c>
      <c r="X343" s="270">
        <f>SUM('MIS Working 1'!$Y343:$AE343)</f>
        <v>0</v>
      </c>
      <c r="Y343" s="270">
        <f>SUMIFS('COGS Break up'!$E:$E,'COGS Break up'!$A:$A,'MIS Working 1'!$D343,'COGS Break up'!$D:$D,'MIS Working 1'!$Y$1)</f>
        <v>0</v>
      </c>
      <c r="Z343" s="270">
        <f>SUMIFS('COGS Break up'!$E:$E,'COGS Break up'!$A:$A,'MIS Working 1'!$D343,'COGS Break up'!$D:$D,'MIS Working 1'!$Z$1)</f>
        <v>0</v>
      </c>
      <c r="AA343" s="270">
        <f>SUMIFS('COGS Break up'!E:E,'COGS Break up'!A:A,'MIS Working 1'!$D:$D,'COGS Break up'!C:C,'MIS Working 1'!$AA$1)</f>
        <v>0</v>
      </c>
      <c r="AB343" s="270">
        <f>SUMIFS('COGS Break up'!E:E,'COGS Break up'!A:A,'MIS Working 1'!$D:$D,'COGS Break up'!C:C,$AB$1)</f>
        <v>0</v>
      </c>
      <c r="AC343" s="270">
        <f>SUMIFS('COGS Break up'!E:E,'COGS Break up'!A:A,'MIS Working 1'!$D:$D,'COGS Break up'!C:C,$AC$1)</f>
        <v>0</v>
      </c>
      <c r="AD343" s="270">
        <f>SUMIFS('COGS Break up'!$E:$E,'COGS Break up'!$A:$A,'MIS Working 1'!$D343,'COGS Break up'!$D:$D,'MIS Working 1'!$AD$1)</f>
        <v>0</v>
      </c>
      <c r="AE343" s="270">
        <f>SUMIFS('COGS Break up'!$E:$E,'COGS Break up'!$A:$A,'MIS Working 1'!$D343,'COGS Break up'!$D:$D,'MIS Working 1'!$AE$1)</f>
        <v>0</v>
      </c>
      <c r="AF343" s="271">
        <f>'MIS Working 1'!$AG343+'MIS Working 1'!$AH343+'MIS Working 1'!$AM343+'MIS Working 1'!$AL343</f>
        <v>0</v>
      </c>
      <c r="AG343" s="270">
        <f>'MIS Working 1'!$L343*'MIS Working 1'!$Y343</f>
        <v>0</v>
      </c>
      <c r="AH343" s="270">
        <f>'MIS Working 1'!$L343*'MIS Working 1'!$Z343</f>
        <v>0</v>
      </c>
      <c r="AI343" s="270">
        <f t="shared" si="15"/>
        <v>0</v>
      </c>
      <c r="AJ343" s="270">
        <f t="shared" si="16"/>
        <v>0</v>
      </c>
      <c r="AK343" s="270">
        <f t="shared" si="17"/>
        <v>0</v>
      </c>
      <c r="AL343" s="270">
        <f>'MIS Working 1'!$AD343*'MIS Working 1'!$L343</f>
        <v>0</v>
      </c>
      <c r="AM343" s="270">
        <f>'MIS Working 1'!$L343*'MIS Working 1'!$AE343+'MIS Working 1'!$AL343</f>
        <v>0</v>
      </c>
    </row>
    <row r="344" spans="1:39" x14ac:dyDescent="0.3">
      <c r="A344" s="272" t="s">
        <v>1212</v>
      </c>
      <c r="B344" s="273">
        <v>45968</v>
      </c>
      <c r="C344" s="274" t="s">
        <v>1836</v>
      </c>
      <c r="D344" s="274" t="s">
        <v>1651</v>
      </c>
      <c r="E344" s="274" t="s">
        <v>1589</v>
      </c>
      <c r="F344" s="274" t="s">
        <v>18</v>
      </c>
      <c r="G344" s="274" t="s">
        <v>48</v>
      </c>
      <c r="H344" s="274" t="s">
        <v>198</v>
      </c>
      <c r="I344" s="275">
        <v>20000</v>
      </c>
      <c r="J344" s="276">
        <v>7400</v>
      </c>
      <c r="K344" s="275">
        <v>20000</v>
      </c>
      <c r="L344" s="275">
        <v>20000</v>
      </c>
      <c r="M344" s="273">
        <v>45968</v>
      </c>
      <c r="N344" s="276">
        <v>7400</v>
      </c>
      <c r="O344" s="274" t="s">
        <v>21</v>
      </c>
      <c r="P344" s="274" t="s">
        <v>22</v>
      </c>
      <c r="Q344" s="274" t="s">
        <v>1750</v>
      </c>
      <c r="R344" s="274" t="str">
        <f>VLOOKUP('MIS Working 1'!$G344,Master!$H$3:$I$8,2,0)</f>
        <v>Raw Material</v>
      </c>
      <c r="S344" s="274" t="str">
        <f>VLOOKUP('MIS Working 1'!$H344,Master!B:C,2,0)</f>
        <v>RM-Eletro-Capacitor</v>
      </c>
      <c r="T344" s="274" t="str">
        <f>VLOOKUP('MIS Working 1'!$S344,Master!E:F,2,0)</f>
        <v>Raw Material</v>
      </c>
      <c r="U344" s="277">
        <f>'MIS Working 1'!$N344-'MIS Working 1'!$AF344</f>
        <v>7400</v>
      </c>
      <c r="V344" s="278">
        <f>'MIS Working 1'!$U344/'MIS Working 1'!$N344</f>
        <v>1</v>
      </c>
      <c r="W344" s="274">
        <f>'MIS Working 1'!$N344/'MIS Working 1'!$L344</f>
        <v>0.37</v>
      </c>
      <c r="X344" s="279">
        <f>SUM('MIS Working 1'!$Y344:$AE344)</f>
        <v>0</v>
      </c>
      <c r="Y344" s="279">
        <f>SUMIFS('COGS Break up'!$E:$E,'COGS Break up'!$A:$A,'MIS Working 1'!$D344,'COGS Break up'!$D:$D,'MIS Working 1'!$Y$1)</f>
        <v>0</v>
      </c>
      <c r="Z344" s="279">
        <f>SUMIFS('COGS Break up'!$E:$E,'COGS Break up'!$A:$A,'MIS Working 1'!$D344,'COGS Break up'!$D:$D,'MIS Working 1'!$Z$1)</f>
        <v>0</v>
      </c>
      <c r="AA344" s="279">
        <f>SUMIFS('COGS Break up'!E:E,'COGS Break up'!A:A,'MIS Working 1'!$D:$D,'COGS Break up'!C:C,'MIS Working 1'!$AA$1)</f>
        <v>0</v>
      </c>
      <c r="AB344" s="279">
        <f>SUMIFS('COGS Break up'!E:E,'COGS Break up'!A:A,'MIS Working 1'!$D:$D,'COGS Break up'!C:C,$AB$1)</f>
        <v>0</v>
      </c>
      <c r="AC344" s="279">
        <f>SUMIFS('COGS Break up'!E:E,'COGS Break up'!A:A,'MIS Working 1'!$D:$D,'COGS Break up'!C:C,$AC$1)</f>
        <v>0</v>
      </c>
      <c r="AD344" s="279">
        <f>SUMIFS('COGS Break up'!$E:$E,'COGS Break up'!$A:$A,'MIS Working 1'!$D344,'COGS Break up'!$D:$D,'MIS Working 1'!$AD$1)</f>
        <v>0</v>
      </c>
      <c r="AE344" s="279">
        <f>SUMIFS('COGS Break up'!$E:$E,'COGS Break up'!$A:$A,'MIS Working 1'!$D344,'COGS Break up'!$D:$D,'MIS Working 1'!$AE$1)</f>
        <v>0</v>
      </c>
      <c r="AF344" s="280">
        <f>'MIS Working 1'!$AG344+'MIS Working 1'!$AH344+'MIS Working 1'!$AM344+'MIS Working 1'!$AL344</f>
        <v>0</v>
      </c>
      <c r="AG344" s="279">
        <f>'MIS Working 1'!$L344*'MIS Working 1'!$Y344</f>
        <v>0</v>
      </c>
      <c r="AH344" s="279">
        <f>'MIS Working 1'!$L344*'MIS Working 1'!$Z344</f>
        <v>0</v>
      </c>
      <c r="AI344" s="279">
        <f t="shared" si="15"/>
        <v>0</v>
      </c>
      <c r="AJ344" s="279">
        <f t="shared" si="16"/>
        <v>0</v>
      </c>
      <c r="AK344" s="279">
        <f t="shared" si="17"/>
        <v>0</v>
      </c>
      <c r="AL344" s="279">
        <f>'MIS Working 1'!$AD344*'MIS Working 1'!$L344</f>
        <v>0</v>
      </c>
      <c r="AM344" s="279">
        <f>'MIS Working 1'!$L344*'MIS Working 1'!$AE344+'MIS Working 1'!$AL344</f>
        <v>0</v>
      </c>
    </row>
    <row r="345" spans="1:39" x14ac:dyDescent="0.3">
      <c r="A345" s="263" t="s">
        <v>1212</v>
      </c>
      <c r="B345" s="264">
        <v>45968</v>
      </c>
      <c r="C345" s="265" t="s">
        <v>1837</v>
      </c>
      <c r="D345" s="265" t="s">
        <v>1227</v>
      </c>
      <c r="E345" s="265" t="s">
        <v>1228</v>
      </c>
      <c r="F345" s="265" t="s">
        <v>18</v>
      </c>
      <c r="G345" s="265" t="s">
        <v>48</v>
      </c>
      <c r="H345" s="265" t="s">
        <v>207</v>
      </c>
      <c r="I345" s="266">
        <v>1200</v>
      </c>
      <c r="J345" s="267">
        <v>9233.2199999999993</v>
      </c>
      <c r="K345" s="266">
        <v>1200</v>
      </c>
      <c r="L345" s="266">
        <v>1200</v>
      </c>
      <c r="M345" s="264">
        <v>45968</v>
      </c>
      <c r="N345" s="267">
        <v>7956</v>
      </c>
      <c r="O345" s="265" t="s">
        <v>21</v>
      </c>
      <c r="P345" s="265" t="s">
        <v>22</v>
      </c>
      <c r="Q345" s="265" t="s">
        <v>1750</v>
      </c>
      <c r="R345" s="265" t="str">
        <f>VLOOKUP('MIS Working 1'!$G345,Master!$H$3:$I$8,2,0)</f>
        <v>Raw Material</v>
      </c>
      <c r="S345" s="265" t="str">
        <f>VLOOKUP('MIS Working 1'!$H345,Master!B:C,2,0)</f>
        <v>RM-Mech. Accessories</v>
      </c>
      <c r="T345" s="265" t="str">
        <f>VLOOKUP('MIS Working 1'!$S345,Master!E:F,2,0)</f>
        <v>Raw Material</v>
      </c>
      <c r="U345" s="268">
        <f>'MIS Working 1'!$N345-'MIS Working 1'!$AF345</f>
        <v>7956</v>
      </c>
      <c r="V345" s="269">
        <f>'MIS Working 1'!$U345/'MIS Working 1'!$N345</f>
        <v>1</v>
      </c>
      <c r="W345" s="265">
        <f>'MIS Working 1'!$N345/'MIS Working 1'!$L345</f>
        <v>6.63</v>
      </c>
      <c r="X345" s="270">
        <f>SUM('MIS Working 1'!$Y345:$AE345)</f>
        <v>0</v>
      </c>
      <c r="Y345" s="270">
        <f>SUMIFS('COGS Break up'!$E:$E,'COGS Break up'!$A:$A,'MIS Working 1'!$D345,'COGS Break up'!$D:$D,'MIS Working 1'!$Y$1)</f>
        <v>0</v>
      </c>
      <c r="Z345" s="270">
        <f>SUMIFS('COGS Break up'!$E:$E,'COGS Break up'!$A:$A,'MIS Working 1'!$D345,'COGS Break up'!$D:$D,'MIS Working 1'!$Z$1)</f>
        <v>0</v>
      </c>
      <c r="AA345" s="270">
        <f>SUMIFS('COGS Break up'!E:E,'COGS Break up'!A:A,'MIS Working 1'!$D:$D,'COGS Break up'!C:C,'MIS Working 1'!$AA$1)</f>
        <v>0</v>
      </c>
      <c r="AB345" s="270">
        <f>SUMIFS('COGS Break up'!E:E,'COGS Break up'!A:A,'MIS Working 1'!$D:$D,'COGS Break up'!C:C,$AB$1)</f>
        <v>0</v>
      </c>
      <c r="AC345" s="270">
        <f>SUMIFS('COGS Break up'!E:E,'COGS Break up'!A:A,'MIS Working 1'!$D:$D,'COGS Break up'!C:C,$AC$1)</f>
        <v>0</v>
      </c>
      <c r="AD345" s="270">
        <f>SUMIFS('COGS Break up'!$E:$E,'COGS Break up'!$A:$A,'MIS Working 1'!$D345,'COGS Break up'!$D:$D,'MIS Working 1'!$AD$1)</f>
        <v>0</v>
      </c>
      <c r="AE345" s="270">
        <f>SUMIFS('COGS Break up'!$E:$E,'COGS Break up'!$A:$A,'MIS Working 1'!$D345,'COGS Break up'!$D:$D,'MIS Working 1'!$AE$1)</f>
        <v>0</v>
      </c>
      <c r="AF345" s="271">
        <f>'MIS Working 1'!$AG345+'MIS Working 1'!$AH345+'MIS Working 1'!$AM345+'MIS Working 1'!$AL345</f>
        <v>0</v>
      </c>
      <c r="AG345" s="270">
        <f>'MIS Working 1'!$L345*'MIS Working 1'!$Y345</f>
        <v>0</v>
      </c>
      <c r="AH345" s="270">
        <f>'MIS Working 1'!$L345*'MIS Working 1'!$Z345</f>
        <v>0</v>
      </c>
      <c r="AI345" s="270">
        <f t="shared" si="15"/>
        <v>0</v>
      </c>
      <c r="AJ345" s="270">
        <f t="shared" si="16"/>
        <v>0</v>
      </c>
      <c r="AK345" s="270">
        <f t="shared" si="17"/>
        <v>0</v>
      </c>
      <c r="AL345" s="270">
        <f>'MIS Working 1'!$AD345*'MIS Working 1'!$L345</f>
        <v>0</v>
      </c>
      <c r="AM345" s="270">
        <f>'MIS Working 1'!$L345*'MIS Working 1'!$AE345+'MIS Working 1'!$AL345</f>
        <v>0</v>
      </c>
    </row>
    <row r="346" spans="1:39" x14ac:dyDescent="0.3">
      <c r="A346" s="272" t="s">
        <v>1212</v>
      </c>
      <c r="B346" s="273">
        <v>45968</v>
      </c>
      <c r="C346" s="274" t="s">
        <v>1837</v>
      </c>
      <c r="D346" s="274" t="s">
        <v>1279</v>
      </c>
      <c r="E346" s="274" t="s">
        <v>1280</v>
      </c>
      <c r="F346" s="274" t="s">
        <v>18</v>
      </c>
      <c r="G346" s="274" t="s">
        <v>48</v>
      </c>
      <c r="H346" s="274" t="s">
        <v>168</v>
      </c>
      <c r="I346" s="275">
        <v>3000</v>
      </c>
      <c r="J346" s="276">
        <v>1503.83</v>
      </c>
      <c r="K346" s="275">
        <v>3000</v>
      </c>
      <c r="L346" s="275">
        <v>3000</v>
      </c>
      <c r="M346" s="273">
        <v>45968</v>
      </c>
      <c r="N346" s="276">
        <v>1680</v>
      </c>
      <c r="O346" s="274" t="s">
        <v>21</v>
      </c>
      <c r="P346" s="274" t="s">
        <v>22</v>
      </c>
      <c r="Q346" s="274" t="s">
        <v>1750</v>
      </c>
      <c r="R346" s="274" t="str">
        <f>VLOOKUP('MIS Working 1'!$G346,Master!$H$3:$I$8,2,0)</f>
        <v>Raw Material</v>
      </c>
      <c r="S346" s="274" t="str">
        <f>VLOOKUP('MIS Working 1'!$H346,Master!B:C,2,0)</f>
        <v>Raw Materials</v>
      </c>
      <c r="T346" s="274" t="str">
        <f>VLOOKUP('MIS Working 1'!$S346,Master!E:F,2,0)</f>
        <v>Raw Material</v>
      </c>
      <c r="U346" s="277">
        <f>'MIS Working 1'!$N346-'MIS Working 1'!$AF346</f>
        <v>1680</v>
      </c>
      <c r="V346" s="278">
        <f>'MIS Working 1'!$U346/'MIS Working 1'!$N346</f>
        <v>1</v>
      </c>
      <c r="W346" s="274">
        <f>'MIS Working 1'!$N346/'MIS Working 1'!$L346</f>
        <v>0.56000000000000005</v>
      </c>
      <c r="X346" s="279">
        <f>SUM('MIS Working 1'!$Y346:$AE346)</f>
        <v>0</v>
      </c>
      <c r="Y346" s="279">
        <f>SUMIFS('COGS Break up'!$E:$E,'COGS Break up'!$A:$A,'MIS Working 1'!$D346,'COGS Break up'!$D:$D,'MIS Working 1'!$Y$1)</f>
        <v>0</v>
      </c>
      <c r="Z346" s="279">
        <f>SUMIFS('COGS Break up'!$E:$E,'COGS Break up'!$A:$A,'MIS Working 1'!$D346,'COGS Break up'!$D:$D,'MIS Working 1'!$Z$1)</f>
        <v>0</v>
      </c>
      <c r="AA346" s="279">
        <f>SUMIFS('COGS Break up'!E:E,'COGS Break up'!A:A,'MIS Working 1'!$D:$D,'COGS Break up'!C:C,'MIS Working 1'!$AA$1)</f>
        <v>0</v>
      </c>
      <c r="AB346" s="279">
        <f>SUMIFS('COGS Break up'!E:E,'COGS Break up'!A:A,'MIS Working 1'!$D:$D,'COGS Break up'!C:C,$AB$1)</f>
        <v>0</v>
      </c>
      <c r="AC346" s="279">
        <f>SUMIFS('COGS Break up'!E:E,'COGS Break up'!A:A,'MIS Working 1'!$D:$D,'COGS Break up'!C:C,$AC$1)</f>
        <v>0</v>
      </c>
      <c r="AD346" s="279">
        <f>SUMIFS('COGS Break up'!$E:$E,'COGS Break up'!$A:$A,'MIS Working 1'!$D346,'COGS Break up'!$D:$D,'MIS Working 1'!$AD$1)</f>
        <v>0</v>
      </c>
      <c r="AE346" s="279">
        <f>SUMIFS('COGS Break up'!$E:$E,'COGS Break up'!$A:$A,'MIS Working 1'!$D346,'COGS Break up'!$D:$D,'MIS Working 1'!$AE$1)</f>
        <v>0</v>
      </c>
      <c r="AF346" s="280">
        <f>'MIS Working 1'!$AG346+'MIS Working 1'!$AH346+'MIS Working 1'!$AM346+'MIS Working 1'!$AL346</f>
        <v>0</v>
      </c>
      <c r="AG346" s="279">
        <f>'MIS Working 1'!$L346*'MIS Working 1'!$Y346</f>
        <v>0</v>
      </c>
      <c r="AH346" s="279">
        <f>'MIS Working 1'!$L346*'MIS Working 1'!$Z346</f>
        <v>0</v>
      </c>
      <c r="AI346" s="279">
        <f t="shared" si="15"/>
        <v>0</v>
      </c>
      <c r="AJ346" s="279">
        <f t="shared" si="16"/>
        <v>0</v>
      </c>
      <c r="AK346" s="279">
        <f t="shared" si="17"/>
        <v>0</v>
      </c>
      <c r="AL346" s="279">
        <f>'MIS Working 1'!$AD346*'MIS Working 1'!$L346</f>
        <v>0</v>
      </c>
      <c r="AM346" s="279">
        <f>'MIS Working 1'!$L346*'MIS Working 1'!$AE346+'MIS Working 1'!$AL346</f>
        <v>0</v>
      </c>
    </row>
    <row r="347" spans="1:39" x14ac:dyDescent="0.3">
      <c r="A347" s="263" t="s">
        <v>1212</v>
      </c>
      <c r="B347" s="264">
        <v>45968</v>
      </c>
      <c r="C347" s="265" t="s">
        <v>1837</v>
      </c>
      <c r="D347" s="265" t="s">
        <v>1423</v>
      </c>
      <c r="E347" s="265" t="s">
        <v>1424</v>
      </c>
      <c r="F347" s="265" t="s">
        <v>18</v>
      </c>
      <c r="G347" s="265" t="s">
        <v>48</v>
      </c>
      <c r="H347" s="265" t="s">
        <v>201</v>
      </c>
      <c r="I347" s="266">
        <v>7500</v>
      </c>
      <c r="J347" s="267">
        <v>3732.29</v>
      </c>
      <c r="K347" s="266">
        <v>7500</v>
      </c>
      <c r="L347" s="266">
        <v>7500</v>
      </c>
      <c r="M347" s="264">
        <v>45968</v>
      </c>
      <c r="N347" s="267">
        <v>4050</v>
      </c>
      <c r="O347" s="265" t="s">
        <v>21</v>
      </c>
      <c r="P347" s="265" t="s">
        <v>22</v>
      </c>
      <c r="Q347" s="265" t="s">
        <v>1750</v>
      </c>
      <c r="R347" s="265" t="str">
        <f>VLOOKUP('MIS Working 1'!$G347,Master!$H$3:$I$8,2,0)</f>
        <v>Raw Material</v>
      </c>
      <c r="S347" s="265" t="str">
        <f>VLOOKUP('MIS Working 1'!$H347,Master!B:C,2,0)</f>
        <v>RM-Eletro-Diodes</v>
      </c>
      <c r="T347" s="265" t="str">
        <f>VLOOKUP('MIS Working 1'!$S347,Master!E:F,2,0)</f>
        <v>Raw Material</v>
      </c>
      <c r="U347" s="268">
        <f>'MIS Working 1'!$N347-'MIS Working 1'!$AF347</f>
        <v>4050</v>
      </c>
      <c r="V347" s="269">
        <f>'MIS Working 1'!$U347/'MIS Working 1'!$N347</f>
        <v>1</v>
      </c>
      <c r="W347" s="265">
        <f>'MIS Working 1'!$N347/'MIS Working 1'!$L347</f>
        <v>0.54</v>
      </c>
      <c r="X347" s="270">
        <f>SUM('MIS Working 1'!$Y347:$AE347)</f>
        <v>0</v>
      </c>
      <c r="Y347" s="270">
        <f>SUMIFS('COGS Break up'!$E:$E,'COGS Break up'!$A:$A,'MIS Working 1'!$D347,'COGS Break up'!$D:$D,'MIS Working 1'!$Y$1)</f>
        <v>0</v>
      </c>
      <c r="Z347" s="270">
        <f>SUMIFS('COGS Break up'!$E:$E,'COGS Break up'!$A:$A,'MIS Working 1'!$D347,'COGS Break up'!$D:$D,'MIS Working 1'!$Z$1)</f>
        <v>0</v>
      </c>
      <c r="AA347" s="270">
        <f>SUMIFS('COGS Break up'!E:E,'COGS Break up'!A:A,'MIS Working 1'!$D:$D,'COGS Break up'!C:C,'MIS Working 1'!$AA$1)</f>
        <v>0</v>
      </c>
      <c r="AB347" s="270">
        <f>SUMIFS('COGS Break up'!E:E,'COGS Break up'!A:A,'MIS Working 1'!$D:$D,'COGS Break up'!C:C,$AB$1)</f>
        <v>0</v>
      </c>
      <c r="AC347" s="270">
        <f>SUMIFS('COGS Break up'!E:E,'COGS Break up'!A:A,'MIS Working 1'!$D:$D,'COGS Break up'!C:C,$AC$1)</f>
        <v>0</v>
      </c>
      <c r="AD347" s="270">
        <f>SUMIFS('COGS Break up'!$E:$E,'COGS Break up'!$A:$A,'MIS Working 1'!$D347,'COGS Break up'!$D:$D,'MIS Working 1'!$AD$1)</f>
        <v>0</v>
      </c>
      <c r="AE347" s="270">
        <f>SUMIFS('COGS Break up'!$E:$E,'COGS Break up'!$A:$A,'MIS Working 1'!$D347,'COGS Break up'!$D:$D,'MIS Working 1'!$AE$1)</f>
        <v>0</v>
      </c>
      <c r="AF347" s="271">
        <f>'MIS Working 1'!$AG347+'MIS Working 1'!$AH347+'MIS Working 1'!$AM347+'MIS Working 1'!$AL347</f>
        <v>0</v>
      </c>
      <c r="AG347" s="270">
        <f>'MIS Working 1'!$L347*'MIS Working 1'!$Y347</f>
        <v>0</v>
      </c>
      <c r="AH347" s="270">
        <f>'MIS Working 1'!$L347*'MIS Working 1'!$Z347</f>
        <v>0</v>
      </c>
      <c r="AI347" s="270">
        <f t="shared" si="15"/>
        <v>0</v>
      </c>
      <c r="AJ347" s="270">
        <f t="shared" si="16"/>
        <v>0</v>
      </c>
      <c r="AK347" s="270">
        <f t="shared" si="17"/>
        <v>0</v>
      </c>
      <c r="AL347" s="270">
        <f>'MIS Working 1'!$AD347*'MIS Working 1'!$L347</f>
        <v>0</v>
      </c>
      <c r="AM347" s="270">
        <f>'MIS Working 1'!$L347*'MIS Working 1'!$AE347+'MIS Working 1'!$AL347</f>
        <v>0</v>
      </c>
    </row>
    <row r="348" spans="1:39" x14ac:dyDescent="0.3">
      <c r="A348" s="272" t="s">
        <v>1212</v>
      </c>
      <c r="B348" s="273">
        <v>45968</v>
      </c>
      <c r="C348" s="274" t="s">
        <v>1837</v>
      </c>
      <c r="D348" s="274" t="s">
        <v>1338</v>
      </c>
      <c r="E348" s="274" t="s">
        <v>1339</v>
      </c>
      <c r="F348" s="274" t="s">
        <v>18</v>
      </c>
      <c r="G348" s="274" t="s">
        <v>48</v>
      </c>
      <c r="H348" s="274" t="s">
        <v>204</v>
      </c>
      <c r="I348" s="275">
        <v>4000</v>
      </c>
      <c r="J348" s="276">
        <v>3200</v>
      </c>
      <c r="K348" s="275">
        <v>4000</v>
      </c>
      <c r="L348" s="275">
        <v>4000</v>
      </c>
      <c r="M348" s="273">
        <v>45968</v>
      </c>
      <c r="N348" s="276">
        <v>3680</v>
      </c>
      <c r="O348" s="274" t="s">
        <v>21</v>
      </c>
      <c r="P348" s="274" t="s">
        <v>22</v>
      </c>
      <c r="Q348" s="274" t="s">
        <v>1750</v>
      </c>
      <c r="R348" s="274" t="str">
        <f>VLOOKUP('MIS Working 1'!$G348,Master!$H$3:$I$8,2,0)</f>
        <v>Raw Material</v>
      </c>
      <c r="S348" s="274" t="str">
        <f>VLOOKUP('MIS Working 1'!$H348,Master!B:C,2,0)</f>
        <v>RM-Eletro-Resistor</v>
      </c>
      <c r="T348" s="274" t="str">
        <f>VLOOKUP('MIS Working 1'!$S348,Master!E:F,2,0)</f>
        <v>Raw Material</v>
      </c>
      <c r="U348" s="277">
        <f>'MIS Working 1'!$N348-'MIS Working 1'!$AF348</f>
        <v>3680</v>
      </c>
      <c r="V348" s="278">
        <f>'MIS Working 1'!$U348/'MIS Working 1'!$N348</f>
        <v>1</v>
      </c>
      <c r="W348" s="274">
        <f>'MIS Working 1'!$N348/'MIS Working 1'!$L348</f>
        <v>0.92</v>
      </c>
      <c r="X348" s="279">
        <f>SUM('MIS Working 1'!$Y348:$AE348)</f>
        <v>0</v>
      </c>
      <c r="Y348" s="279">
        <f>SUMIFS('COGS Break up'!$E:$E,'COGS Break up'!$A:$A,'MIS Working 1'!$D348,'COGS Break up'!$D:$D,'MIS Working 1'!$Y$1)</f>
        <v>0</v>
      </c>
      <c r="Z348" s="279">
        <f>SUMIFS('COGS Break up'!$E:$E,'COGS Break up'!$A:$A,'MIS Working 1'!$D348,'COGS Break up'!$D:$D,'MIS Working 1'!$Z$1)</f>
        <v>0</v>
      </c>
      <c r="AA348" s="279">
        <f>SUMIFS('COGS Break up'!E:E,'COGS Break up'!A:A,'MIS Working 1'!$D:$D,'COGS Break up'!C:C,'MIS Working 1'!$AA$1)</f>
        <v>0</v>
      </c>
      <c r="AB348" s="279">
        <f>SUMIFS('COGS Break up'!E:E,'COGS Break up'!A:A,'MIS Working 1'!$D:$D,'COGS Break up'!C:C,$AB$1)</f>
        <v>0</v>
      </c>
      <c r="AC348" s="279">
        <f>SUMIFS('COGS Break up'!E:E,'COGS Break up'!A:A,'MIS Working 1'!$D:$D,'COGS Break up'!C:C,$AC$1)</f>
        <v>0</v>
      </c>
      <c r="AD348" s="279">
        <f>SUMIFS('COGS Break up'!$E:$E,'COGS Break up'!$A:$A,'MIS Working 1'!$D348,'COGS Break up'!$D:$D,'MIS Working 1'!$AD$1)</f>
        <v>0</v>
      </c>
      <c r="AE348" s="279">
        <f>SUMIFS('COGS Break up'!$E:$E,'COGS Break up'!$A:$A,'MIS Working 1'!$D348,'COGS Break up'!$D:$D,'MIS Working 1'!$AE$1)</f>
        <v>0</v>
      </c>
      <c r="AF348" s="280">
        <f>'MIS Working 1'!$AG348+'MIS Working 1'!$AH348+'MIS Working 1'!$AM348+'MIS Working 1'!$AL348</f>
        <v>0</v>
      </c>
      <c r="AG348" s="279">
        <f>'MIS Working 1'!$L348*'MIS Working 1'!$Y348</f>
        <v>0</v>
      </c>
      <c r="AH348" s="279">
        <f>'MIS Working 1'!$L348*'MIS Working 1'!$Z348</f>
        <v>0</v>
      </c>
      <c r="AI348" s="279">
        <f t="shared" si="15"/>
        <v>0</v>
      </c>
      <c r="AJ348" s="279">
        <f t="shared" si="16"/>
        <v>0</v>
      </c>
      <c r="AK348" s="279">
        <f t="shared" si="17"/>
        <v>0</v>
      </c>
      <c r="AL348" s="279">
        <f>'MIS Working 1'!$AD348*'MIS Working 1'!$L348</f>
        <v>0</v>
      </c>
      <c r="AM348" s="279">
        <f>'MIS Working 1'!$L348*'MIS Working 1'!$AE348+'MIS Working 1'!$AL348</f>
        <v>0</v>
      </c>
    </row>
    <row r="349" spans="1:39" x14ac:dyDescent="0.3">
      <c r="A349" s="263" t="s">
        <v>1212</v>
      </c>
      <c r="B349" s="264">
        <v>45968</v>
      </c>
      <c r="C349" s="265" t="s">
        <v>1837</v>
      </c>
      <c r="D349" s="265" t="s">
        <v>1652</v>
      </c>
      <c r="E349" s="265" t="s">
        <v>1653</v>
      </c>
      <c r="F349" s="265" t="s">
        <v>18</v>
      </c>
      <c r="G349" s="265" t="s">
        <v>48</v>
      </c>
      <c r="H349" s="265" t="s">
        <v>201</v>
      </c>
      <c r="I349" s="266">
        <v>3000</v>
      </c>
      <c r="J349" s="267">
        <v>8153.23</v>
      </c>
      <c r="K349" s="266">
        <v>3000</v>
      </c>
      <c r="L349" s="266">
        <v>3000</v>
      </c>
      <c r="M349" s="264">
        <v>45968</v>
      </c>
      <c r="N349" s="267">
        <v>8370</v>
      </c>
      <c r="O349" s="265" t="s">
        <v>21</v>
      </c>
      <c r="P349" s="265" t="s">
        <v>22</v>
      </c>
      <c r="Q349" s="265" t="s">
        <v>1750</v>
      </c>
      <c r="R349" s="265" t="str">
        <f>VLOOKUP('MIS Working 1'!$G349,Master!$H$3:$I$8,2,0)</f>
        <v>Raw Material</v>
      </c>
      <c r="S349" s="265" t="str">
        <f>VLOOKUP('MIS Working 1'!$H349,Master!B:C,2,0)</f>
        <v>RM-Eletro-Diodes</v>
      </c>
      <c r="T349" s="265" t="str">
        <f>VLOOKUP('MIS Working 1'!$S349,Master!E:F,2,0)</f>
        <v>Raw Material</v>
      </c>
      <c r="U349" s="268">
        <f>'MIS Working 1'!$N349-'MIS Working 1'!$AF349</f>
        <v>8370</v>
      </c>
      <c r="V349" s="269">
        <f>'MIS Working 1'!$U349/'MIS Working 1'!$N349</f>
        <v>1</v>
      </c>
      <c r="W349" s="265">
        <f>'MIS Working 1'!$N349/'MIS Working 1'!$L349</f>
        <v>2.79</v>
      </c>
      <c r="X349" s="270">
        <f>SUM('MIS Working 1'!$Y349:$AE349)</f>
        <v>0</v>
      </c>
      <c r="Y349" s="270">
        <f>SUMIFS('COGS Break up'!$E:$E,'COGS Break up'!$A:$A,'MIS Working 1'!$D349,'COGS Break up'!$D:$D,'MIS Working 1'!$Y$1)</f>
        <v>0</v>
      </c>
      <c r="Z349" s="270">
        <f>SUMIFS('COGS Break up'!$E:$E,'COGS Break up'!$A:$A,'MIS Working 1'!$D349,'COGS Break up'!$D:$D,'MIS Working 1'!$Z$1)</f>
        <v>0</v>
      </c>
      <c r="AA349" s="270">
        <f>SUMIFS('COGS Break up'!E:E,'COGS Break up'!A:A,'MIS Working 1'!$D:$D,'COGS Break up'!C:C,'MIS Working 1'!$AA$1)</f>
        <v>0</v>
      </c>
      <c r="AB349" s="270">
        <f>SUMIFS('COGS Break up'!E:E,'COGS Break up'!A:A,'MIS Working 1'!$D:$D,'COGS Break up'!C:C,$AB$1)</f>
        <v>0</v>
      </c>
      <c r="AC349" s="270">
        <f>SUMIFS('COGS Break up'!E:E,'COGS Break up'!A:A,'MIS Working 1'!$D:$D,'COGS Break up'!C:C,$AC$1)</f>
        <v>0</v>
      </c>
      <c r="AD349" s="270">
        <f>SUMIFS('COGS Break up'!$E:$E,'COGS Break up'!$A:$A,'MIS Working 1'!$D349,'COGS Break up'!$D:$D,'MIS Working 1'!$AD$1)</f>
        <v>0</v>
      </c>
      <c r="AE349" s="270">
        <f>SUMIFS('COGS Break up'!$E:$E,'COGS Break up'!$A:$A,'MIS Working 1'!$D349,'COGS Break up'!$D:$D,'MIS Working 1'!$AE$1)</f>
        <v>0</v>
      </c>
      <c r="AF349" s="271">
        <f>'MIS Working 1'!$AG349+'MIS Working 1'!$AH349+'MIS Working 1'!$AM349+'MIS Working 1'!$AL349</f>
        <v>0</v>
      </c>
      <c r="AG349" s="270">
        <f>'MIS Working 1'!$L349*'MIS Working 1'!$Y349</f>
        <v>0</v>
      </c>
      <c r="AH349" s="270">
        <f>'MIS Working 1'!$L349*'MIS Working 1'!$Z349</f>
        <v>0</v>
      </c>
      <c r="AI349" s="270">
        <f t="shared" si="15"/>
        <v>0</v>
      </c>
      <c r="AJ349" s="270">
        <f t="shared" si="16"/>
        <v>0</v>
      </c>
      <c r="AK349" s="270">
        <f t="shared" si="17"/>
        <v>0</v>
      </c>
      <c r="AL349" s="270">
        <f>'MIS Working 1'!$AD349*'MIS Working 1'!$L349</f>
        <v>0</v>
      </c>
      <c r="AM349" s="270">
        <f>'MIS Working 1'!$L349*'MIS Working 1'!$AE349+'MIS Working 1'!$AL349</f>
        <v>0</v>
      </c>
    </row>
    <row r="350" spans="1:39" x14ac:dyDescent="0.3">
      <c r="A350" s="272" t="s">
        <v>1212</v>
      </c>
      <c r="B350" s="273">
        <v>45968</v>
      </c>
      <c r="C350" s="274" t="s">
        <v>1837</v>
      </c>
      <c r="D350" s="274" t="s">
        <v>1312</v>
      </c>
      <c r="E350" s="274" t="s">
        <v>1313</v>
      </c>
      <c r="F350" s="274" t="s">
        <v>18</v>
      </c>
      <c r="G350" s="274" t="s">
        <v>48</v>
      </c>
      <c r="H350" s="274" t="s">
        <v>207</v>
      </c>
      <c r="I350" s="275">
        <v>4000</v>
      </c>
      <c r="J350" s="276">
        <v>313.95999999999998</v>
      </c>
      <c r="K350" s="275">
        <v>4000</v>
      </c>
      <c r="L350" s="275">
        <v>4000</v>
      </c>
      <c r="M350" s="273">
        <v>45968</v>
      </c>
      <c r="N350" s="276">
        <v>440</v>
      </c>
      <c r="O350" s="274" t="s">
        <v>21</v>
      </c>
      <c r="P350" s="274" t="s">
        <v>22</v>
      </c>
      <c r="Q350" s="274" t="s">
        <v>1750</v>
      </c>
      <c r="R350" s="274" t="str">
        <f>VLOOKUP('MIS Working 1'!$G350,Master!$H$3:$I$8,2,0)</f>
        <v>Raw Material</v>
      </c>
      <c r="S350" s="274" t="str">
        <f>VLOOKUP('MIS Working 1'!$H350,Master!B:C,2,0)</f>
        <v>RM-Mech. Accessories</v>
      </c>
      <c r="T350" s="274" t="str">
        <f>VLOOKUP('MIS Working 1'!$S350,Master!E:F,2,0)</f>
        <v>Raw Material</v>
      </c>
      <c r="U350" s="277">
        <f>'MIS Working 1'!$N350-'MIS Working 1'!$AF350</f>
        <v>440</v>
      </c>
      <c r="V350" s="278">
        <f>'MIS Working 1'!$U350/'MIS Working 1'!$N350</f>
        <v>1</v>
      </c>
      <c r="W350" s="274">
        <f>'MIS Working 1'!$N350/'MIS Working 1'!$L350</f>
        <v>0.11</v>
      </c>
      <c r="X350" s="279">
        <f>SUM('MIS Working 1'!$Y350:$AE350)</f>
        <v>0</v>
      </c>
      <c r="Y350" s="279">
        <f>SUMIFS('COGS Break up'!$E:$E,'COGS Break up'!$A:$A,'MIS Working 1'!$D350,'COGS Break up'!$D:$D,'MIS Working 1'!$Y$1)</f>
        <v>0</v>
      </c>
      <c r="Z350" s="279">
        <f>SUMIFS('COGS Break up'!$E:$E,'COGS Break up'!$A:$A,'MIS Working 1'!$D350,'COGS Break up'!$D:$D,'MIS Working 1'!$Z$1)</f>
        <v>0</v>
      </c>
      <c r="AA350" s="279">
        <f>SUMIFS('COGS Break up'!E:E,'COGS Break up'!A:A,'MIS Working 1'!$D:$D,'COGS Break up'!C:C,'MIS Working 1'!$AA$1)</f>
        <v>0</v>
      </c>
      <c r="AB350" s="279">
        <f>SUMIFS('COGS Break up'!E:E,'COGS Break up'!A:A,'MIS Working 1'!$D:$D,'COGS Break up'!C:C,$AB$1)</f>
        <v>0</v>
      </c>
      <c r="AC350" s="279">
        <f>SUMIFS('COGS Break up'!E:E,'COGS Break up'!A:A,'MIS Working 1'!$D:$D,'COGS Break up'!C:C,$AC$1)</f>
        <v>0</v>
      </c>
      <c r="AD350" s="279">
        <f>SUMIFS('COGS Break up'!$E:$E,'COGS Break up'!$A:$A,'MIS Working 1'!$D350,'COGS Break up'!$D:$D,'MIS Working 1'!$AD$1)</f>
        <v>0</v>
      </c>
      <c r="AE350" s="279">
        <f>SUMIFS('COGS Break up'!$E:$E,'COGS Break up'!$A:$A,'MIS Working 1'!$D350,'COGS Break up'!$D:$D,'MIS Working 1'!$AE$1)</f>
        <v>0</v>
      </c>
      <c r="AF350" s="280">
        <f>'MIS Working 1'!$AG350+'MIS Working 1'!$AH350+'MIS Working 1'!$AM350+'MIS Working 1'!$AL350</f>
        <v>0</v>
      </c>
      <c r="AG350" s="279">
        <f>'MIS Working 1'!$L350*'MIS Working 1'!$Y350</f>
        <v>0</v>
      </c>
      <c r="AH350" s="279">
        <f>'MIS Working 1'!$L350*'MIS Working 1'!$Z350</f>
        <v>0</v>
      </c>
      <c r="AI350" s="279">
        <f t="shared" si="15"/>
        <v>0</v>
      </c>
      <c r="AJ350" s="279">
        <f t="shared" si="16"/>
        <v>0</v>
      </c>
      <c r="AK350" s="279">
        <f t="shared" si="17"/>
        <v>0</v>
      </c>
      <c r="AL350" s="279">
        <f>'MIS Working 1'!$AD350*'MIS Working 1'!$L350</f>
        <v>0</v>
      </c>
      <c r="AM350" s="279">
        <f>'MIS Working 1'!$L350*'MIS Working 1'!$AE350+'MIS Working 1'!$AL350</f>
        <v>0</v>
      </c>
    </row>
    <row r="351" spans="1:39" x14ac:dyDescent="0.3">
      <c r="A351" s="263" t="s">
        <v>1212</v>
      </c>
      <c r="B351" s="264">
        <v>45968</v>
      </c>
      <c r="C351" s="265" t="s">
        <v>1837</v>
      </c>
      <c r="D351" s="265" t="s">
        <v>1267</v>
      </c>
      <c r="E351" s="265" t="s">
        <v>1268</v>
      </c>
      <c r="F351" s="265" t="s">
        <v>18</v>
      </c>
      <c r="G351" s="265" t="s">
        <v>48</v>
      </c>
      <c r="H351" s="265" t="s">
        <v>207</v>
      </c>
      <c r="I351" s="266">
        <v>4000</v>
      </c>
      <c r="J351" s="267">
        <v>519.48</v>
      </c>
      <c r="K351" s="266">
        <v>4000</v>
      </c>
      <c r="L351" s="266">
        <v>4000</v>
      </c>
      <c r="M351" s="264">
        <v>45968</v>
      </c>
      <c r="N351" s="267">
        <v>520</v>
      </c>
      <c r="O351" s="265" t="s">
        <v>21</v>
      </c>
      <c r="P351" s="265" t="s">
        <v>22</v>
      </c>
      <c r="Q351" s="265" t="s">
        <v>1750</v>
      </c>
      <c r="R351" s="265" t="str">
        <f>VLOOKUP('MIS Working 1'!$G351,Master!$H$3:$I$8,2,0)</f>
        <v>Raw Material</v>
      </c>
      <c r="S351" s="265" t="str">
        <f>VLOOKUP('MIS Working 1'!$H351,Master!B:C,2,0)</f>
        <v>RM-Mech. Accessories</v>
      </c>
      <c r="T351" s="265" t="str">
        <f>VLOOKUP('MIS Working 1'!$S351,Master!E:F,2,0)</f>
        <v>Raw Material</v>
      </c>
      <c r="U351" s="268">
        <f>'MIS Working 1'!$N351-'MIS Working 1'!$AF351</f>
        <v>520</v>
      </c>
      <c r="V351" s="269">
        <f>'MIS Working 1'!$U351/'MIS Working 1'!$N351</f>
        <v>1</v>
      </c>
      <c r="W351" s="265">
        <f>'MIS Working 1'!$N351/'MIS Working 1'!$L351</f>
        <v>0.13</v>
      </c>
      <c r="X351" s="270">
        <f>SUM('MIS Working 1'!$Y351:$AE351)</f>
        <v>0</v>
      </c>
      <c r="Y351" s="270">
        <f>SUMIFS('COGS Break up'!$E:$E,'COGS Break up'!$A:$A,'MIS Working 1'!$D351,'COGS Break up'!$D:$D,'MIS Working 1'!$Y$1)</f>
        <v>0</v>
      </c>
      <c r="Z351" s="270">
        <f>SUMIFS('COGS Break up'!$E:$E,'COGS Break up'!$A:$A,'MIS Working 1'!$D351,'COGS Break up'!$D:$D,'MIS Working 1'!$Z$1)</f>
        <v>0</v>
      </c>
      <c r="AA351" s="270">
        <f>SUMIFS('COGS Break up'!E:E,'COGS Break up'!A:A,'MIS Working 1'!$D:$D,'COGS Break up'!C:C,'MIS Working 1'!$AA$1)</f>
        <v>0</v>
      </c>
      <c r="AB351" s="270">
        <f>SUMIFS('COGS Break up'!E:E,'COGS Break up'!A:A,'MIS Working 1'!$D:$D,'COGS Break up'!C:C,$AB$1)</f>
        <v>0</v>
      </c>
      <c r="AC351" s="270">
        <f>SUMIFS('COGS Break up'!E:E,'COGS Break up'!A:A,'MIS Working 1'!$D:$D,'COGS Break up'!C:C,$AC$1)</f>
        <v>0</v>
      </c>
      <c r="AD351" s="270">
        <f>SUMIFS('COGS Break up'!$E:$E,'COGS Break up'!$A:$A,'MIS Working 1'!$D351,'COGS Break up'!$D:$D,'MIS Working 1'!$AD$1)</f>
        <v>0</v>
      </c>
      <c r="AE351" s="270">
        <f>SUMIFS('COGS Break up'!$E:$E,'COGS Break up'!$A:$A,'MIS Working 1'!$D351,'COGS Break up'!$D:$D,'MIS Working 1'!$AE$1)</f>
        <v>0</v>
      </c>
      <c r="AF351" s="271">
        <f>'MIS Working 1'!$AG351+'MIS Working 1'!$AH351+'MIS Working 1'!$AM351+'MIS Working 1'!$AL351</f>
        <v>0</v>
      </c>
      <c r="AG351" s="270">
        <f>'MIS Working 1'!$L351*'MIS Working 1'!$Y351</f>
        <v>0</v>
      </c>
      <c r="AH351" s="270">
        <f>'MIS Working 1'!$L351*'MIS Working 1'!$Z351</f>
        <v>0</v>
      </c>
      <c r="AI351" s="270">
        <f t="shared" si="15"/>
        <v>0</v>
      </c>
      <c r="AJ351" s="270">
        <f t="shared" si="16"/>
        <v>0</v>
      </c>
      <c r="AK351" s="270">
        <f t="shared" si="17"/>
        <v>0</v>
      </c>
      <c r="AL351" s="270">
        <f>'MIS Working 1'!$AD351*'MIS Working 1'!$L351</f>
        <v>0</v>
      </c>
      <c r="AM351" s="270">
        <f>'MIS Working 1'!$L351*'MIS Working 1'!$AE351+'MIS Working 1'!$AL351</f>
        <v>0</v>
      </c>
    </row>
    <row r="352" spans="1:39" x14ac:dyDescent="0.3">
      <c r="A352" s="272" t="s">
        <v>1212</v>
      </c>
      <c r="B352" s="273">
        <v>45968</v>
      </c>
      <c r="C352" s="274" t="s">
        <v>1837</v>
      </c>
      <c r="D352" s="274" t="s">
        <v>1281</v>
      </c>
      <c r="E352" s="274" t="s">
        <v>1282</v>
      </c>
      <c r="F352" s="274" t="s">
        <v>18</v>
      </c>
      <c r="G352" s="274" t="s">
        <v>48</v>
      </c>
      <c r="H352" s="274" t="s">
        <v>207</v>
      </c>
      <c r="I352" s="275">
        <v>2500</v>
      </c>
      <c r="J352" s="276">
        <v>24038.55</v>
      </c>
      <c r="K352" s="275">
        <v>2500</v>
      </c>
      <c r="L352" s="275">
        <v>2500</v>
      </c>
      <c r="M352" s="273">
        <v>45968</v>
      </c>
      <c r="N352" s="276">
        <v>25175</v>
      </c>
      <c r="O352" s="274" t="s">
        <v>21</v>
      </c>
      <c r="P352" s="274" t="s">
        <v>22</v>
      </c>
      <c r="Q352" s="274" t="s">
        <v>1750</v>
      </c>
      <c r="R352" s="274" t="str">
        <f>VLOOKUP('MIS Working 1'!$G352,Master!$H$3:$I$8,2,0)</f>
        <v>Raw Material</v>
      </c>
      <c r="S352" s="274" t="str">
        <f>VLOOKUP('MIS Working 1'!$H352,Master!B:C,2,0)</f>
        <v>RM-Mech. Accessories</v>
      </c>
      <c r="T352" s="274" t="str">
        <f>VLOOKUP('MIS Working 1'!$S352,Master!E:F,2,0)</f>
        <v>Raw Material</v>
      </c>
      <c r="U352" s="277">
        <f>'MIS Working 1'!$N352-'MIS Working 1'!$AF352</f>
        <v>25175</v>
      </c>
      <c r="V352" s="278">
        <f>'MIS Working 1'!$U352/'MIS Working 1'!$N352</f>
        <v>1</v>
      </c>
      <c r="W352" s="274">
        <f>'MIS Working 1'!$N352/'MIS Working 1'!$L352</f>
        <v>10.07</v>
      </c>
      <c r="X352" s="279">
        <f>SUM('MIS Working 1'!$Y352:$AE352)</f>
        <v>0</v>
      </c>
      <c r="Y352" s="279">
        <f>SUMIFS('COGS Break up'!$E:$E,'COGS Break up'!$A:$A,'MIS Working 1'!$D352,'COGS Break up'!$D:$D,'MIS Working 1'!$Y$1)</f>
        <v>0</v>
      </c>
      <c r="Z352" s="279">
        <f>SUMIFS('COGS Break up'!$E:$E,'COGS Break up'!$A:$A,'MIS Working 1'!$D352,'COGS Break up'!$D:$D,'MIS Working 1'!$Z$1)</f>
        <v>0</v>
      </c>
      <c r="AA352" s="279">
        <f>SUMIFS('COGS Break up'!E:E,'COGS Break up'!A:A,'MIS Working 1'!$D:$D,'COGS Break up'!C:C,'MIS Working 1'!$AA$1)</f>
        <v>0</v>
      </c>
      <c r="AB352" s="279">
        <f>SUMIFS('COGS Break up'!E:E,'COGS Break up'!A:A,'MIS Working 1'!$D:$D,'COGS Break up'!C:C,$AB$1)</f>
        <v>0</v>
      </c>
      <c r="AC352" s="279">
        <f>SUMIFS('COGS Break up'!E:E,'COGS Break up'!A:A,'MIS Working 1'!$D:$D,'COGS Break up'!C:C,$AC$1)</f>
        <v>0</v>
      </c>
      <c r="AD352" s="279">
        <f>SUMIFS('COGS Break up'!$E:$E,'COGS Break up'!$A:$A,'MIS Working 1'!$D352,'COGS Break up'!$D:$D,'MIS Working 1'!$AD$1)</f>
        <v>0</v>
      </c>
      <c r="AE352" s="279">
        <f>SUMIFS('COGS Break up'!$E:$E,'COGS Break up'!$A:$A,'MIS Working 1'!$D352,'COGS Break up'!$D:$D,'MIS Working 1'!$AE$1)</f>
        <v>0</v>
      </c>
      <c r="AF352" s="280">
        <f>'MIS Working 1'!$AG352+'MIS Working 1'!$AH352+'MIS Working 1'!$AM352+'MIS Working 1'!$AL352</f>
        <v>0</v>
      </c>
      <c r="AG352" s="279">
        <f>'MIS Working 1'!$L352*'MIS Working 1'!$Y352</f>
        <v>0</v>
      </c>
      <c r="AH352" s="279">
        <f>'MIS Working 1'!$L352*'MIS Working 1'!$Z352</f>
        <v>0</v>
      </c>
      <c r="AI352" s="279">
        <f t="shared" si="15"/>
        <v>0</v>
      </c>
      <c r="AJ352" s="279">
        <f t="shared" si="16"/>
        <v>0</v>
      </c>
      <c r="AK352" s="279">
        <f t="shared" si="17"/>
        <v>0</v>
      </c>
      <c r="AL352" s="279">
        <f>'MIS Working 1'!$AD352*'MIS Working 1'!$L352</f>
        <v>0</v>
      </c>
      <c r="AM352" s="279">
        <f>'MIS Working 1'!$L352*'MIS Working 1'!$AE352+'MIS Working 1'!$AL352</f>
        <v>0</v>
      </c>
    </row>
    <row r="353" spans="1:39" x14ac:dyDescent="0.3">
      <c r="A353" s="263" t="s">
        <v>1212</v>
      </c>
      <c r="B353" s="264">
        <v>45968</v>
      </c>
      <c r="C353" s="265" t="s">
        <v>1837</v>
      </c>
      <c r="D353" s="265" t="s">
        <v>1328</v>
      </c>
      <c r="E353" s="265" t="s">
        <v>1329</v>
      </c>
      <c r="F353" s="265" t="s">
        <v>18</v>
      </c>
      <c r="G353" s="265" t="s">
        <v>48</v>
      </c>
      <c r="H353" s="265" t="s">
        <v>207</v>
      </c>
      <c r="I353" s="266">
        <v>4000</v>
      </c>
      <c r="J353" s="267">
        <v>16565.82</v>
      </c>
      <c r="K353" s="266">
        <v>4000</v>
      </c>
      <c r="L353" s="266">
        <v>4000</v>
      </c>
      <c r="M353" s="264">
        <v>45968</v>
      </c>
      <c r="N353" s="267">
        <v>16480</v>
      </c>
      <c r="O353" s="265" t="s">
        <v>21</v>
      </c>
      <c r="P353" s="265" t="s">
        <v>22</v>
      </c>
      <c r="Q353" s="265" t="s">
        <v>1750</v>
      </c>
      <c r="R353" s="265" t="str">
        <f>VLOOKUP('MIS Working 1'!$G353,Master!$H$3:$I$8,2,0)</f>
        <v>Raw Material</v>
      </c>
      <c r="S353" s="265" t="str">
        <f>VLOOKUP('MIS Working 1'!$H353,Master!B:C,2,0)</f>
        <v>RM-Mech. Accessories</v>
      </c>
      <c r="T353" s="265" t="str">
        <f>VLOOKUP('MIS Working 1'!$S353,Master!E:F,2,0)</f>
        <v>Raw Material</v>
      </c>
      <c r="U353" s="268">
        <f>'MIS Working 1'!$N353-'MIS Working 1'!$AF353</f>
        <v>16480</v>
      </c>
      <c r="V353" s="269">
        <f>'MIS Working 1'!$U353/'MIS Working 1'!$N353</f>
        <v>1</v>
      </c>
      <c r="W353" s="265">
        <f>'MIS Working 1'!$N353/'MIS Working 1'!$L353</f>
        <v>4.12</v>
      </c>
      <c r="X353" s="270">
        <f>SUM('MIS Working 1'!$Y353:$AE353)</f>
        <v>0</v>
      </c>
      <c r="Y353" s="270">
        <f>SUMIFS('COGS Break up'!$E:$E,'COGS Break up'!$A:$A,'MIS Working 1'!$D353,'COGS Break up'!$D:$D,'MIS Working 1'!$Y$1)</f>
        <v>0</v>
      </c>
      <c r="Z353" s="270">
        <f>SUMIFS('COGS Break up'!$E:$E,'COGS Break up'!$A:$A,'MIS Working 1'!$D353,'COGS Break up'!$D:$D,'MIS Working 1'!$Z$1)</f>
        <v>0</v>
      </c>
      <c r="AA353" s="270">
        <f>SUMIFS('COGS Break up'!E:E,'COGS Break up'!A:A,'MIS Working 1'!$D:$D,'COGS Break up'!C:C,'MIS Working 1'!$AA$1)</f>
        <v>0</v>
      </c>
      <c r="AB353" s="270">
        <f>SUMIFS('COGS Break up'!E:E,'COGS Break up'!A:A,'MIS Working 1'!$D:$D,'COGS Break up'!C:C,$AB$1)</f>
        <v>0</v>
      </c>
      <c r="AC353" s="270">
        <f>SUMIFS('COGS Break up'!E:E,'COGS Break up'!A:A,'MIS Working 1'!$D:$D,'COGS Break up'!C:C,$AC$1)</f>
        <v>0</v>
      </c>
      <c r="AD353" s="270">
        <f>SUMIFS('COGS Break up'!$E:$E,'COGS Break up'!$A:$A,'MIS Working 1'!$D353,'COGS Break up'!$D:$D,'MIS Working 1'!$AD$1)</f>
        <v>0</v>
      </c>
      <c r="AE353" s="270">
        <f>SUMIFS('COGS Break up'!$E:$E,'COGS Break up'!$A:$A,'MIS Working 1'!$D353,'COGS Break up'!$D:$D,'MIS Working 1'!$AE$1)</f>
        <v>0</v>
      </c>
      <c r="AF353" s="271">
        <f>'MIS Working 1'!$AG353+'MIS Working 1'!$AH353+'MIS Working 1'!$AM353+'MIS Working 1'!$AL353</f>
        <v>0</v>
      </c>
      <c r="AG353" s="270">
        <f>'MIS Working 1'!$L353*'MIS Working 1'!$Y353</f>
        <v>0</v>
      </c>
      <c r="AH353" s="270">
        <f>'MIS Working 1'!$L353*'MIS Working 1'!$Z353</f>
        <v>0</v>
      </c>
      <c r="AI353" s="270">
        <f t="shared" si="15"/>
        <v>0</v>
      </c>
      <c r="AJ353" s="270">
        <f t="shared" si="16"/>
        <v>0</v>
      </c>
      <c r="AK353" s="270">
        <f t="shared" si="17"/>
        <v>0</v>
      </c>
      <c r="AL353" s="270">
        <f>'MIS Working 1'!$AD353*'MIS Working 1'!$L353</f>
        <v>0</v>
      </c>
      <c r="AM353" s="270">
        <f>'MIS Working 1'!$L353*'MIS Working 1'!$AE353+'MIS Working 1'!$AL353</f>
        <v>0</v>
      </c>
    </row>
    <row r="354" spans="1:39" x14ac:dyDescent="0.3">
      <c r="A354" s="272" t="s">
        <v>1212</v>
      </c>
      <c r="B354" s="273">
        <v>45968</v>
      </c>
      <c r="C354" s="274" t="s">
        <v>1837</v>
      </c>
      <c r="D354" s="274" t="s">
        <v>1654</v>
      </c>
      <c r="E354" s="274" t="s">
        <v>1655</v>
      </c>
      <c r="F354" s="274" t="s">
        <v>18</v>
      </c>
      <c r="G354" s="274" t="s">
        <v>48</v>
      </c>
      <c r="H354" s="274" t="s">
        <v>207</v>
      </c>
      <c r="I354" s="275">
        <v>3000</v>
      </c>
      <c r="J354" s="276">
        <v>147650.39000000001</v>
      </c>
      <c r="K354" s="275">
        <v>3000</v>
      </c>
      <c r="L354" s="275">
        <v>3000</v>
      </c>
      <c r="M354" s="273">
        <v>45968</v>
      </c>
      <c r="N354" s="276">
        <v>159210</v>
      </c>
      <c r="O354" s="274" t="s">
        <v>21</v>
      </c>
      <c r="P354" s="274" t="s">
        <v>22</v>
      </c>
      <c r="Q354" s="274" t="s">
        <v>1750</v>
      </c>
      <c r="R354" s="274" t="str">
        <f>VLOOKUP('MIS Working 1'!$G354,Master!$H$3:$I$8,2,0)</f>
        <v>Raw Material</v>
      </c>
      <c r="S354" s="274" t="str">
        <f>VLOOKUP('MIS Working 1'!$H354,Master!B:C,2,0)</f>
        <v>RM-Mech. Accessories</v>
      </c>
      <c r="T354" s="274" t="str">
        <f>VLOOKUP('MIS Working 1'!$S354,Master!E:F,2,0)</f>
        <v>Raw Material</v>
      </c>
      <c r="U354" s="277">
        <f>'MIS Working 1'!$N354-'MIS Working 1'!$AF354</f>
        <v>159210</v>
      </c>
      <c r="V354" s="278">
        <f>'MIS Working 1'!$U354/'MIS Working 1'!$N354</f>
        <v>1</v>
      </c>
      <c r="W354" s="274">
        <f>'MIS Working 1'!$N354/'MIS Working 1'!$L354</f>
        <v>53.07</v>
      </c>
      <c r="X354" s="279">
        <f>SUM('MIS Working 1'!$Y354:$AE354)</f>
        <v>0</v>
      </c>
      <c r="Y354" s="279">
        <f>SUMIFS('COGS Break up'!$E:$E,'COGS Break up'!$A:$A,'MIS Working 1'!$D354,'COGS Break up'!$D:$D,'MIS Working 1'!$Y$1)</f>
        <v>0</v>
      </c>
      <c r="Z354" s="279">
        <f>SUMIFS('COGS Break up'!$E:$E,'COGS Break up'!$A:$A,'MIS Working 1'!$D354,'COGS Break up'!$D:$D,'MIS Working 1'!$Z$1)</f>
        <v>0</v>
      </c>
      <c r="AA354" s="279">
        <f>SUMIFS('COGS Break up'!E:E,'COGS Break up'!A:A,'MIS Working 1'!$D:$D,'COGS Break up'!C:C,'MIS Working 1'!$AA$1)</f>
        <v>0</v>
      </c>
      <c r="AB354" s="279">
        <f>SUMIFS('COGS Break up'!E:E,'COGS Break up'!A:A,'MIS Working 1'!$D:$D,'COGS Break up'!C:C,$AB$1)</f>
        <v>0</v>
      </c>
      <c r="AC354" s="279">
        <f>SUMIFS('COGS Break up'!E:E,'COGS Break up'!A:A,'MIS Working 1'!$D:$D,'COGS Break up'!C:C,$AC$1)</f>
        <v>0</v>
      </c>
      <c r="AD354" s="279">
        <f>SUMIFS('COGS Break up'!$E:$E,'COGS Break up'!$A:$A,'MIS Working 1'!$D354,'COGS Break up'!$D:$D,'MIS Working 1'!$AD$1)</f>
        <v>0</v>
      </c>
      <c r="AE354" s="279">
        <f>SUMIFS('COGS Break up'!$E:$E,'COGS Break up'!$A:$A,'MIS Working 1'!$D354,'COGS Break up'!$D:$D,'MIS Working 1'!$AE$1)</f>
        <v>0</v>
      </c>
      <c r="AF354" s="280">
        <f>'MIS Working 1'!$AG354+'MIS Working 1'!$AH354+'MIS Working 1'!$AM354+'MIS Working 1'!$AL354</f>
        <v>0</v>
      </c>
      <c r="AG354" s="279">
        <f>'MIS Working 1'!$L354*'MIS Working 1'!$Y354</f>
        <v>0</v>
      </c>
      <c r="AH354" s="279">
        <f>'MIS Working 1'!$L354*'MIS Working 1'!$Z354</f>
        <v>0</v>
      </c>
      <c r="AI354" s="279">
        <f t="shared" si="15"/>
        <v>0</v>
      </c>
      <c r="AJ354" s="279">
        <f t="shared" si="16"/>
        <v>0</v>
      </c>
      <c r="AK354" s="279">
        <f t="shared" si="17"/>
        <v>0</v>
      </c>
      <c r="AL354" s="279">
        <f>'MIS Working 1'!$AD354*'MIS Working 1'!$L354</f>
        <v>0</v>
      </c>
      <c r="AM354" s="279">
        <f>'MIS Working 1'!$L354*'MIS Working 1'!$AE354+'MIS Working 1'!$AL354</f>
        <v>0</v>
      </c>
    </row>
    <row r="355" spans="1:39" x14ac:dyDescent="0.3">
      <c r="A355" s="263" t="s">
        <v>1291</v>
      </c>
      <c r="B355" s="264">
        <v>45967</v>
      </c>
      <c r="C355" s="265" t="s">
        <v>1838</v>
      </c>
      <c r="D355" s="265" t="s">
        <v>36</v>
      </c>
      <c r="E355" s="265" t="s">
        <v>37</v>
      </c>
      <c r="F355" s="265" t="s">
        <v>18</v>
      </c>
      <c r="G355" s="265" t="s">
        <v>19</v>
      </c>
      <c r="H355" s="265" t="s">
        <v>20</v>
      </c>
      <c r="I355" s="266">
        <v>5000</v>
      </c>
      <c r="J355" s="267">
        <v>2306850</v>
      </c>
      <c r="K355" s="266">
        <v>5000</v>
      </c>
      <c r="L355" s="266">
        <v>5000</v>
      </c>
      <c r="M355" s="264">
        <v>45967</v>
      </c>
      <c r="N355" s="267">
        <v>3296550</v>
      </c>
      <c r="O355" s="265" t="s">
        <v>21</v>
      </c>
      <c r="P355" s="265" t="s">
        <v>22</v>
      </c>
      <c r="Q355" s="265" t="s">
        <v>660</v>
      </c>
      <c r="R355" s="265" t="str">
        <f>VLOOKUP('MIS Working 1'!$G355,Master!$H$3:$I$8,2,0)</f>
        <v>Finished Goods</v>
      </c>
      <c r="S355" s="265" t="str">
        <f>VLOOKUP('MIS Working 1'!$H355,Master!B:C,2,0)</f>
        <v>FG-PCB-Ref</v>
      </c>
      <c r="T355" s="265" t="str">
        <f>VLOOKUP('MIS Working 1'!$S355,Master!E:F,2,0)</f>
        <v>FG-PCB-Ref</v>
      </c>
      <c r="U355" s="268">
        <f>'MIS Working 1'!$N355-'MIS Working 1'!$AF355</f>
        <v>988500</v>
      </c>
      <c r="V355" s="269">
        <f>'MIS Working 1'!$U355/'MIS Working 1'!$N355</f>
        <v>0.29985894344087</v>
      </c>
      <c r="W355" s="265">
        <f>'MIS Working 1'!$N355/'MIS Working 1'!$L355</f>
        <v>659.31</v>
      </c>
      <c r="X355" s="270">
        <f>SUM('MIS Working 1'!$Y355:$AE355)</f>
        <v>492.59000000000003</v>
      </c>
      <c r="Y355" s="270">
        <f>SUMIFS('COGS Break up'!$E:$E,'COGS Break up'!$A:$A,'MIS Working 1'!$D355,'COGS Break up'!$D:$D,'MIS Working 1'!$Y$1)</f>
        <v>401.59000000000003</v>
      </c>
      <c r="Z355" s="270">
        <f>SUMIFS('COGS Break up'!$E:$E,'COGS Break up'!$A:$A,'MIS Working 1'!$D355,'COGS Break up'!$D:$D,'MIS Working 1'!$Z$1)</f>
        <v>28.32</v>
      </c>
      <c r="AA355" s="270">
        <f>SUMIFS('COGS Break up'!E:E,'COGS Break up'!A:A,'MIS Working 1'!$D:$D,'COGS Break up'!C:C,'MIS Working 1'!$AA$1)</f>
        <v>2.3199999999999998</v>
      </c>
      <c r="AB355" s="270">
        <f>SUMIFS('COGS Break up'!E:E,'COGS Break up'!A:A,'MIS Working 1'!$D:$D,'COGS Break up'!C:C,$AB$1)</f>
        <v>20.59</v>
      </c>
      <c r="AC355" s="270">
        <f>SUMIFS('COGS Break up'!E:E,'COGS Break up'!A:A,'MIS Working 1'!$D:$D,'COGS Break up'!C:C,$AC$1)</f>
        <v>8.31</v>
      </c>
      <c r="AD355" s="270">
        <f>SUMIFS('COGS Break up'!$E:$E,'COGS Break up'!$A:$A,'MIS Working 1'!$D355,'COGS Break up'!$D:$D,'MIS Working 1'!$AD$1)</f>
        <v>0.24</v>
      </c>
      <c r="AE355" s="270">
        <f>SUMIFS('COGS Break up'!$E:$E,'COGS Break up'!$A:$A,'MIS Working 1'!$D355,'COGS Break up'!$D:$D,'MIS Working 1'!$AE$1)</f>
        <v>31.22</v>
      </c>
      <c r="AF355" s="271">
        <f>'MIS Working 1'!$AG355+'MIS Working 1'!$AH355+'MIS Working 1'!$AM355+'MIS Working 1'!$AL355</f>
        <v>2308050</v>
      </c>
      <c r="AG355" s="270">
        <f>'MIS Working 1'!$L355*'MIS Working 1'!$Y355</f>
        <v>2007950.0000000002</v>
      </c>
      <c r="AH355" s="270">
        <f>'MIS Working 1'!$L355*'MIS Working 1'!$Z355</f>
        <v>141600</v>
      </c>
      <c r="AI355" s="270">
        <f t="shared" si="15"/>
        <v>11600</v>
      </c>
      <c r="AJ355" s="270">
        <f t="shared" si="16"/>
        <v>102950</v>
      </c>
      <c r="AK355" s="270">
        <f t="shared" si="17"/>
        <v>41550</v>
      </c>
      <c r="AL355" s="270">
        <f>'MIS Working 1'!$AD355*'MIS Working 1'!$L355</f>
        <v>1200</v>
      </c>
      <c r="AM355" s="270">
        <f>'MIS Working 1'!$L355*'MIS Working 1'!$AE355+'MIS Working 1'!$AL355</f>
        <v>157300</v>
      </c>
    </row>
    <row r="356" spans="1:39" x14ac:dyDescent="0.3">
      <c r="A356" s="272" t="s">
        <v>479</v>
      </c>
      <c r="B356" s="273">
        <v>45967</v>
      </c>
      <c r="C356" s="274" t="s">
        <v>1839</v>
      </c>
      <c r="D356" s="274" t="s">
        <v>32</v>
      </c>
      <c r="E356" s="274" t="s">
        <v>33</v>
      </c>
      <c r="F356" s="274" t="s">
        <v>18</v>
      </c>
      <c r="G356" s="274" t="s">
        <v>34</v>
      </c>
      <c r="H356" s="274" t="s">
        <v>772</v>
      </c>
      <c r="I356" s="275">
        <v>1491</v>
      </c>
      <c r="J356" s="276">
        <v>284736.27</v>
      </c>
      <c r="K356" s="275">
        <v>1491</v>
      </c>
      <c r="L356" s="275">
        <v>1491</v>
      </c>
      <c r="M356" s="273">
        <v>45967</v>
      </c>
      <c r="N356" s="276">
        <v>309770.15999999997</v>
      </c>
      <c r="O356" s="274" t="s">
        <v>21</v>
      </c>
      <c r="P356" s="274" t="s">
        <v>22</v>
      </c>
      <c r="Q356" s="274" t="s">
        <v>660</v>
      </c>
      <c r="R356" s="274" t="str">
        <f>VLOOKUP('MIS Working 1'!$G356,Master!$H$3:$I$8,2,0)</f>
        <v>Semi-Finished Goods</v>
      </c>
      <c r="S356" s="274" t="str">
        <f>VLOOKUP('MIS Working 1'!$H356,Master!B:C,2,0)</f>
        <v>SFG-GV5 Stator</v>
      </c>
      <c r="T356" s="274" t="str">
        <f>VLOOKUP('MIS Working 1'!$S356,Master!E:F,2,0)</f>
        <v>Sub Ass.-Mech Stator</v>
      </c>
      <c r="U356" s="277">
        <f>'MIS Working 1'!$N356-'MIS Working 1'!$AF356</f>
        <v>25033.890000000014</v>
      </c>
      <c r="V356" s="278">
        <f>'MIS Working 1'!$U356/'MIS Working 1'!$N356</f>
        <v>8.0814401232191038E-2</v>
      </c>
      <c r="W356" s="274">
        <f>'MIS Working 1'!$N356/'MIS Working 1'!$L356</f>
        <v>207.76</v>
      </c>
      <c r="X356" s="279">
        <f>SUM('MIS Working 1'!$Y356:$AE356)</f>
        <v>192.92</v>
      </c>
      <c r="Y356" s="279">
        <f>SUMIFS('COGS Break up'!$E:$E,'COGS Break up'!$A:$A,'MIS Working 1'!$D356,'COGS Break up'!$D:$D,'MIS Working 1'!$Y$1)</f>
        <v>187.51999999999998</v>
      </c>
      <c r="Z356" s="279">
        <f>SUMIFS('COGS Break up'!$E:$E,'COGS Break up'!$A:$A,'MIS Working 1'!$D356,'COGS Break up'!$D:$D,'MIS Working 1'!$Z$1)</f>
        <v>1.5</v>
      </c>
      <c r="AA356" s="279">
        <f>SUMIFS('COGS Break up'!E:E,'COGS Break up'!A:A,'MIS Working 1'!$D:$D,'COGS Break up'!C:C,'MIS Working 1'!$AA$1)</f>
        <v>0.05</v>
      </c>
      <c r="AB356" s="279">
        <f>SUMIFS('COGS Break up'!E:E,'COGS Break up'!A:A,'MIS Working 1'!$D:$D,'COGS Break up'!C:C,$AB$1)</f>
        <v>0.4</v>
      </c>
      <c r="AC356" s="279">
        <f>SUMIFS('COGS Break up'!E:E,'COGS Break up'!A:A,'MIS Working 1'!$D:$D,'COGS Break up'!C:C,$AC$1)</f>
        <v>1.5</v>
      </c>
      <c r="AD356" s="279">
        <f>SUMIFS('COGS Break up'!$E:$E,'COGS Break up'!$A:$A,'MIS Working 1'!$D356,'COGS Break up'!$D:$D,'MIS Working 1'!$AD$1)</f>
        <v>0</v>
      </c>
      <c r="AE356" s="279">
        <f>SUMIFS('COGS Break up'!$E:$E,'COGS Break up'!$A:$A,'MIS Working 1'!$D356,'COGS Break up'!$D:$D,'MIS Working 1'!$AE$1)</f>
        <v>1.95</v>
      </c>
      <c r="AF356" s="280">
        <f>'MIS Working 1'!$AG356+'MIS Working 1'!$AH356+'MIS Working 1'!$AM356+'MIS Working 1'!$AL356</f>
        <v>284736.26999999996</v>
      </c>
      <c r="AG356" s="279">
        <f>'MIS Working 1'!$L356*'MIS Working 1'!$Y356</f>
        <v>279592.31999999995</v>
      </c>
      <c r="AH356" s="279">
        <f>'MIS Working 1'!$L356*'MIS Working 1'!$Z356</f>
        <v>2236.5</v>
      </c>
      <c r="AI356" s="279">
        <f t="shared" si="15"/>
        <v>74.55</v>
      </c>
      <c r="AJ356" s="279">
        <f t="shared" si="16"/>
        <v>596.4</v>
      </c>
      <c r="AK356" s="279">
        <f t="shared" si="17"/>
        <v>2236.5</v>
      </c>
      <c r="AL356" s="279">
        <f>'MIS Working 1'!$AD356*'MIS Working 1'!$L356</f>
        <v>0</v>
      </c>
      <c r="AM356" s="279">
        <f>'MIS Working 1'!$L356*'MIS Working 1'!$AE356+'MIS Working 1'!$AL356</f>
        <v>2907.45</v>
      </c>
    </row>
    <row r="357" spans="1:39" x14ac:dyDescent="0.3">
      <c r="A357" s="263" t="s">
        <v>479</v>
      </c>
      <c r="B357" s="264">
        <v>45967</v>
      </c>
      <c r="C357" s="265" t="s">
        <v>1840</v>
      </c>
      <c r="D357" s="265" t="s">
        <v>40</v>
      </c>
      <c r="E357" s="265" t="s">
        <v>41</v>
      </c>
      <c r="F357" s="265" t="s">
        <v>18</v>
      </c>
      <c r="G357" s="265" t="s">
        <v>34</v>
      </c>
      <c r="H357" s="265" t="s">
        <v>772</v>
      </c>
      <c r="I357" s="266">
        <v>2128</v>
      </c>
      <c r="J357" s="267">
        <v>314241.76</v>
      </c>
      <c r="K357" s="266">
        <v>2128</v>
      </c>
      <c r="L357" s="266">
        <v>2128</v>
      </c>
      <c r="M357" s="264">
        <v>45967</v>
      </c>
      <c r="N357" s="267">
        <v>346736.32</v>
      </c>
      <c r="O357" s="265" t="s">
        <v>21</v>
      </c>
      <c r="P357" s="265" t="s">
        <v>22</v>
      </c>
      <c r="Q357" s="265" t="s">
        <v>660</v>
      </c>
      <c r="R357" s="265" t="str">
        <f>VLOOKUP('MIS Working 1'!$G357,Master!$H$3:$I$8,2,0)</f>
        <v>Semi-Finished Goods</v>
      </c>
      <c r="S357" s="265" t="str">
        <f>VLOOKUP('MIS Working 1'!$H357,Master!B:C,2,0)</f>
        <v>SFG-GV5 Stator</v>
      </c>
      <c r="T357" s="265" t="str">
        <f>VLOOKUP('MIS Working 1'!$S357,Master!E:F,2,0)</f>
        <v>Sub Ass.-Mech Stator</v>
      </c>
      <c r="U357" s="268">
        <f>'MIS Working 1'!$N357-'MIS Working 1'!$AF357</f>
        <v>32494.560000000114</v>
      </c>
      <c r="V357" s="269">
        <f>'MIS Working 1'!$U357/'MIS Working 1'!$N357</f>
        <v>9.3715478090094839E-2</v>
      </c>
      <c r="W357" s="265">
        <f>'MIS Working 1'!$N357/'MIS Working 1'!$L357</f>
        <v>162.94</v>
      </c>
      <c r="X357" s="270">
        <f>SUM('MIS Working 1'!$Y357:$AE357)</f>
        <v>149.61999999999998</v>
      </c>
      <c r="Y357" s="270">
        <f>SUMIFS('COGS Break up'!$E:$E,'COGS Break up'!$A:$A,'MIS Working 1'!$D357,'COGS Break up'!$D:$D,'MIS Working 1'!$Y$1)</f>
        <v>144.21999999999997</v>
      </c>
      <c r="Z357" s="270">
        <f>SUMIFS('COGS Break up'!$E:$E,'COGS Break up'!$A:$A,'MIS Working 1'!$D357,'COGS Break up'!$D:$D,'MIS Working 1'!$Z$1)</f>
        <v>1.5</v>
      </c>
      <c r="AA357" s="270">
        <f>SUMIFS('COGS Break up'!E:E,'COGS Break up'!A:A,'MIS Working 1'!$D:$D,'COGS Break up'!C:C,'MIS Working 1'!$AA$1)</f>
        <v>0.05</v>
      </c>
      <c r="AB357" s="270">
        <f>SUMIFS('COGS Break up'!E:E,'COGS Break up'!A:A,'MIS Working 1'!$D:$D,'COGS Break up'!C:C,$AB$1)</f>
        <v>0.4</v>
      </c>
      <c r="AC357" s="270">
        <f>SUMIFS('COGS Break up'!E:E,'COGS Break up'!A:A,'MIS Working 1'!$D:$D,'COGS Break up'!C:C,$AC$1)</f>
        <v>1.5</v>
      </c>
      <c r="AD357" s="270">
        <f>SUMIFS('COGS Break up'!$E:$E,'COGS Break up'!$A:$A,'MIS Working 1'!$D357,'COGS Break up'!$D:$D,'MIS Working 1'!$AD$1)</f>
        <v>0</v>
      </c>
      <c r="AE357" s="270">
        <f>SUMIFS('COGS Break up'!$E:$E,'COGS Break up'!$A:$A,'MIS Working 1'!$D357,'COGS Break up'!$D:$D,'MIS Working 1'!$AE$1)</f>
        <v>1.95</v>
      </c>
      <c r="AF357" s="271">
        <f>'MIS Working 1'!$AG357+'MIS Working 1'!$AH357+'MIS Working 1'!$AM357+'MIS Working 1'!$AL357</f>
        <v>314241.75999999989</v>
      </c>
      <c r="AG357" s="270">
        <f>'MIS Working 1'!$L357*'MIS Working 1'!$Y357</f>
        <v>306900.15999999992</v>
      </c>
      <c r="AH357" s="270">
        <f>'MIS Working 1'!$L357*'MIS Working 1'!$Z357</f>
        <v>3192</v>
      </c>
      <c r="AI357" s="270">
        <f t="shared" si="15"/>
        <v>106.4</v>
      </c>
      <c r="AJ357" s="270">
        <f t="shared" si="16"/>
        <v>851.2</v>
      </c>
      <c r="AK357" s="270">
        <f t="shared" si="17"/>
        <v>3192</v>
      </c>
      <c r="AL357" s="270">
        <f>'MIS Working 1'!$AD357*'MIS Working 1'!$L357</f>
        <v>0</v>
      </c>
      <c r="AM357" s="270">
        <f>'MIS Working 1'!$L357*'MIS Working 1'!$AE357+'MIS Working 1'!$AL357</f>
        <v>4149.5999999999995</v>
      </c>
    </row>
    <row r="358" spans="1:39" x14ac:dyDescent="0.3">
      <c r="A358" s="272" t="s">
        <v>479</v>
      </c>
      <c r="B358" s="273">
        <v>45967</v>
      </c>
      <c r="C358" s="274" t="s">
        <v>1839</v>
      </c>
      <c r="D358" s="274" t="s">
        <v>40</v>
      </c>
      <c r="E358" s="274" t="s">
        <v>41</v>
      </c>
      <c r="F358" s="274" t="s">
        <v>18</v>
      </c>
      <c r="G358" s="274" t="s">
        <v>34</v>
      </c>
      <c r="H358" s="274" t="s">
        <v>772</v>
      </c>
      <c r="I358" s="275">
        <v>3248</v>
      </c>
      <c r="J358" s="276">
        <v>479632.16</v>
      </c>
      <c r="K358" s="275">
        <v>3248</v>
      </c>
      <c r="L358" s="275">
        <v>3248</v>
      </c>
      <c r="M358" s="273">
        <v>45967</v>
      </c>
      <c r="N358" s="276">
        <v>529229.12</v>
      </c>
      <c r="O358" s="274" t="s">
        <v>21</v>
      </c>
      <c r="P358" s="274" t="s">
        <v>22</v>
      </c>
      <c r="Q358" s="274" t="s">
        <v>660</v>
      </c>
      <c r="R358" s="274" t="str">
        <f>VLOOKUP('MIS Working 1'!$G358,Master!$H$3:$I$8,2,0)</f>
        <v>Semi-Finished Goods</v>
      </c>
      <c r="S358" s="274" t="str">
        <f>VLOOKUP('MIS Working 1'!$H358,Master!B:C,2,0)</f>
        <v>SFG-GV5 Stator</v>
      </c>
      <c r="T358" s="274" t="str">
        <f>VLOOKUP('MIS Working 1'!$S358,Master!E:F,2,0)</f>
        <v>Sub Ass.-Mech Stator</v>
      </c>
      <c r="U358" s="277">
        <f>'MIS Working 1'!$N358-'MIS Working 1'!$AF358</f>
        <v>49596.960000000137</v>
      </c>
      <c r="V358" s="278">
        <f>'MIS Working 1'!$U358/'MIS Working 1'!$N358</f>
        <v>9.371547809009477E-2</v>
      </c>
      <c r="W358" s="274">
        <f>'MIS Working 1'!$N358/'MIS Working 1'!$L358</f>
        <v>162.94</v>
      </c>
      <c r="X358" s="279">
        <f>SUM('MIS Working 1'!$Y358:$AE358)</f>
        <v>149.61999999999998</v>
      </c>
      <c r="Y358" s="279">
        <f>SUMIFS('COGS Break up'!$E:$E,'COGS Break up'!$A:$A,'MIS Working 1'!$D358,'COGS Break up'!$D:$D,'MIS Working 1'!$Y$1)</f>
        <v>144.21999999999997</v>
      </c>
      <c r="Z358" s="279">
        <f>SUMIFS('COGS Break up'!$E:$E,'COGS Break up'!$A:$A,'MIS Working 1'!$D358,'COGS Break up'!$D:$D,'MIS Working 1'!$Z$1)</f>
        <v>1.5</v>
      </c>
      <c r="AA358" s="279">
        <f>SUMIFS('COGS Break up'!E:E,'COGS Break up'!A:A,'MIS Working 1'!$D:$D,'COGS Break up'!C:C,'MIS Working 1'!$AA$1)</f>
        <v>0.05</v>
      </c>
      <c r="AB358" s="279">
        <f>SUMIFS('COGS Break up'!E:E,'COGS Break up'!A:A,'MIS Working 1'!$D:$D,'COGS Break up'!C:C,$AB$1)</f>
        <v>0.4</v>
      </c>
      <c r="AC358" s="279">
        <f>SUMIFS('COGS Break up'!E:E,'COGS Break up'!A:A,'MIS Working 1'!$D:$D,'COGS Break up'!C:C,$AC$1)</f>
        <v>1.5</v>
      </c>
      <c r="AD358" s="279">
        <f>SUMIFS('COGS Break up'!$E:$E,'COGS Break up'!$A:$A,'MIS Working 1'!$D358,'COGS Break up'!$D:$D,'MIS Working 1'!$AD$1)</f>
        <v>0</v>
      </c>
      <c r="AE358" s="279">
        <f>SUMIFS('COGS Break up'!$E:$E,'COGS Break up'!$A:$A,'MIS Working 1'!$D358,'COGS Break up'!$D:$D,'MIS Working 1'!$AE$1)</f>
        <v>1.95</v>
      </c>
      <c r="AF358" s="280">
        <f>'MIS Working 1'!$AG358+'MIS Working 1'!$AH358+'MIS Working 1'!$AM358+'MIS Working 1'!$AL358</f>
        <v>479632.15999999986</v>
      </c>
      <c r="AG358" s="279">
        <f>'MIS Working 1'!$L358*'MIS Working 1'!$Y358</f>
        <v>468426.55999999988</v>
      </c>
      <c r="AH358" s="279">
        <f>'MIS Working 1'!$L358*'MIS Working 1'!$Z358</f>
        <v>4872</v>
      </c>
      <c r="AI358" s="279">
        <f t="shared" si="15"/>
        <v>162.4</v>
      </c>
      <c r="AJ358" s="279">
        <f t="shared" si="16"/>
        <v>1299.2</v>
      </c>
      <c r="AK358" s="279">
        <f t="shared" si="17"/>
        <v>4872</v>
      </c>
      <c r="AL358" s="279">
        <f>'MIS Working 1'!$AD358*'MIS Working 1'!$L358</f>
        <v>0</v>
      </c>
      <c r="AM358" s="279">
        <f>'MIS Working 1'!$L358*'MIS Working 1'!$AE358+'MIS Working 1'!$AL358</f>
        <v>6333.5999999999995</v>
      </c>
    </row>
    <row r="359" spans="1:39" x14ac:dyDescent="0.3">
      <c r="A359" s="263" t="s">
        <v>479</v>
      </c>
      <c r="B359" s="264">
        <v>45967</v>
      </c>
      <c r="C359" s="265" t="s">
        <v>1841</v>
      </c>
      <c r="D359" s="265" t="s">
        <v>1182</v>
      </c>
      <c r="E359" s="265" t="s">
        <v>1183</v>
      </c>
      <c r="F359" s="265" t="s">
        <v>18</v>
      </c>
      <c r="G359" s="265" t="s">
        <v>19</v>
      </c>
      <c r="H359" s="265" t="s">
        <v>27</v>
      </c>
      <c r="I359" s="266">
        <v>1930</v>
      </c>
      <c r="J359" s="267">
        <v>813263.4</v>
      </c>
      <c r="K359" s="266">
        <v>1930</v>
      </c>
      <c r="L359" s="266">
        <v>1930</v>
      </c>
      <c r="M359" s="264">
        <v>45967</v>
      </c>
      <c r="N359" s="267">
        <v>932498.8</v>
      </c>
      <c r="O359" s="265" t="s">
        <v>21</v>
      </c>
      <c r="P359" s="265" t="s">
        <v>22</v>
      </c>
      <c r="Q359" s="265" t="s">
        <v>660</v>
      </c>
      <c r="R359" s="265" t="str">
        <f>VLOOKUP('MIS Working 1'!$G359,Master!$H$3:$I$8,2,0)</f>
        <v>Finished Goods</v>
      </c>
      <c r="S359" s="265" t="str">
        <f>VLOOKUP('MIS Working 1'!$H359,Master!B:C,2,0)</f>
        <v>FG-PCB-CF</v>
      </c>
      <c r="T359" s="265" t="str">
        <f>VLOOKUP('MIS Working 1'!$S359,Master!E:F,2,0)</f>
        <v>FG-PCB-CF</v>
      </c>
      <c r="U359" s="268">
        <f>'MIS Working 1'!$N359-'MIS Working 1'!$AF359</f>
        <v>118733.60000000033</v>
      </c>
      <c r="V359" s="269">
        <f>'MIS Working 1'!$U359/'MIS Working 1'!$N359</f>
        <v>0.12732842122692309</v>
      </c>
      <c r="W359" s="265">
        <f>'MIS Working 1'!$N359/'MIS Working 1'!$L359</f>
        <v>483.16</v>
      </c>
      <c r="X359" s="270">
        <f>SUM('MIS Working 1'!$Y359:$AE359)</f>
        <v>447.47999999999985</v>
      </c>
      <c r="Y359" s="270">
        <f>SUMIFS('COGS Break up'!$E:$E,'COGS Break up'!$A:$A,'MIS Working 1'!$D359,'COGS Break up'!$D:$D,'MIS Working 1'!$Y$1)</f>
        <v>373.01999999999981</v>
      </c>
      <c r="Z359" s="270">
        <f>SUMIFS('COGS Break up'!$E:$E,'COGS Break up'!$A:$A,'MIS Working 1'!$D359,'COGS Break up'!$D:$D,'MIS Working 1'!$Z$1)</f>
        <v>22</v>
      </c>
      <c r="AA359" s="270">
        <f>SUMIFS('COGS Break up'!E:E,'COGS Break up'!A:A,'MIS Working 1'!$D:$D,'COGS Break up'!C:C,'MIS Working 1'!$AA$1)</f>
        <v>1.8</v>
      </c>
      <c r="AB359" s="270">
        <f>SUMIFS('COGS Break up'!E:E,'COGS Break up'!A:A,'MIS Working 1'!$D:$D,'COGS Break up'!C:C,$AB$1)</f>
        <v>15.99</v>
      </c>
      <c r="AC359" s="270">
        <f>SUMIFS('COGS Break up'!E:E,'COGS Break up'!A:A,'MIS Working 1'!$D:$D,'COGS Break up'!C:C,$AC$1)</f>
        <v>8.31</v>
      </c>
      <c r="AD359" s="270">
        <f>SUMIFS('COGS Break up'!$E:$E,'COGS Break up'!$A:$A,'MIS Working 1'!$D359,'COGS Break up'!$D:$D,'MIS Working 1'!$AD$1)</f>
        <v>0.26</v>
      </c>
      <c r="AE359" s="270">
        <f>SUMIFS('COGS Break up'!$E:$E,'COGS Break up'!$A:$A,'MIS Working 1'!$D359,'COGS Break up'!$D:$D,'MIS Working 1'!$AE$1)</f>
        <v>26.1</v>
      </c>
      <c r="AF359" s="271">
        <f>'MIS Working 1'!$AG359+'MIS Working 1'!$AH359+'MIS Working 1'!$AM359+'MIS Working 1'!$AL359</f>
        <v>813765.19999999972</v>
      </c>
      <c r="AG359" s="270">
        <f>'MIS Working 1'!$L359*'MIS Working 1'!$Y359</f>
        <v>719928.59999999963</v>
      </c>
      <c r="AH359" s="270">
        <f>'MIS Working 1'!$L359*'MIS Working 1'!$Z359</f>
        <v>42460</v>
      </c>
      <c r="AI359" s="270">
        <f t="shared" si="15"/>
        <v>3474</v>
      </c>
      <c r="AJ359" s="270">
        <f t="shared" si="16"/>
        <v>30860.7</v>
      </c>
      <c r="AK359" s="270">
        <f t="shared" si="17"/>
        <v>16038.300000000001</v>
      </c>
      <c r="AL359" s="270">
        <f>'MIS Working 1'!$AD359*'MIS Working 1'!$L359</f>
        <v>501.8</v>
      </c>
      <c r="AM359" s="270">
        <f>'MIS Working 1'!$L359*'MIS Working 1'!$AE359+'MIS Working 1'!$AL359</f>
        <v>50874.8</v>
      </c>
    </row>
    <row r="360" spans="1:39" x14ac:dyDescent="0.3">
      <c r="A360" s="272" t="s">
        <v>1373</v>
      </c>
      <c r="B360" s="273">
        <v>45967</v>
      </c>
      <c r="C360" s="274" t="s">
        <v>1843</v>
      </c>
      <c r="D360" s="274" t="s">
        <v>38</v>
      </c>
      <c r="E360" s="274" t="s">
        <v>39</v>
      </c>
      <c r="F360" s="274" t="s">
        <v>18</v>
      </c>
      <c r="G360" s="274" t="s">
        <v>19</v>
      </c>
      <c r="H360" s="274" t="s">
        <v>27</v>
      </c>
      <c r="I360" s="275">
        <v>12</v>
      </c>
      <c r="J360" s="276">
        <v>3925.56</v>
      </c>
      <c r="K360" s="275">
        <v>12</v>
      </c>
      <c r="L360" s="275">
        <v>12</v>
      </c>
      <c r="M360" s="273">
        <v>45967</v>
      </c>
      <c r="N360" s="276">
        <v>4092.84</v>
      </c>
      <c r="O360" s="274" t="s">
        <v>21</v>
      </c>
      <c r="P360" s="274" t="s">
        <v>22</v>
      </c>
      <c r="Q360" s="274" t="s">
        <v>1787</v>
      </c>
      <c r="R360" s="274" t="str">
        <f>VLOOKUP('MIS Working 1'!$G360,Master!$H$3:$I$8,2,0)</f>
        <v>Finished Goods</v>
      </c>
      <c r="S360" s="274" t="str">
        <f>VLOOKUP('MIS Working 1'!$H360,Master!B:C,2,0)</f>
        <v>FG-PCB-CF</v>
      </c>
      <c r="T360" s="274" t="str">
        <f>VLOOKUP('MIS Working 1'!$S360,Master!E:F,2,0)</f>
        <v>FG-PCB-CF</v>
      </c>
      <c r="U360" s="277">
        <f>'MIS Working 1'!$N360-'MIS Working 1'!$AF360</f>
        <v>165.24000000000024</v>
      </c>
      <c r="V360" s="278">
        <f>'MIS Working 1'!$U360/'MIS Working 1'!$N360</f>
        <v>4.0372943970446003E-2</v>
      </c>
      <c r="W360" s="274">
        <f>'MIS Working 1'!$N360/'MIS Working 1'!$L360</f>
        <v>341.07</v>
      </c>
      <c r="X360" s="279">
        <f>SUM('MIS Working 1'!$Y360:$AE360)</f>
        <v>353.55</v>
      </c>
      <c r="Y360" s="279">
        <f>SUMIFS('COGS Break up'!$E:$E,'COGS Break up'!$A:$A,'MIS Working 1'!$D360,'COGS Break up'!$D:$D,'MIS Working 1'!$Y$1)</f>
        <v>278.14</v>
      </c>
      <c r="Z360" s="279">
        <f>SUMIFS('COGS Break up'!$E:$E,'COGS Break up'!$A:$A,'MIS Working 1'!$D360,'COGS Break up'!$D:$D,'MIS Working 1'!$Z$1)</f>
        <v>22.400000000000002</v>
      </c>
      <c r="AA360" s="279">
        <f>SUMIFS('COGS Break up'!E:E,'COGS Break up'!A:A,'MIS Working 1'!$D:$D,'COGS Break up'!C:C,'MIS Working 1'!$AA$1)</f>
        <v>1.8299999999999998</v>
      </c>
      <c r="AB360" s="279">
        <f>SUMIFS('COGS Break up'!E:E,'COGS Break up'!A:A,'MIS Working 1'!$D:$D,'COGS Break up'!C:C,$AB$1)</f>
        <v>16.28</v>
      </c>
      <c r="AC360" s="279">
        <f>SUMIFS('COGS Break up'!E:E,'COGS Break up'!A:A,'MIS Working 1'!$D:$D,'COGS Break up'!C:C,$AC$1)</f>
        <v>8.31</v>
      </c>
      <c r="AD360" s="279">
        <f>SUMIFS('COGS Break up'!$E:$E,'COGS Break up'!$A:$A,'MIS Working 1'!$D360,'COGS Break up'!$D:$D,'MIS Working 1'!$AD$1)</f>
        <v>0.17</v>
      </c>
      <c r="AE360" s="279">
        <f>SUMIFS('COGS Break up'!$E:$E,'COGS Break up'!$A:$A,'MIS Working 1'!$D360,'COGS Break up'!$D:$D,'MIS Working 1'!$AE$1)</f>
        <v>26.42</v>
      </c>
      <c r="AF360" s="280">
        <f>'MIS Working 1'!$AG360+'MIS Working 1'!$AH360+'MIS Working 1'!$AM360+'MIS Working 1'!$AL360</f>
        <v>3927.6</v>
      </c>
      <c r="AG360" s="279">
        <f>'MIS Working 1'!$L360*'MIS Working 1'!$Y360</f>
        <v>3337.68</v>
      </c>
      <c r="AH360" s="279">
        <f>'MIS Working 1'!$L360*'MIS Working 1'!$Z360</f>
        <v>268.8</v>
      </c>
      <c r="AI360" s="279">
        <f t="shared" si="15"/>
        <v>21.959999999999997</v>
      </c>
      <c r="AJ360" s="279">
        <f t="shared" si="16"/>
        <v>195.36</v>
      </c>
      <c r="AK360" s="279">
        <f t="shared" si="17"/>
        <v>99.72</v>
      </c>
      <c r="AL360" s="279">
        <f>'MIS Working 1'!$AD360*'MIS Working 1'!$L360</f>
        <v>2.04</v>
      </c>
      <c r="AM360" s="279">
        <f>'MIS Working 1'!$L360*'MIS Working 1'!$AE360+'MIS Working 1'!$AL360</f>
        <v>319.08000000000004</v>
      </c>
    </row>
    <row r="361" spans="1:39" x14ac:dyDescent="0.3">
      <c r="A361" s="263" t="s">
        <v>1373</v>
      </c>
      <c r="B361" s="264">
        <v>45967</v>
      </c>
      <c r="C361" s="265" t="s">
        <v>1842</v>
      </c>
      <c r="D361" s="265" t="s">
        <v>38</v>
      </c>
      <c r="E361" s="265" t="s">
        <v>39</v>
      </c>
      <c r="F361" s="265" t="s">
        <v>18</v>
      </c>
      <c r="G361" s="265" t="s">
        <v>19</v>
      </c>
      <c r="H361" s="265" t="s">
        <v>27</v>
      </c>
      <c r="I361" s="266">
        <v>35</v>
      </c>
      <c r="J361" s="267">
        <v>11449.55</v>
      </c>
      <c r="K361" s="266">
        <v>35</v>
      </c>
      <c r="L361" s="266">
        <v>35</v>
      </c>
      <c r="M361" s="264">
        <v>45967</v>
      </c>
      <c r="N361" s="267">
        <v>11937.45</v>
      </c>
      <c r="O361" s="265" t="s">
        <v>21</v>
      </c>
      <c r="P361" s="265" t="s">
        <v>22</v>
      </c>
      <c r="Q361" s="265" t="s">
        <v>1787</v>
      </c>
      <c r="R361" s="265" t="str">
        <f>VLOOKUP('MIS Working 1'!$G361,Master!$H$3:$I$8,2,0)</f>
        <v>Finished Goods</v>
      </c>
      <c r="S361" s="265" t="str">
        <f>VLOOKUP('MIS Working 1'!$H361,Master!B:C,2,0)</f>
        <v>FG-PCB-CF</v>
      </c>
      <c r="T361" s="265" t="str">
        <f>VLOOKUP('MIS Working 1'!$S361,Master!E:F,2,0)</f>
        <v>FG-PCB-CF</v>
      </c>
      <c r="U361" s="268">
        <f>'MIS Working 1'!$N361-'MIS Working 1'!$AF361</f>
        <v>481.95000000000073</v>
      </c>
      <c r="V361" s="269">
        <f>'MIS Working 1'!$U361/'MIS Working 1'!$N361</f>
        <v>4.037294397044601E-2</v>
      </c>
      <c r="W361" s="265">
        <f>'MIS Working 1'!$N361/'MIS Working 1'!$L361</f>
        <v>341.07</v>
      </c>
      <c r="X361" s="270">
        <f>SUM('MIS Working 1'!$Y361:$AE361)</f>
        <v>353.55</v>
      </c>
      <c r="Y361" s="270">
        <f>SUMIFS('COGS Break up'!$E:$E,'COGS Break up'!$A:$A,'MIS Working 1'!$D361,'COGS Break up'!$D:$D,'MIS Working 1'!$Y$1)</f>
        <v>278.14</v>
      </c>
      <c r="Z361" s="270">
        <f>SUMIFS('COGS Break up'!$E:$E,'COGS Break up'!$A:$A,'MIS Working 1'!$D361,'COGS Break up'!$D:$D,'MIS Working 1'!$Z$1)</f>
        <v>22.400000000000002</v>
      </c>
      <c r="AA361" s="270">
        <f>SUMIFS('COGS Break up'!E:E,'COGS Break up'!A:A,'MIS Working 1'!$D:$D,'COGS Break up'!C:C,'MIS Working 1'!$AA$1)</f>
        <v>1.8299999999999998</v>
      </c>
      <c r="AB361" s="270">
        <f>SUMIFS('COGS Break up'!E:E,'COGS Break up'!A:A,'MIS Working 1'!$D:$D,'COGS Break up'!C:C,$AB$1)</f>
        <v>16.28</v>
      </c>
      <c r="AC361" s="270">
        <f>SUMIFS('COGS Break up'!E:E,'COGS Break up'!A:A,'MIS Working 1'!$D:$D,'COGS Break up'!C:C,$AC$1)</f>
        <v>8.31</v>
      </c>
      <c r="AD361" s="270">
        <f>SUMIFS('COGS Break up'!$E:$E,'COGS Break up'!$A:$A,'MIS Working 1'!$D361,'COGS Break up'!$D:$D,'MIS Working 1'!$AD$1)</f>
        <v>0.17</v>
      </c>
      <c r="AE361" s="270">
        <f>SUMIFS('COGS Break up'!$E:$E,'COGS Break up'!$A:$A,'MIS Working 1'!$D361,'COGS Break up'!$D:$D,'MIS Working 1'!$AE$1)</f>
        <v>26.42</v>
      </c>
      <c r="AF361" s="271">
        <f>'MIS Working 1'!$AG361+'MIS Working 1'!$AH361+'MIS Working 1'!$AM361+'MIS Working 1'!$AL361</f>
        <v>11455.5</v>
      </c>
      <c r="AG361" s="270">
        <f>'MIS Working 1'!$L361*'MIS Working 1'!$Y361</f>
        <v>9734.9</v>
      </c>
      <c r="AH361" s="270">
        <f>'MIS Working 1'!$L361*'MIS Working 1'!$Z361</f>
        <v>784.00000000000011</v>
      </c>
      <c r="AI361" s="270">
        <f t="shared" si="15"/>
        <v>64.05</v>
      </c>
      <c r="AJ361" s="270">
        <f t="shared" si="16"/>
        <v>569.80000000000007</v>
      </c>
      <c r="AK361" s="270">
        <f t="shared" si="17"/>
        <v>290.85000000000002</v>
      </c>
      <c r="AL361" s="270">
        <f>'MIS Working 1'!$AD361*'MIS Working 1'!$L361</f>
        <v>5.95</v>
      </c>
      <c r="AM361" s="270">
        <f>'MIS Working 1'!$L361*'MIS Working 1'!$AE361+'MIS Working 1'!$AL361</f>
        <v>930.65000000000009</v>
      </c>
    </row>
    <row r="362" spans="1:39" x14ac:dyDescent="0.3">
      <c r="A362" s="272" t="s">
        <v>1212</v>
      </c>
      <c r="B362" s="273">
        <v>45967</v>
      </c>
      <c r="C362" s="274" t="s">
        <v>1844</v>
      </c>
      <c r="D362" s="274" t="s">
        <v>1227</v>
      </c>
      <c r="E362" s="274" t="s">
        <v>1228</v>
      </c>
      <c r="F362" s="274" t="s">
        <v>18</v>
      </c>
      <c r="G362" s="274" t="s">
        <v>48</v>
      </c>
      <c r="H362" s="274" t="s">
        <v>207</v>
      </c>
      <c r="I362" s="275">
        <v>1207</v>
      </c>
      <c r="J362" s="276">
        <v>9930.7800000000007</v>
      </c>
      <c r="K362" s="275">
        <v>1207</v>
      </c>
      <c r="L362" s="275">
        <v>1207</v>
      </c>
      <c r="M362" s="273">
        <v>45967</v>
      </c>
      <c r="N362" s="276">
        <v>8002.41</v>
      </c>
      <c r="O362" s="274" t="s">
        <v>21</v>
      </c>
      <c r="P362" s="274" t="s">
        <v>22</v>
      </c>
      <c r="Q362" s="274" t="s">
        <v>1750</v>
      </c>
      <c r="R362" s="274" t="str">
        <f>VLOOKUP('MIS Working 1'!$G362,Master!$H$3:$I$8,2,0)</f>
        <v>Raw Material</v>
      </c>
      <c r="S362" s="274" t="str">
        <f>VLOOKUP('MIS Working 1'!$H362,Master!B:C,2,0)</f>
        <v>RM-Mech. Accessories</v>
      </c>
      <c r="T362" s="274" t="str">
        <f>VLOOKUP('MIS Working 1'!$S362,Master!E:F,2,0)</f>
        <v>Raw Material</v>
      </c>
      <c r="U362" s="277">
        <f>'MIS Working 1'!$N362-'MIS Working 1'!$AF362</f>
        <v>8002.41</v>
      </c>
      <c r="V362" s="278">
        <f>'MIS Working 1'!$U362/'MIS Working 1'!$N362</f>
        <v>1</v>
      </c>
      <c r="W362" s="274">
        <f>'MIS Working 1'!$N362/'MIS Working 1'!$L362</f>
        <v>6.63</v>
      </c>
      <c r="X362" s="279">
        <f>SUM('MIS Working 1'!$Y362:$AE362)</f>
        <v>0</v>
      </c>
      <c r="Y362" s="279">
        <f>SUMIFS('COGS Break up'!$E:$E,'COGS Break up'!$A:$A,'MIS Working 1'!$D362,'COGS Break up'!$D:$D,'MIS Working 1'!$Y$1)</f>
        <v>0</v>
      </c>
      <c r="Z362" s="279">
        <f>SUMIFS('COGS Break up'!$E:$E,'COGS Break up'!$A:$A,'MIS Working 1'!$D362,'COGS Break up'!$D:$D,'MIS Working 1'!$Z$1)</f>
        <v>0</v>
      </c>
      <c r="AA362" s="279">
        <f>SUMIFS('COGS Break up'!E:E,'COGS Break up'!A:A,'MIS Working 1'!$D:$D,'COGS Break up'!C:C,'MIS Working 1'!$AA$1)</f>
        <v>0</v>
      </c>
      <c r="AB362" s="279">
        <f>SUMIFS('COGS Break up'!E:E,'COGS Break up'!A:A,'MIS Working 1'!$D:$D,'COGS Break up'!C:C,$AB$1)</f>
        <v>0</v>
      </c>
      <c r="AC362" s="279">
        <f>SUMIFS('COGS Break up'!E:E,'COGS Break up'!A:A,'MIS Working 1'!$D:$D,'COGS Break up'!C:C,$AC$1)</f>
        <v>0</v>
      </c>
      <c r="AD362" s="279">
        <f>SUMIFS('COGS Break up'!$E:$E,'COGS Break up'!$A:$A,'MIS Working 1'!$D362,'COGS Break up'!$D:$D,'MIS Working 1'!$AD$1)</f>
        <v>0</v>
      </c>
      <c r="AE362" s="279">
        <f>SUMIFS('COGS Break up'!$E:$E,'COGS Break up'!$A:$A,'MIS Working 1'!$D362,'COGS Break up'!$D:$D,'MIS Working 1'!$AE$1)</f>
        <v>0</v>
      </c>
      <c r="AF362" s="280">
        <f>'MIS Working 1'!$AG362+'MIS Working 1'!$AH362+'MIS Working 1'!$AM362+'MIS Working 1'!$AL362</f>
        <v>0</v>
      </c>
      <c r="AG362" s="279">
        <f>'MIS Working 1'!$L362*'MIS Working 1'!$Y362</f>
        <v>0</v>
      </c>
      <c r="AH362" s="279">
        <f>'MIS Working 1'!$L362*'MIS Working 1'!$Z362</f>
        <v>0</v>
      </c>
      <c r="AI362" s="279">
        <f t="shared" si="15"/>
        <v>0</v>
      </c>
      <c r="AJ362" s="279">
        <f t="shared" si="16"/>
        <v>0</v>
      </c>
      <c r="AK362" s="279">
        <f t="shared" si="17"/>
        <v>0</v>
      </c>
      <c r="AL362" s="279">
        <f>'MIS Working 1'!$AD362*'MIS Working 1'!$L362</f>
        <v>0</v>
      </c>
      <c r="AM362" s="279">
        <f>'MIS Working 1'!$L362*'MIS Working 1'!$AE362+'MIS Working 1'!$AL362</f>
        <v>0</v>
      </c>
    </row>
    <row r="363" spans="1:39" x14ac:dyDescent="0.3">
      <c r="A363" s="263" t="s">
        <v>1291</v>
      </c>
      <c r="B363" s="264">
        <v>45967</v>
      </c>
      <c r="C363" s="265" t="s">
        <v>1845</v>
      </c>
      <c r="D363" s="265" t="s">
        <v>533</v>
      </c>
      <c r="E363" s="265" t="s">
        <v>534</v>
      </c>
      <c r="F363" s="265" t="s">
        <v>18</v>
      </c>
      <c r="G363" s="265" t="s">
        <v>34</v>
      </c>
      <c r="H363" s="265" t="s">
        <v>773</v>
      </c>
      <c r="I363" s="266">
        <v>-5</v>
      </c>
      <c r="J363" s="267">
        <v>-2659.55</v>
      </c>
      <c r="K363" s="266">
        <v>-5</v>
      </c>
      <c r="L363" s="266">
        <v>-5</v>
      </c>
      <c r="M363" s="264">
        <v>45967</v>
      </c>
      <c r="N363" s="281">
        <v>-2834.4</v>
      </c>
      <c r="O363" s="265" t="s">
        <v>21</v>
      </c>
      <c r="P363" s="265" t="s">
        <v>22</v>
      </c>
      <c r="Q363" s="265" t="s">
        <v>660</v>
      </c>
      <c r="R363" s="265" t="str">
        <f>VLOOKUP('MIS Working 1'!$G363,Master!$H$3:$I$8,2,0)</f>
        <v>Semi-Finished Goods</v>
      </c>
      <c r="S363" s="265" t="str">
        <f>VLOOKUP('MIS Working 1'!$H363,Master!B:C,2,0)</f>
        <v>SFG-Ref Stator</v>
      </c>
      <c r="T363" s="265" t="str">
        <f>VLOOKUP('MIS Working 1'!$S363,Master!E:F,2,0)</f>
        <v>SFG-Ref Stator</v>
      </c>
      <c r="U363" s="268">
        <f>'MIS Working 1'!$N363-'MIS Working 1'!$AF363</f>
        <v>-174.84999999999991</v>
      </c>
      <c r="V363" s="269">
        <f>'MIS Working 1'!$U363/'MIS Working 1'!$N363</f>
        <v>6.1688540784645744E-2</v>
      </c>
      <c r="W363" s="265">
        <f>'MIS Working 1'!$N363/'MIS Working 1'!$L363</f>
        <v>566.88</v>
      </c>
      <c r="X363" s="270">
        <f>SUM('MIS Working 1'!$Y363:$AE363)</f>
        <v>533.86</v>
      </c>
      <c r="Y363" s="270">
        <f>SUMIFS('COGS Break up'!$E:$E,'COGS Break up'!$A:$A,'MIS Working 1'!$D363,'COGS Break up'!$D:$D,'MIS Working 1'!$Y$1)</f>
        <v>528.46</v>
      </c>
      <c r="Z363" s="270">
        <f>SUMIFS('COGS Break up'!$E:$E,'COGS Break up'!$A:$A,'MIS Working 1'!$D363,'COGS Break up'!$D:$D,'MIS Working 1'!$Z$1)</f>
        <v>1.5</v>
      </c>
      <c r="AA363" s="270">
        <f>SUMIFS('COGS Break up'!E:E,'COGS Break up'!A:A,'MIS Working 1'!$D:$D,'COGS Break up'!C:C,'MIS Working 1'!$AA$1)</f>
        <v>0.05</v>
      </c>
      <c r="AB363" s="270">
        <f>SUMIFS('COGS Break up'!E:E,'COGS Break up'!A:A,'MIS Working 1'!$D:$D,'COGS Break up'!C:C,$AB$1)</f>
        <v>0.4</v>
      </c>
      <c r="AC363" s="270">
        <f>SUMIFS('COGS Break up'!E:E,'COGS Break up'!A:A,'MIS Working 1'!$D:$D,'COGS Break up'!C:C,$AC$1)</f>
        <v>1.5</v>
      </c>
      <c r="AD363" s="270">
        <f>SUMIFS('COGS Break up'!$E:$E,'COGS Break up'!$A:$A,'MIS Working 1'!$D363,'COGS Break up'!$D:$D,'MIS Working 1'!$AD$1)</f>
        <v>0</v>
      </c>
      <c r="AE363" s="270">
        <f>SUMIFS('COGS Break up'!$E:$E,'COGS Break up'!$A:$A,'MIS Working 1'!$D363,'COGS Break up'!$D:$D,'MIS Working 1'!$AE$1)</f>
        <v>1.95</v>
      </c>
      <c r="AF363" s="271">
        <f>'MIS Working 1'!$AG363+'MIS Working 1'!$AH363+'MIS Working 1'!$AM363+'MIS Working 1'!$AL363</f>
        <v>-2659.55</v>
      </c>
      <c r="AG363" s="270">
        <f>'MIS Working 1'!$L363*'MIS Working 1'!$Y363</f>
        <v>-2642.3</v>
      </c>
      <c r="AH363" s="270">
        <f>'MIS Working 1'!$L363*'MIS Working 1'!$Z363</f>
        <v>-7.5</v>
      </c>
      <c r="AI363" s="270">
        <f t="shared" si="15"/>
        <v>-0.25</v>
      </c>
      <c r="AJ363" s="270">
        <f t="shared" si="16"/>
        <v>-2</v>
      </c>
      <c r="AK363" s="270">
        <f t="shared" si="17"/>
        <v>-7.5</v>
      </c>
      <c r="AL363" s="270">
        <f>'MIS Working 1'!$AD363*'MIS Working 1'!$L363</f>
        <v>0</v>
      </c>
      <c r="AM363" s="270">
        <f>'MIS Working 1'!$L363*'MIS Working 1'!$AE363+'MIS Working 1'!$AL363</f>
        <v>-9.75</v>
      </c>
    </row>
    <row r="364" spans="1:39" x14ac:dyDescent="0.3">
      <c r="A364" s="272" t="s">
        <v>479</v>
      </c>
      <c r="B364" s="273">
        <v>45966</v>
      </c>
      <c r="C364" s="274" t="s">
        <v>1846</v>
      </c>
      <c r="D364" s="274" t="s">
        <v>40</v>
      </c>
      <c r="E364" s="274" t="s">
        <v>41</v>
      </c>
      <c r="F364" s="274" t="s">
        <v>18</v>
      </c>
      <c r="G364" s="274" t="s">
        <v>34</v>
      </c>
      <c r="H364" s="274" t="s">
        <v>772</v>
      </c>
      <c r="I364" s="275">
        <v>1008</v>
      </c>
      <c r="J364" s="276">
        <v>148851.35999999999</v>
      </c>
      <c r="K364" s="275">
        <v>1008</v>
      </c>
      <c r="L364" s="275">
        <v>1008</v>
      </c>
      <c r="M364" s="273">
        <v>45966</v>
      </c>
      <c r="N364" s="276">
        <v>164243.51999999999</v>
      </c>
      <c r="O364" s="274" t="s">
        <v>21</v>
      </c>
      <c r="P364" s="274" t="s">
        <v>22</v>
      </c>
      <c r="Q364" s="274" t="s">
        <v>660</v>
      </c>
      <c r="R364" s="274" t="str">
        <f>VLOOKUP('MIS Working 1'!$G364,Master!$H$3:$I$8,2,0)</f>
        <v>Semi-Finished Goods</v>
      </c>
      <c r="S364" s="274" t="str">
        <f>VLOOKUP('MIS Working 1'!$H364,Master!B:C,2,0)</f>
        <v>SFG-GV5 Stator</v>
      </c>
      <c r="T364" s="274" t="str">
        <f>VLOOKUP('MIS Working 1'!$S364,Master!E:F,2,0)</f>
        <v>Sub Ass.-Mech Stator</v>
      </c>
      <c r="U364" s="277">
        <f>'MIS Working 1'!$N364-'MIS Working 1'!$AF364</f>
        <v>15392.160000000003</v>
      </c>
      <c r="V364" s="278">
        <f>'MIS Working 1'!$U364/'MIS Working 1'!$N364</f>
        <v>9.3715478090094534E-2</v>
      </c>
      <c r="W364" s="274">
        <f>'MIS Working 1'!$N364/'MIS Working 1'!$L364</f>
        <v>162.94</v>
      </c>
      <c r="X364" s="279">
        <f>SUM('MIS Working 1'!$Y364:$AE364)</f>
        <v>149.61999999999998</v>
      </c>
      <c r="Y364" s="279">
        <f>SUMIFS('COGS Break up'!$E:$E,'COGS Break up'!$A:$A,'MIS Working 1'!$D364,'COGS Break up'!$D:$D,'MIS Working 1'!$Y$1)</f>
        <v>144.21999999999997</v>
      </c>
      <c r="Z364" s="279">
        <f>SUMIFS('COGS Break up'!$E:$E,'COGS Break up'!$A:$A,'MIS Working 1'!$D364,'COGS Break up'!$D:$D,'MIS Working 1'!$Z$1)</f>
        <v>1.5</v>
      </c>
      <c r="AA364" s="279">
        <f>SUMIFS('COGS Break up'!E:E,'COGS Break up'!A:A,'MIS Working 1'!$D:$D,'COGS Break up'!C:C,'MIS Working 1'!$AA$1)</f>
        <v>0.05</v>
      </c>
      <c r="AB364" s="279">
        <f>SUMIFS('COGS Break up'!E:E,'COGS Break up'!A:A,'MIS Working 1'!$D:$D,'COGS Break up'!C:C,$AB$1)</f>
        <v>0.4</v>
      </c>
      <c r="AC364" s="279">
        <f>SUMIFS('COGS Break up'!E:E,'COGS Break up'!A:A,'MIS Working 1'!$D:$D,'COGS Break up'!C:C,$AC$1)</f>
        <v>1.5</v>
      </c>
      <c r="AD364" s="279">
        <f>SUMIFS('COGS Break up'!$E:$E,'COGS Break up'!$A:$A,'MIS Working 1'!$D364,'COGS Break up'!$D:$D,'MIS Working 1'!$AD$1)</f>
        <v>0</v>
      </c>
      <c r="AE364" s="279">
        <f>SUMIFS('COGS Break up'!$E:$E,'COGS Break up'!$A:$A,'MIS Working 1'!$D364,'COGS Break up'!$D:$D,'MIS Working 1'!$AE$1)</f>
        <v>1.95</v>
      </c>
      <c r="AF364" s="280">
        <f>'MIS Working 1'!$AG364+'MIS Working 1'!$AH364+'MIS Working 1'!$AM364+'MIS Working 1'!$AL364</f>
        <v>148851.35999999999</v>
      </c>
      <c r="AG364" s="279">
        <f>'MIS Working 1'!$L364*'MIS Working 1'!$Y364</f>
        <v>145373.75999999998</v>
      </c>
      <c r="AH364" s="279">
        <f>'MIS Working 1'!$L364*'MIS Working 1'!$Z364</f>
        <v>1512</v>
      </c>
      <c r="AI364" s="279">
        <f t="shared" si="15"/>
        <v>50.400000000000006</v>
      </c>
      <c r="AJ364" s="279">
        <f t="shared" si="16"/>
        <v>403.20000000000005</v>
      </c>
      <c r="AK364" s="279">
        <f t="shared" si="17"/>
        <v>1512</v>
      </c>
      <c r="AL364" s="279">
        <f>'MIS Working 1'!$AD364*'MIS Working 1'!$L364</f>
        <v>0</v>
      </c>
      <c r="AM364" s="279">
        <f>'MIS Working 1'!$L364*'MIS Working 1'!$AE364+'MIS Working 1'!$AL364</f>
        <v>1965.6</v>
      </c>
    </row>
    <row r="365" spans="1:39" x14ac:dyDescent="0.3">
      <c r="A365" s="263" t="s">
        <v>479</v>
      </c>
      <c r="B365" s="264">
        <v>45966</v>
      </c>
      <c r="C365" s="265" t="s">
        <v>1847</v>
      </c>
      <c r="D365" s="265" t="s">
        <v>40</v>
      </c>
      <c r="E365" s="265" t="s">
        <v>41</v>
      </c>
      <c r="F365" s="265" t="s">
        <v>18</v>
      </c>
      <c r="G365" s="265" t="s">
        <v>34</v>
      </c>
      <c r="H365" s="265" t="s">
        <v>772</v>
      </c>
      <c r="I365" s="266">
        <v>2088</v>
      </c>
      <c r="J365" s="267">
        <v>308334.96000000002</v>
      </c>
      <c r="K365" s="266">
        <v>2088</v>
      </c>
      <c r="L365" s="266">
        <v>2088</v>
      </c>
      <c r="M365" s="264">
        <v>45966</v>
      </c>
      <c r="N365" s="267">
        <v>340218.72</v>
      </c>
      <c r="O365" s="265" t="s">
        <v>21</v>
      </c>
      <c r="P365" s="265" t="s">
        <v>22</v>
      </c>
      <c r="Q365" s="265" t="s">
        <v>660</v>
      </c>
      <c r="R365" s="265" t="str">
        <f>VLOOKUP('MIS Working 1'!$G365,Master!$H$3:$I$8,2,0)</f>
        <v>Semi-Finished Goods</v>
      </c>
      <c r="S365" s="265" t="str">
        <f>VLOOKUP('MIS Working 1'!$H365,Master!B:C,2,0)</f>
        <v>SFG-GV5 Stator</v>
      </c>
      <c r="T365" s="265" t="str">
        <f>VLOOKUP('MIS Working 1'!$S365,Master!E:F,2,0)</f>
        <v>Sub Ass.-Mech Stator</v>
      </c>
      <c r="U365" s="268">
        <f>'MIS Working 1'!$N365-'MIS Working 1'!$AF365</f>
        <v>31883.760000000068</v>
      </c>
      <c r="V365" s="269">
        <f>'MIS Working 1'!$U365/'MIS Working 1'!$N365</f>
        <v>9.3715478090094714E-2</v>
      </c>
      <c r="W365" s="265">
        <f>'MIS Working 1'!$N365/'MIS Working 1'!$L365</f>
        <v>162.94</v>
      </c>
      <c r="X365" s="270">
        <f>SUM('MIS Working 1'!$Y365:$AE365)</f>
        <v>149.61999999999998</v>
      </c>
      <c r="Y365" s="270">
        <f>SUMIFS('COGS Break up'!$E:$E,'COGS Break up'!$A:$A,'MIS Working 1'!$D365,'COGS Break up'!$D:$D,'MIS Working 1'!$Y$1)</f>
        <v>144.21999999999997</v>
      </c>
      <c r="Z365" s="270">
        <f>SUMIFS('COGS Break up'!$E:$E,'COGS Break up'!$A:$A,'MIS Working 1'!$D365,'COGS Break up'!$D:$D,'MIS Working 1'!$Z$1)</f>
        <v>1.5</v>
      </c>
      <c r="AA365" s="270">
        <f>SUMIFS('COGS Break up'!E:E,'COGS Break up'!A:A,'MIS Working 1'!$D:$D,'COGS Break up'!C:C,'MIS Working 1'!$AA$1)</f>
        <v>0.05</v>
      </c>
      <c r="AB365" s="270">
        <f>SUMIFS('COGS Break up'!E:E,'COGS Break up'!A:A,'MIS Working 1'!$D:$D,'COGS Break up'!C:C,$AB$1)</f>
        <v>0.4</v>
      </c>
      <c r="AC365" s="270">
        <f>SUMIFS('COGS Break up'!E:E,'COGS Break up'!A:A,'MIS Working 1'!$D:$D,'COGS Break up'!C:C,$AC$1)</f>
        <v>1.5</v>
      </c>
      <c r="AD365" s="270">
        <f>SUMIFS('COGS Break up'!$E:$E,'COGS Break up'!$A:$A,'MIS Working 1'!$D365,'COGS Break up'!$D:$D,'MIS Working 1'!$AD$1)</f>
        <v>0</v>
      </c>
      <c r="AE365" s="270">
        <f>SUMIFS('COGS Break up'!$E:$E,'COGS Break up'!$A:$A,'MIS Working 1'!$D365,'COGS Break up'!$D:$D,'MIS Working 1'!$AE$1)</f>
        <v>1.95</v>
      </c>
      <c r="AF365" s="271">
        <f>'MIS Working 1'!$AG365+'MIS Working 1'!$AH365+'MIS Working 1'!$AM365+'MIS Working 1'!$AL365</f>
        <v>308334.9599999999</v>
      </c>
      <c r="AG365" s="270">
        <f>'MIS Working 1'!$L365*'MIS Working 1'!$Y365</f>
        <v>301131.35999999993</v>
      </c>
      <c r="AH365" s="270">
        <f>'MIS Working 1'!$L365*'MIS Working 1'!$Z365</f>
        <v>3132</v>
      </c>
      <c r="AI365" s="270">
        <f t="shared" si="15"/>
        <v>104.4</v>
      </c>
      <c r="AJ365" s="270">
        <f t="shared" si="16"/>
        <v>835.2</v>
      </c>
      <c r="AK365" s="270">
        <f t="shared" si="17"/>
        <v>3132</v>
      </c>
      <c r="AL365" s="270">
        <f>'MIS Working 1'!$AD365*'MIS Working 1'!$L365</f>
        <v>0</v>
      </c>
      <c r="AM365" s="270">
        <f>'MIS Working 1'!$L365*'MIS Working 1'!$AE365+'MIS Working 1'!$AL365</f>
        <v>4071.6</v>
      </c>
    </row>
    <row r="366" spans="1:39" x14ac:dyDescent="0.3">
      <c r="A366" s="272" t="s">
        <v>479</v>
      </c>
      <c r="B366" s="273">
        <v>45966</v>
      </c>
      <c r="C366" s="274" t="s">
        <v>1848</v>
      </c>
      <c r="D366" s="274" t="s">
        <v>378</v>
      </c>
      <c r="E366" s="274" t="s">
        <v>379</v>
      </c>
      <c r="F366" s="274" t="s">
        <v>18</v>
      </c>
      <c r="G366" s="274" t="s">
        <v>19</v>
      </c>
      <c r="H366" s="274" t="s">
        <v>27</v>
      </c>
      <c r="I366" s="275">
        <v>360</v>
      </c>
      <c r="J366" s="276">
        <v>117072</v>
      </c>
      <c r="K366" s="275">
        <v>360</v>
      </c>
      <c r="L366" s="275">
        <v>360</v>
      </c>
      <c r="M366" s="273">
        <v>45966</v>
      </c>
      <c r="N366" s="276">
        <v>130881.60000000001</v>
      </c>
      <c r="O366" s="274" t="s">
        <v>21</v>
      </c>
      <c r="P366" s="274" t="s">
        <v>22</v>
      </c>
      <c r="Q366" s="274" t="s">
        <v>660</v>
      </c>
      <c r="R366" s="274" t="str">
        <f>VLOOKUP('MIS Working 1'!$G366,Master!$H$3:$I$8,2,0)</f>
        <v>Finished Goods</v>
      </c>
      <c r="S366" s="274" t="str">
        <f>VLOOKUP('MIS Working 1'!$H366,Master!B:C,2,0)</f>
        <v>FG-PCB-CF</v>
      </c>
      <c r="T366" s="274" t="str">
        <f>VLOOKUP('MIS Working 1'!$S366,Master!E:F,2,0)</f>
        <v>FG-PCB-CF</v>
      </c>
      <c r="U366" s="277">
        <f>'MIS Working 1'!$N366-'MIS Working 1'!$AF366</f>
        <v>13716.000000000015</v>
      </c>
      <c r="V366" s="278">
        <f>'MIS Working 1'!$U366/'MIS Working 1'!$N366</f>
        <v>0.10479700737154814</v>
      </c>
      <c r="W366" s="274">
        <f>'MIS Working 1'!$N366/'MIS Working 1'!$L366</f>
        <v>363.56</v>
      </c>
      <c r="X366" s="279">
        <f>SUM('MIS Working 1'!$Y366:$AE366)</f>
        <v>354.76999999999992</v>
      </c>
      <c r="Y366" s="279">
        <f>SUMIFS('COGS Break up'!$E:$E,'COGS Break up'!$A:$A,'MIS Working 1'!$D366,'COGS Break up'!$D:$D,'MIS Working 1'!$Y$1)</f>
        <v>271.52999999999997</v>
      </c>
      <c r="Z366" s="279">
        <f>SUMIFS('COGS Break up'!$E:$E,'COGS Break up'!$A:$A,'MIS Working 1'!$D366,'COGS Break up'!$D:$D,'MIS Working 1'!$Z$1)</f>
        <v>23.84</v>
      </c>
      <c r="AA366" s="279">
        <f>SUMIFS('COGS Break up'!E:E,'COGS Break up'!A:A,'MIS Working 1'!$D:$D,'COGS Break up'!C:C,'MIS Working 1'!$AA$1)</f>
        <v>1.9500000000000002</v>
      </c>
      <c r="AB366" s="279">
        <f>SUMIFS('COGS Break up'!E:E,'COGS Break up'!A:A,'MIS Working 1'!$D:$D,'COGS Break up'!C:C,$AB$1)</f>
        <v>17.329999999999998</v>
      </c>
      <c r="AC366" s="279">
        <f>SUMIFS('COGS Break up'!E:E,'COGS Break up'!A:A,'MIS Working 1'!$D:$D,'COGS Break up'!C:C,$AC$1)</f>
        <v>10.29</v>
      </c>
      <c r="AD366" s="279">
        <f>SUMIFS('COGS Break up'!$E:$E,'COGS Break up'!$A:$A,'MIS Working 1'!$D366,'COGS Break up'!$D:$D,'MIS Working 1'!$AD$1)</f>
        <v>0.26</v>
      </c>
      <c r="AE366" s="279">
        <f>SUMIFS('COGS Break up'!$E:$E,'COGS Break up'!$A:$A,'MIS Working 1'!$D366,'COGS Break up'!$D:$D,'MIS Working 1'!$AE$1)</f>
        <v>29.569999999999997</v>
      </c>
      <c r="AF366" s="280">
        <f>'MIS Working 1'!$AG366+'MIS Working 1'!$AH366+'MIS Working 1'!$AM366+'MIS Working 1'!$AL366</f>
        <v>117165.59999999999</v>
      </c>
      <c r="AG366" s="279">
        <f>'MIS Working 1'!$L366*'MIS Working 1'!$Y366</f>
        <v>97750.799999999988</v>
      </c>
      <c r="AH366" s="279">
        <f>'MIS Working 1'!$L366*'MIS Working 1'!$Z366</f>
        <v>8582.4</v>
      </c>
      <c r="AI366" s="279">
        <f t="shared" si="15"/>
        <v>702.00000000000011</v>
      </c>
      <c r="AJ366" s="279">
        <f t="shared" si="16"/>
        <v>6238.7999999999993</v>
      </c>
      <c r="AK366" s="279">
        <f t="shared" si="17"/>
        <v>3704.3999999999996</v>
      </c>
      <c r="AL366" s="279">
        <f>'MIS Working 1'!$AD366*'MIS Working 1'!$L366</f>
        <v>93.600000000000009</v>
      </c>
      <c r="AM366" s="279">
        <f>'MIS Working 1'!$L366*'MIS Working 1'!$AE366+'MIS Working 1'!$AL366</f>
        <v>10738.8</v>
      </c>
    </row>
    <row r="367" spans="1:39" x14ac:dyDescent="0.3">
      <c r="A367" s="263" t="s">
        <v>479</v>
      </c>
      <c r="B367" s="264">
        <v>45966</v>
      </c>
      <c r="C367" s="265" t="s">
        <v>1849</v>
      </c>
      <c r="D367" s="265" t="s">
        <v>378</v>
      </c>
      <c r="E367" s="265" t="s">
        <v>379</v>
      </c>
      <c r="F367" s="265" t="s">
        <v>18</v>
      </c>
      <c r="G367" s="265" t="s">
        <v>19</v>
      </c>
      <c r="H367" s="265" t="s">
        <v>27</v>
      </c>
      <c r="I367" s="266">
        <v>200</v>
      </c>
      <c r="J367" s="267">
        <v>65040</v>
      </c>
      <c r="K367" s="266">
        <v>200</v>
      </c>
      <c r="L367" s="266">
        <v>200</v>
      </c>
      <c r="M367" s="264">
        <v>45966</v>
      </c>
      <c r="N367" s="267">
        <v>72712</v>
      </c>
      <c r="O367" s="265" t="s">
        <v>21</v>
      </c>
      <c r="P367" s="265" t="s">
        <v>22</v>
      </c>
      <c r="Q367" s="265" t="s">
        <v>660</v>
      </c>
      <c r="R367" s="265" t="str">
        <f>VLOOKUP('MIS Working 1'!$G367,Master!$H$3:$I$8,2,0)</f>
        <v>Finished Goods</v>
      </c>
      <c r="S367" s="265" t="str">
        <f>VLOOKUP('MIS Working 1'!$H367,Master!B:C,2,0)</f>
        <v>FG-PCB-CF</v>
      </c>
      <c r="T367" s="265" t="str">
        <f>VLOOKUP('MIS Working 1'!$S367,Master!E:F,2,0)</f>
        <v>FG-PCB-CF</v>
      </c>
      <c r="U367" s="268">
        <f>'MIS Working 1'!$N367-'MIS Working 1'!$AF367</f>
        <v>7620.0000000000073</v>
      </c>
      <c r="V367" s="269">
        <f>'MIS Working 1'!$U367/'MIS Working 1'!$N367</f>
        <v>0.10479700737154812</v>
      </c>
      <c r="W367" s="265">
        <f>'MIS Working 1'!$N367/'MIS Working 1'!$L367</f>
        <v>363.56</v>
      </c>
      <c r="X367" s="270">
        <f>SUM('MIS Working 1'!$Y367:$AE367)</f>
        <v>354.76999999999992</v>
      </c>
      <c r="Y367" s="270">
        <f>SUMIFS('COGS Break up'!$E:$E,'COGS Break up'!$A:$A,'MIS Working 1'!$D367,'COGS Break up'!$D:$D,'MIS Working 1'!$Y$1)</f>
        <v>271.52999999999997</v>
      </c>
      <c r="Z367" s="270">
        <f>SUMIFS('COGS Break up'!$E:$E,'COGS Break up'!$A:$A,'MIS Working 1'!$D367,'COGS Break up'!$D:$D,'MIS Working 1'!$Z$1)</f>
        <v>23.84</v>
      </c>
      <c r="AA367" s="270">
        <f>SUMIFS('COGS Break up'!E:E,'COGS Break up'!A:A,'MIS Working 1'!$D:$D,'COGS Break up'!C:C,'MIS Working 1'!$AA$1)</f>
        <v>1.9500000000000002</v>
      </c>
      <c r="AB367" s="270">
        <f>SUMIFS('COGS Break up'!E:E,'COGS Break up'!A:A,'MIS Working 1'!$D:$D,'COGS Break up'!C:C,$AB$1)</f>
        <v>17.329999999999998</v>
      </c>
      <c r="AC367" s="270">
        <f>SUMIFS('COGS Break up'!E:E,'COGS Break up'!A:A,'MIS Working 1'!$D:$D,'COGS Break up'!C:C,$AC$1)</f>
        <v>10.29</v>
      </c>
      <c r="AD367" s="270">
        <f>SUMIFS('COGS Break up'!$E:$E,'COGS Break up'!$A:$A,'MIS Working 1'!$D367,'COGS Break up'!$D:$D,'MIS Working 1'!$AD$1)</f>
        <v>0.26</v>
      </c>
      <c r="AE367" s="270">
        <f>SUMIFS('COGS Break up'!$E:$E,'COGS Break up'!$A:$A,'MIS Working 1'!$D367,'COGS Break up'!$D:$D,'MIS Working 1'!$AE$1)</f>
        <v>29.569999999999997</v>
      </c>
      <c r="AF367" s="271">
        <f>'MIS Working 1'!$AG367+'MIS Working 1'!$AH367+'MIS Working 1'!$AM367+'MIS Working 1'!$AL367</f>
        <v>65091.999999999993</v>
      </c>
      <c r="AG367" s="270">
        <f>'MIS Working 1'!$L367*'MIS Working 1'!$Y367</f>
        <v>54305.999999999993</v>
      </c>
      <c r="AH367" s="270">
        <f>'MIS Working 1'!$L367*'MIS Working 1'!$Z367</f>
        <v>4768</v>
      </c>
      <c r="AI367" s="270">
        <f t="shared" si="15"/>
        <v>390.00000000000006</v>
      </c>
      <c r="AJ367" s="270">
        <f t="shared" si="16"/>
        <v>3465.9999999999995</v>
      </c>
      <c r="AK367" s="270">
        <f t="shared" si="17"/>
        <v>2058</v>
      </c>
      <c r="AL367" s="270">
        <f>'MIS Working 1'!$AD367*'MIS Working 1'!$L367</f>
        <v>52</v>
      </c>
      <c r="AM367" s="270">
        <f>'MIS Working 1'!$L367*'MIS Working 1'!$AE367+'MIS Working 1'!$AL367</f>
        <v>5965.9999999999991</v>
      </c>
    </row>
    <row r="368" spans="1:39" x14ac:dyDescent="0.3">
      <c r="A368" s="272" t="s">
        <v>1626</v>
      </c>
      <c r="B368" s="273">
        <v>45966</v>
      </c>
      <c r="C368" s="274" t="s">
        <v>1850</v>
      </c>
      <c r="D368" s="274" t="s">
        <v>698</v>
      </c>
      <c r="E368" s="274" t="s">
        <v>699</v>
      </c>
      <c r="F368" s="274" t="s">
        <v>18</v>
      </c>
      <c r="G368" s="274" t="s">
        <v>19</v>
      </c>
      <c r="H368" s="274" t="s">
        <v>691</v>
      </c>
      <c r="I368" s="275">
        <v>105</v>
      </c>
      <c r="J368" s="276">
        <v>47725.65</v>
      </c>
      <c r="K368" s="275">
        <v>105</v>
      </c>
      <c r="L368" s="275">
        <v>105</v>
      </c>
      <c r="M368" s="273">
        <v>45966</v>
      </c>
      <c r="N368" s="276">
        <v>43669.5</v>
      </c>
      <c r="O368" s="274" t="s">
        <v>21</v>
      </c>
      <c r="P368" s="274" t="s">
        <v>22</v>
      </c>
      <c r="Q368" s="274" t="s">
        <v>1750</v>
      </c>
      <c r="R368" s="274" t="str">
        <f>VLOOKUP('MIS Working 1'!$G368,Master!$H$3:$I$8,2,0)</f>
        <v>Finished Goods</v>
      </c>
      <c r="S368" s="274" t="str">
        <f>VLOOKUP('MIS Working 1'!$H368,Master!B:C,2,0)</f>
        <v>FG-PCB-WP</v>
      </c>
      <c r="T368" s="274" t="str">
        <f>VLOOKUP('MIS Working 1'!$S368,Master!E:F,2,0)</f>
        <v>FG-PCB-WP</v>
      </c>
      <c r="U368" s="277">
        <f>'MIS Working 1'!$N368-'MIS Working 1'!$AF368</f>
        <v>-4074</v>
      </c>
      <c r="V368" s="278">
        <f>'MIS Working 1'!$U368/'MIS Working 1'!$N368</f>
        <v>-9.3291656648232746E-2</v>
      </c>
      <c r="W368" s="274">
        <f>'MIS Working 1'!$N368/'MIS Working 1'!$L368</f>
        <v>415.9</v>
      </c>
      <c r="X368" s="279">
        <f>SUM('MIS Working 1'!$Y368:$AE368)</f>
        <v>486.75000000000011</v>
      </c>
      <c r="Y368" s="279">
        <f>SUMIFS('COGS Break up'!$E:$E,'COGS Break up'!$A:$A,'MIS Working 1'!$D368,'COGS Break up'!$D:$D,'MIS Working 1'!$Y$1)</f>
        <v>392.59000000000003</v>
      </c>
      <c r="Z368" s="279">
        <f>SUMIFS('COGS Break up'!$E:$E,'COGS Break up'!$A:$A,'MIS Working 1'!$D368,'COGS Break up'!$D:$D,'MIS Working 1'!$Z$1)</f>
        <v>29.55</v>
      </c>
      <c r="AA368" s="279">
        <f>SUMIFS('COGS Break up'!E:E,'COGS Break up'!A:A,'MIS Working 1'!$D:$D,'COGS Break up'!C:C,'MIS Working 1'!$AA$1)</f>
        <v>2.42</v>
      </c>
      <c r="AB368" s="279">
        <f>SUMIFS('COGS Break up'!E:E,'COGS Break up'!A:A,'MIS Working 1'!$D:$D,'COGS Break up'!C:C,$AB$1)</f>
        <v>21.49</v>
      </c>
      <c r="AC368" s="279">
        <f>SUMIFS('COGS Break up'!E:E,'COGS Break up'!A:A,'MIS Working 1'!$D:$D,'COGS Break up'!C:C,$AC$1)</f>
        <v>8.31</v>
      </c>
      <c r="AD368" s="279">
        <f>SUMIFS('COGS Break up'!$E:$E,'COGS Break up'!$A:$A,'MIS Working 1'!$D368,'COGS Break up'!$D:$D,'MIS Working 1'!$AD$1)</f>
        <v>0.17</v>
      </c>
      <c r="AE368" s="279">
        <f>SUMIFS('COGS Break up'!$E:$E,'COGS Break up'!$A:$A,'MIS Working 1'!$D368,'COGS Break up'!$D:$D,'MIS Working 1'!$AE$1)</f>
        <v>32.22</v>
      </c>
      <c r="AF368" s="280">
        <f>'MIS Working 1'!$AG368+'MIS Working 1'!$AH368+'MIS Working 1'!$AM368+'MIS Working 1'!$AL368</f>
        <v>47743.5</v>
      </c>
      <c r="AG368" s="279">
        <f>'MIS Working 1'!$L368*'MIS Working 1'!$Y368</f>
        <v>41221.950000000004</v>
      </c>
      <c r="AH368" s="279">
        <f>'MIS Working 1'!$L368*'MIS Working 1'!$Z368</f>
        <v>3102.75</v>
      </c>
      <c r="AI368" s="279">
        <f t="shared" si="15"/>
        <v>254.1</v>
      </c>
      <c r="AJ368" s="279">
        <f t="shared" si="16"/>
        <v>2256.4499999999998</v>
      </c>
      <c r="AK368" s="279">
        <f t="shared" si="17"/>
        <v>872.55000000000007</v>
      </c>
      <c r="AL368" s="279">
        <f>'MIS Working 1'!$AD368*'MIS Working 1'!$L368</f>
        <v>17.850000000000001</v>
      </c>
      <c r="AM368" s="279">
        <f>'MIS Working 1'!$L368*'MIS Working 1'!$AE368+'MIS Working 1'!$AL368</f>
        <v>3400.95</v>
      </c>
    </row>
    <row r="369" spans="1:39" x14ac:dyDescent="0.3">
      <c r="A369" s="263" t="s">
        <v>479</v>
      </c>
      <c r="B369" s="264">
        <v>45966</v>
      </c>
      <c r="C369" s="265" t="s">
        <v>1851</v>
      </c>
      <c r="D369" s="265" t="s">
        <v>44</v>
      </c>
      <c r="E369" s="265" t="s">
        <v>45</v>
      </c>
      <c r="F369" s="265" t="s">
        <v>18</v>
      </c>
      <c r="G369" s="265" t="s">
        <v>19</v>
      </c>
      <c r="H369" s="265" t="s">
        <v>27</v>
      </c>
      <c r="I369" s="266">
        <v>380</v>
      </c>
      <c r="J369" s="267">
        <v>124343.6</v>
      </c>
      <c r="K369" s="266">
        <v>380</v>
      </c>
      <c r="L369" s="266">
        <v>380</v>
      </c>
      <c r="M369" s="264">
        <v>45966</v>
      </c>
      <c r="N369" s="267">
        <v>129120.2</v>
      </c>
      <c r="O369" s="265" t="s">
        <v>21</v>
      </c>
      <c r="P369" s="265" t="s">
        <v>22</v>
      </c>
      <c r="Q369" s="265" t="s">
        <v>660</v>
      </c>
      <c r="R369" s="265" t="str">
        <f>VLOOKUP('MIS Working 1'!$G369,Master!$H$3:$I$8,2,0)</f>
        <v>Finished Goods</v>
      </c>
      <c r="S369" s="265" t="str">
        <f>VLOOKUP('MIS Working 1'!$H369,Master!B:C,2,0)</f>
        <v>FG-PCB-CF</v>
      </c>
      <c r="T369" s="265" t="str">
        <f>VLOOKUP('MIS Working 1'!$S369,Master!E:F,2,0)</f>
        <v>FG-PCB-CF</v>
      </c>
      <c r="U369" s="268">
        <f>'MIS Working 1'!$N369-'MIS Working 1'!$AF369</f>
        <v>4708.199999999968</v>
      </c>
      <c r="V369" s="269">
        <f>'MIS Working 1'!$U369/'MIS Working 1'!$N369</f>
        <v>3.6463698166514368E-2</v>
      </c>
      <c r="W369" s="265">
        <f>'MIS Working 1'!$N369/'MIS Working 1'!$L369</f>
        <v>339.79</v>
      </c>
      <c r="X369" s="270">
        <f>SUM('MIS Working 1'!$Y369:$AE369)</f>
        <v>354.72000000000008</v>
      </c>
      <c r="Y369" s="270">
        <f>SUMIFS('COGS Break up'!$E:$E,'COGS Break up'!$A:$A,'MIS Working 1'!$D369,'COGS Break up'!$D:$D,'MIS Working 1'!$Y$1)</f>
        <v>275.85000000000002</v>
      </c>
      <c r="Z369" s="270">
        <f>SUMIFS('COGS Break up'!$E:$E,'COGS Break up'!$A:$A,'MIS Working 1'!$D369,'COGS Break up'!$D:$D,'MIS Working 1'!$Z$1)</f>
        <v>23.720000000000002</v>
      </c>
      <c r="AA369" s="270">
        <f>SUMIFS('COGS Break up'!E:E,'COGS Break up'!A:A,'MIS Working 1'!$D:$D,'COGS Break up'!C:C,'MIS Working 1'!$AA$1)</f>
        <v>1.94</v>
      </c>
      <c r="AB369" s="270">
        <f>SUMIFS('COGS Break up'!E:E,'COGS Break up'!A:A,'MIS Working 1'!$D:$D,'COGS Break up'!C:C,$AB$1)</f>
        <v>17.239999999999998</v>
      </c>
      <c r="AC369" s="270">
        <f>SUMIFS('COGS Break up'!E:E,'COGS Break up'!A:A,'MIS Working 1'!$D:$D,'COGS Break up'!C:C,$AC$1)</f>
        <v>8.31</v>
      </c>
      <c r="AD369" s="270">
        <f>SUMIFS('COGS Break up'!$E:$E,'COGS Break up'!$A:$A,'MIS Working 1'!$D369,'COGS Break up'!$D:$D,'MIS Working 1'!$AD$1)</f>
        <v>0.17</v>
      </c>
      <c r="AE369" s="270">
        <f>SUMIFS('COGS Break up'!$E:$E,'COGS Break up'!$A:$A,'MIS Working 1'!$D369,'COGS Break up'!$D:$D,'MIS Working 1'!$AE$1)</f>
        <v>27.49</v>
      </c>
      <c r="AF369" s="271">
        <f>'MIS Working 1'!$AG369+'MIS Working 1'!$AH369+'MIS Working 1'!$AM369+'MIS Working 1'!$AL369</f>
        <v>124412.00000000003</v>
      </c>
      <c r="AG369" s="270">
        <f>'MIS Working 1'!$L369*'MIS Working 1'!$Y369</f>
        <v>104823.00000000001</v>
      </c>
      <c r="AH369" s="270">
        <f>'MIS Working 1'!$L369*'MIS Working 1'!$Z369</f>
        <v>9013.6</v>
      </c>
      <c r="AI369" s="270">
        <f t="shared" si="15"/>
        <v>737.19999999999993</v>
      </c>
      <c r="AJ369" s="270">
        <f t="shared" si="16"/>
        <v>6551.2</v>
      </c>
      <c r="AK369" s="270">
        <f t="shared" si="17"/>
        <v>3157.8</v>
      </c>
      <c r="AL369" s="270">
        <f>'MIS Working 1'!$AD369*'MIS Working 1'!$L369</f>
        <v>64.600000000000009</v>
      </c>
      <c r="AM369" s="270">
        <f>'MIS Working 1'!$L369*'MIS Working 1'!$AE369+'MIS Working 1'!$AL369</f>
        <v>10510.8</v>
      </c>
    </row>
    <row r="370" spans="1:39" x14ac:dyDescent="0.3">
      <c r="A370" s="272" t="s">
        <v>479</v>
      </c>
      <c r="B370" s="273">
        <v>45966</v>
      </c>
      <c r="C370" s="274" t="s">
        <v>1852</v>
      </c>
      <c r="D370" s="274" t="s">
        <v>639</v>
      </c>
      <c r="E370" s="274" t="s">
        <v>640</v>
      </c>
      <c r="F370" s="274" t="s">
        <v>18</v>
      </c>
      <c r="G370" s="274" t="s">
        <v>19</v>
      </c>
      <c r="H370" s="274" t="s">
        <v>27</v>
      </c>
      <c r="I370" s="275">
        <v>175</v>
      </c>
      <c r="J370" s="276">
        <v>112880.25</v>
      </c>
      <c r="K370" s="275">
        <v>175</v>
      </c>
      <c r="L370" s="275">
        <v>175</v>
      </c>
      <c r="M370" s="273">
        <v>45966</v>
      </c>
      <c r="N370" s="276">
        <v>127498</v>
      </c>
      <c r="O370" s="274" t="s">
        <v>21</v>
      </c>
      <c r="P370" s="274" t="s">
        <v>22</v>
      </c>
      <c r="Q370" s="274" t="s">
        <v>660</v>
      </c>
      <c r="R370" s="274" t="str">
        <f>VLOOKUP('MIS Working 1'!$G370,Master!$H$3:$I$8,2,0)</f>
        <v>Finished Goods</v>
      </c>
      <c r="S370" s="274" t="str">
        <f>VLOOKUP('MIS Working 1'!$H370,Master!B:C,2,0)</f>
        <v>FG-PCB-CF</v>
      </c>
      <c r="T370" s="274" t="str">
        <f>VLOOKUP('MIS Working 1'!$S370,Master!E:F,2,0)</f>
        <v>FG-PCB-CF</v>
      </c>
      <c r="U370" s="277">
        <f>'MIS Working 1'!$N370-'MIS Working 1'!$AF370</f>
        <v>14542.500000000058</v>
      </c>
      <c r="V370" s="278">
        <f>'MIS Working 1'!$U370/'MIS Working 1'!$N370</f>
        <v>0.11406061271549403</v>
      </c>
      <c r="W370" s="274">
        <f>'MIS Working 1'!$N370/'MIS Working 1'!$L370</f>
        <v>728.56</v>
      </c>
      <c r="X370" s="279">
        <f>SUM('MIS Working 1'!$Y370:$AE370)</f>
        <v>677.50999999999965</v>
      </c>
      <c r="Y370" s="279">
        <f>SUMIFS('COGS Break up'!$E:$E,'COGS Break up'!$A:$A,'MIS Working 1'!$D370,'COGS Break up'!$D:$D,'MIS Working 1'!$Y$1)</f>
        <v>582.23999999999967</v>
      </c>
      <c r="Z370" s="279">
        <f>SUMIFS('COGS Break up'!$E:$E,'COGS Break up'!$A:$A,'MIS Working 1'!$D370,'COGS Break up'!$D:$D,'MIS Working 1'!$Z$1)</f>
        <v>29.88</v>
      </c>
      <c r="AA370" s="279">
        <f>SUMIFS('COGS Break up'!E:E,'COGS Break up'!A:A,'MIS Working 1'!$D:$D,'COGS Break up'!C:C,'MIS Working 1'!$AA$1)</f>
        <v>2.4500000000000002</v>
      </c>
      <c r="AB370" s="279">
        <f>SUMIFS('COGS Break up'!E:E,'COGS Break up'!A:A,'MIS Working 1'!$D:$D,'COGS Break up'!C:C,$AB$1)</f>
        <v>21.72</v>
      </c>
      <c r="AC370" s="279">
        <f>SUMIFS('COGS Break up'!E:E,'COGS Break up'!A:A,'MIS Working 1'!$D:$D,'COGS Break up'!C:C,$AC$1)</f>
        <v>8.31</v>
      </c>
      <c r="AD370" s="279">
        <f>SUMIFS('COGS Break up'!$E:$E,'COGS Break up'!$A:$A,'MIS Working 1'!$D370,'COGS Break up'!$D:$D,'MIS Working 1'!$AD$1)</f>
        <v>0.43</v>
      </c>
      <c r="AE370" s="279">
        <f>SUMIFS('COGS Break up'!$E:$E,'COGS Break up'!$A:$A,'MIS Working 1'!$D370,'COGS Break up'!$D:$D,'MIS Working 1'!$AE$1)</f>
        <v>32.480000000000004</v>
      </c>
      <c r="AF370" s="280">
        <f>'MIS Working 1'!$AG370+'MIS Working 1'!$AH370+'MIS Working 1'!$AM370+'MIS Working 1'!$AL370</f>
        <v>112955.49999999994</v>
      </c>
      <c r="AG370" s="279">
        <f>'MIS Working 1'!$L370*'MIS Working 1'!$Y370</f>
        <v>101891.99999999994</v>
      </c>
      <c r="AH370" s="279">
        <f>'MIS Working 1'!$L370*'MIS Working 1'!$Z370</f>
        <v>5229</v>
      </c>
      <c r="AI370" s="279">
        <f t="shared" si="15"/>
        <v>428.75000000000006</v>
      </c>
      <c r="AJ370" s="279">
        <f t="shared" si="16"/>
        <v>3801</v>
      </c>
      <c r="AK370" s="279">
        <f t="shared" si="17"/>
        <v>1454.25</v>
      </c>
      <c r="AL370" s="279">
        <f>'MIS Working 1'!$AD370*'MIS Working 1'!$L370</f>
        <v>75.25</v>
      </c>
      <c r="AM370" s="279">
        <f>'MIS Working 1'!$L370*'MIS Working 1'!$AE370+'MIS Working 1'!$AL370</f>
        <v>5759.2500000000009</v>
      </c>
    </row>
    <row r="371" spans="1:39" x14ac:dyDescent="0.3">
      <c r="A371" s="263" t="s">
        <v>479</v>
      </c>
      <c r="B371" s="264">
        <v>45966</v>
      </c>
      <c r="C371" s="265" t="s">
        <v>1853</v>
      </c>
      <c r="D371" s="265" t="s">
        <v>639</v>
      </c>
      <c r="E371" s="265" t="s">
        <v>640</v>
      </c>
      <c r="F371" s="265" t="s">
        <v>18</v>
      </c>
      <c r="G371" s="265" t="s">
        <v>19</v>
      </c>
      <c r="H371" s="265" t="s">
        <v>27</v>
      </c>
      <c r="I371" s="266">
        <v>245</v>
      </c>
      <c r="J371" s="267">
        <v>158032.35</v>
      </c>
      <c r="K371" s="266">
        <v>245</v>
      </c>
      <c r="L371" s="266">
        <v>245</v>
      </c>
      <c r="M371" s="264">
        <v>45966</v>
      </c>
      <c r="N371" s="267">
        <v>178497.2</v>
      </c>
      <c r="O371" s="265" t="s">
        <v>21</v>
      </c>
      <c r="P371" s="265" t="s">
        <v>22</v>
      </c>
      <c r="Q371" s="265" t="s">
        <v>660</v>
      </c>
      <c r="R371" s="265" t="str">
        <f>VLOOKUP('MIS Working 1'!$G371,Master!$H$3:$I$8,2,0)</f>
        <v>Finished Goods</v>
      </c>
      <c r="S371" s="265" t="str">
        <f>VLOOKUP('MIS Working 1'!$H371,Master!B:C,2,0)</f>
        <v>FG-PCB-CF</v>
      </c>
      <c r="T371" s="265" t="str">
        <f>VLOOKUP('MIS Working 1'!$S371,Master!E:F,2,0)</f>
        <v>FG-PCB-CF</v>
      </c>
      <c r="U371" s="268">
        <f>'MIS Working 1'!$N371-'MIS Working 1'!$AF371</f>
        <v>20359.500000000058</v>
      </c>
      <c r="V371" s="269">
        <f>'MIS Working 1'!$U371/'MIS Working 1'!$N371</f>
        <v>0.11406061271549389</v>
      </c>
      <c r="W371" s="265">
        <f>'MIS Working 1'!$N371/'MIS Working 1'!$L371</f>
        <v>728.56000000000006</v>
      </c>
      <c r="X371" s="270">
        <f>SUM('MIS Working 1'!$Y371:$AE371)</f>
        <v>677.50999999999965</v>
      </c>
      <c r="Y371" s="270">
        <f>SUMIFS('COGS Break up'!$E:$E,'COGS Break up'!$A:$A,'MIS Working 1'!$D371,'COGS Break up'!$D:$D,'MIS Working 1'!$Y$1)</f>
        <v>582.23999999999967</v>
      </c>
      <c r="Z371" s="270">
        <f>SUMIFS('COGS Break up'!$E:$E,'COGS Break up'!$A:$A,'MIS Working 1'!$D371,'COGS Break up'!$D:$D,'MIS Working 1'!$Z$1)</f>
        <v>29.88</v>
      </c>
      <c r="AA371" s="270">
        <f>SUMIFS('COGS Break up'!E:E,'COGS Break up'!A:A,'MIS Working 1'!$D:$D,'COGS Break up'!C:C,'MIS Working 1'!$AA$1)</f>
        <v>2.4500000000000002</v>
      </c>
      <c r="AB371" s="270">
        <f>SUMIFS('COGS Break up'!E:E,'COGS Break up'!A:A,'MIS Working 1'!$D:$D,'COGS Break up'!C:C,$AB$1)</f>
        <v>21.72</v>
      </c>
      <c r="AC371" s="270">
        <f>SUMIFS('COGS Break up'!E:E,'COGS Break up'!A:A,'MIS Working 1'!$D:$D,'COGS Break up'!C:C,$AC$1)</f>
        <v>8.31</v>
      </c>
      <c r="AD371" s="270">
        <f>SUMIFS('COGS Break up'!$E:$E,'COGS Break up'!$A:$A,'MIS Working 1'!$D371,'COGS Break up'!$D:$D,'MIS Working 1'!$AD$1)</f>
        <v>0.43</v>
      </c>
      <c r="AE371" s="270">
        <f>SUMIFS('COGS Break up'!$E:$E,'COGS Break up'!$A:$A,'MIS Working 1'!$D371,'COGS Break up'!$D:$D,'MIS Working 1'!$AE$1)</f>
        <v>32.480000000000004</v>
      </c>
      <c r="AF371" s="271">
        <f>'MIS Working 1'!$AG371+'MIS Working 1'!$AH371+'MIS Working 1'!$AM371+'MIS Working 1'!$AL371</f>
        <v>158137.69999999995</v>
      </c>
      <c r="AG371" s="270">
        <f>'MIS Working 1'!$L371*'MIS Working 1'!$Y371</f>
        <v>142648.79999999993</v>
      </c>
      <c r="AH371" s="270">
        <f>'MIS Working 1'!$L371*'MIS Working 1'!$Z371</f>
        <v>7320.5999999999995</v>
      </c>
      <c r="AI371" s="270">
        <f t="shared" si="15"/>
        <v>600.25</v>
      </c>
      <c r="AJ371" s="270">
        <f t="shared" si="16"/>
        <v>5321.4</v>
      </c>
      <c r="AK371" s="270">
        <f t="shared" si="17"/>
        <v>2035.95</v>
      </c>
      <c r="AL371" s="270">
        <f>'MIS Working 1'!$AD371*'MIS Working 1'!$L371</f>
        <v>105.35</v>
      </c>
      <c r="AM371" s="270">
        <f>'MIS Working 1'!$L371*'MIS Working 1'!$AE371+'MIS Working 1'!$AL371</f>
        <v>8062.9500000000016</v>
      </c>
    </row>
    <row r="372" spans="1:39" x14ac:dyDescent="0.3">
      <c r="A372" s="272" t="s">
        <v>479</v>
      </c>
      <c r="B372" s="273">
        <v>45966</v>
      </c>
      <c r="C372" s="274" t="s">
        <v>1854</v>
      </c>
      <c r="D372" s="274" t="s">
        <v>639</v>
      </c>
      <c r="E372" s="274" t="s">
        <v>640</v>
      </c>
      <c r="F372" s="274" t="s">
        <v>18</v>
      </c>
      <c r="G372" s="274" t="s">
        <v>19</v>
      </c>
      <c r="H372" s="274" t="s">
        <v>27</v>
      </c>
      <c r="I372" s="275">
        <v>240</v>
      </c>
      <c r="J372" s="276">
        <v>154807.20000000001</v>
      </c>
      <c r="K372" s="275">
        <v>240</v>
      </c>
      <c r="L372" s="275">
        <v>240</v>
      </c>
      <c r="M372" s="273">
        <v>45966</v>
      </c>
      <c r="N372" s="276">
        <v>174854.39999999999</v>
      </c>
      <c r="O372" s="274" t="s">
        <v>21</v>
      </c>
      <c r="P372" s="274" t="s">
        <v>22</v>
      </c>
      <c r="Q372" s="274" t="s">
        <v>660</v>
      </c>
      <c r="R372" s="274" t="str">
        <f>VLOOKUP('MIS Working 1'!$G372,Master!$H$3:$I$8,2,0)</f>
        <v>Finished Goods</v>
      </c>
      <c r="S372" s="274" t="str">
        <f>VLOOKUP('MIS Working 1'!$H372,Master!B:C,2,0)</f>
        <v>FG-PCB-CF</v>
      </c>
      <c r="T372" s="274" t="str">
        <f>VLOOKUP('MIS Working 1'!$S372,Master!E:F,2,0)</f>
        <v>FG-PCB-CF</v>
      </c>
      <c r="U372" s="277">
        <f>'MIS Working 1'!$N372-'MIS Working 1'!$AF372</f>
        <v>19944.000000000058</v>
      </c>
      <c r="V372" s="278">
        <f>'MIS Working 1'!$U372/'MIS Working 1'!$N372</f>
        <v>0.11406061271549392</v>
      </c>
      <c r="W372" s="274">
        <f>'MIS Working 1'!$N372/'MIS Working 1'!$L372</f>
        <v>728.56</v>
      </c>
      <c r="X372" s="279">
        <f>SUM('MIS Working 1'!$Y372:$AE372)</f>
        <v>677.50999999999965</v>
      </c>
      <c r="Y372" s="279">
        <f>SUMIFS('COGS Break up'!$E:$E,'COGS Break up'!$A:$A,'MIS Working 1'!$D372,'COGS Break up'!$D:$D,'MIS Working 1'!$Y$1)</f>
        <v>582.23999999999967</v>
      </c>
      <c r="Z372" s="279">
        <f>SUMIFS('COGS Break up'!$E:$E,'COGS Break up'!$A:$A,'MIS Working 1'!$D372,'COGS Break up'!$D:$D,'MIS Working 1'!$Z$1)</f>
        <v>29.88</v>
      </c>
      <c r="AA372" s="279">
        <f>SUMIFS('COGS Break up'!E:E,'COGS Break up'!A:A,'MIS Working 1'!$D:$D,'COGS Break up'!C:C,'MIS Working 1'!$AA$1)</f>
        <v>2.4500000000000002</v>
      </c>
      <c r="AB372" s="279">
        <f>SUMIFS('COGS Break up'!E:E,'COGS Break up'!A:A,'MIS Working 1'!$D:$D,'COGS Break up'!C:C,$AB$1)</f>
        <v>21.72</v>
      </c>
      <c r="AC372" s="279">
        <f>SUMIFS('COGS Break up'!E:E,'COGS Break up'!A:A,'MIS Working 1'!$D:$D,'COGS Break up'!C:C,$AC$1)</f>
        <v>8.31</v>
      </c>
      <c r="AD372" s="279">
        <f>SUMIFS('COGS Break up'!$E:$E,'COGS Break up'!$A:$A,'MIS Working 1'!$D372,'COGS Break up'!$D:$D,'MIS Working 1'!$AD$1)</f>
        <v>0.43</v>
      </c>
      <c r="AE372" s="279">
        <f>SUMIFS('COGS Break up'!$E:$E,'COGS Break up'!$A:$A,'MIS Working 1'!$D372,'COGS Break up'!$D:$D,'MIS Working 1'!$AE$1)</f>
        <v>32.480000000000004</v>
      </c>
      <c r="AF372" s="280">
        <f>'MIS Working 1'!$AG372+'MIS Working 1'!$AH372+'MIS Working 1'!$AM372+'MIS Working 1'!$AL372</f>
        <v>154910.39999999994</v>
      </c>
      <c r="AG372" s="279">
        <f>'MIS Working 1'!$L372*'MIS Working 1'!$Y372</f>
        <v>139737.59999999992</v>
      </c>
      <c r="AH372" s="279">
        <f>'MIS Working 1'!$L372*'MIS Working 1'!$Z372</f>
        <v>7171.2</v>
      </c>
      <c r="AI372" s="279">
        <f t="shared" si="15"/>
        <v>588</v>
      </c>
      <c r="AJ372" s="279">
        <f t="shared" si="16"/>
        <v>5212.7999999999993</v>
      </c>
      <c r="AK372" s="279">
        <f t="shared" si="17"/>
        <v>1994.4</v>
      </c>
      <c r="AL372" s="279">
        <f>'MIS Working 1'!$AD372*'MIS Working 1'!$L372</f>
        <v>103.2</v>
      </c>
      <c r="AM372" s="279">
        <f>'MIS Working 1'!$L372*'MIS Working 1'!$AE372+'MIS Working 1'!$AL372</f>
        <v>7898.4000000000005</v>
      </c>
    </row>
    <row r="373" spans="1:39" x14ac:dyDescent="0.3">
      <c r="A373" s="263" t="s">
        <v>479</v>
      </c>
      <c r="B373" s="264">
        <v>45966</v>
      </c>
      <c r="C373" s="265" t="s">
        <v>1853</v>
      </c>
      <c r="D373" s="265" t="s">
        <v>42</v>
      </c>
      <c r="E373" s="265" t="s">
        <v>43</v>
      </c>
      <c r="F373" s="265" t="s">
        <v>18</v>
      </c>
      <c r="G373" s="265" t="s">
        <v>19</v>
      </c>
      <c r="H373" s="265" t="s">
        <v>27</v>
      </c>
      <c r="I373" s="266">
        <v>1095</v>
      </c>
      <c r="J373" s="267">
        <v>358207.35</v>
      </c>
      <c r="K373" s="266">
        <v>1095</v>
      </c>
      <c r="L373" s="266">
        <v>1095</v>
      </c>
      <c r="M373" s="264">
        <v>45966</v>
      </c>
      <c r="N373" s="267">
        <v>373471.65</v>
      </c>
      <c r="O373" s="265" t="s">
        <v>21</v>
      </c>
      <c r="P373" s="265" t="s">
        <v>22</v>
      </c>
      <c r="Q373" s="265" t="s">
        <v>660</v>
      </c>
      <c r="R373" s="265" t="str">
        <f>VLOOKUP('MIS Working 1'!$G373,Master!$H$3:$I$8,2,0)</f>
        <v>Finished Goods</v>
      </c>
      <c r="S373" s="265" t="str">
        <f>VLOOKUP('MIS Working 1'!$H373,Master!B:C,2,0)</f>
        <v>FG-PCB-CF</v>
      </c>
      <c r="T373" s="265" t="str">
        <f>VLOOKUP('MIS Working 1'!$S373,Master!E:F,2,0)</f>
        <v>FG-PCB-CF</v>
      </c>
      <c r="U373" s="268">
        <f>'MIS Working 1'!$N373-'MIS Working 1'!$AF373</f>
        <v>15078.149999999965</v>
      </c>
      <c r="V373" s="269">
        <f>'MIS Working 1'!$U373/'MIS Working 1'!$N373</f>
        <v>4.037294397044585E-2</v>
      </c>
      <c r="W373" s="265">
        <f>'MIS Working 1'!$N373/'MIS Working 1'!$L373</f>
        <v>341.07</v>
      </c>
      <c r="X373" s="270">
        <f>SUM('MIS Working 1'!$Y373:$AE373)</f>
        <v>353.55</v>
      </c>
      <c r="Y373" s="270">
        <f>SUMIFS('COGS Break up'!$E:$E,'COGS Break up'!$A:$A,'MIS Working 1'!$D373,'COGS Break up'!$D:$D,'MIS Working 1'!$Y$1)</f>
        <v>278.14000000000004</v>
      </c>
      <c r="Z373" s="270">
        <f>SUMIFS('COGS Break up'!$E:$E,'COGS Break up'!$A:$A,'MIS Working 1'!$D373,'COGS Break up'!$D:$D,'MIS Working 1'!$Z$1)</f>
        <v>22.400000000000002</v>
      </c>
      <c r="AA373" s="270">
        <f>SUMIFS('COGS Break up'!E:E,'COGS Break up'!A:A,'MIS Working 1'!$D:$D,'COGS Break up'!C:C,'MIS Working 1'!$AA$1)</f>
        <v>1.8299999999999998</v>
      </c>
      <c r="AB373" s="270">
        <f>SUMIFS('COGS Break up'!E:E,'COGS Break up'!A:A,'MIS Working 1'!$D:$D,'COGS Break up'!C:C,$AB$1)</f>
        <v>16.28</v>
      </c>
      <c r="AC373" s="270">
        <f>SUMIFS('COGS Break up'!E:E,'COGS Break up'!A:A,'MIS Working 1'!$D:$D,'COGS Break up'!C:C,$AC$1)</f>
        <v>8.31</v>
      </c>
      <c r="AD373" s="270">
        <f>SUMIFS('COGS Break up'!$E:$E,'COGS Break up'!$A:$A,'MIS Working 1'!$D373,'COGS Break up'!$D:$D,'MIS Working 1'!$AD$1)</f>
        <v>0.17</v>
      </c>
      <c r="AE373" s="270">
        <f>SUMIFS('COGS Break up'!$E:$E,'COGS Break up'!$A:$A,'MIS Working 1'!$D373,'COGS Break up'!$D:$D,'MIS Working 1'!$AE$1)</f>
        <v>26.42</v>
      </c>
      <c r="AF373" s="271">
        <f>'MIS Working 1'!$AG373+'MIS Working 1'!$AH373+'MIS Working 1'!$AM373+'MIS Working 1'!$AL373</f>
        <v>358393.50000000006</v>
      </c>
      <c r="AG373" s="270">
        <f>'MIS Working 1'!$L373*'MIS Working 1'!$Y373</f>
        <v>304563.30000000005</v>
      </c>
      <c r="AH373" s="270">
        <f>'MIS Working 1'!$L373*'MIS Working 1'!$Z373</f>
        <v>24528.000000000004</v>
      </c>
      <c r="AI373" s="270">
        <f t="shared" si="15"/>
        <v>2003.85</v>
      </c>
      <c r="AJ373" s="270">
        <f t="shared" si="16"/>
        <v>17826.600000000002</v>
      </c>
      <c r="AK373" s="270">
        <f t="shared" si="17"/>
        <v>9099.4500000000007</v>
      </c>
      <c r="AL373" s="270">
        <f>'MIS Working 1'!$AD373*'MIS Working 1'!$L373</f>
        <v>186.15</v>
      </c>
      <c r="AM373" s="270">
        <f>'MIS Working 1'!$L373*'MIS Working 1'!$AE373+'MIS Working 1'!$AL373</f>
        <v>29116.050000000003</v>
      </c>
    </row>
    <row r="374" spans="1:39" x14ac:dyDescent="0.3">
      <c r="A374" s="272" t="s">
        <v>479</v>
      </c>
      <c r="B374" s="273">
        <v>45966</v>
      </c>
      <c r="C374" s="274" t="s">
        <v>1851</v>
      </c>
      <c r="D374" s="274" t="s">
        <v>23</v>
      </c>
      <c r="E374" s="274" t="s">
        <v>24</v>
      </c>
      <c r="F374" s="274" t="s">
        <v>18</v>
      </c>
      <c r="G374" s="274" t="s">
        <v>19</v>
      </c>
      <c r="H374" s="274" t="s">
        <v>27</v>
      </c>
      <c r="I374" s="275">
        <v>1210</v>
      </c>
      <c r="J374" s="276">
        <v>509906.1</v>
      </c>
      <c r="K374" s="275">
        <v>1210</v>
      </c>
      <c r="L374" s="275">
        <v>1210</v>
      </c>
      <c r="M374" s="273">
        <v>45966</v>
      </c>
      <c r="N374" s="276">
        <v>584623.6</v>
      </c>
      <c r="O374" s="274" t="s">
        <v>21</v>
      </c>
      <c r="P374" s="274" t="s">
        <v>22</v>
      </c>
      <c r="Q374" s="274" t="s">
        <v>660</v>
      </c>
      <c r="R374" s="274" t="str">
        <f>VLOOKUP('MIS Working 1'!$G374,Master!$H$3:$I$8,2,0)</f>
        <v>Finished Goods</v>
      </c>
      <c r="S374" s="274" t="str">
        <f>VLOOKUP('MIS Working 1'!$H374,Master!B:C,2,0)</f>
        <v>FG-PCB-CF</v>
      </c>
      <c r="T374" s="274" t="str">
        <f>VLOOKUP('MIS Working 1'!$S374,Master!E:F,2,0)</f>
        <v>FG-PCB-CF</v>
      </c>
      <c r="U374" s="277">
        <f>'MIS Working 1'!$N374-'MIS Working 1'!$AF374</f>
        <v>74402.900000000198</v>
      </c>
      <c r="V374" s="278">
        <f>'MIS Working 1'!$U374/'MIS Working 1'!$N374</f>
        <v>0.12726632999420517</v>
      </c>
      <c r="W374" s="274">
        <f>'MIS Working 1'!$N374/'MIS Working 1'!$L374</f>
        <v>483.15999999999997</v>
      </c>
      <c r="X374" s="279">
        <f>SUM('MIS Working 1'!$Y374:$AE374)</f>
        <v>447.50999999999988</v>
      </c>
      <c r="Y374" s="279">
        <f>SUMIFS('COGS Break up'!$E:$E,'COGS Break up'!$A:$A,'MIS Working 1'!$D374,'COGS Break up'!$D:$D,'MIS Working 1'!$Y$1)</f>
        <v>373.04999999999984</v>
      </c>
      <c r="Z374" s="279">
        <f>SUMIFS('COGS Break up'!$E:$E,'COGS Break up'!$A:$A,'MIS Working 1'!$D374,'COGS Break up'!$D:$D,'MIS Working 1'!$Z$1)</f>
        <v>22</v>
      </c>
      <c r="AA374" s="279">
        <f>SUMIFS('COGS Break up'!E:E,'COGS Break up'!A:A,'MIS Working 1'!$D:$D,'COGS Break up'!C:C,'MIS Working 1'!$AA$1)</f>
        <v>1.8</v>
      </c>
      <c r="AB374" s="279">
        <f>SUMIFS('COGS Break up'!E:E,'COGS Break up'!A:A,'MIS Working 1'!$D:$D,'COGS Break up'!C:C,$AB$1)</f>
        <v>15.99</v>
      </c>
      <c r="AC374" s="279">
        <f>SUMIFS('COGS Break up'!E:E,'COGS Break up'!A:A,'MIS Working 1'!$D:$D,'COGS Break up'!C:C,$AC$1)</f>
        <v>8.31</v>
      </c>
      <c r="AD374" s="279">
        <f>SUMIFS('COGS Break up'!$E:$E,'COGS Break up'!$A:$A,'MIS Working 1'!$D374,'COGS Break up'!$D:$D,'MIS Working 1'!$AD$1)</f>
        <v>0.26</v>
      </c>
      <c r="AE374" s="279">
        <f>SUMIFS('COGS Break up'!$E:$E,'COGS Break up'!$A:$A,'MIS Working 1'!$D374,'COGS Break up'!$D:$D,'MIS Working 1'!$AE$1)</f>
        <v>26.1</v>
      </c>
      <c r="AF374" s="280">
        <f>'MIS Working 1'!$AG374+'MIS Working 1'!$AH374+'MIS Working 1'!$AM374+'MIS Working 1'!$AL374</f>
        <v>510220.69999999978</v>
      </c>
      <c r="AG374" s="279">
        <f>'MIS Working 1'!$L374*'MIS Working 1'!$Y374</f>
        <v>451390.49999999983</v>
      </c>
      <c r="AH374" s="279">
        <f>'MIS Working 1'!$L374*'MIS Working 1'!$Z374</f>
        <v>26620</v>
      </c>
      <c r="AI374" s="279">
        <f t="shared" si="15"/>
        <v>2178</v>
      </c>
      <c r="AJ374" s="279">
        <f t="shared" si="16"/>
        <v>19347.900000000001</v>
      </c>
      <c r="AK374" s="279">
        <f t="shared" si="17"/>
        <v>10055.1</v>
      </c>
      <c r="AL374" s="279">
        <f>'MIS Working 1'!$AD374*'MIS Working 1'!$L374</f>
        <v>314.60000000000002</v>
      </c>
      <c r="AM374" s="279">
        <f>'MIS Working 1'!$L374*'MIS Working 1'!$AE374+'MIS Working 1'!$AL374</f>
        <v>31895.599999999999</v>
      </c>
    </row>
    <row r="375" spans="1:39" x14ac:dyDescent="0.3">
      <c r="A375" s="263" t="s">
        <v>479</v>
      </c>
      <c r="B375" s="264">
        <v>45966</v>
      </c>
      <c r="C375" s="265" t="s">
        <v>1852</v>
      </c>
      <c r="D375" s="265" t="s">
        <v>1182</v>
      </c>
      <c r="E375" s="265" t="s">
        <v>1183</v>
      </c>
      <c r="F375" s="265" t="s">
        <v>18</v>
      </c>
      <c r="G375" s="265" t="s">
        <v>19</v>
      </c>
      <c r="H375" s="265" t="s">
        <v>27</v>
      </c>
      <c r="I375" s="266">
        <v>360</v>
      </c>
      <c r="J375" s="267">
        <v>151696.79999999999</v>
      </c>
      <c r="K375" s="266">
        <v>360</v>
      </c>
      <c r="L375" s="266">
        <v>360</v>
      </c>
      <c r="M375" s="264">
        <v>45966</v>
      </c>
      <c r="N375" s="267">
        <v>173937.6</v>
      </c>
      <c r="O375" s="265" t="s">
        <v>21</v>
      </c>
      <c r="P375" s="265" t="s">
        <v>22</v>
      </c>
      <c r="Q375" s="265" t="s">
        <v>660</v>
      </c>
      <c r="R375" s="265" t="str">
        <f>VLOOKUP('MIS Working 1'!$G375,Master!$H$3:$I$8,2,0)</f>
        <v>Finished Goods</v>
      </c>
      <c r="S375" s="265" t="str">
        <f>VLOOKUP('MIS Working 1'!$H375,Master!B:C,2,0)</f>
        <v>FG-PCB-CF</v>
      </c>
      <c r="T375" s="265" t="str">
        <f>VLOOKUP('MIS Working 1'!$S375,Master!E:F,2,0)</f>
        <v>FG-PCB-CF</v>
      </c>
      <c r="U375" s="268">
        <f>'MIS Working 1'!$N375-'MIS Working 1'!$AF375</f>
        <v>22147.20000000007</v>
      </c>
      <c r="V375" s="269">
        <f>'MIS Working 1'!$U375/'MIS Working 1'!$N375</f>
        <v>0.12732842122692314</v>
      </c>
      <c r="W375" s="265">
        <f>'MIS Working 1'!$N375/'MIS Working 1'!$L375</f>
        <v>483.16</v>
      </c>
      <c r="X375" s="270">
        <f>SUM('MIS Working 1'!$Y375:$AE375)</f>
        <v>447.47999999999985</v>
      </c>
      <c r="Y375" s="270">
        <f>SUMIFS('COGS Break up'!$E:$E,'COGS Break up'!$A:$A,'MIS Working 1'!$D375,'COGS Break up'!$D:$D,'MIS Working 1'!$Y$1)</f>
        <v>373.01999999999981</v>
      </c>
      <c r="Z375" s="270">
        <f>SUMIFS('COGS Break up'!$E:$E,'COGS Break up'!$A:$A,'MIS Working 1'!$D375,'COGS Break up'!$D:$D,'MIS Working 1'!$Z$1)</f>
        <v>22</v>
      </c>
      <c r="AA375" s="270">
        <f>SUMIFS('COGS Break up'!E:E,'COGS Break up'!A:A,'MIS Working 1'!$D:$D,'COGS Break up'!C:C,'MIS Working 1'!$AA$1)</f>
        <v>1.8</v>
      </c>
      <c r="AB375" s="270">
        <f>SUMIFS('COGS Break up'!E:E,'COGS Break up'!A:A,'MIS Working 1'!$D:$D,'COGS Break up'!C:C,$AB$1)</f>
        <v>15.99</v>
      </c>
      <c r="AC375" s="270">
        <f>SUMIFS('COGS Break up'!E:E,'COGS Break up'!A:A,'MIS Working 1'!$D:$D,'COGS Break up'!C:C,$AC$1)</f>
        <v>8.31</v>
      </c>
      <c r="AD375" s="270">
        <f>SUMIFS('COGS Break up'!$E:$E,'COGS Break up'!$A:$A,'MIS Working 1'!$D375,'COGS Break up'!$D:$D,'MIS Working 1'!$AD$1)</f>
        <v>0.26</v>
      </c>
      <c r="AE375" s="270">
        <f>SUMIFS('COGS Break up'!$E:$E,'COGS Break up'!$A:$A,'MIS Working 1'!$D375,'COGS Break up'!$D:$D,'MIS Working 1'!$AE$1)</f>
        <v>26.1</v>
      </c>
      <c r="AF375" s="271">
        <f>'MIS Working 1'!$AG375+'MIS Working 1'!$AH375+'MIS Working 1'!$AM375+'MIS Working 1'!$AL375</f>
        <v>151790.39999999994</v>
      </c>
      <c r="AG375" s="270">
        <f>'MIS Working 1'!$L375*'MIS Working 1'!$Y375</f>
        <v>134287.19999999992</v>
      </c>
      <c r="AH375" s="270">
        <f>'MIS Working 1'!$L375*'MIS Working 1'!$Z375</f>
        <v>7920</v>
      </c>
      <c r="AI375" s="270">
        <f t="shared" si="15"/>
        <v>648</v>
      </c>
      <c r="AJ375" s="270">
        <f t="shared" si="16"/>
        <v>5756.4</v>
      </c>
      <c r="AK375" s="270">
        <f t="shared" si="17"/>
        <v>2991.6000000000004</v>
      </c>
      <c r="AL375" s="270">
        <f>'MIS Working 1'!$AD375*'MIS Working 1'!$L375</f>
        <v>93.600000000000009</v>
      </c>
      <c r="AM375" s="270">
        <f>'MIS Working 1'!$L375*'MIS Working 1'!$AE375+'MIS Working 1'!$AL375</f>
        <v>9489.6</v>
      </c>
    </row>
    <row r="376" spans="1:39" x14ac:dyDescent="0.3">
      <c r="A376" s="272" t="s">
        <v>479</v>
      </c>
      <c r="B376" s="273">
        <v>45966</v>
      </c>
      <c r="C376" s="274" t="s">
        <v>1855</v>
      </c>
      <c r="D376" s="274" t="s">
        <v>1182</v>
      </c>
      <c r="E376" s="274" t="s">
        <v>1183</v>
      </c>
      <c r="F376" s="274" t="s">
        <v>18</v>
      </c>
      <c r="G376" s="274" t="s">
        <v>19</v>
      </c>
      <c r="H376" s="274" t="s">
        <v>27</v>
      </c>
      <c r="I376" s="275">
        <v>210</v>
      </c>
      <c r="J376" s="276">
        <v>88489.8</v>
      </c>
      <c r="K376" s="275">
        <v>210</v>
      </c>
      <c r="L376" s="275">
        <v>210</v>
      </c>
      <c r="M376" s="273">
        <v>45966</v>
      </c>
      <c r="N376" s="276">
        <v>101463.6</v>
      </c>
      <c r="O376" s="274" t="s">
        <v>21</v>
      </c>
      <c r="P376" s="274" t="s">
        <v>22</v>
      </c>
      <c r="Q376" s="274" t="s">
        <v>660</v>
      </c>
      <c r="R376" s="274" t="str">
        <f>VLOOKUP('MIS Working 1'!$G376,Master!$H$3:$I$8,2,0)</f>
        <v>Finished Goods</v>
      </c>
      <c r="S376" s="274" t="str">
        <f>VLOOKUP('MIS Working 1'!$H376,Master!B:C,2,0)</f>
        <v>FG-PCB-CF</v>
      </c>
      <c r="T376" s="274" t="str">
        <f>VLOOKUP('MIS Working 1'!$S376,Master!E:F,2,0)</f>
        <v>FG-PCB-CF</v>
      </c>
      <c r="U376" s="277">
        <f>'MIS Working 1'!$N376-'MIS Working 1'!$AF376</f>
        <v>12919.200000000041</v>
      </c>
      <c r="V376" s="278">
        <f>'MIS Working 1'!$U376/'MIS Working 1'!$N376</f>
        <v>0.12732842122692314</v>
      </c>
      <c r="W376" s="274">
        <f>'MIS Working 1'!$N376/'MIS Working 1'!$L376</f>
        <v>483.16</v>
      </c>
      <c r="X376" s="279">
        <f>SUM('MIS Working 1'!$Y376:$AE376)</f>
        <v>447.47999999999985</v>
      </c>
      <c r="Y376" s="279">
        <f>SUMIFS('COGS Break up'!$E:$E,'COGS Break up'!$A:$A,'MIS Working 1'!$D376,'COGS Break up'!$D:$D,'MIS Working 1'!$Y$1)</f>
        <v>373.01999999999981</v>
      </c>
      <c r="Z376" s="279">
        <f>SUMIFS('COGS Break up'!$E:$E,'COGS Break up'!$A:$A,'MIS Working 1'!$D376,'COGS Break up'!$D:$D,'MIS Working 1'!$Z$1)</f>
        <v>22</v>
      </c>
      <c r="AA376" s="279">
        <f>SUMIFS('COGS Break up'!E:E,'COGS Break up'!A:A,'MIS Working 1'!$D:$D,'COGS Break up'!C:C,'MIS Working 1'!$AA$1)</f>
        <v>1.8</v>
      </c>
      <c r="AB376" s="279">
        <f>SUMIFS('COGS Break up'!E:E,'COGS Break up'!A:A,'MIS Working 1'!$D:$D,'COGS Break up'!C:C,$AB$1)</f>
        <v>15.99</v>
      </c>
      <c r="AC376" s="279">
        <f>SUMIFS('COGS Break up'!E:E,'COGS Break up'!A:A,'MIS Working 1'!$D:$D,'COGS Break up'!C:C,$AC$1)</f>
        <v>8.31</v>
      </c>
      <c r="AD376" s="279">
        <f>SUMIFS('COGS Break up'!$E:$E,'COGS Break up'!$A:$A,'MIS Working 1'!$D376,'COGS Break up'!$D:$D,'MIS Working 1'!$AD$1)</f>
        <v>0.26</v>
      </c>
      <c r="AE376" s="279">
        <f>SUMIFS('COGS Break up'!$E:$E,'COGS Break up'!$A:$A,'MIS Working 1'!$D376,'COGS Break up'!$D:$D,'MIS Working 1'!$AE$1)</f>
        <v>26.1</v>
      </c>
      <c r="AF376" s="280">
        <f>'MIS Working 1'!$AG376+'MIS Working 1'!$AH376+'MIS Working 1'!$AM376+'MIS Working 1'!$AL376</f>
        <v>88544.399999999965</v>
      </c>
      <c r="AG376" s="279">
        <f>'MIS Working 1'!$L376*'MIS Working 1'!$Y376</f>
        <v>78334.199999999953</v>
      </c>
      <c r="AH376" s="279">
        <f>'MIS Working 1'!$L376*'MIS Working 1'!$Z376</f>
        <v>4620</v>
      </c>
      <c r="AI376" s="279">
        <f t="shared" si="15"/>
        <v>378</v>
      </c>
      <c r="AJ376" s="279">
        <f t="shared" si="16"/>
        <v>3357.9</v>
      </c>
      <c r="AK376" s="279">
        <f t="shared" si="17"/>
        <v>1745.1000000000001</v>
      </c>
      <c r="AL376" s="279">
        <f>'MIS Working 1'!$AD376*'MIS Working 1'!$L376</f>
        <v>54.6</v>
      </c>
      <c r="AM376" s="279">
        <f>'MIS Working 1'!$L376*'MIS Working 1'!$AE376+'MIS Working 1'!$AL376</f>
        <v>5535.6</v>
      </c>
    </row>
    <row r="377" spans="1:39" x14ac:dyDescent="0.3">
      <c r="A377" s="263" t="s">
        <v>479</v>
      </c>
      <c r="B377" s="264">
        <v>45966</v>
      </c>
      <c r="C377" s="265" t="s">
        <v>1851</v>
      </c>
      <c r="D377" s="265" t="s">
        <v>38</v>
      </c>
      <c r="E377" s="265" t="s">
        <v>39</v>
      </c>
      <c r="F377" s="265" t="s">
        <v>18</v>
      </c>
      <c r="G377" s="265" t="s">
        <v>19</v>
      </c>
      <c r="H377" s="265" t="s">
        <v>27</v>
      </c>
      <c r="I377" s="266">
        <v>555</v>
      </c>
      <c r="J377" s="267">
        <v>181557.15</v>
      </c>
      <c r="K377" s="266">
        <v>555</v>
      </c>
      <c r="L377" s="266">
        <v>555</v>
      </c>
      <c r="M377" s="264">
        <v>45966</v>
      </c>
      <c r="N377" s="267">
        <v>189293.85</v>
      </c>
      <c r="O377" s="265" t="s">
        <v>21</v>
      </c>
      <c r="P377" s="265" t="s">
        <v>22</v>
      </c>
      <c r="Q377" s="265" t="s">
        <v>660</v>
      </c>
      <c r="R377" s="265" t="str">
        <f>VLOOKUP('MIS Working 1'!$G377,Master!$H$3:$I$8,2,0)</f>
        <v>Finished Goods</v>
      </c>
      <c r="S377" s="265" t="str">
        <f>VLOOKUP('MIS Working 1'!$H377,Master!B:C,2,0)</f>
        <v>FG-PCB-CF</v>
      </c>
      <c r="T377" s="265" t="str">
        <f>VLOOKUP('MIS Working 1'!$S377,Master!E:F,2,0)</f>
        <v>FG-PCB-CF</v>
      </c>
      <c r="U377" s="268">
        <f>'MIS Working 1'!$N377-'MIS Working 1'!$AF377</f>
        <v>7642.3500000000058</v>
      </c>
      <c r="V377" s="269">
        <f>'MIS Working 1'!$U377/'MIS Working 1'!$N377</f>
        <v>4.0372943970445982E-2</v>
      </c>
      <c r="W377" s="265">
        <f>'MIS Working 1'!$N377/'MIS Working 1'!$L377</f>
        <v>341.07</v>
      </c>
      <c r="X377" s="270">
        <f>SUM('MIS Working 1'!$Y377:$AE377)</f>
        <v>353.55</v>
      </c>
      <c r="Y377" s="270">
        <f>SUMIFS('COGS Break up'!$E:$E,'COGS Break up'!$A:$A,'MIS Working 1'!$D377,'COGS Break up'!$D:$D,'MIS Working 1'!$Y$1)</f>
        <v>278.14</v>
      </c>
      <c r="Z377" s="270">
        <f>SUMIFS('COGS Break up'!$E:$E,'COGS Break up'!$A:$A,'MIS Working 1'!$D377,'COGS Break up'!$D:$D,'MIS Working 1'!$Z$1)</f>
        <v>22.400000000000002</v>
      </c>
      <c r="AA377" s="270">
        <f>SUMIFS('COGS Break up'!E:E,'COGS Break up'!A:A,'MIS Working 1'!$D:$D,'COGS Break up'!C:C,'MIS Working 1'!$AA$1)</f>
        <v>1.8299999999999998</v>
      </c>
      <c r="AB377" s="270">
        <f>SUMIFS('COGS Break up'!E:E,'COGS Break up'!A:A,'MIS Working 1'!$D:$D,'COGS Break up'!C:C,$AB$1)</f>
        <v>16.28</v>
      </c>
      <c r="AC377" s="270">
        <f>SUMIFS('COGS Break up'!E:E,'COGS Break up'!A:A,'MIS Working 1'!$D:$D,'COGS Break up'!C:C,$AC$1)</f>
        <v>8.31</v>
      </c>
      <c r="AD377" s="270">
        <f>SUMIFS('COGS Break up'!$E:$E,'COGS Break up'!$A:$A,'MIS Working 1'!$D377,'COGS Break up'!$D:$D,'MIS Working 1'!$AD$1)</f>
        <v>0.17</v>
      </c>
      <c r="AE377" s="270">
        <f>SUMIFS('COGS Break up'!$E:$E,'COGS Break up'!$A:$A,'MIS Working 1'!$D377,'COGS Break up'!$D:$D,'MIS Working 1'!$AE$1)</f>
        <v>26.42</v>
      </c>
      <c r="AF377" s="271">
        <f>'MIS Working 1'!$AG377+'MIS Working 1'!$AH377+'MIS Working 1'!$AM377+'MIS Working 1'!$AL377</f>
        <v>181651.5</v>
      </c>
      <c r="AG377" s="270">
        <f>'MIS Working 1'!$L377*'MIS Working 1'!$Y377</f>
        <v>154367.69999999998</v>
      </c>
      <c r="AH377" s="270">
        <f>'MIS Working 1'!$L377*'MIS Working 1'!$Z377</f>
        <v>12432.000000000002</v>
      </c>
      <c r="AI377" s="270">
        <f t="shared" si="15"/>
        <v>1015.6499999999999</v>
      </c>
      <c r="AJ377" s="270">
        <f t="shared" si="16"/>
        <v>9035.4000000000015</v>
      </c>
      <c r="AK377" s="270">
        <f t="shared" si="17"/>
        <v>4612.05</v>
      </c>
      <c r="AL377" s="270">
        <f>'MIS Working 1'!$AD377*'MIS Working 1'!$L377</f>
        <v>94.350000000000009</v>
      </c>
      <c r="AM377" s="270">
        <f>'MIS Working 1'!$L377*'MIS Working 1'!$AE377+'MIS Working 1'!$AL377</f>
        <v>14757.45</v>
      </c>
    </row>
    <row r="378" spans="1:39" x14ac:dyDescent="0.3">
      <c r="A378" s="272" t="s">
        <v>479</v>
      </c>
      <c r="B378" s="273">
        <v>45966</v>
      </c>
      <c r="C378" s="274" t="s">
        <v>1852</v>
      </c>
      <c r="D378" s="274" t="s">
        <v>633</v>
      </c>
      <c r="E378" s="274" t="s">
        <v>634</v>
      </c>
      <c r="F378" s="274" t="s">
        <v>18</v>
      </c>
      <c r="G378" s="274" t="s">
        <v>19</v>
      </c>
      <c r="H378" s="274" t="s">
        <v>27</v>
      </c>
      <c r="I378" s="275">
        <v>490</v>
      </c>
      <c r="J378" s="276">
        <v>160279</v>
      </c>
      <c r="K378" s="275">
        <v>490</v>
      </c>
      <c r="L378" s="275">
        <v>490</v>
      </c>
      <c r="M378" s="273">
        <v>45966</v>
      </c>
      <c r="N378" s="276">
        <v>167124.29999999999</v>
      </c>
      <c r="O378" s="274" t="s">
        <v>21</v>
      </c>
      <c r="P378" s="274" t="s">
        <v>22</v>
      </c>
      <c r="Q378" s="274" t="s">
        <v>660</v>
      </c>
      <c r="R378" s="274" t="str">
        <f>VLOOKUP('MIS Working 1'!$G378,Master!$H$3:$I$8,2,0)</f>
        <v>Finished Goods</v>
      </c>
      <c r="S378" s="274" t="str">
        <f>VLOOKUP('MIS Working 1'!$H378,Master!B:C,2,0)</f>
        <v>FG-PCB-CF</v>
      </c>
      <c r="T378" s="274" t="str">
        <f>VLOOKUP('MIS Working 1'!$S378,Master!E:F,2,0)</f>
        <v>FG-PCB-CF</v>
      </c>
      <c r="U378" s="277">
        <f>'MIS Working 1'!$N378-'MIS Working 1'!$AF378</f>
        <v>6762.0000000000291</v>
      </c>
      <c r="V378" s="278">
        <f>'MIS Working 1'!$U378/'MIS Working 1'!$N378</f>
        <v>4.0460902454041867E-2</v>
      </c>
      <c r="W378" s="274">
        <f>'MIS Working 1'!$N378/'MIS Working 1'!$L378</f>
        <v>341.07</v>
      </c>
      <c r="X378" s="279">
        <f>SUM('MIS Working 1'!$Y378:$AE378)</f>
        <v>353.51999999999992</v>
      </c>
      <c r="Y378" s="279">
        <f>SUMIFS('COGS Break up'!$E:$E,'COGS Break up'!$A:$A,'MIS Working 1'!$D378,'COGS Break up'!$D:$D,'MIS Working 1'!$Y$1)</f>
        <v>278.1099999999999</v>
      </c>
      <c r="Z378" s="279">
        <f>SUMIFS('COGS Break up'!$E:$E,'COGS Break up'!$A:$A,'MIS Working 1'!$D378,'COGS Break up'!$D:$D,'MIS Working 1'!$Z$1)</f>
        <v>22.400000000000002</v>
      </c>
      <c r="AA378" s="279">
        <f>SUMIFS('COGS Break up'!E:E,'COGS Break up'!A:A,'MIS Working 1'!$D:$D,'COGS Break up'!C:C,'MIS Working 1'!$AA$1)</f>
        <v>1.8299999999999998</v>
      </c>
      <c r="AB378" s="279">
        <f>SUMIFS('COGS Break up'!E:E,'COGS Break up'!A:A,'MIS Working 1'!$D:$D,'COGS Break up'!C:C,$AB$1)</f>
        <v>16.28</v>
      </c>
      <c r="AC378" s="279">
        <f>SUMIFS('COGS Break up'!E:E,'COGS Break up'!A:A,'MIS Working 1'!$D:$D,'COGS Break up'!C:C,$AC$1)</f>
        <v>8.31</v>
      </c>
      <c r="AD378" s="279">
        <f>SUMIFS('COGS Break up'!$E:$E,'COGS Break up'!$A:$A,'MIS Working 1'!$D378,'COGS Break up'!$D:$D,'MIS Working 1'!$AD$1)</f>
        <v>0.17</v>
      </c>
      <c r="AE378" s="279">
        <f>SUMIFS('COGS Break up'!$E:$E,'COGS Break up'!$A:$A,'MIS Working 1'!$D378,'COGS Break up'!$D:$D,'MIS Working 1'!$AE$1)</f>
        <v>26.42</v>
      </c>
      <c r="AF378" s="280">
        <f>'MIS Working 1'!$AG378+'MIS Working 1'!$AH378+'MIS Working 1'!$AM378+'MIS Working 1'!$AL378</f>
        <v>160362.29999999996</v>
      </c>
      <c r="AG378" s="279">
        <f>'MIS Working 1'!$L378*'MIS Working 1'!$Y378</f>
        <v>136273.89999999997</v>
      </c>
      <c r="AH378" s="279">
        <f>'MIS Working 1'!$L378*'MIS Working 1'!$Z378</f>
        <v>10976.000000000002</v>
      </c>
      <c r="AI378" s="279">
        <f t="shared" si="15"/>
        <v>896.69999999999993</v>
      </c>
      <c r="AJ378" s="279">
        <f t="shared" si="16"/>
        <v>7977.2000000000007</v>
      </c>
      <c r="AK378" s="279">
        <f t="shared" si="17"/>
        <v>4071.9</v>
      </c>
      <c r="AL378" s="279">
        <f>'MIS Working 1'!$AD378*'MIS Working 1'!$L378</f>
        <v>83.300000000000011</v>
      </c>
      <c r="AM378" s="279">
        <f>'MIS Working 1'!$L378*'MIS Working 1'!$AE378+'MIS Working 1'!$AL378</f>
        <v>13029.1</v>
      </c>
    </row>
    <row r="379" spans="1:39" x14ac:dyDescent="0.3">
      <c r="A379" s="263" t="s">
        <v>479</v>
      </c>
      <c r="B379" s="264">
        <v>45966</v>
      </c>
      <c r="C379" s="265" t="s">
        <v>1856</v>
      </c>
      <c r="D379" s="265" t="s">
        <v>362</v>
      </c>
      <c r="E379" s="265" t="s">
        <v>363</v>
      </c>
      <c r="F379" s="265" t="s">
        <v>18</v>
      </c>
      <c r="G379" s="265" t="s">
        <v>19</v>
      </c>
      <c r="H379" s="265" t="s">
        <v>483</v>
      </c>
      <c r="I379" s="266">
        <v>-4</v>
      </c>
      <c r="J379" s="281">
        <v>-2787.6</v>
      </c>
      <c r="K379" s="266">
        <v>-4</v>
      </c>
      <c r="L379" s="266">
        <v>-4</v>
      </c>
      <c r="M379" s="264">
        <v>45966</v>
      </c>
      <c r="N379" s="267">
        <v>-3448.96</v>
      </c>
      <c r="O379" s="265" t="s">
        <v>21</v>
      </c>
      <c r="P379" s="265" t="s">
        <v>22</v>
      </c>
      <c r="Q379" s="265" t="s">
        <v>660</v>
      </c>
      <c r="R379" s="265" t="str">
        <f>VLOOKUP('MIS Working 1'!$G379,Master!$H$3:$I$8,2,0)</f>
        <v>Finished Goods</v>
      </c>
      <c r="S379" s="265" t="str">
        <f>VLOOKUP('MIS Working 1'!$H379,Master!B:C,2,0)</f>
        <v>FG-PCB-MG</v>
      </c>
      <c r="T379" s="265" t="str">
        <f>VLOOKUP('MIS Working 1'!$S379,Master!E:F,2,0)</f>
        <v>FG-PCB-MG</v>
      </c>
      <c r="U379" s="268">
        <f>'MIS Working 1'!$N379-'MIS Working 1'!$AF379</f>
        <v>-659.84000000000151</v>
      </c>
      <c r="V379" s="269">
        <f>'MIS Working 1'!$U379/'MIS Working 1'!$N379</f>
        <v>0.19131564297643391</v>
      </c>
      <c r="W379" s="265">
        <f>'MIS Working 1'!$N379/'MIS Working 1'!$L379</f>
        <v>862.24</v>
      </c>
      <c r="X379" s="270">
        <f>SUM('MIS Working 1'!$Y379:$AE379)</f>
        <v>740.61999999999966</v>
      </c>
      <c r="Y379" s="270">
        <f>SUMIFS('COGS Break up'!$E:$E,'COGS Break up'!$A:$A,'MIS Working 1'!$D379,'COGS Break up'!$D:$D,'MIS Working 1'!$Y$1)</f>
        <v>623.88999999999965</v>
      </c>
      <c r="Z379" s="270">
        <f>SUMIFS('COGS Break up'!$E:$E,'COGS Break up'!$A:$A,'MIS Working 1'!$D379,'COGS Break up'!$D:$D,'MIS Working 1'!$Z$1)</f>
        <v>28.97</v>
      </c>
      <c r="AA379" s="270">
        <f>SUMIFS('COGS Break up'!E:E,'COGS Break up'!A:A,'MIS Working 1'!$D:$D,'COGS Break up'!C:C,'MIS Working 1'!$AA$1)</f>
        <v>2.37</v>
      </c>
      <c r="AB379" s="270">
        <f>SUMIFS('COGS Break up'!E:E,'COGS Break up'!A:A,'MIS Working 1'!$D:$D,'COGS Break up'!C:C,$AB$1)</f>
        <v>21.06</v>
      </c>
      <c r="AC379" s="270">
        <f>SUMIFS('COGS Break up'!E:E,'COGS Break up'!A:A,'MIS Working 1'!$D:$D,'COGS Break up'!C:C,$AC$1)</f>
        <v>20.27</v>
      </c>
      <c r="AD379" s="270">
        <f>SUMIFS('COGS Break up'!$E:$E,'COGS Break up'!$A:$A,'MIS Working 1'!$D379,'COGS Break up'!$D:$D,'MIS Working 1'!$AD$1)</f>
        <v>0.36</v>
      </c>
      <c r="AE379" s="270">
        <f>SUMIFS('COGS Break up'!$E:$E,'COGS Break up'!$A:$A,'MIS Working 1'!$D379,'COGS Break up'!$D:$D,'MIS Working 1'!$AE$1)</f>
        <v>43.699999999999996</v>
      </c>
      <c r="AF379" s="271">
        <f>'MIS Working 1'!$AG379+'MIS Working 1'!$AH379+'MIS Working 1'!$AM379+'MIS Working 1'!$AL379</f>
        <v>-2789.1199999999985</v>
      </c>
      <c r="AG379" s="270">
        <f>'MIS Working 1'!$L379*'MIS Working 1'!$Y379</f>
        <v>-2495.5599999999986</v>
      </c>
      <c r="AH379" s="270">
        <f>'MIS Working 1'!$L379*'MIS Working 1'!$Z379</f>
        <v>-115.88</v>
      </c>
      <c r="AI379" s="270">
        <f t="shared" si="15"/>
        <v>-9.48</v>
      </c>
      <c r="AJ379" s="270">
        <f t="shared" si="16"/>
        <v>-84.24</v>
      </c>
      <c r="AK379" s="270">
        <f t="shared" si="17"/>
        <v>-81.08</v>
      </c>
      <c r="AL379" s="270">
        <f>'MIS Working 1'!$AD379*'MIS Working 1'!$L379</f>
        <v>-1.44</v>
      </c>
      <c r="AM379" s="270">
        <f>'MIS Working 1'!$L379*'MIS Working 1'!$AE379+'MIS Working 1'!$AL379</f>
        <v>-176.23999999999998</v>
      </c>
    </row>
    <row r="380" spans="1:39" x14ac:dyDescent="0.3">
      <c r="A380" s="272" t="s">
        <v>479</v>
      </c>
      <c r="B380" s="273">
        <v>45965</v>
      </c>
      <c r="C380" s="274" t="s">
        <v>1857</v>
      </c>
      <c r="D380" s="274" t="s">
        <v>32</v>
      </c>
      <c r="E380" s="274" t="s">
        <v>33</v>
      </c>
      <c r="F380" s="274" t="s">
        <v>18</v>
      </c>
      <c r="G380" s="274" t="s">
        <v>34</v>
      </c>
      <c r="H380" s="274" t="s">
        <v>772</v>
      </c>
      <c r="I380" s="275">
        <v>2240</v>
      </c>
      <c r="J380" s="276">
        <v>427772.8</v>
      </c>
      <c r="K380" s="275">
        <v>2240</v>
      </c>
      <c r="L380" s="275">
        <v>2240</v>
      </c>
      <c r="M380" s="273">
        <v>45965</v>
      </c>
      <c r="N380" s="276">
        <v>465382.40000000002</v>
      </c>
      <c r="O380" s="274" t="s">
        <v>21</v>
      </c>
      <c r="P380" s="274" t="s">
        <v>22</v>
      </c>
      <c r="Q380" s="274" t="s">
        <v>660</v>
      </c>
      <c r="R380" s="274" t="str">
        <f>VLOOKUP('MIS Working 1'!$G380,Master!$H$3:$I$8,2,0)</f>
        <v>Semi-Finished Goods</v>
      </c>
      <c r="S380" s="274" t="str">
        <f>VLOOKUP('MIS Working 1'!$H380,Master!B:C,2,0)</f>
        <v>SFG-GV5 Stator</v>
      </c>
      <c r="T380" s="274" t="str">
        <f>VLOOKUP('MIS Working 1'!$S380,Master!E:F,2,0)</f>
        <v>Sub Ass.-Mech Stator</v>
      </c>
      <c r="U380" s="277">
        <f>'MIS Working 1'!$N380-'MIS Working 1'!$AF380</f>
        <v>37609.600000000093</v>
      </c>
      <c r="V380" s="278">
        <f>'MIS Working 1'!$U380/'MIS Working 1'!$N380</f>
        <v>8.0814401232191191E-2</v>
      </c>
      <c r="W380" s="274">
        <f>'MIS Working 1'!$N380/'MIS Working 1'!$L380</f>
        <v>207.76000000000002</v>
      </c>
      <c r="X380" s="279">
        <f>SUM('MIS Working 1'!$Y380:$AE380)</f>
        <v>192.92</v>
      </c>
      <c r="Y380" s="279">
        <f>SUMIFS('COGS Break up'!$E:$E,'COGS Break up'!$A:$A,'MIS Working 1'!$D380,'COGS Break up'!$D:$D,'MIS Working 1'!$Y$1)</f>
        <v>187.51999999999998</v>
      </c>
      <c r="Z380" s="279">
        <f>SUMIFS('COGS Break up'!$E:$E,'COGS Break up'!$A:$A,'MIS Working 1'!$D380,'COGS Break up'!$D:$D,'MIS Working 1'!$Z$1)</f>
        <v>1.5</v>
      </c>
      <c r="AA380" s="279">
        <f>SUMIFS('COGS Break up'!E:E,'COGS Break up'!A:A,'MIS Working 1'!$D:$D,'COGS Break up'!C:C,'MIS Working 1'!$AA$1)</f>
        <v>0.05</v>
      </c>
      <c r="AB380" s="279">
        <f>SUMIFS('COGS Break up'!E:E,'COGS Break up'!A:A,'MIS Working 1'!$D:$D,'COGS Break up'!C:C,$AB$1)</f>
        <v>0.4</v>
      </c>
      <c r="AC380" s="279">
        <f>SUMIFS('COGS Break up'!E:E,'COGS Break up'!A:A,'MIS Working 1'!$D:$D,'COGS Break up'!C:C,$AC$1)</f>
        <v>1.5</v>
      </c>
      <c r="AD380" s="279">
        <f>SUMIFS('COGS Break up'!$E:$E,'COGS Break up'!$A:$A,'MIS Working 1'!$D380,'COGS Break up'!$D:$D,'MIS Working 1'!$AD$1)</f>
        <v>0</v>
      </c>
      <c r="AE380" s="279">
        <f>SUMIFS('COGS Break up'!$E:$E,'COGS Break up'!$A:$A,'MIS Working 1'!$D380,'COGS Break up'!$D:$D,'MIS Working 1'!$AE$1)</f>
        <v>1.95</v>
      </c>
      <c r="AF380" s="280">
        <f>'MIS Working 1'!$AG380+'MIS Working 1'!$AH380+'MIS Working 1'!$AM380+'MIS Working 1'!$AL380</f>
        <v>427772.79999999993</v>
      </c>
      <c r="AG380" s="279">
        <f>'MIS Working 1'!$L380*'MIS Working 1'!$Y380</f>
        <v>420044.79999999993</v>
      </c>
      <c r="AH380" s="279">
        <f>'MIS Working 1'!$L380*'MIS Working 1'!$Z380</f>
        <v>3360</v>
      </c>
      <c r="AI380" s="279">
        <f t="shared" si="15"/>
        <v>112</v>
      </c>
      <c r="AJ380" s="279">
        <f t="shared" si="16"/>
        <v>896</v>
      </c>
      <c r="AK380" s="279">
        <f t="shared" si="17"/>
        <v>3360</v>
      </c>
      <c r="AL380" s="279">
        <f>'MIS Working 1'!$AD380*'MIS Working 1'!$L380</f>
        <v>0</v>
      </c>
      <c r="AM380" s="279">
        <f>'MIS Working 1'!$L380*'MIS Working 1'!$AE380+'MIS Working 1'!$AL380</f>
        <v>4368</v>
      </c>
    </row>
    <row r="381" spans="1:39" x14ac:dyDescent="0.3">
      <c r="A381" s="263" t="s">
        <v>479</v>
      </c>
      <c r="B381" s="264">
        <v>45965</v>
      </c>
      <c r="C381" s="265" t="s">
        <v>1858</v>
      </c>
      <c r="D381" s="265" t="s">
        <v>32</v>
      </c>
      <c r="E381" s="265" t="s">
        <v>33</v>
      </c>
      <c r="F381" s="265" t="s">
        <v>18</v>
      </c>
      <c r="G381" s="265" t="s">
        <v>34</v>
      </c>
      <c r="H381" s="265" t="s">
        <v>772</v>
      </c>
      <c r="I381" s="266">
        <v>708</v>
      </c>
      <c r="J381" s="267">
        <v>135206.76</v>
      </c>
      <c r="K381" s="266">
        <v>708</v>
      </c>
      <c r="L381" s="266">
        <v>708</v>
      </c>
      <c r="M381" s="264">
        <v>45965</v>
      </c>
      <c r="N381" s="267">
        <v>147094.07999999999</v>
      </c>
      <c r="O381" s="265" t="s">
        <v>21</v>
      </c>
      <c r="P381" s="265" t="s">
        <v>22</v>
      </c>
      <c r="Q381" s="265" t="s">
        <v>660</v>
      </c>
      <c r="R381" s="265" t="str">
        <f>VLOOKUP('MIS Working 1'!$G381,Master!$H$3:$I$8,2,0)</f>
        <v>Semi-Finished Goods</v>
      </c>
      <c r="S381" s="265" t="str">
        <f>VLOOKUP('MIS Working 1'!$H381,Master!B:C,2,0)</f>
        <v>SFG-GV5 Stator</v>
      </c>
      <c r="T381" s="265" t="str">
        <f>VLOOKUP('MIS Working 1'!$S381,Master!E:F,2,0)</f>
        <v>Sub Ass.-Mech Stator</v>
      </c>
      <c r="U381" s="268">
        <f>'MIS Working 1'!$N381-'MIS Working 1'!$AF381</f>
        <v>11887.320000000007</v>
      </c>
      <c r="V381" s="269">
        <f>'MIS Working 1'!$U381/'MIS Working 1'!$N381</f>
        <v>8.0814401232191038E-2</v>
      </c>
      <c r="W381" s="265">
        <f>'MIS Working 1'!$N381/'MIS Working 1'!$L381</f>
        <v>207.76</v>
      </c>
      <c r="X381" s="270">
        <f>SUM('MIS Working 1'!$Y381:$AE381)</f>
        <v>192.92</v>
      </c>
      <c r="Y381" s="270">
        <f>SUMIFS('COGS Break up'!$E:$E,'COGS Break up'!$A:$A,'MIS Working 1'!$D381,'COGS Break up'!$D:$D,'MIS Working 1'!$Y$1)</f>
        <v>187.51999999999998</v>
      </c>
      <c r="Z381" s="270">
        <f>SUMIFS('COGS Break up'!$E:$E,'COGS Break up'!$A:$A,'MIS Working 1'!$D381,'COGS Break up'!$D:$D,'MIS Working 1'!$Z$1)</f>
        <v>1.5</v>
      </c>
      <c r="AA381" s="270">
        <f>SUMIFS('COGS Break up'!E:E,'COGS Break up'!A:A,'MIS Working 1'!$D:$D,'COGS Break up'!C:C,'MIS Working 1'!$AA$1)</f>
        <v>0.05</v>
      </c>
      <c r="AB381" s="270">
        <f>SUMIFS('COGS Break up'!E:E,'COGS Break up'!A:A,'MIS Working 1'!$D:$D,'COGS Break up'!C:C,$AB$1)</f>
        <v>0.4</v>
      </c>
      <c r="AC381" s="270">
        <f>SUMIFS('COGS Break up'!E:E,'COGS Break up'!A:A,'MIS Working 1'!$D:$D,'COGS Break up'!C:C,$AC$1)</f>
        <v>1.5</v>
      </c>
      <c r="AD381" s="270">
        <f>SUMIFS('COGS Break up'!$E:$E,'COGS Break up'!$A:$A,'MIS Working 1'!$D381,'COGS Break up'!$D:$D,'MIS Working 1'!$AD$1)</f>
        <v>0</v>
      </c>
      <c r="AE381" s="270">
        <f>SUMIFS('COGS Break up'!$E:$E,'COGS Break up'!$A:$A,'MIS Working 1'!$D381,'COGS Break up'!$D:$D,'MIS Working 1'!$AE$1)</f>
        <v>1.95</v>
      </c>
      <c r="AF381" s="271">
        <f>'MIS Working 1'!$AG381+'MIS Working 1'!$AH381+'MIS Working 1'!$AM381+'MIS Working 1'!$AL381</f>
        <v>135206.75999999998</v>
      </c>
      <c r="AG381" s="270">
        <f>'MIS Working 1'!$L381*'MIS Working 1'!$Y381</f>
        <v>132764.15999999997</v>
      </c>
      <c r="AH381" s="270">
        <f>'MIS Working 1'!$L381*'MIS Working 1'!$Z381</f>
        <v>1062</v>
      </c>
      <c r="AI381" s="270">
        <f t="shared" si="15"/>
        <v>35.4</v>
      </c>
      <c r="AJ381" s="270">
        <f t="shared" si="16"/>
        <v>283.2</v>
      </c>
      <c r="AK381" s="270">
        <f t="shared" si="17"/>
        <v>1062</v>
      </c>
      <c r="AL381" s="270">
        <f>'MIS Working 1'!$AD381*'MIS Working 1'!$L381</f>
        <v>0</v>
      </c>
      <c r="AM381" s="270">
        <f>'MIS Working 1'!$L381*'MIS Working 1'!$AE381+'MIS Working 1'!$AL381</f>
        <v>1380.6</v>
      </c>
    </row>
    <row r="382" spans="1:39" x14ac:dyDescent="0.3">
      <c r="A382" s="272" t="s">
        <v>479</v>
      </c>
      <c r="B382" s="273">
        <v>45965</v>
      </c>
      <c r="C382" s="274" t="s">
        <v>1859</v>
      </c>
      <c r="D382" s="274" t="s">
        <v>40</v>
      </c>
      <c r="E382" s="274" t="s">
        <v>41</v>
      </c>
      <c r="F382" s="274" t="s">
        <v>18</v>
      </c>
      <c r="G382" s="274" t="s">
        <v>34</v>
      </c>
      <c r="H382" s="274" t="s">
        <v>772</v>
      </c>
      <c r="I382" s="275">
        <v>1840</v>
      </c>
      <c r="J382" s="276">
        <v>271712.8</v>
      </c>
      <c r="K382" s="275">
        <v>1840</v>
      </c>
      <c r="L382" s="275">
        <v>1840</v>
      </c>
      <c r="M382" s="273">
        <v>45965</v>
      </c>
      <c r="N382" s="276">
        <v>299809.59999999998</v>
      </c>
      <c r="O382" s="274" t="s">
        <v>21</v>
      </c>
      <c r="P382" s="274" t="s">
        <v>22</v>
      </c>
      <c r="Q382" s="274" t="s">
        <v>660</v>
      </c>
      <c r="R382" s="274" t="str">
        <f>VLOOKUP('MIS Working 1'!$G382,Master!$H$3:$I$8,2,0)</f>
        <v>Semi-Finished Goods</v>
      </c>
      <c r="S382" s="274" t="str">
        <f>VLOOKUP('MIS Working 1'!$H382,Master!B:C,2,0)</f>
        <v>SFG-GV5 Stator</v>
      </c>
      <c r="T382" s="274" t="str">
        <f>VLOOKUP('MIS Working 1'!$S382,Master!E:F,2,0)</f>
        <v>Sub Ass.-Mech Stator</v>
      </c>
      <c r="U382" s="277">
        <f>'MIS Working 1'!$N382-'MIS Working 1'!$AF382</f>
        <v>28096.800000000047</v>
      </c>
      <c r="V382" s="278">
        <f>'MIS Working 1'!$U382/'MIS Working 1'!$N382</f>
        <v>9.3715478090094673E-2</v>
      </c>
      <c r="W382" s="274">
        <f>'MIS Working 1'!$N382/'MIS Working 1'!$L382</f>
        <v>162.94</v>
      </c>
      <c r="X382" s="279">
        <f>SUM('MIS Working 1'!$Y382:$AE382)</f>
        <v>149.61999999999998</v>
      </c>
      <c r="Y382" s="279">
        <f>SUMIFS('COGS Break up'!$E:$E,'COGS Break up'!$A:$A,'MIS Working 1'!$D382,'COGS Break up'!$D:$D,'MIS Working 1'!$Y$1)</f>
        <v>144.21999999999997</v>
      </c>
      <c r="Z382" s="279">
        <f>SUMIFS('COGS Break up'!$E:$E,'COGS Break up'!$A:$A,'MIS Working 1'!$D382,'COGS Break up'!$D:$D,'MIS Working 1'!$Z$1)</f>
        <v>1.5</v>
      </c>
      <c r="AA382" s="279">
        <f>SUMIFS('COGS Break up'!E:E,'COGS Break up'!A:A,'MIS Working 1'!$D:$D,'COGS Break up'!C:C,'MIS Working 1'!$AA$1)</f>
        <v>0.05</v>
      </c>
      <c r="AB382" s="279">
        <f>SUMIFS('COGS Break up'!E:E,'COGS Break up'!A:A,'MIS Working 1'!$D:$D,'COGS Break up'!C:C,$AB$1)</f>
        <v>0.4</v>
      </c>
      <c r="AC382" s="279">
        <f>SUMIFS('COGS Break up'!E:E,'COGS Break up'!A:A,'MIS Working 1'!$D:$D,'COGS Break up'!C:C,$AC$1)</f>
        <v>1.5</v>
      </c>
      <c r="AD382" s="279">
        <f>SUMIFS('COGS Break up'!$E:$E,'COGS Break up'!$A:$A,'MIS Working 1'!$D382,'COGS Break up'!$D:$D,'MIS Working 1'!$AD$1)</f>
        <v>0</v>
      </c>
      <c r="AE382" s="279">
        <f>SUMIFS('COGS Break up'!$E:$E,'COGS Break up'!$A:$A,'MIS Working 1'!$D382,'COGS Break up'!$D:$D,'MIS Working 1'!$AE$1)</f>
        <v>1.95</v>
      </c>
      <c r="AF382" s="280">
        <f>'MIS Working 1'!$AG382+'MIS Working 1'!$AH382+'MIS Working 1'!$AM382+'MIS Working 1'!$AL382</f>
        <v>271712.79999999993</v>
      </c>
      <c r="AG382" s="279">
        <f>'MIS Working 1'!$L382*'MIS Working 1'!$Y382</f>
        <v>265364.79999999993</v>
      </c>
      <c r="AH382" s="279">
        <f>'MIS Working 1'!$L382*'MIS Working 1'!$Z382</f>
        <v>2760</v>
      </c>
      <c r="AI382" s="279">
        <f t="shared" si="15"/>
        <v>92</v>
      </c>
      <c r="AJ382" s="279">
        <f t="shared" si="16"/>
        <v>736</v>
      </c>
      <c r="AK382" s="279">
        <f t="shared" si="17"/>
        <v>2760</v>
      </c>
      <c r="AL382" s="279">
        <f>'MIS Working 1'!$AD382*'MIS Working 1'!$L382</f>
        <v>0</v>
      </c>
      <c r="AM382" s="279">
        <f>'MIS Working 1'!$L382*'MIS Working 1'!$AE382+'MIS Working 1'!$AL382</f>
        <v>3588</v>
      </c>
    </row>
    <row r="383" spans="1:39" x14ac:dyDescent="0.3">
      <c r="A383" s="263" t="s">
        <v>479</v>
      </c>
      <c r="B383" s="264">
        <v>45965</v>
      </c>
      <c r="C383" s="265" t="s">
        <v>1860</v>
      </c>
      <c r="D383" s="265" t="s">
        <v>40</v>
      </c>
      <c r="E383" s="265" t="s">
        <v>41</v>
      </c>
      <c r="F383" s="265" t="s">
        <v>18</v>
      </c>
      <c r="G383" s="265" t="s">
        <v>34</v>
      </c>
      <c r="H383" s="265" t="s">
        <v>772</v>
      </c>
      <c r="I383" s="266">
        <v>1120</v>
      </c>
      <c r="J383" s="267">
        <v>165390.39999999999</v>
      </c>
      <c r="K383" s="266">
        <v>1120</v>
      </c>
      <c r="L383" s="266">
        <v>1120</v>
      </c>
      <c r="M383" s="264">
        <v>45965</v>
      </c>
      <c r="N383" s="267">
        <v>182492.79999999999</v>
      </c>
      <c r="O383" s="265" t="s">
        <v>21</v>
      </c>
      <c r="P383" s="265" t="s">
        <v>22</v>
      </c>
      <c r="Q383" s="265" t="s">
        <v>660</v>
      </c>
      <c r="R383" s="265" t="str">
        <f>VLOOKUP('MIS Working 1'!$G383,Master!$H$3:$I$8,2,0)</f>
        <v>Semi-Finished Goods</v>
      </c>
      <c r="S383" s="265" t="str">
        <f>VLOOKUP('MIS Working 1'!$H383,Master!B:C,2,0)</f>
        <v>SFG-GV5 Stator</v>
      </c>
      <c r="T383" s="265" t="str">
        <f>VLOOKUP('MIS Working 1'!$S383,Master!E:F,2,0)</f>
        <v>Sub Ass.-Mech Stator</v>
      </c>
      <c r="U383" s="268">
        <f>'MIS Working 1'!$N383-'MIS Working 1'!$AF383</f>
        <v>17102.400000000023</v>
      </c>
      <c r="V383" s="269">
        <f>'MIS Working 1'!$U383/'MIS Working 1'!$N383</f>
        <v>9.3715478090094645E-2</v>
      </c>
      <c r="W383" s="265">
        <f>'MIS Working 1'!$N383/'MIS Working 1'!$L383</f>
        <v>162.94</v>
      </c>
      <c r="X383" s="270">
        <f>SUM('MIS Working 1'!$Y383:$AE383)</f>
        <v>149.61999999999998</v>
      </c>
      <c r="Y383" s="270">
        <f>SUMIFS('COGS Break up'!$E:$E,'COGS Break up'!$A:$A,'MIS Working 1'!$D383,'COGS Break up'!$D:$D,'MIS Working 1'!$Y$1)</f>
        <v>144.21999999999997</v>
      </c>
      <c r="Z383" s="270">
        <f>SUMIFS('COGS Break up'!$E:$E,'COGS Break up'!$A:$A,'MIS Working 1'!$D383,'COGS Break up'!$D:$D,'MIS Working 1'!$Z$1)</f>
        <v>1.5</v>
      </c>
      <c r="AA383" s="270">
        <f>SUMIFS('COGS Break up'!E:E,'COGS Break up'!A:A,'MIS Working 1'!$D:$D,'COGS Break up'!C:C,'MIS Working 1'!$AA$1)</f>
        <v>0.05</v>
      </c>
      <c r="AB383" s="270">
        <f>SUMIFS('COGS Break up'!E:E,'COGS Break up'!A:A,'MIS Working 1'!$D:$D,'COGS Break up'!C:C,$AB$1)</f>
        <v>0.4</v>
      </c>
      <c r="AC383" s="270">
        <f>SUMIFS('COGS Break up'!E:E,'COGS Break up'!A:A,'MIS Working 1'!$D:$D,'COGS Break up'!C:C,$AC$1)</f>
        <v>1.5</v>
      </c>
      <c r="AD383" s="270">
        <f>SUMIFS('COGS Break up'!$E:$E,'COGS Break up'!$A:$A,'MIS Working 1'!$D383,'COGS Break up'!$D:$D,'MIS Working 1'!$AD$1)</f>
        <v>0</v>
      </c>
      <c r="AE383" s="270">
        <f>SUMIFS('COGS Break up'!$E:$E,'COGS Break up'!$A:$A,'MIS Working 1'!$D383,'COGS Break up'!$D:$D,'MIS Working 1'!$AE$1)</f>
        <v>1.95</v>
      </c>
      <c r="AF383" s="271">
        <f>'MIS Working 1'!$AG383+'MIS Working 1'!$AH383+'MIS Working 1'!$AM383+'MIS Working 1'!$AL383</f>
        <v>165390.39999999997</v>
      </c>
      <c r="AG383" s="270">
        <f>'MIS Working 1'!$L383*'MIS Working 1'!$Y383</f>
        <v>161526.39999999997</v>
      </c>
      <c r="AH383" s="270">
        <f>'MIS Working 1'!$L383*'MIS Working 1'!$Z383</f>
        <v>1680</v>
      </c>
      <c r="AI383" s="270">
        <f t="shared" si="15"/>
        <v>56</v>
      </c>
      <c r="AJ383" s="270">
        <f t="shared" si="16"/>
        <v>448</v>
      </c>
      <c r="AK383" s="270">
        <f t="shared" si="17"/>
        <v>1680</v>
      </c>
      <c r="AL383" s="270">
        <f>'MIS Working 1'!$AD383*'MIS Working 1'!$L383</f>
        <v>0</v>
      </c>
      <c r="AM383" s="270">
        <f>'MIS Working 1'!$L383*'MIS Working 1'!$AE383+'MIS Working 1'!$AL383</f>
        <v>2184</v>
      </c>
    </row>
    <row r="384" spans="1:39" x14ac:dyDescent="0.3">
      <c r="A384" s="272" t="s">
        <v>479</v>
      </c>
      <c r="B384" s="273">
        <v>45965</v>
      </c>
      <c r="C384" s="274" t="s">
        <v>1861</v>
      </c>
      <c r="D384" s="274" t="s">
        <v>639</v>
      </c>
      <c r="E384" s="274" t="s">
        <v>640</v>
      </c>
      <c r="F384" s="274" t="s">
        <v>18</v>
      </c>
      <c r="G384" s="274" t="s">
        <v>19</v>
      </c>
      <c r="H384" s="274" t="s">
        <v>27</v>
      </c>
      <c r="I384" s="275">
        <v>175</v>
      </c>
      <c r="J384" s="276">
        <v>112880.25</v>
      </c>
      <c r="K384" s="275">
        <v>175</v>
      </c>
      <c r="L384" s="275">
        <v>175</v>
      </c>
      <c r="M384" s="273">
        <v>45965</v>
      </c>
      <c r="N384" s="276">
        <v>127498</v>
      </c>
      <c r="O384" s="274" t="s">
        <v>21</v>
      </c>
      <c r="P384" s="274" t="s">
        <v>22</v>
      </c>
      <c r="Q384" s="274" t="s">
        <v>660</v>
      </c>
      <c r="R384" s="274" t="str">
        <f>VLOOKUP('MIS Working 1'!$G384,Master!$H$3:$I$8,2,0)</f>
        <v>Finished Goods</v>
      </c>
      <c r="S384" s="274" t="str">
        <f>VLOOKUP('MIS Working 1'!$H384,Master!B:C,2,0)</f>
        <v>FG-PCB-CF</v>
      </c>
      <c r="T384" s="274" t="str">
        <f>VLOOKUP('MIS Working 1'!$S384,Master!E:F,2,0)</f>
        <v>FG-PCB-CF</v>
      </c>
      <c r="U384" s="277">
        <f>'MIS Working 1'!$N384-'MIS Working 1'!$AF384</f>
        <v>14542.500000000058</v>
      </c>
      <c r="V384" s="278">
        <f>'MIS Working 1'!$U384/'MIS Working 1'!$N384</f>
        <v>0.11406061271549403</v>
      </c>
      <c r="W384" s="274">
        <f>'MIS Working 1'!$N384/'MIS Working 1'!$L384</f>
        <v>728.56</v>
      </c>
      <c r="X384" s="279">
        <f>SUM('MIS Working 1'!$Y384:$AE384)</f>
        <v>677.50999999999965</v>
      </c>
      <c r="Y384" s="279">
        <f>SUMIFS('COGS Break up'!$E:$E,'COGS Break up'!$A:$A,'MIS Working 1'!$D384,'COGS Break up'!$D:$D,'MIS Working 1'!$Y$1)</f>
        <v>582.23999999999967</v>
      </c>
      <c r="Z384" s="279">
        <f>SUMIFS('COGS Break up'!$E:$E,'COGS Break up'!$A:$A,'MIS Working 1'!$D384,'COGS Break up'!$D:$D,'MIS Working 1'!$Z$1)</f>
        <v>29.88</v>
      </c>
      <c r="AA384" s="279">
        <f>SUMIFS('COGS Break up'!E:E,'COGS Break up'!A:A,'MIS Working 1'!$D:$D,'COGS Break up'!C:C,'MIS Working 1'!$AA$1)</f>
        <v>2.4500000000000002</v>
      </c>
      <c r="AB384" s="279">
        <f>SUMIFS('COGS Break up'!E:E,'COGS Break up'!A:A,'MIS Working 1'!$D:$D,'COGS Break up'!C:C,$AB$1)</f>
        <v>21.72</v>
      </c>
      <c r="AC384" s="279">
        <f>SUMIFS('COGS Break up'!E:E,'COGS Break up'!A:A,'MIS Working 1'!$D:$D,'COGS Break up'!C:C,$AC$1)</f>
        <v>8.31</v>
      </c>
      <c r="AD384" s="279">
        <f>SUMIFS('COGS Break up'!$E:$E,'COGS Break up'!$A:$A,'MIS Working 1'!$D384,'COGS Break up'!$D:$D,'MIS Working 1'!$AD$1)</f>
        <v>0.43</v>
      </c>
      <c r="AE384" s="279">
        <f>SUMIFS('COGS Break up'!$E:$E,'COGS Break up'!$A:$A,'MIS Working 1'!$D384,'COGS Break up'!$D:$D,'MIS Working 1'!$AE$1)</f>
        <v>32.480000000000004</v>
      </c>
      <c r="AF384" s="280">
        <f>'MIS Working 1'!$AG384+'MIS Working 1'!$AH384+'MIS Working 1'!$AM384+'MIS Working 1'!$AL384</f>
        <v>112955.49999999994</v>
      </c>
      <c r="AG384" s="279">
        <f>'MIS Working 1'!$L384*'MIS Working 1'!$Y384</f>
        <v>101891.99999999994</v>
      </c>
      <c r="AH384" s="279">
        <f>'MIS Working 1'!$L384*'MIS Working 1'!$Z384</f>
        <v>5229</v>
      </c>
      <c r="AI384" s="279">
        <f t="shared" si="15"/>
        <v>428.75000000000006</v>
      </c>
      <c r="AJ384" s="279">
        <f t="shared" si="16"/>
        <v>3801</v>
      </c>
      <c r="AK384" s="279">
        <f t="shared" si="17"/>
        <v>1454.25</v>
      </c>
      <c r="AL384" s="279">
        <f>'MIS Working 1'!$AD384*'MIS Working 1'!$L384</f>
        <v>75.25</v>
      </c>
      <c r="AM384" s="279">
        <f>'MIS Working 1'!$L384*'MIS Working 1'!$AE384+'MIS Working 1'!$AL384</f>
        <v>5759.2500000000009</v>
      </c>
    </row>
    <row r="385" spans="1:39" x14ac:dyDescent="0.3">
      <c r="A385" s="263" t="s">
        <v>479</v>
      </c>
      <c r="B385" s="264">
        <v>45965</v>
      </c>
      <c r="C385" s="265" t="s">
        <v>1862</v>
      </c>
      <c r="D385" s="265" t="s">
        <v>639</v>
      </c>
      <c r="E385" s="265" t="s">
        <v>640</v>
      </c>
      <c r="F385" s="265" t="s">
        <v>18</v>
      </c>
      <c r="G385" s="265" t="s">
        <v>19</v>
      </c>
      <c r="H385" s="265" t="s">
        <v>27</v>
      </c>
      <c r="I385" s="266">
        <v>175</v>
      </c>
      <c r="J385" s="267">
        <v>112880.25</v>
      </c>
      <c r="K385" s="266">
        <v>175</v>
      </c>
      <c r="L385" s="266">
        <v>175</v>
      </c>
      <c r="M385" s="264">
        <v>45965</v>
      </c>
      <c r="N385" s="267">
        <v>127498</v>
      </c>
      <c r="O385" s="265" t="s">
        <v>21</v>
      </c>
      <c r="P385" s="265" t="s">
        <v>22</v>
      </c>
      <c r="Q385" s="265" t="s">
        <v>660</v>
      </c>
      <c r="R385" s="265" t="str">
        <f>VLOOKUP('MIS Working 1'!$G385,Master!$H$3:$I$8,2,0)</f>
        <v>Finished Goods</v>
      </c>
      <c r="S385" s="265" t="str">
        <f>VLOOKUP('MIS Working 1'!$H385,Master!B:C,2,0)</f>
        <v>FG-PCB-CF</v>
      </c>
      <c r="T385" s="265" t="str">
        <f>VLOOKUP('MIS Working 1'!$S385,Master!E:F,2,0)</f>
        <v>FG-PCB-CF</v>
      </c>
      <c r="U385" s="268">
        <f>'MIS Working 1'!$N385-'MIS Working 1'!$AF385</f>
        <v>14542.500000000058</v>
      </c>
      <c r="V385" s="269">
        <f>'MIS Working 1'!$U385/'MIS Working 1'!$N385</f>
        <v>0.11406061271549403</v>
      </c>
      <c r="W385" s="265">
        <f>'MIS Working 1'!$N385/'MIS Working 1'!$L385</f>
        <v>728.56</v>
      </c>
      <c r="X385" s="270">
        <f>SUM('MIS Working 1'!$Y385:$AE385)</f>
        <v>677.50999999999965</v>
      </c>
      <c r="Y385" s="270">
        <f>SUMIFS('COGS Break up'!$E:$E,'COGS Break up'!$A:$A,'MIS Working 1'!$D385,'COGS Break up'!$D:$D,'MIS Working 1'!$Y$1)</f>
        <v>582.23999999999967</v>
      </c>
      <c r="Z385" s="270">
        <f>SUMIFS('COGS Break up'!$E:$E,'COGS Break up'!$A:$A,'MIS Working 1'!$D385,'COGS Break up'!$D:$D,'MIS Working 1'!$Z$1)</f>
        <v>29.88</v>
      </c>
      <c r="AA385" s="270">
        <f>SUMIFS('COGS Break up'!E:E,'COGS Break up'!A:A,'MIS Working 1'!$D:$D,'COGS Break up'!C:C,'MIS Working 1'!$AA$1)</f>
        <v>2.4500000000000002</v>
      </c>
      <c r="AB385" s="270">
        <f>SUMIFS('COGS Break up'!E:E,'COGS Break up'!A:A,'MIS Working 1'!$D:$D,'COGS Break up'!C:C,$AB$1)</f>
        <v>21.72</v>
      </c>
      <c r="AC385" s="270">
        <f>SUMIFS('COGS Break up'!E:E,'COGS Break up'!A:A,'MIS Working 1'!$D:$D,'COGS Break up'!C:C,$AC$1)</f>
        <v>8.31</v>
      </c>
      <c r="AD385" s="270">
        <f>SUMIFS('COGS Break up'!$E:$E,'COGS Break up'!$A:$A,'MIS Working 1'!$D385,'COGS Break up'!$D:$D,'MIS Working 1'!$AD$1)</f>
        <v>0.43</v>
      </c>
      <c r="AE385" s="270">
        <f>SUMIFS('COGS Break up'!$E:$E,'COGS Break up'!$A:$A,'MIS Working 1'!$D385,'COGS Break up'!$D:$D,'MIS Working 1'!$AE$1)</f>
        <v>32.480000000000004</v>
      </c>
      <c r="AF385" s="271">
        <f>'MIS Working 1'!$AG385+'MIS Working 1'!$AH385+'MIS Working 1'!$AM385+'MIS Working 1'!$AL385</f>
        <v>112955.49999999994</v>
      </c>
      <c r="AG385" s="270">
        <f>'MIS Working 1'!$L385*'MIS Working 1'!$Y385</f>
        <v>101891.99999999994</v>
      </c>
      <c r="AH385" s="270">
        <f>'MIS Working 1'!$L385*'MIS Working 1'!$Z385</f>
        <v>5229</v>
      </c>
      <c r="AI385" s="270">
        <f t="shared" si="15"/>
        <v>428.75000000000006</v>
      </c>
      <c r="AJ385" s="270">
        <f t="shared" si="16"/>
        <v>3801</v>
      </c>
      <c r="AK385" s="270">
        <f t="shared" si="17"/>
        <v>1454.25</v>
      </c>
      <c r="AL385" s="270">
        <f>'MIS Working 1'!$AD385*'MIS Working 1'!$L385</f>
        <v>75.25</v>
      </c>
      <c r="AM385" s="270">
        <f>'MIS Working 1'!$L385*'MIS Working 1'!$AE385+'MIS Working 1'!$AL385</f>
        <v>5759.2500000000009</v>
      </c>
    </row>
    <row r="386" spans="1:39" x14ac:dyDescent="0.3">
      <c r="A386" s="272" t="s">
        <v>479</v>
      </c>
      <c r="B386" s="273">
        <v>45965</v>
      </c>
      <c r="C386" s="274" t="s">
        <v>1863</v>
      </c>
      <c r="D386" s="274" t="s">
        <v>42</v>
      </c>
      <c r="E386" s="274" t="s">
        <v>43</v>
      </c>
      <c r="F386" s="274" t="s">
        <v>18</v>
      </c>
      <c r="G386" s="274" t="s">
        <v>19</v>
      </c>
      <c r="H386" s="274" t="s">
        <v>27</v>
      </c>
      <c r="I386" s="275">
        <v>1026</v>
      </c>
      <c r="J386" s="276">
        <v>335635.38</v>
      </c>
      <c r="K386" s="275">
        <v>1026</v>
      </c>
      <c r="L386" s="275">
        <v>1026</v>
      </c>
      <c r="M386" s="273">
        <v>45965</v>
      </c>
      <c r="N386" s="276">
        <v>349937.82</v>
      </c>
      <c r="O386" s="274" t="s">
        <v>21</v>
      </c>
      <c r="P386" s="274" t="s">
        <v>22</v>
      </c>
      <c r="Q386" s="274" t="s">
        <v>660</v>
      </c>
      <c r="R386" s="274" t="str">
        <f>VLOOKUP('MIS Working 1'!$G386,Master!$H$3:$I$8,2,0)</f>
        <v>Finished Goods</v>
      </c>
      <c r="S386" s="274" t="str">
        <f>VLOOKUP('MIS Working 1'!$H386,Master!B:C,2,0)</f>
        <v>FG-PCB-CF</v>
      </c>
      <c r="T386" s="274" t="str">
        <f>VLOOKUP('MIS Working 1'!$S386,Master!E:F,2,0)</f>
        <v>FG-PCB-CF</v>
      </c>
      <c r="U386" s="277">
        <f>'MIS Working 1'!$N386-'MIS Working 1'!$AF386</f>
        <v>14128.019999999902</v>
      </c>
      <c r="V386" s="278">
        <f>'MIS Working 1'!$U386/'MIS Working 1'!$N386</f>
        <v>4.037294397044567E-2</v>
      </c>
      <c r="W386" s="274">
        <f>'MIS Working 1'!$N386/'MIS Working 1'!$L386</f>
        <v>341.07</v>
      </c>
      <c r="X386" s="279">
        <f>SUM('MIS Working 1'!$Y386:$AE386)</f>
        <v>353.55</v>
      </c>
      <c r="Y386" s="279">
        <f>SUMIFS('COGS Break up'!$E:$E,'COGS Break up'!$A:$A,'MIS Working 1'!$D386,'COGS Break up'!$D:$D,'MIS Working 1'!$Y$1)</f>
        <v>278.14000000000004</v>
      </c>
      <c r="Z386" s="279">
        <f>SUMIFS('COGS Break up'!$E:$E,'COGS Break up'!$A:$A,'MIS Working 1'!$D386,'COGS Break up'!$D:$D,'MIS Working 1'!$Z$1)</f>
        <v>22.400000000000002</v>
      </c>
      <c r="AA386" s="279">
        <f>SUMIFS('COGS Break up'!E:E,'COGS Break up'!A:A,'MIS Working 1'!$D:$D,'COGS Break up'!C:C,'MIS Working 1'!$AA$1)</f>
        <v>1.8299999999999998</v>
      </c>
      <c r="AB386" s="279">
        <f>SUMIFS('COGS Break up'!E:E,'COGS Break up'!A:A,'MIS Working 1'!$D:$D,'COGS Break up'!C:C,$AB$1)</f>
        <v>16.28</v>
      </c>
      <c r="AC386" s="279">
        <f>SUMIFS('COGS Break up'!E:E,'COGS Break up'!A:A,'MIS Working 1'!$D:$D,'COGS Break up'!C:C,$AC$1)</f>
        <v>8.31</v>
      </c>
      <c r="AD386" s="279">
        <f>SUMIFS('COGS Break up'!$E:$E,'COGS Break up'!$A:$A,'MIS Working 1'!$D386,'COGS Break up'!$D:$D,'MIS Working 1'!$AD$1)</f>
        <v>0.17</v>
      </c>
      <c r="AE386" s="279">
        <f>SUMIFS('COGS Break up'!$E:$E,'COGS Break up'!$A:$A,'MIS Working 1'!$D386,'COGS Break up'!$D:$D,'MIS Working 1'!$AE$1)</f>
        <v>26.42</v>
      </c>
      <c r="AF386" s="280">
        <f>'MIS Working 1'!$AG386+'MIS Working 1'!$AH386+'MIS Working 1'!$AM386+'MIS Working 1'!$AL386</f>
        <v>335809.8000000001</v>
      </c>
      <c r="AG386" s="279">
        <f>'MIS Working 1'!$L386*'MIS Working 1'!$Y386</f>
        <v>285371.64000000007</v>
      </c>
      <c r="AH386" s="279">
        <f>'MIS Working 1'!$L386*'MIS Working 1'!$Z386</f>
        <v>22982.400000000001</v>
      </c>
      <c r="AI386" s="279">
        <f t="shared" ref="AI386:AI449" si="18">AA386*$L386</f>
        <v>1877.58</v>
      </c>
      <c r="AJ386" s="279">
        <f t="shared" ref="AJ386:AJ449" si="19">AB386*$L386</f>
        <v>16703.280000000002</v>
      </c>
      <c r="AK386" s="279">
        <f t="shared" ref="AK386:AK449" si="20">AC386*$L386</f>
        <v>8526.0600000000013</v>
      </c>
      <c r="AL386" s="279">
        <f>'MIS Working 1'!$AD386*'MIS Working 1'!$L386</f>
        <v>174.42000000000002</v>
      </c>
      <c r="AM386" s="279">
        <f>'MIS Working 1'!$L386*'MIS Working 1'!$AE386+'MIS Working 1'!$AL386</f>
        <v>27281.34</v>
      </c>
    </row>
    <row r="387" spans="1:39" x14ac:dyDescent="0.3">
      <c r="A387" s="263" t="s">
        <v>479</v>
      </c>
      <c r="B387" s="264">
        <v>45965</v>
      </c>
      <c r="C387" s="265" t="s">
        <v>1863</v>
      </c>
      <c r="D387" s="265" t="s">
        <v>378</v>
      </c>
      <c r="E387" s="265" t="s">
        <v>379</v>
      </c>
      <c r="F387" s="265" t="s">
        <v>18</v>
      </c>
      <c r="G387" s="265" t="s">
        <v>19</v>
      </c>
      <c r="H387" s="265" t="s">
        <v>27</v>
      </c>
      <c r="I387" s="266">
        <v>372</v>
      </c>
      <c r="J387" s="267">
        <v>120974.39999999999</v>
      </c>
      <c r="K387" s="266">
        <v>372</v>
      </c>
      <c r="L387" s="266">
        <v>372</v>
      </c>
      <c r="M387" s="264">
        <v>45965</v>
      </c>
      <c r="N387" s="267">
        <v>135244.32</v>
      </c>
      <c r="O387" s="265" t="s">
        <v>21</v>
      </c>
      <c r="P387" s="265" t="s">
        <v>22</v>
      </c>
      <c r="Q387" s="265" t="s">
        <v>660</v>
      </c>
      <c r="R387" s="265" t="str">
        <f>VLOOKUP('MIS Working 1'!$G387,Master!$H$3:$I$8,2,0)</f>
        <v>Finished Goods</v>
      </c>
      <c r="S387" s="265" t="str">
        <f>VLOOKUP('MIS Working 1'!$H387,Master!B:C,2,0)</f>
        <v>FG-PCB-CF</v>
      </c>
      <c r="T387" s="265" t="str">
        <f>VLOOKUP('MIS Working 1'!$S387,Master!E:F,2,0)</f>
        <v>FG-PCB-CF</v>
      </c>
      <c r="U387" s="268">
        <f>'MIS Working 1'!$N387-'MIS Working 1'!$AF387</f>
        <v>14173.200000000026</v>
      </c>
      <c r="V387" s="269">
        <f>'MIS Working 1'!$U387/'MIS Working 1'!$N387</f>
        <v>0.10479700737154821</v>
      </c>
      <c r="W387" s="265">
        <f>'MIS Working 1'!$N387/'MIS Working 1'!$L387</f>
        <v>363.56</v>
      </c>
      <c r="X387" s="270">
        <f>SUM('MIS Working 1'!$Y387:$AE387)</f>
        <v>354.76999999999992</v>
      </c>
      <c r="Y387" s="270">
        <f>SUMIFS('COGS Break up'!$E:$E,'COGS Break up'!$A:$A,'MIS Working 1'!$D387,'COGS Break up'!$D:$D,'MIS Working 1'!$Y$1)</f>
        <v>271.52999999999997</v>
      </c>
      <c r="Z387" s="270">
        <f>SUMIFS('COGS Break up'!$E:$E,'COGS Break up'!$A:$A,'MIS Working 1'!$D387,'COGS Break up'!$D:$D,'MIS Working 1'!$Z$1)</f>
        <v>23.84</v>
      </c>
      <c r="AA387" s="270">
        <f>SUMIFS('COGS Break up'!E:E,'COGS Break up'!A:A,'MIS Working 1'!$D:$D,'COGS Break up'!C:C,'MIS Working 1'!$AA$1)</f>
        <v>1.9500000000000002</v>
      </c>
      <c r="AB387" s="270">
        <f>SUMIFS('COGS Break up'!E:E,'COGS Break up'!A:A,'MIS Working 1'!$D:$D,'COGS Break up'!C:C,$AB$1)</f>
        <v>17.329999999999998</v>
      </c>
      <c r="AC387" s="270">
        <f>SUMIFS('COGS Break up'!E:E,'COGS Break up'!A:A,'MIS Working 1'!$D:$D,'COGS Break up'!C:C,$AC$1)</f>
        <v>10.29</v>
      </c>
      <c r="AD387" s="270">
        <f>SUMIFS('COGS Break up'!$E:$E,'COGS Break up'!$A:$A,'MIS Working 1'!$D387,'COGS Break up'!$D:$D,'MIS Working 1'!$AD$1)</f>
        <v>0.26</v>
      </c>
      <c r="AE387" s="270">
        <f>SUMIFS('COGS Break up'!$E:$E,'COGS Break up'!$A:$A,'MIS Working 1'!$D387,'COGS Break up'!$D:$D,'MIS Working 1'!$AE$1)</f>
        <v>29.569999999999997</v>
      </c>
      <c r="AF387" s="271">
        <f>'MIS Working 1'!$AG387+'MIS Working 1'!$AH387+'MIS Working 1'!$AM387+'MIS Working 1'!$AL387</f>
        <v>121071.11999999998</v>
      </c>
      <c r="AG387" s="270">
        <f>'MIS Working 1'!$L387*'MIS Working 1'!$Y387</f>
        <v>101009.15999999999</v>
      </c>
      <c r="AH387" s="270">
        <f>'MIS Working 1'!$L387*'MIS Working 1'!$Z387</f>
        <v>8868.48</v>
      </c>
      <c r="AI387" s="270">
        <f t="shared" si="18"/>
        <v>725.40000000000009</v>
      </c>
      <c r="AJ387" s="270">
        <f t="shared" si="19"/>
        <v>6446.7599999999993</v>
      </c>
      <c r="AK387" s="270">
        <f t="shared" si="20"/>
        <v>3827.8799999999997</v>
      </c>
      <c r="AL387" s="270">
        <f>'MIS Working 1'!$AD387*'MIS Working 1'!$L387</f>
        <v>96.72</v>
      </c>
      <c r="AM387" s="270">
        <f>'MIS Working 1'!$L387*'MIS Working 1'!$AE387+'MIS Working 1'!$AL387</f>
        <v>11096.759999999998</v>
      </c>
    </row>
    <row r="388" spans="1:39" x14ac:dyDescent="0.3">
      <c r="A388" s="272" t="s">
        <v>479</v>
      </c>
      <c r="B388" s="273">
        <v>45965</v>
      </c>
      <c r="C388" s="274" t="s">
        <v>1862</v>
      </c>
      <c r="D388" s="274" t="s">
        <v>378</v>
      </c>
      <c r="E388" s="274" t="s">
        <v>379</v>
      </c>
      <c r="F388" s="274" t="s">
        <v>18</v>
      </c>
      <c r="G388" s="274" t="s">
        <v>19</v>
      </c>
      <c r="H388" s="274" t="s">
        <v>27</v>
      </c>
      <c r="I388" s="275">
        <v>100</v>
      </c>
      <c r="J388" s="276">
        <v>32520</v>
      </c>
      <c r="K388" s="275">
        <v>100</v>
      </c>
      <c r="L388" s="275">
        <v>100</v>
      </c>
      <c r="M388" s="273">
        <v>45965</v>
      </c>
      <c r="N388" s="276">
        <v>36356</v>
      </c>
      <c r="O388" s="274" t="s">
        <v>21</v>
      </c>
      <c r="P388" s="274" t="s">
        <v>22</v>
      </c>
      <c r="Q388" s="274" t="s">
        <v>660</v>
      </c>
      <c r="R388" s="274" t="str">
        <f>VLOOKUP('MIS Working 1'!$G388,Master!$H$3:$I$8,2,0)</f>
        <v>Finished Goods</v>
      </c>
      <c r="S388" s="274" t="str">
        <f>VLOOKUP('MIS Working 1'!$H388,Master!B:C,2,0)</f>
        <v>FG-PCB-CF</v>
      </c>
      <c r="T388" s="274" t="str">
        <f>VLOOKUP('MIS Working 1'!$S388,Master!E:F,2,0)</f>
        <v>FG-PCB-CF</v>
      </c>
      <c r="U388" s="277">
        <f>'MIS Working 1'!$N388-'MIS Working 1'!$AF388</f>
        <v>3810.0000000000036</v>
      </c>
      <c r="V388" s="278">
        <f>'MIS Working 1'!$U388/'MIS Working 1'!$N388</f>
        <v>0.10479700737154812</v>
      </c>
      <c r="W388" s="274">
        <f>'MIS Working 1'!$N388/'MIS Working 1'!$L388</f>
        <v>363.56</v>
      </c>
      <c r="X388" s="279">
        <f>SUM('MIS Working 1'!$Y388:$AE388)</f>
        <v>354.76999999999992</v>
      </c>
      <c r="Y388" s="279">
        <f>SUMIFS('COGS Break up'!$E:$E,'COGS Break up'!$A:$A,'MIS Working 1'!$D388,'COGS Break up'!$D:$D,'MIS Working 1'!$Y$1)</f>
        <v>271.52999999999997</v>
      </c>
      <c r="Z388" s="279">
        <f>SUMIFS('COGS Break up'!$E:$E,'COGS Break up'!$A:$A,'MIS Working 1'!$D388,'COGS Break up'!$D:$D,'MIS Working 1'!$Z$1)</f>
        <v>23.84</v>
      </c>
      <c r="AA388" s="279">
        <f>SUMIFS('COGS Break up'!E:E,'COGS Break up'!A:A,'MIS Working 1'!$D:$D,'COGS Break up'!C:C,'MIS Working 1'!$AA$1)</f>
        <v>1.9500000000000002</v>
      </c>
      <c r="AB388" s="279">
        <f>SUMIFS('COGS Break up'!E:E,'COGS Break up'!A:A,'MIS Working 1'!$D:$D,'COGS Break up'!C:C,$AB$1)</f>
        <v>17.329999999999998</v>
      </c>
      <c r="AC388" s="279">
        <f>SUMIFS('COGS Break up'!E:E,'COGS Break up'!A:A,'MIS Working 1'!$D:$D,'COGS Break up'!C:C,$AC$1)</f>
        <v>10.29</v>
      </c>
      <c r="AD388" s="279">
        <f>SUMIFS('COGS Break up'!$E:$E,'COGS Break up'!$A:$A,'MIS Working 1'!$D388,'COGS Break up'!$D:$D,'MIS Working 1'!$AD$1)</f>
        <v>0.26</v>
      </c>
      <c r="AE388" s="279">
        <f>SUMIFS('COGS Break up'!$E:$E,'COGS Break up'!$A:$A,'MIS Working 1'!$D388,'COGS Break up'!$D:$D,'MIS Working 1'!$AE$1)</f>
        <v>29.569999999999997</v>
      </c>
      <c r="AF388" s="280">
        <f>'MIS Working 1'!$AG388+'MIS Working 1'!$AH388+'MIS Working 1'!$AM388+'MIS Working 1'!$AL388</f>
        <v>32545.999999999996</v>
      </c>
      <c r="AG388" s="279">
        <f>'MIS Working 1'!$L388*'MIS Working 1'!$Y388</f>
        <v>27152.999999999996</v>
      </c>
      <c r="AH388" s="279">
        <f>'MIS Working 1'!$L388*'MIS Working 1'!$Z388</f>
        <v>2384</v>
      </c>
      <c r="AI388" s="279">
        <f t="shared" si="18"/>
        <v>195.00000000000003</v>
      </c>
      <c r="AJ388" s="279">
        <f t="shared" si="19"/>
        <v>1732.9999999999998</v>
      </c>
      <c r="AK388" s="279">
        <f t="shared" si="20"/>
        <v>1029</v>
      </c>
      <c r="AL388" s="279">
        <f>'MIS Working 1'!$AD388*'MIS Working 1'!$L388</f>
        <v>26</v>
      </c>
      <c r="AM388" s="279">
        <f>'MIS Working 1'!$L388*'MIS Working 1'!$AE388+'MIS Working 1'!$AL388</f>
        <v>2982.9999999999995</v>
      </c>
    </row>
    <row r="389" spans="1:39" x14ac:dyDescent="0.3">
      <c r="A389" s="263" t="s">
        <v>479</v>
      </c>
      <c r="B389" s="264">
        <v>45965</v>
      </c>
      <c r="C389" s="265" t="s">
        <v>1863</v>
      </c>
      <c r="D389" s="265" t="s">
        <v>23</v>
      </c>
      <c r="E389" s="265" t="s">
        <v>24</v>
      </c>
      <c r="F389" s="265" t="s">
        <v>18</v>
      </c>
      <c r="G389" s="265" t="s">
        <v>19</v>
      </c>
      <c r="H389" s="265" t="s">
        <v>27</v>
      </c>
      <c r="I389" s="266">
        <v>1225</v>
      </c>
      <c r="J389" s="267">
        <v>516227.25</v>
      </c>
      <c r="K389" s="266">
        <v>1225</v>
      </c>
      <c r="L389" s="266">
        <v>1225</v>
      </c>
      <c r="M389" s="264">
        <v>45965</v>
      </c>
      <c r="N389" s="267">
        <v>591871</v>
      </c>
      <c r="O389" s="265" t="s">
        <v>21</v>
      </c>
      <c r="P389" s="265" t="s">
        <v>22</v>
      </c>
      <c r="Q389" s="265" t="s">
        <v>660</v>
      </c>
      <c r="R389" s="265" t="str">
        <f>VLOOKUP('MIS Working 1'!$G389,Master!$H$3:$I$8,2,0)</f>
        <v>Finished Goods</v>
      </c>
      <c r="S389" s="265" t="str">
        <f>VLOOKUP('MIS Working 1'!$H389,Master!B:C,2,0)</f>
        <v>FG-PCB-CF</v>
      </c>
      <c r="T389" s="265" t="str">
        <f>VLOOKUP('MIS Working 1'!$S389,Master!E:F,2,0)</f>
        <v>FG-PCB-CF</v>
      </c>
      <c r="U389" s="268">
        <f>'MIS Working 1'!$N389-'MIS Working 1'!$AF389</f>
        <v>75325.250000000175</v>
      </c>
      <c r="V389" s="269">
        <f>'MIS Working 1'!$U389/'MIS Working 1'!$N389</f>
        <v>0.12726632999420512</v>
      </c>
      <c r="W389" s="265">
        <f>'MIS Working 1'!$N389/'MIS Working 1'!$L389</f>
        <v>483.16</v>
      </c>
      <c r="X389" s="270">
        <f>SUM('MIS Working 1'!$Y389:$AE389)</f>
        <v>447.50999999999988</v>
      </c>
      <c r="Y389" s="270">
        <f>SUMIFS('COGS Break up'!$E:$E,'COGS Break up'!$A:$A,'MIS Working 1'!$D389,'COGS Break up'!$D:$D,'MIS Working 1'!$Y$1)</f>
        <v>373.04999999999984</v>
      </c>
      <c r="Z389" s="270">
        <f>SUMIFS('COGS Break up'!$E:$E,'COGS Break up'!$A:$A,'MIS Working 1'!$D389,'COGS Break up'!$D:$D,'MIS Working 1'!$Z$1)</f>
        <v>22</v>
      </c>
      <c r="AA389" s="270">
        <f>SUMIFS('COGS Break up'!E:E,'COGS Break up'!A:A,'MIS Working 1'!$D:$D,'COGS Break up'!C:C,'MIS Working 1'!$AA$1)</f>
        <v>1.8</v>
      </c>
      <c r="AB389" s="270">
        <f>SUMIFS('COGS Break up'!E:E,'COGS Break up'!A:A,'MIS Working 1'!$D:$D,'COGS Break up'!C:C,$AB$1)</f>
        <v>15.99</v>
      </c>
      <c r="AC389" s="270">
        <f>SUMIFS('COGS Break up'!E:E,'COGS Break up'!A:A,'MIS Working 1'!$D:$D,'COGS Break up'!C:C,$AC$1)</f>
        <v>8.31</v>
      </c>
      <c r="AD389" s="270">
        <f>SUMIFS('COGS Break up'!$E:$E,'COGS Break up'!$A:$A,'MIS Working 1'!$D389,'COGS Break up'!$D:$D,'MIS Working 1'!$AD$1)</f>
        <v>0.26</v>
      </c>
      <c r="AE389" s="270">
        <f>SUMIFS('COGS Break up'!$E:$E,'COGS Break up'!$A:$A,'MIS Working 1'!$D389,'COGS Break up'!$D:$D,'MIS Working 1'!$AE$1)</f>
        <v>26.1</v>
      </c>
      <c r="AF389" s="271">
        <f>'MIS Working 1'!$AG389+'MIS Working 1'!$AH389+'MIS Working 1'!$AM389+'MIS Working 1'!$AL389</f>
        <v>516545.74999999983</v>
      </c>
      <c r="AG389" s="270">
        <f>'MIS Working 1'!$L389*'MIS Working 1'!$Y389</f>
        <v>456986.24999999983</v>
      </c>
      <c r="AH389" s="270">
        <f>'MIS Working 1'!$L389*'MIS Working 1'!$Z389</f>
        <v>26950</v>
      </c>
      <c r="AI389" s="270">
        <f t="shared" si="18"/>
        <v>2205</v>
      </c>
      <c r="AJ389" s="270">
        <f t="shared" si="19"/>
        <v>19587.75</v>
      </c>
      <c r="AK389" s="270">
        <f t="shared" si="20"/>
        <v>10179.75</v>
      </c>
      <c r="AL389" s="270">
        <f>'MIS Working 1'!$AD389*'MIS Working 1'!$L389</f>
        <v>318.5</v>
      </c>
      <c r="AM389" s="270">
        <f>'MIS Working 1'!$L389*'MIS Working 1'!$AE389+'MIS Working 1'!$AL389</f>
        <v>32291</v>
      </c>
    </row>
    <row r="390" spans="1:39" x14ac:dyDescent="0.3">
      <c r="A390" s="272" t="s">
        <v>479</v>
      </c>
      <c r="B390" s="273">
        <v>45965</v>
      </c>
      <c r="C390" s="274" t="s">
        <v>1863</v>
      </c>
      <c r="D390" s="274" t="s">
        <v>1184</v>
      </c>
      <c r="E390" s="274" t="s">
        <v>1185</v>
      </c>
      <c r="F390" s="274" t="s">
        <v>18</v>
      </c>
      <c r="G390" s="274" t="s">
        <v>19</v>
      </c>
      <c r="H390" s="274" t="s">
        <v>27</v>
      </c>
      <c r="I390" s="275">
        <v>210</v>
      </c>
      <c r="J390" s="276">
        <v>88489.8</v>
      </c>
      <c r="K390" s="275">
        <v>210</v>
      </c>
      <c r="L390" s="275">
        <v>210</v>
      </c>
      <c r="M390" s="273">
        <v>45965</v>
      </c>
      <c r="N390" s="276">
        <v>101463.6</v>
      </c>
      <c r="O390" s="274" t="s">
        <v>21</v>
      </c>
      <c r="P390" s="274" t="s">
        <v>22</v>
      </c>
      <c r="Q390" s="274" t="s">
        <v>660</v>
      </c>
      <c r="R390" s="274" t="str">
        <f>VLOOKUP('MIS Working 1'!$G390,Master!$H$3:$I$8,2,0)</f>
        <v>Finished Goods</v>
      </c>
      <c r="S390" s="274" t="str">
        <f>VLOOKUP('MIS Working 1'!$H390,Master!B:C,2,0)</f>
        <v>FG-PCB-CF</v>
      </c>
      <c r="T390" s="274" t="str">
        <f>VLOOKUP('MIS Working 1'!$S390,Master!E:F,2,0)</f>
        <v>FG-PCB-CF</v>
      </c>
      <c r="U390" s="277">
        <f>'MIS Working 1'!$N390-'MIS Working 1'!$AF390</f>
        <v>12919.200000000041</v>
      </c>
      <c r="V390" s="278">
        <f>'MIS Working 1'!$U390/'MIS Working 1'!$N390</f>
        <v>0.12732842122692314</v>
      </c>
      <c r="W390" s="274">
        <f>'MIS Working 1'!$N390/'MIS Working 1'!$L390</f>
        <v>483.16</v>
      </c>
      <c r="X390" s="279">
        <f>SUM('MIS Working 1'!$Y390:$AE390)</f>
        <v>447.47999999999985</v>
      </c>
      <c r="Y390" s="279">
        <f>SUMIFS('COGS Break up'!$E:$E,'COGS Break up'!$A:$A,'MIS Working 1'!$D390,'COGS Break up'!$D:$D,'MIS Working 1'!$Y$1)</f>
        <v>373.01999999999981</v>
      </c>
      <c r="Z390" s="279">
        <f>SUMIFS('COGS Break up'!$E:$E,'COGS Break up'!$A:$A,'MIS Working 1'!$D390,'COGS Break up'!$D:$D,'MIS Working 1'!$Z$1)</f>
        <v>22</v>
      </c>
      <c r="AA390" s="279">
        <f>SUMIFS('COGS Break up'!E:E,'COGS Break up'!A:A,'MIS Working 1'!$D:$D,'COGS Break up'!C:C,'MIS Working 1'!$AA$1)</f>
        <v>1.8</v>
      </c>
      <c r="AB390" s="279">
        <f>SUMIFS('COGS Break up'!E:E,'COGS Break up'!A:A,'MIS Working 1'!$D:$D,'COGS Break up'!C:C,$AB$1)</f>
        <v>15.99</v>
      </c>
      <c r="AC390" s="279">
        <f>SUMIFS('COGS Break up'!E:E,'COGS Break up'!A:A,'MIS Working 1'!$D:$D,'COGS Break up'!C:C,$AC$1)</f>
        <v>8.31</v>
      </c>
      <c r="AD390" s="279">
        <f>SUMIFS('COGS Break up'!$E:$E,'COGS Break up'!$A:$A,'MIS Working 1'!$D390,'COGS Break up'!$D:$D,'MIS Working 1'!$AD$1)</f>
        <v>0.26</v>
      </c>
      <c r="AE390" s="279">
        <f>SUMIFS('COGS Break up'!$E:$E,'COGS Break up'!$A:$A,'MIS Working 1'!$D390,'COGS Break up'!$D:$D,'MIS Working 1'!$AE$1)</f>
        <v>26.1</v>
      </c>
      <c r="AF390" s="280">
        <f>'MIS Working 1'!$AG390+'MIS Working 1'!$AH390+'MIS Working 1'!$AM390+'MIS Working 1'!$AL390</f>
        <v>88544.399999999965</v>
      </c>
      <c r="AG390" s="279">
        <f>'MIS Working 1'!$L390*'MIS Working 1'!$Y390</f>
        <v>78334.199999999953</v>
      </c>
      <c r="AH390" s="279">
        <f>'MIS Working 1'!$L390*'MIS Working 1'!$Z390</f>
        <v>4620</v>
      </c>
      <c r="AI390" s="279">
        <f t="shared" si="18"/>
        <v>378</v>
      </c>
      <c r="AJ390" s="279">
        <f t="shared" si="19"/>
        <v>3357.9</v>
      </c>
      <c r="AK390" s="279">
        <f t="shared" si="20"/>
        <v>1745.1000000000001</v>
      </c>
      <c r="AL390" s="279">
        <f>'MIS Working 1'!$AD390*'MIS Working 1'!$L390</f>
        <v>54.6</v>
      </c>
      <c r="AM390" s="279">
        <f>'MIS Working 1'!$L390*'MIS Working 1'!$AE390+'MIS Working 1'!$AL390</f>
        <v>5535.6</v>
      </c>
    </row>
    <row r="391" spans="1:39" x14ac:dyDescent="0.3">
      <c r="A391" s="263" t="s">
        <v>479</v>
      </c>
      <c r="B391" s="264">
        <v>45965</v>
      </c>
      <c r="C391" s="265" t="s">
        <v>1864</v>
      </c>
      <c r="D391" s="265" t="s">
        <v>1184</v>
      </c>
      <c r="E391" s="265" t="s">
        <v>1185</v>
      </c>
      <c r="F391" s="265" t="s">
        <v>18</v>
      </c>
      <c r="G391" s="265" t="s">
        <v>19</v>
      </c>
      <c r="H391" s="265" t="s">
        <v>27</v>
      </c>
      <c r="I391" s="266">
        <v>210</v>
      </c>
      <c r="J391" s="267">
        <v>88489.8</v>
      </c>
      <c r="K391" s="266">
        <v>210</v>
      </c>
      <c r="L391" s="266">
        <v>210</v>
      </c>
      <c r="M391" s="264">
        <v>45965</v>
      </c>
      <c r="N391" s="267">
        <v>101463.6</v>
      </c>
      <c r="O391" s="265" t="s">
        <v>21</v>
      </c>
      <c r="P391" s="265" t="s">
        <v>22</v>
      </c>
      <c r="Q391" s="265" t="s">
        <v>660</v>
      </c>
      <c r="R391" s="265" t="str">
        <f>VLOOKUP('MIS Working 1'!$G391,Master!$H$3:$I$8,2,0)</f>
        <v>Finished Goods</v>
      </c>
      <c r="S391" s="265" t="str">
        <f>VLOOKUP('MIS Working 1'!$H391,Master!B:C,2,0)</f>
        <v>FG-PCB-CF</v>
      </c>
      <c r="T391" s="265" t="str">
        <f>VLOOKUP('MIS Working 1'!$S391,Master!E:F,2,0)</f>
        <v>FG-PCB-CF</v>
      </c>
      <c r="U391" s="268">
        <f>'MIS Working 1'!$N391-'MIS Working 1'!$AF391</f>
        <v>12919.200000000041</v>
      </c>
      <c r="V391" s="269">
        <f>'MIS Working 1'!$U391/'MIS Working 1'!$N391</f>
        <v>0.12732842122692314</v>
      </c>
      <c r="W391" s="265">
        <f>'MIS Working 1'!$N391/'MIS Working 1'!$L391</f>
        <v>483.16</v>
      </c>
      <c r="X391" s="270">
        <f>SUM('MIS Working 1'!$Y391:$AE391)</f>
        <v>447.47999999999985</v>
      </c>
      <c r="Y391" s="270">
        <f>SUMIFS('COGS Break up'!$E:$E,'COGS Break up'!$A:$A,'MIS Working 1'!$D391,'COGS Break up'!$D:$D,'MIS Working 1'!$Y$1)</f>
        <v>373.01999999999981</v>
      </c>
      <c r="Z391" s="270">
        <f>SUMIFS('COGS Break up'!$E:$E,'COGS Break up'!$A:$A,'MIS Working 1'!$D391,'COGS Break up'!$D:$D,'MIS Working 1'!$Z$1)</f>
        <v>22</v>
      </c>
      <c r="AA391" s="270">
        <f>SUMIFS('COGS Break up'!E:E,'COGS Break up'!A:A,'MIS Working 1'!$D:$D,'COGS Break up'!C:C,'MIS Working 1'!$AA$1)</f>
        <v>1.8</v>
      </c>
      <c r="AB391" s="270">
        <f>SUMIFS('COGS Break up'!E:E,'COGS Break up'!A:A,'MIS Working 1'!$D:$D,'COGS Break up'!C:C,$AB$1)</f>
        <v>15.99</v>
      </c>
      <c r="AC391" s="270">
        <f>SUMIFS('COGS Break up'!E:E,'COGS Break up'!A:A,'MIS Working 1'!$D:$D,'COGS Break up'!C:C,$AC$1)</f>
        <v>8.31</v>
      </c>
      <c r="AD391" s="270">
        <f>SUMIFS('COGS Break up'!$E:$E,'COGS Break up'!$A:$A,'MIS Working 1'!$D391,'COGS Break up'!$D:$D,'MIS Working 1'!$AD$1)</f>
        <v>0.26</v>
      </c>
      <c r="AE391" s="270">
        <f>SUMIFS('COGS Break up'!$E:$E,'COGS Break up'!$A:$A,'MIS Working 1'!$D391,'COGS Break up'!$D:$D,'MIS Working 1'!$AE$1)</f>
        <v>26.1</v>
      </c>
      <c r="AF391" s="271">
        <f>'MIS Working 1'!$AG391+'MIS Working 1'!$AH391+'MIS Working 1'!$AM391+'MIS Working 1'!$AL391</f>
        <v>88544.399999999965</v>
      </c>
      <c r="AG391" s="270">
        <f>'MIS Working 1'!$L391*'MIS Working 1'!$Y391</f>
        <v>78334.199999999953</v>
      </c>
      <c r="AH391" s="270">
        <f>'MIS Working 1'!$L391*'MIS Working 1'!$Z391</f>
        <v>4620</v>
      </c>
      <c r="AI391" s="270">
        <f t="shared" si="18"/>
        <v>378</v>
      </c>
      <c r="AJ391" s="270">
        <f t="shared" si="19"/>
        <v>3357.9</v>
      </c>
      <c r="AK391" s="270">
        <f t="shared" si="20"/>
        <v>1745.1000000000001</v>
      </c>
      <c r="AL391" s="270">
        <f>'MIS Working 1'!$AD391*'MIS Working 1'!$L391</f>
        <v>54.6</v>
      </c>
      <c r="AM391" s="270">
        <f>'MIS Working 1'!$L391*'MIS Working 1'!$AE391+'MIS Working 1'!$AL391</f>
        <v>5535.6</v>
      </c>
    </row>
    <row r="392" spans="1:39" x14ac:dyDescent="0.3">
      <c r="A392" s="272" t="s">
        <v>479</v>
      </c>
      <c r="B392" s="273">
        <v>45965</v>
      </c>
      <c r="C392" s="274" t="s">
        <v>1863</v>
      </c>
      <c r="D392" s="274" t="s">
        <v>38</v>
      </c>
      <c r="E392" s="274" t="s">
        <v>39</v>
      </c>
      <c r="F392" s="274" t="s">
        <v>18</v>
      </c>
      <c r="G392" s="274" t="s">
        <v>19</v>
      </c>
      <c r="H392" s="274" t="s">
        <v>27</v>
      </c>
      <c r="I392" s="275">
        <v>1745</v>
      </c>
      <c r="J392" s="276">
        <v>570841.85</v>
      </c>
      <c r="K392" s="275">
        <v>1745</v>
      </c>
      <c r="L392" s="275">
        <v>1745</v>
      </c>
      <c r="M392" s="273">
        <v>45965</v>
      </c>
      <c r="N392" s="276">
        <v>595167.15</v>
      </c>
      <c r="O392" s="274" t="s">
        <v>21</v>
      </c>
      <c r="P392" s="274" t="s">
        <v>22</v>
      </c>
      <c r="Q392" s="274" t="s">
        <v>660</v>
      </c>
      <c r="R392" s="274" t="str">
        <f>VLOOKUP('MIS Working 1'!$G392,Master!$H$3:$I$8,2,0)</f>
        <v>Finished Goods</v>
      </c>
      <c r="S392" s="274" t="str">
        <f>VLOOKUP('MIS Working 1'!$H392,Master!B:C,2,0)</f>
        <v>FG-PCB-CF</v>
      </c>
      <c r="T392" s="274" t="str">
        <f>VLOOKUP('MIS Working 1'!$S392,Master!E:F,2,0)</f>
        <v>FG-PCB-CF</v>
      </c>
      <c r="U392" s="277">
        <f>'MIS Working 1'!$N392-'MIS Working 1'!$AF392</f>
        <v>24028.649999999907</v>
      </c>
      <c r="V392" s="278">
        <f>'MIS Working 1'!$U392/'MIS Working 1'!$N392</f>
        <v>4.0372943970445795E-2</v>
      </c>
      <c r="W392" s="274">
        <f>'MIS Working 1'!$N392/'MIS Working 1'!$L392</f>
        <v>341.07</v>
      </c>
      <c r="X392" s="279">
        <f>SUM('MIS Working 1'!$Y392:$AE392)</f>
        <v>353.55</v>
      </c>
      <c r="Y392" s="279">
        <f>SUMIFS('COGS Break up'!$E:$E,'COGS Break up'!$A:$A,'MIS Working 1'!$D392,'COGS Break up'!$D:$D,'MIS Working 1'!$Y$1)</f>
        <v>278.14</v>
      </c>
      <c r="Z392" s="279">
        <f>SUMIFS('COGS Break up'!$E:$E,'COGS Break up'!$A:$A,'MIS Working 1'!$D392,'COGS Break up'!$D:$D,'MIS Working 1'!$Z$1)</f>
        <v>22.400000000000002</v>
      </c>
      <c r="AA392" s="279">
        <f>SUMIFS('COGS Break up'!E:E,'COGS Break up'!A:A,'MIS Working 1'!$D:$D,'COGS Break up'!C:C,'MIS Working 1'!$AA$1)</f>
        <v>1.8299999999999998</v>
      </c>
      <c r="AB392" s="279">
        <f>SUMIFS('COGS Break up'!E:E,'COGS Break up'!A:A,'MIS Working 1'!$D:$D,'COGS Break up'!C:C,$AB$1)</f>
        <v>16.28</v>
      </c>
      <c r="AC392" s="279">
        <f>SUMIFS('COGS Break up'!E:E,'COGS Break up'!A:A,'MIS Working 1'!$D:$D,'COGS Break up'!C:C,$AC$1)</f>
        <v>8.31</v>
      </c>
      <c r="AD392" s="279">
        <f>SUMIFS('COGS Break up'!$E:$E,'COGS Break up'!$A:$A,'MIS Working 1'!$D392,'COGS Break up'!$D:$D,'MIS Working 1'!$AD$1)</f>
        <v>0.17</v>
      </c>
      <c r="AE392" s="279">
        <f>SUMIFS('COGS Break up'!$E:$E,'COGS Break up'!$A:$A,'MIS Working 1'!$D392,'COGS Break up'!$D:$D,'MIS Working 1'!$AE$1)</f>
        <v>26.42</v>
      </c>
      <c r="AF392" s="280">
        <f>'MIS Working 1'!$AG392+'MIS Working 1'!$AH392+'MIS Working 1'!$AM392+'MIS Working 1'!$AL392</f>
        <v>571138.50000000012</v>
      </c>
      <c r="AG392" s="279">
        <f>'MIS Working 1'!$L392*'MIS Working 1'!$Y392</f>
        <v>485354.3</v>
      </c>
      <c r="AH392" s="279">
        <f>'MIS Working 1'!$L392*'MIS Working 1'!$Z392</f>
        <v>39088.000000000007</v>
      </c>
      <c r="AI392" s="279">
        <f t="shared" si="18"/>
        <v>3193.35</v>
      </c>
      <c r="AJ392" s="279">
        <f t="shared" si="19"/>
        <v>28408.600000000002</v>
      </c>
      <c r="AK392" s="279">
        <f t="shared" si="20"/>
        <v>14500.95</v>
      </c>
      <c r="AL392" s="279">
        <f>'MIS Working 1'!$AD392*'MIS Working 1'!$L392</f>
        <v>296.65000000000003</v>
      </c>
      <c r="AM392" s="279">
        <f>'MIS Working 1'!$L392*'MIS Working 1'!$AE392+'MIS Working 1'!$AL392</f>
        <v>46399.55</v>
      </c>
    </row>
    <row r="393" spans="1:39" x14ac:dyDescent="0.3">
      <c r="A393" s="263" t="s">
        <v>479</v>
      </c>
      <c r="B393" s="264">
        <v>45965</v>
      </c>
      <c r="C393" s="265" t="s">
        <v>1862</v>
      </c>
      <c r="D393" s="265" t="s">
        <v>38</v>
      </c>
      <c r="E393" s="265" t="s">
        <v>39</v>
      </c>
      <c r="F393" s="265" t="s">
        <v>18</v>
      </c>
      <c r="G393" s="265" t="s">
        <v>19</v>
      </c>
      <c r="H393" s="265" t="s">
        <v>27</v>
      </c>
      <c r="I393" s="266">
        <v>900</v>
      </c>
      <c r="J393" s="267">
        <v>294417</v>
      </c>
      <c r="K393" s="266">
        <v>900</v>
      </c>
      <c r="L393" s="266">
        <v>900</v>
      </c>
      <c r="M393" s="264">
        <v>45965</v>
      </c>
      <c r="N393" s="267">
        <v>306963</v>
      </c>
      <c r="O393" s="265" t="s">
        <v>21</v>
      </c>
      <c r="P393" s="265" t="s">
        <v>22</v>
      </c>
      <c r="Q393" s="265" t="s">
        <v>660</v>
      </c>
      <c r="R393" s="265" t="str">
        <f>VLOOKUP('MIS Working 1'!$G393,Master!$H$3:$I$8,2,0)</f>
        <v>Finished Goods</v>
      </c>
      <c r="S393" s="265" t="str">
        <f>VLOOKUP('MIS Working 1'!$H393,Master!B:C,2,0)</f>
        <v>FG-PCB-CF</v>
      </c>
      <c r="T393" s="265" t="str">
        <f>VLOOKUP('MIS Working 1'!$S393,Master!E:F,2,0)</f>
        <v>FG-PCB-CF</v>
      </c>
      <c r="U393" s="268">
        <f>'MIS Working 1'!$N393-'MIS Working 1'!$AF393</f>
        <v>12393</v>
      </c>
      <c r="V393" s="269">
        <f>'MIS Working 1'!$U393/'MIS Working 1'!$N393</f>
        <v>4.0372943970445947E-2</v>
      </c>
      <c r="W393" s="265">
        <f>'MIS Working 1'!$N393/'MIS Working 1'!$L393</f>
        <v>341.07</v>
      </c>
      <c r="X393" s="270">
        <f>SUM('MIS Working 1'!$Y393:$AE393)</f>
        <v>353.55</v>
      </c>
      <c r="Y393" s="270">
        <f>SUMIFS('COGS Break up'!$E:$E,'COGS Break up'!$A:$A,'MIS Working 1'!$D393,'COGS Break up'!$D:$D,'MIS Working 1'!$Y$1)</f>
        <v>278.14</v>
      </c>
      <c r="Z393" s="270">
        <f>SUMIFS('COGS Break up'!$E:$E,'COGS Break up'!$A:$A,'MIS Working 1'!$D393,'COGS Break up'!$D:$D,'MIS Working 1'!$Z$1)</f>
        <v>22.400000000000002</v>
      </c>
      <c r="AA393" s="270">
        <f>SUMIFS('COGS Break up'!E:E,'COGS Break up'!A:A,'MIS Working 1'!$D:$D,'COGS Break up'!C:C,'MIS Working 1'!$AA$1)</f>
        <v>1.8299999999999998</v>
      </c>
      <c r="AB393" s="270">
        <f>SUMIFS('COGS Break up'!E:E,'COGS Break up'!A:A,'MIS Working 1'!$D:$D,'COGS Break up'!C:C,$AB$1)</f>
        <v>16.28</v>
      </c>
      <c r="AC393" s="270">
        <f>SUMIFS('COGS Break up'!E:E,'COGS Break up'!A:A,'MIS Working 1'!$D:$D,'COGS Break up'!C:C,$AC$1)</f>
        <v>8.31</v>
      </c>
      <c r="AD393" s="270">
        <f>SUMIFS('COGS Break up'!$E:$E,'COGS Break up'!$A:$A,'MIS Working 1'!$D393,'COGS Break up'!$D:$D,'MIS Working 1'!$AD$1)</f>
        <v>0.17</v>
      </c>
      <c r="AE393" s="270">
        <f>SUMIFS('COGS Break up'!$E:$E,'COGS Break up'!$A:$A,'MIS Working 1'!$D393,'COGS Break up'!$D:$D,'MIS Working 1'!$AE$1)</f>
        <v>26.42</v>
      </c>
      <c r="AF393" s="271">
        <f>'MIS Working 1'!$AG393+'MIS Working 1'!$AH393+'MIS Working 1'!$AM393+'MIS Working 1'!$AL393</f>
        <v>294570</v>
      </c>
      <c r="AG393" s="270">
        <f>'MIS Working 1'!$L393*'MIS Working 1'!$Y393</f>
        <v>250326</v>
      </c>
      <c r="AH393" s="270">
        <f>'MIS Working 1'!$L393*'MIS Working 1'!$Z393</f>
        <v>20160.000000000004</v>
      </c>
      <c r="AI393" s="270">
        <f t="shared" si="18"/>
        <v>1646.9999999999998</v>
      </c>
      <c r="AJ393" s="270">
        <f t="shared" si="19"/>
        <v>14652.000000000002</v>
      </c>
      <c r="AK393" s="270">
        <f t="shared" si="20"/>
        <v>7479</v>
      </c>
      <c r="AL393" s="270">
        <f>'MIS Working 1'!$AD393*'MIS Working 1'!$L393</f>
        <v>153</v>
      </c>
      <c r="AM393" s="270">
        <f>'MIS Working 1'!$L393*'MIS Working 1'!$AE393+'MIS Working 1'!$AL393</f>
        <v>23931</v>
      </c>
    </row>
    <row r="394" spans="1:39" x14ac:dyDescent="0.3">
      <c r="A394" s="272" t="s">
        <v>1625</v>
      </c>
      <c r="B394" s="273">
        <v>45965</v>
      </c>
      <c r="C394" s="274" t="s">
        <v>1865</v>
      </c>
      <c r="D394" s="274" t="s">
        <v>1453</v>
      </c>
      <c r="E394" s="274" t="s">
        <v>1454</v>
      </c>
      <c r="F394" s="274" t="s">
        <v>18</v>
      </c>
      <c r="G394" s="274" t="s">
        <v>48</v>
      </c>
      <c r="H394" s="274" t="s">
        <v>202</v>
      </c>
      <c r="I394" s="275">
        <v>20000</v>
      </c>
      <c r="J394" s="276">
        <v>183220.06</v>
      </c>
      <c r="K394" s="275">
        <v>20000</v>
      </c>
      <c r="L394" s="275">
        <v>20000</v>
      </c>
      <c r="M394" s="273">
        <v>45965</v>
      </c>
      <c r="N394" s="276">
        <v>183600</v>
      </c>
      <c r="O394" s="274" t="s">
        <v>21</v>
      </c>
      <c r="P394" s="274" t="s">
        <v>22</v>
      </c>
      <c r="Q394" s="274" t="s">
        <v>1750</v>
      </c>
      <c r="R394" s="274" t="str">
        <f>VLOOKUP('MIS Working 1'!$G394,Master!$H$3:$I$8,2,0)</f>
        <v>Raw Material</v>
      </c>
      <c r="S394" s="274" t="str">
        <f>VLOOKUP('MIS Working 1'!$H394,Master!B:C,2,0)</f>
        <v>RM-Eletro-IC</v>
      </c>
      <c r="T394" s="274" t="str">
        <f>VLOOKUP('MIS Working 1'!$S394,Master!E:F,2,0)</f>
        <v>Raw Material</v>
      </c>
      <c r="U394" s="277">
        <f>'MIS Working 1'!$N394-'MIS Working 1'!$AF394</f>
        <v>183600</v>
      </c>
      <c r="V394" s="278">
        <f>'MIS Working 1'!$U394/'MIS Working 1'!$N394</f>
        <v>1</v>
      </c>
      <c r="W394" s="274">
        <f>'MIS Working 1'!$N394/'MIS Working 1'!$L394</f>
        <v>9.18</v>
      </c>
      <c r="X394" s="279">
        <f>SUM('MIS Working 1'!$Y394:$AE394)</f>
        <v>0</v>
      </c>
      <c r="Y394" s="279">
        <f>SUMIFS('COGS Break up'!$E:$E,'COGS Break up'!$A:$A,'MIS Working 1'!$D394,'COGS Break up'!$D:$D,'MIS Working 1'!$Y$1)</f>
        <v>0</v>
      </c>
      <c r="Z394" s="279">
        <f>SUMIFS('COGS Break up'!$E:$E,'COGS Break up'!$A:$A,'MIS Working 1'!$D394,'COGS Break up'!$D:$D,'MIS Working 1'!$Z$1)</f>
        <v>0</v>
      </c>
      <c r="AA394" s="279">
        <f>SUMIFS('COGS Break up'!E:E,'COGS Break up'!A:A,'MIS Working 1'!$D:$D,'COGS Break up'!C:C,'MIS Working 1'!$AA$1)</f>
        <v>0</v>
      </c>
      <c r="AB394" s="279">
        <f>SUMIFS('COGS Break up'!E:E,'COGS Break up'!A:A,'MIS Working 1'!$D:$D,'COGS Break up'!C:C,$AB$1)</f>
        <v>0</v>
      </c>
      <c r="AC394" s="279">
        <f>SUMIFS('COGS Break up'!E:E,'COGS Break up'!A:A,'MIS Working 1'!$D:$D,'COGS Break up'!C:C,$AC$1)</f>
        <v>0</v>
      </c>
      <c r="AD394" s="279">
        <f>SUMIFS('COGS Break up'!$E:$E,'COGS Break up'!$A:$A,'MIS Working 1'!$D394,'COGS Break up'!$D:$D,'MIS Working 1'!$AD$1)</f>
        <v>0</v>
      </c>
      <c r="AE394" s="279">
        <f>SUMIFS('COGS Break up'!$E:$E,'COGS Break up'!$A:$A,'MIS Working 1'!$D394,'COGS Break up'!$D:$D,'MIS Working 1'!$AE$1)</f>
        <v>0</v>
      </c>
      <c r="AF394" s="280">
        <f>'MIS Working 1'!$AG394+'MIS Working 1'!$AH394+'MIS Working 1'!$AM394+'MIS Working 1'!$AL394</f>
        <v>0</v>
      </c>
      <c r="AG394" s="279">
        <f>'MIS Working 1'!$L394*'MIS Working 1'!$Y394</f>
        <v>0</v>
      </c>
      <c r="AH394" s="279">
        <f>'MIS Working 1'!$L394*'MIS Working 1'!$Z394</f>
        <v>0</v>
      </c>
      <c r="AI394" s="279">
        <f t="shared" si="18"/>
        <v>0</v>
      </c>
      <c r="AJ394" s="279">
        <f t="shared" si="19"/>
        <v>0</v>
      </c>
      <c r="AK394" s="279">
        <f t="shared" si="20"/>
        <v>0</v>
      </c>
      <c r="AL394" s="279">
        <f>'MIS Working 1'!$AD394*'MIS Working 1'!$L394</f>
        <v>0</v>
      </c>
      <c r="AM394" s="279">
        <f>'MIS Working 1'!$L394*'MIS Working 1'!$AE394+'MIS Working 1'!$AL394</f>
        <v>0</v>
      </c>
    </row>
    <row r="395" spans="1:39" x14ac:dyDescent="0.3">
      <c r="A395" s="263" t="s">
        <v>479</v>
      </c>
      <c r="B395" s="264">
        <v>45965</v>
      </c>
      <c r="C395" s="265" t="s">
        <v>1866</v>
      </c>
      <c r="D395" s="265" t="s">
        <v>44</v>
      </c>
      <c r="E395" s="265" t="s">
        <v>45</v>
      </c>
      <c r="F395" s="265" t="s">
        <v>18</v>
      </c>
      <c r="G395" s="265" t="s">
        <v>19</v>
      </c>
      <c r="H395" s="265" t="s">
        <v>27</v>
      </c>
      <c r="I395" s="266">
        <v>350</v>
      </c>
      <c r="J395" s="267">
        <v>114527</v>
      </c>
      <c r="K395" s="266">
        <v>350</v>
      </c>
      <c r="L395" s="266">
        <v>350</v>
      </c>
      <c r="M395" s="264">
        <v>45965</v>
      </c>
      <c r="N395" s="267">
        <v>118926.5</v>
      </c>
      <c r="O395" s="265" t="s">
        <v>21</v>
      </c>
      <c r="P395" s="265" t="s">
        <v>22</v>
      </c>
      <c r="Q395" s="265" t="s">
        <v>660</v>
      </c>
      <c r="R395" s="265" t="str">
        <f>VLOOKUP('MIS Working 1'!$G395,Master!$H$3:$I$8,2,0)</f>
        <v>Finished Goods</v>
      </c>
      <c r="S395" s="265" t="str">
        <f>VLOOKUP('MIS Working 1'!$H395,Master!B:C,2,0)</f>
        <v>FG-PCB-CF</v>
      </c>
      <c r="T395" s="265" t="str">
        <f>VLOOKUP('MIS Working 1'!$S395,Master!E:F,2,0)</f>
        <v>FG-PCB-CF</v>
      </c>
      <c r="U395" s="268">
        <f>'MIS Working 1'!$N395-'MIS Working 1'!$AF395</f>
        <v>4336.4999999999854</v>
      </c>
      <c r="V395" s="269">
        <f>'MIS Working 1'!$U395/'MIS Working 1'!$N395</f>
        <v>3.6463698166514492E-2</v>
      </c>
      <c r="W395" s="265">
        <f>'MIS Working 1'!$N395/'MIS Working 1'!$L395</f>
        <v>339.79</v>
      </c>
      <c r="X395" s="270">
        <f>SUM('MIS Working 1'!$Y395:$AE395)</f>
        <v>354.72000000000008</v>
      </c>
      <c r="Y395" s="270">
        <f>SUMIFS('COGS Break up'!$E:$E,'COGS Break up'!$A:$A,'MIS Working 1'!$D395,'COGS Break up'!$D:$D,'MIS Working 1'!$Y$1)</f>
        <v>275.85000000000002</v>
      </c>
      <c r="Z395" s="270">
        <f>SUMIFS('COGS Break up'!$E:$E,'COGS Break up'!$A:$A,'MIS Working 1'!$D395,'COGS Break up'!$D:$D,'MIS Working 1'!$Z$1)</f>
        <v>23.720000000000002</v>
      </c>
      <c r="AA395" s="270">
        <f>SUMIFS('COGS Break up'!E:E,'COGS Break up'!A:A,'MIS Working 1'!$D:$D,'COGS Break up'!C:C,'MIS Working 1'!$AA$1)</f>
        <v>1.94</v>
      </c>
      <c r="AB395" s="270">
        <f>SUMIFS('COGS Break up'!E:E,'COGS Break up'!A:A,'MIS Working 1'!$D:$D,'COGS Break up'!C:C,$AB$1)</f>
        <v>17.239999999999998</v>
      </c>
      <c r="AC395" s="270">
        <f>SUMIFS('COGS Break up'!E:E,'COGS Break up'!A:A,'MIS Working 1'!$D:$D,'COGS Break up'!C:C,$AC$1)</f>
        <v>8.31</v>
      </c>
      <c r="AD395" s="270">
        <f>SUMIFS('COGS Break up'!$E:$E,'COGS Break up'!$A:$A,'MIS Working 1'!$D395,'COGS Break up'!$D:$D,'MIS Working 1'!$AD$1)</f>
        <v>0.17</v>
      </c>
      <c r="AE395" s="270">
        <f>SUMIFS('COGS Break up'!$E:$E,'COGS Break up'!$A:$A,'MIS Working 1'!$D395,'COGS Break up'!$D:$D,'MIS Working 1'!$AE$1)</f>
        <v>27.49</v>
      </c>
      <c r="AF395" s="271">
        <f>'MIS Working 1'!$AG395+'MIS Working 1'!$AH395+'MIS Working 1'!$AM395+'MIS Working 1'!$AL395</f>
        <v>114590.00000000001</v>
      </c>
      <c r="AG395" s="270">
        <f>'MIS Working 1'!$L395*'MIS Working 1'!$Y395</f>
        <v>96547.500000000015</v>
      </c>
      <c r="AH395" s="270">
        <f>'MIS Working 1'!$L395*'MIS Working 1'!$Z395</f>
        <v>8302</v>
      </c>
      <c r="AI395" s="270">
        <f t="shared" si="18"/>
        <v>679</v>
      </c>
      <c r="AJ395" s="270">
        <f t="shared" si="19"/>
        <v>6033.9999999999991</v>
      </c>
      <c r="AK395" s="270">
        <f t="shared" si="20"/>
        <v>2908.5</v>
      </c>
      <c r="AL395" s="270">
        <f>'MIS Working 1'!$AD395*'MIS Working 1'!$L395</f>
        <v>59.500000000000007</v>
      </c>
      <c r="AM395" s="270">
        <f>'MIS Working 1'!$L395*'MIS Working 1'!$AE395+'MIS Working 1'!$AL395</f>
        <v>9681</v>
      </c>
    </row>
    <row r="396" spans="1:39" x14ac:dyDescent="0.3">
      <c r="A396" s="272" t="s">
        <v>479</v>
      </c>
      <c r="B396" s="273">
        <v>45965</v>
      </c>
      <c r="C396" s="274" t="s">
        <v>1867</v>
      </c>
      <c r="D396" s="274" t="s">
        <v>639</v>
      </c>
      <c r="E396" s="274" t="s">
        <v>640</v>
      </c>
      <c r="F396" s="274" t="s">
        <v>18</v>
      </c>
      <c r="G396" s="274" t="s">
        <v>19</v>
      </c>
      <c r="H396" s="274" t="s">
        <v>27</v>
      </c>
      <c r="I396" s="275">
        <v>350</v>
      </c>
      <c r="J396" s="276">
        <v>225760.5</v>
      </c>
      <c r="K396" s="275">
        <v>350</v>
      </c>
      <c r="L396" s="275">
        <v>350</v>
      </c>
      <c r="M396" s="273">
        <v>45965</v>
      </c>
      <c r="N396" s="276">
        <v>254996</v>
      </c>
      <c r="O396" s="274" t="s">
        <v>21</v>
      </c>
      <c r="P396" s="274" t="s">
        <v>22</v>
      </c>
      <c r="Q396" s="274" t="s">
        <v>660</v>
      </c>
      <c r="R396" s="274" t="str">
        <f>VLOOKUP('MIS Working 1'!$G396,Master!$H$3:$I$8,2,0)</f>
        <v>Finished Goods</v>
      </c>
      <c r="S396" s="274" t="str">
        <f>VLOOKUP('MIS Working 1'!$H396,Master!B:C,2,0)</f>
        <v>FG-PCB-CF</v>
      </c>
      <c r="T396" s="274" t="str">
        <f>VLOOKUP('MIS Working 1'!$S396,Master!E:F,2,0)</f>
        <v>FG-PCB-CF</v>
      </c>
      <c r="U396" s="277">
        <f>'MIS Working 1'!$N396-'MIS Working 1'!$AF396</f>
        <v>29085.000000000116</v>
      </c>
      <c r="V396" s="278">
        <f>'MIS Working 1'!$U396/'MIS Working 1'!$N396</f>
        <v>0.11406061271549403</v>
      </c>
      <c r="W396" s="274">
        <f>'MIS Working 1'!$N396/'MIS Working 1'!$L396</f>
        <v>728.56</v>
      </c>
      <c r="X396" s="279">
        <f>SUM('MIS Working 1'!$Y396:$AE396)</f>
        <v>677.50999999999965</v>
      </c>
      <c r="Y396" s="279">
        <f>SUMIFS('COGS Break up'!$E:$E,'COGS Break up'!$A:$A,'MIS Working 1'!$D396,'COGS Break up'!$D:$D,'MIS Working 1'!$Y$1)</f>
        <v>582.23999999999967</v>
      </c>
      <c r="Z396" s="279">
        <f>SUMIFS('COGS Break up'!$E:$E,'COGS Break up'!$A:$A,'MIS Working 1'!$D396,'COGS Break up'!$D:$D,'MIS Working 1'!$Z$1)</f>
        <v>29.88</v>
      </c>
      <c r="AA396" s="279">
        <f>SUMIFS('COGS Break up'!E:E,'COGS Break up'!A:A,'MIS Working 1'!$D:$D,'COGS Break up'!C:C,'MIS Working 1'!$AA$1)</f>
        <v>2.4500000000000002</v>
      </c>
      <c r="AB396" s="279">
        <f>SUMIFS('COGS Break up'!E:E,'COGS Break up'!A:A,'MIS Working 1'!$D:$D,'COGS Break up'!C:C,$AB$1)</f>
        <v>21.72</v>
      </c>
      <c r="AC396" s="279">
        <f>SUMIFS('COGS Break up'!E:E,'COGS Break up'!A:A,'MIS Working 1'!$D:$D,'COGS Break up'!C:C,$AC$1)</f>
        <v>8.31</v>
      </c>
      <c r="AD396" s="279">
        <f>SUMIFS('COGS Break up'!$E:$E,'COGS Break up'!$A:$A,'MIS Working 1'!$D396,'COGS Break up'!$D:$D,'MIS Working 1'!$AD$1)</f>
        <v>0.43</v>
      </c>
      <c r="AE396" s="279">
        <f>SUMIFS('COGS Break up'!$E:$E,'COGS Break up'!$A:$A,'MIS Working 1'!$D396,'COGS Break up'!$D:$D,'MIS Working 1'!$AE$1)</f>
        <v>32.480000000000004</v>
      </c>
      <c r="AF396" s="280">
        <f>'MIS Working 1'!$AG396+'MIS Working 1'!$AH396+'MIS Working 1'!$AM396+'MIS Working 1'!$AL396</f>
        <v>225910.99999999988</v>
      </c>
      <c r="AG396" s="279">
        <f>'MIS Working 1'!$L396*'MIS Working 1'!$Y396</f>
        <v>203783.99999999988</v>
      </c>
      <c r="AH396" s="279">
        <f>'MIS Working 1'!$L396*'MIS Working 1'!$Z396</f>
        <v>10458</v>
      </c>
      <c r="AI396" s="279">
        <f t="shared" si="18"/>
        <v>857.50000000000011</v>
      </c>
      <c r="AJ396" s="279">
        <f t="shared" si="19"/>
        <v>7602</v>
      </c>
      <c r="AK396" s="279">
        <f t="shared" si="20"/>
        <v>2908.5</v>
      </c>
      <c r="AL396" s="279">
        <f>'MIS Working 1'!$AD396*'MIS Working 1'!$L396</f>
        <v>150.5</v>
      </c>
      <c r="AM396" s="279">
        <f>'MIS Working 1'!$L396*'MIS Working 1'!$AE396+'MIS Working 1'!$AL396</f>
        <v>11518.500000000002</v>
      </c>
    </row>
    <row r="397" spans="1:39" x14ac:dyDescent="0.3">
      <c r="A397" s="263" t="s">
        <v>479</v>
      </c>
      <c r="B397" s="264">
        <v>45965</v>
      </c>
      <c r="C397" s="265" t="s">
        <v>1866</v>
      </c>
      <c r="D397" s="265" t="s">
        <v>38</v>
      </c>
      <c r="E397" s="265" t="s">
        <v>39</v>
      </c>
      <c r="F397" s="265" t="s">
        <v>18</v>
      </c>
      <c r="G397" s="265" t="s">
        <v>19</v>
      </c>
      <c r="H397" s="265" t="s">
        <v>27</v>
      </c>
      <c r="I397" s="266">
        <v>1115</v>
      </c>
      <c r="J397" s="267">
        <v>364749.95</v>
      </c>
      <c r="K397" s="266">
        <v>1115</v>
      </c>
      <c r="L397" s="266">
        <v>1115</v>
      </c>
      <c r="M397" s="264">
        <v>45965</v>
      </c>
      <c r="N397" s="267">
        <v>380293.05</v>
      </c>
      <c r="O397" s="265" t="s">
        <v>21</v>
      </c>
      <c r="P397" s="265" t="s">
        <v>22</v>
      </c>
      <c r="Q397" s="265" t="s">
        <v>660</v>
      </c>
      <c r="R397" s="265" t="str">
        <f>VLOOKUP('MIS Working 1'!$G397,Master!$H$3:$I$8,2,0)</f>
        <v>Finished Goods</v>
      </c>
      <c r="S397" s="265" t="str">
        <f>VLOOKUP('MIS Working 1'!$H397,Master!B:C,2,0)</f>
        <v>FG-PCB-CF</v>
      </c>
      <c r="T397" s="265" t="str">
        <f>VLOOKUP('MIS Working 1'!$S397,Master!E:F,2,0)</f>
        <v>FG-PCB-CF</v>
      </c>
      <c r="U397" s="268">
        <f>'MIS Working 1'!$N397-'MIS Working 1'!$AF397</f>
        <v>15353.550000000047</v>
      </c>
      <c r="V397" s="269">
        <f>'MIS Working 1'!$U397/'MIS Working 1'!$N397</f>
        <v>4.0372943970446072E-2</v>
      </c>
      <c r="W397" s="265">
        <f>'MIS Working 1'!$N397/'MIS Working 1'!$L397</f>
        <v>341.07</v>
      </c>
      <c r="X397" s="270">
        <f>SUM('MIS Working 1'!$Y397:$AE397)</f>
        <v>353.55</v>
      </c>
      <c r="Y397" s="270">
        <f>SUMIFS('COGS Break up'!$E:$E,'COGS Break up'!$A:$A,'MIS Working 1'!$D397,'COGS Break up'!$D:$D,'MIS Working 1'!$Y$1)</f>
        <v>278.14</v>
      </c>
      <c r="Z397" s="270">
        <f>SUMIFS('COGS Break up'!$E:$E,'COGS Break up'!$A:$A,'MIS Working 1'!$D397,'COGS Break up'!$D:$D,'MIS Working 1'!$Z$1)</f>
        <v>22.400000000000002</v>
      </c>
      <c r="AA397" s="270">
        <f>SUMIFS('COGS Break up'!E:E,'COGS Break up'!A:A,'MIS Working 1'!$D:$D,'COGS Break up'!C:C,'MIS Working 1'!$AA$1)</f>
        <v>1.8299999999999998</v>
      </c>
      <c r="AB397" s="270">
        <f>SUMIFS('COGS Break up'!E:E,'COGS Break up'!A:A,'MIS Working 1'!$D:$D,'COGS Break up'!C:C,$AB$1)</f>
        <v>16.28</v>
      </c>
      <c r="AC397" s="270">
        <f>SUMIFS('COGS Break up'!E:E,'COGS Break up'!A:A,'MIS Working 1'!$D:$D,'COGS Break up'!C:C,$AC$1)</f>
        <v>8.31</v>
      </c>
      <c r="AD397" s="270">
        <f>SUMIFS('COGS Break up'!$E:$E,'COGS Break up'!$A:$A,'MIS Working 1'!$D397,'COGS Break up'!$D:$D,'MIS Working 1'!$AD$1)</f>
        <v>0.17</v>
      </c>
      <c r="AE397" s="270">
        <f>SUMIFS('COGS Break up'!$E:$E,'COGS Break up'!$A:$A,'MIS Working 1'!$D397,'COGS Break up'!$D:$D,'MIS Working 1'!$AE$1)</f>
        <v>26.42</v>
      </c>
      <c r="AF397" s="271">
        <f>'MIS Working 1'!$AG397+'MIS Working 1'!$AH397+'MIS Working 1'!$AM397+'MIS Working 1'!$AL397</f>
        <v>364939.49999999994</v>
      </c>
      <c r="AG397" s="270">
        <f>'MIS Working 1'!$L397*'MIS Working 1'!$Y397</f>
        <v>310126.09999999998</v>
      </c>
      <c r="AH397" s="270">
        <f>'MIS Working 1'!$L397*'MIS Working 1'!$Z397</f>
        <v>24976.000000000004</v>
      </c>
      <c r="AI397" s="270">
        <f t="shared" si="18"/>
        <v>2040.4499999999998</v>
      </c>
      <c r="AJ397" s="270">
        <f t="shared" si="19"/>
        <v>18152.2</v>
      </c>
      <c r="AK397" s="270">
        <f t="shared" si="20"/>
        <v>9265.6500000000015</v>
      </c>
      <c r="AL397" s="270">
        <f>'MIS Working 1'!$AD397*'MIS Working 1'!$L397</f>
        <v>189.55</v>
      </c>
      <c r="AM397" s="270">
        <f>'MIS Working 1'!$L397*'MIS Working 1'!$AE397+'MIS Working 1'!$AL397</f>
        <v>29647.850000000002</v>
      </c>
    </row>
    <row r="398" spans="1:39" x14ac:dyDescent="0.3">
      <c r="A398" s="272" t="s">
        <v>479</v>
      </c>
      <c r="B398" s="273">
        <v>45965</v>
      </c>
      <c r="C398" s="274" t="s">
        <v>1867</v>
      </c>
      <c r="D398" s="274" t="s">
        <v>38</v>
      </c>
      <c r="E398" s="274" t="s">
        <v>39</v>
      </c>
      <c r="F398" s="274" t="s">
        <v>18</v>
      </c>
      <c r="G398" s="274" t="s">
        <v>19</v>
      </c>
      <c r="H398" s="274" t="s">
        <v>27</v>
      </c>
      <c r="I398" s="275">
        <v>310</v>
      </c>
      <c r="J398" s="276">
        <v>101410.3</v>
      </c>
      <c r="K398" s="275">
        <v>310</v>
      </c>
      <c r="L398" s="275">
        <v>310</v>
      </c>
      <c r="M398" s="273">
        <v>45965</v>
      </c>
      <c r="N398" s="276">
        <v>105731.7</v>
      </c>
      <c r="O398" s="274" t="s">
        <v>21</v>
      </c>
      <c r="P398" s="274" t="s">
        <v>22</v>
      </c>
      <c r="Q398" s="274" t="s">
        <v>660</v>
      </c>
      <c r="R398" s="274" t="str">
        <f>VLOOKUP('MIS Working 1'!$G398,Master!$H$3:$I$8,2,0)</f>
        <v>Finished Goods</v>
      </c>
      <c r="S398" s="274" t="str">
        <f>VLOOKUP('MIS Working 1'!$H398,Master!B:C,2,0)</f>
        <v>FG-PCB-CF</v>
      </c>
      <c r="T398" s="274" t="str">
        <f>VLOOKUP('MIS Working 1'!$S398,Master!E:F,2,0)</f>
        <v>FG-PCB-CF</v>
      </c>
      <c r="U398" s="277">
        <f>'MIS Working 1'!$N398-'MIS Working 1'!$AF398</f>
        <v>4268.7000000000116</v>
      </c>
      <c r="V398" s="278">
        <f>'MIS Working 1'!$U398/'MIS Working 1'!$N398</f>
        <v>4.0372943970446058E-2</v>
      </c>
      <c r="W398" s="274">
        <f>'MIS Working 1'!$N398/'MIS Working 1'!$L398</f>
        <v>341.07</v>
      </c>
      <c r="X398" s="279">
        <f>SUM('MIS Working 1'!$Y398:$AE398)</f>
        <v>353.55</v>
      </c>
      <c r="Y398" s="279">
        <f>SUMIFS('COGS Break up'!$E:$E,'COGS Break up'!$A:$A,'MIS Working 1'!$D398,'COGS Break up'!$D:$D,'MIS Working 1'!$Y$1)</f>
        <v>278.14</v>
      </c>
      <c r="Z398" s="279">
        <f>SUMIFS('COGS Break up'!$E:$E,'COGS Break up'!$A:$A,'MIS Working 1'!$D398,'COGS Break up'!$D:$D,'MIS Working 1'!$Z$1)</f>
        <v>22.400000000000002</v>
      </c>
      <c r="AA398" s="279">
        <f>SUMIFS('COGS Break up'!E:E,'COGS Break up'!A:A,'MIS Working 1'!$D:$D,'COGS Break up'!C:C,'MIS Working 1'!$AA$1)</f>
        <v>1.8299999999999998</v>
      </c>
      <c r="AB398" s="279">
        <f>SUMIFS('COGS Break up'!E:E,'COGS Break up'!A:A,'MIS Working 1'!$D:$D,'COGS Break up'!C:C,$AB$1)</f>
        <v>16.28</v>
      </c>
      <c r="AC398" s="279">
        <f>SUMIFS('COGS Break up'!E:E,'COGS Break up'!A:A,'MIS Working 1'!$D:$D,'COGS Break up'!C:C,$AC$1)</f>
        <v>8.31</v>
      </c>
      <c r="AD398" s="279">
        <f>SUMIFS('COGS Break up'!$E:$E,'COGS Break up'!$A:$A,'MIS Working 1'!$D398,'COGS Break up'!$D:$D,'MIS Working 1'!$AD$1)</f>
        <v>0.17</v>
      </c>
      <c r="AE398" s="279">
        <f>SUMIFS('COGS Break up'!$E:$E,'COGS Break up'!$A:$A,'MIS Working 1'!$D398,'COGS Break up'!$D:$D,'MIS Working 1'!$AE$1)</f>
        <v>26.42</v>
      </c>
      <c r="AF398" s="280">
        <f>'MIS Working 1'!$AG398+'MIS Working 1'!$AH398+'MIS Working 1'!$AM398+'MIS Working 1'!$AL398</f>
        <v>101462.99999999999</v>
      </c>
      <c r="AG398" s="279">
        <f>'MIS Working 1'!$L398*'MIS Working 1'!$Y398</f>
        <v>86223.4</v>
      </c>
      <c r="AH398" s="279">
        <f>'MIS Working 1'!$L398*'MIS Working 1'!$Z398</f>
        <v>6944.0000000000009</v>
      </c>
      <c r="AI398" s="279">
        <f t="shared" si="18"/>
        <v>567.29999999999995</v>
      </c>
      <c r="AJ398" s="279">
        <f t="shared" si="19"/>
        <v>5046.8</v>
      </c>
      <c r="AK398" s="279">
        <f t="shared" si="20"/>
        <v>2576.1000000000004</v>
      </c>
      <c r="AL398" s="279">
        <f>'MIS Working 1'!$AD398*'MIS Working 1'!$L398</f>
        <v>52.7</v>
      </c>
      <c r="AM398" s="279">
        <f>'MIS Working 1'!$L398*'MIS Working 1'!$AE398+'MIS Working 1'!$AL398</f>
        <v>8242.9000000000015</v>
      </c>
    </row>
    <row r="399" spans="1:39" x14ac:dyDescent="0.3">
      <c r="A399" s="263" t="s">
        <v>479</v>
      </c>
      <c r="B399" s="264">
        <v>45964</v>
      </c>
      <c r="C399" s="265" t="s">
        <v>1868</v>
      </c>
      <c r="D399" s="265" t="s">
        <v>493</v>
      </c>
      <c r="E399" s="265" t="s">
        <v>494</v>
      </c>
      <c r="F399" s="265" t="s">
        <v>18</v>
      </c>
      <c r="G399" s="265" t="s">
        <v>19</v>
      </c>
      <c r="H399" s="265" t="s">
        <v>27</v>
      </c>
      <c r="I399" s="266">
        <v>70</v>
      </c>
      <c r="J399" s="267">
        <v>22908.2</v>
      </c>
      <c r="K399" s="266">
        <v>70</v>
      </c>
      <c r="L399" s="266">
        <v>70</v>
      </c>
      <c r="M399" s="264">
        <v>45964</v>
      </c>
      <c r="N399" s="267">
        <v>24651.200000000001</v>
      </c>
      <c r="O399" s="265" t="s">
        <v>21</v>
      </c>
      <c r="P399" s="265" t="s">
        <v>22</v>
      </c>
      <c r="Q399" s="265" t="s">
        <v>660</v>
      </c>
      <c r="R399" s="265" t="str">
        <f>VLOOKUP('MIS Working 1'!$G399,Master!$H$3:$I$8,2,0)</f>
        <v>Finished Goods</v>
      </c>
      <c r="S399" s="265" t="str">
        <f>VLOOKUP('MIS Working 1'!$H399,Master!B:C,2,0)</f>
        <v>FG-PCB-CF</v>
      </c>
      <c r="T399" s="265" t="str">
        <f>VLOOKUP('MIS Working 1'!$S399,Master!E:F,2,0)</f>
        <v>FG-PCB-CF</v>
      </c>
      <c r="U399" s="268">
        <f>'MIS Working 1'!$N399-'MIS Working 1'!$AF399</f>
        <v>1731.1000000000022</v>
      </c>
      <c r="V399" s="269">
        <f>'MIS Working 1'!$U399/'MIS Working 1'!$N399</f>
        <v>7.0223761926397177E-2</v>
      </c>
      <c r="W399" s="265">
        <f>'MIS Working 1'!$N399/'MIS Working 1'!$L399</f>
        <v>352.16</v>
      </c>
      <c r="X399" s="270">
        <f>SUM('MIS Working 1'!$Y399:$AE399)</f>
        <v>354.75</v>
      </c>
      <c r="Y399" s="270">
        <f>SUMIFS('COGS Break up'!$E:$E,'COGS Break up'!$A:$A,'MIS Working 1'!$D399,'COGS Break up'!$D:$D,'MIS Working 1'!$Y$1)</f>
        <v>275.87999999999994</v>
      </c>
      <c r="Z399" s="270">
        <f>SUMIFS('COGS Break up'!$E:$E,'COGS Break up'!$A:$A,'MIS Working 1'!$D399,'COGS Break up'!$D:$D,'MIS Working 1'!$Z$1)</f>
        <v>23.720000000000002</v>
      </c>
      <c r="AA399" s="270">
        <f>SUMIFS('COGS Break up'!E:E,'COGS Break up'!A:A,'MIS Working 1'!$D:$D,'COGS Break up'!C:C,'MIS Working 1'!$AA$1)</f>
        <v>1.94</v>
      </c>
      <c r="AB399" s="270">
        <f>SUMIFS('COGS Break up'!E:E,'COGS Break up'!A:A,'MIS Working 1'!$D:$D,'COGS Break up'!C:C,$AB$1)</f>
        <v>17.239999999999998</v>
      </c>
      <c r="AC399" s="270">
        <f>SUMIFS('COGS Break up'!E:E,'COGS Break up'!A:A,'MIS Working 1'!$D:$D,'COGS Break up'!C:C,$AC$1)</f>
        <v>8.31</v>
      </c>
      <c r="AD399" s="270">
        <f>SUMIFS('COGS Break up'!$E:$E,'COGS Break up'!$A:$A,'MIS Working 1'!$D399,'COGS Break up'!$D:$D,'MIS Working 1'!$AD$1)</f>
        <v>0.17</v>
      </c>
      <c r="AE399" s="270">
        <f>SUMIFS('COGS Break up'!$E:$E,'COGS Break up'!$A:$A,'MIS Working 1'!$D399,'COGS Break up'!$D:$D,'MIS Working 1'!$AE$1)</f>
        <v>27.49</v>
      </c>
      <c r="AF399" s="271">
        <f>'MIS Working 1'!$AG399+'MIS Working 1'!$AH399+'MIS Working 1'!$AM399+'MIS Working 1'!$AL399</f>
        <v>22920.1</v>
      </c>
      <c r="AG399" s="270">
        <f>'MIS Working 1'!$L399*'MIS Working 1'!$Y399</f>
        <v>19311.599999999995</v>
      </c>
      <c r="AH399" s="270">
        <f>'MIS Working 1'!$L399*'MIS Working 1'!$Z399</f>
        <v>1660.4</v>
      </c>
      <c r="AI399" s="270">
        <f t="shared" si="18"/>
        <v>135.79999999999998</v>
      </c>
      <c r="AJ399" s="270">
        <f t="shared" si="19"/>
        <v>1206.8</v>
      </c>
      <c r="AK399" s="270">
        <f t="shared" si="20"/>
        <v>581.70000000000005</v>
      </c>
      <c r="AL399" s="270">
        <f>'MIS Working 1'!$AD399*'MIS Working 1'!$L399</f>
        <v>11.9</v>
      </c>
      <c r="AM399" s="270">
        <f>'MIS Working 1'!$L399*'MIS Working 1'!$AE399+'MIS Working 1'!$AL399</f>
        <v>1936.2</v>
      </c>
    </row>
    <row r="400" spans="1:39" x14ac:dyDescent="0.3">
      <c r="A400" s="272" t="s">
        <v>479</v>
      </c>
      <c r="B400" s="273">
        <v>45964</v>
      </c>
      <c r="C400" s="274" t="s">
        <v>1869</v>
      </c>
      <c r="D400" s="274" t="s">
        <v>40</v>
      </c>
      <c r="E400" s="274" t="s">
        <v>41</v>
      </c>
      <c r="F400" s="274" t="s">
        <v>18</v>
      </c>
      <c r="G400" s="274" t="s">
        <v>34</v>
      </c>
      <c r="H400" s="274" t="s">
        <v>772</v>
      </c>
      <c r="I400" s="275">
        <v>896</v>
      </c>
      <c r="J400" s="276">
        <v>132312.32000000001</v>
      </c>
      <c r="K400" s="275">
        <v>896</v>
      </c>
      <c r="L400" s="275">
        <v>896</v>
      </c>
      <c r="M400" s="273">
        <v>45964</v>
      </c>
      <c r="N400" s="276">
        <v>145994.23999999999</v>
      </c>
      <c r="O400" s="274" t="s">
        <v>21</v>
      </c>
      <c r="P400" s="274" t="s">
        <v>22</v>
      </c>
      <c r="Q400" s="274" t="s">
        <v>660</v>
      </c>
      <c r="R400" s="274" t="str">
        <f>VLOOKUP('MIS Working 1'!$G400,Master!$H$3:$I$8,2,0)</f>
        <v>Semi-Finished Goods</v>
      </c>
      <c r="S400" s="274" t="str">
        <f>VLOOKUP('MIS Working 1'!$H400,Master!B:C,2,0)</f>
        <v>SFG-GV5 Stator</v>
      </c>
      <c r="T400" s="274" t="str">
        <f>VLOOKUP('MIS Working 1'!$S400,Master!E:F,2,0)</f>
        <v>Sub Ass.-Mech Stator</v>
      </c>
      <c r="U400" s="277">
        <f>'MIS Working 1'!$N400-'MIS Working 1'!$AF400</f>
        <v>13681.920000000013</v>
      </c>
      <c r="V400" s="278">
        <f>'MIS Working 1'!$U400/'MIS Working 1'!$N400</f>
        <v>9.3715478090094603E-2</v>
      </c>
      <c r="W400" s="274">
        <f>'MIS Working 1'!$N400/'MIS Working 1'!$L400</f>
        <v>162.94</v>
      </c>
      <c r="X400" s="279">
        <f>SUM('MIS Working 1'!$Y400:$AE400)</f>
        <v>149.61999999999998</v>
      </c>
      <c r="Y400" s="279">
        <f>SUMIFS('COGS Break up'!$E:$E,'COGS Break up'!$A:$A,'MIS Working 1'!$D400,'COGS Break up'!$D:$D,'MIS Working 1'!$Y$1)</f>
        <v>144.21999999999997</v>
      </c>
      <c r="Z400" s="279">
        <f>SUMIFS('COGS Break up'!$E:$E,'COGS Break up'!$A:$A,'MIS Working 1'!$D400,'COGS Break up'!$D:$D,'MIS Working 1'!$Z$1)</f>
        <v>1.5</v>
      </c>
      <c r="AA400" s="279">
        <f>SUMIFS('COGS Break up'!E:E,'COGS Break up'!A:A,'MIS Working 1'!$D:$D,'COGS Break up'!C:C,'MIS Working 1'!$AA$1)</f>
        <v>0.05</v>
      </c>
      <c r="AB400" s="279">
        <f>SUMIFS('COGS Break up'!E:E,'COGS Break up'!A:A,'MIS Working 1'!$D:$D,'COGS Break up'!C:C,$AB$1)</f>
        <v>0.4</v>
      </c>
      <c r="AC400" s="279">
        <f>SUMIFS('COGS Break up'!E:E,'COGS Break up'!A:A,'MIS Working 1'!$D:$D,'COGS Break up'!C:C,$AC$1)</f>
        <v>1.5</v>
      </c>
      <c r="AD400" s="279">
        <f>SUMIFS('COGS Break up'!$E:$E,'COGS Break up'!$A:$A,'MIS Working 1'!$D400,'COGS Break up'!$D:$D,'MIS Working 1'!$AD$1)</f>
        <v>0</v>
      </c>
      <c r="AE400" s="279">
        <f>SUMIFS('COGS Break up'!$E:$E,'COGS Break up'!$A:$A,'MIS Working 1'!$D400,'COGS Break up'!$D:$D,'MIS Working 1'!$AE$1)</f>
        <v>1.95</v>
      </c>
      <c r="AF400" s="280">
        <f>'MIS Working 1'!$AG400+'MIS Working 1'!$AH400+'MIS Working 1'!$AM400+'MIS Working 1'!$AL400</f>
        <v>132312.31999999998</v>
      </c>
      <c r="AG400" s="279">
        <f>'MIS Working 1'!$L400*'MIS Working 1'!$Y400</f>
        <v>129221.11999999997</v>
      </c>
      <c r="AH400" s="279">
        <f>'MIS Working 1'!$L400*'MIS Working 1'!$Z400</f>
        <v>1344</v>
      </c>
      <c r="AI400" s="279">
        <f t="shared" si="18"/>
        <v>44.800000000000004</v>
      </c>
      <c r="AJ400" s="279">
        <f t="shared" si="19"/>
        <v>358.40000000000003</v>
      </c>
      <c r="AK400" s="279">
        <f t="shared" si="20"/>
        <v>1344</v>
      </c>
      <c r="AL400" s="279">
        <f>'MIS Working 1'!$AD400*'MIS Working 1'!$L400</f>
        <v>0</v>
      </c>
      <c r="AM400" s="279">
        <f>'MIS Working 1'!$L400*'MIS Working 1'!$AE400+'MIS Working 1'!$AL400</f>
        <v>1747.2</v>
      </c>
    </row>
    <row r="401" spans="1:39" x14ac:dyDescent="0.3">
      <c r="A401" s="263" t="s">
        <v>479</v>
      </c>
      <c r="B401" s="264">
        <v>45964</v>
      </c>
      <c r="C401" s="265" t="s">
        <v>1870</v>
      </c>
      <c r="D401" s="265" t="s">
        <v>40</v>
      </c>
      <c r="E401" s="265" t="s">
        <v>41</v>
      </c>
      <c r="F401" s="265" t="s">
        <v>18</v>
      </c>
      <c r="G401" s="265" t="s">
        <v>34</v>
      </c>
      <c r="H401" s="265" t="s">
        <v>772</v>
      </c>
      <c r="I401" s="266">
        <v>2256</v>
      </c>
      <c r="J401" s="267">
        <v>333143.52</v>
      </c>
      <c r="K401" s="266">
        <v>2256</v>
      </c>
      <c r="L401" s="266">
        <v>2256</v>
      </c>
      <c r="M401" s="264">
        <v>45964</v>
      </c>
      <c r="N401" s="267">
        <v>367592.64</v>
      </c>
      <c r="O401" s="265" t="s">
        <v>21</v>
      </c>
      <c r="P401" s="265" t="s">
        <v>22</v>
      </c>
      <c r="Q401" s="265" t="s">
        <v>660</v>
      </c>
      <c r="R401" s="265" t="str">
        <f>VLOOKUP('MIS Working 1'!$G401,Master!$H$3:$I$8,2,0)</f>
        <v>Semi-Finished Goods</v>
      </c>
      <c r="S401" s="265" t="str">
        <f>VLOOKUP('MIS Working 1'!$H401,Master!B:C,2,0)</f>
        <v>SFG-GV5 Stator</v>
      </c>
      <c r="T401" s="265" t="str">
        <f>VLOOKUP('MIS Working 1'!$S401,Master!E:F,2,0)</f>
        <v>Sub Ass.-Mech Stator</v>
      </c>
      <c r="U401" s="268">
        <f>'MIS Working 1'!$N401-'MIS Working 1'!$AF401</f>
        <v>34449.120000000054</v>
      </c>
      <c r="V401" s="269">
        <f>'MIS Working 1'!$U401/'MIS Working 1'!$N401</f>
        <v>9.3715478090094659E-2</v>
      </c>
      <c r="W401" s="265">
        <f>'MIS Working 1'!$N401/'MIS Working 1'!$L401</f>
        <v>162.94</v>
      </c>
      <c r="X401" s="270">
        <f>SUM('MIS Working 1'!$Y401:$AE401)</f>
        <v>149.61999999999998</v>
      </c>
      <c r="Y401" s="270">
        <f>SUMIFS('COGS Break up'!$E:$E,'COGS Break up'!$A:$A,'MIS Working 1'!$D401,'COGS Break up'!$D:$D,'MIS Working 1'!$Y$1)</f>
        <v>144.21999999999997</v>
      </c>
      <c r="Z401" s="270">
        <f>SUMIFS('COGS Break up'!$E:$E,'COGS Break up'!$A:$A,'MIS Working 1'!$D401,'COGS Break up'!$D:$D,'MIS Working 1'!$Z$1)</f>
        <v>1.5</v>
      </c>
      <c r="AA401" s="270">
        <f>SUMIFS('COGS Break up'!E:E,'COGS Break up'!A:A,'MIS Working 1'!$D:$D,'COGS Break up'!C:C,'MIS Working 1'!$AA$1)</f>
        <v>0.05</v>
      </c>
      <c r="AB401" s="270">
        <f>SUMIFS('COGS Break up'!E:E,'COGS Break up'!A:A,'MIS Working 1'!$D:$D,'COGS Break up'!C:C,$AB$1)</f>
        <v>0.4</v>
      </c>
      <c r="AC401" s="270">
        <f>SUMIFS('COGS Break up'!E:E,'COGS Break up'!A:A,'MIS Working 1'!$D:$D,'COGS Break up'!C:C,$AC$1)</f>
        <v>1.5</v>
      </c>
      <c r="AD401" s="270">
        <f>SUMIFS('COGS Break up'!$E:$E,'COGS Break up'!$A:$A,'MIS Working 1'!$D401,'COGS Break up'!$D:$D,'MIS Working 1'!$AD$1)</f>
        <v>0</v>
      </c>
      <c r="AE401" s="270">
        <f>SUMIFS('COGS Break up'!$E:$E,'COGS Break up'!$A:$A,'MIS Working 1'!$D401,'COGS Break up'!$D:$D,'MIS Working 1'!$AE$1)</f>
        <v>1.95</v>
      </c>
      <c r="AF401" s="271">
        <f>'MIS Working 1'!$AG401+'MIS Working 1'!$AH401+'MIS Working 1'!$AM401+'MIS Working 1'!$AL401</f>
        <v>333143.51999999996</v>
      </c>
      <c r="AG401" s="270">
        <f>'MIS Working 1'!$L401*'MIS Working 1'!$Y401</f>
        <v>325360.31999999995</v>
      </c>
      <c r="AH401" s="270">
        <f>'MIS Working 1'!$L401*'MIS Working 1'!$Z401</f>
        <v>3384</v>
      </c>
      <c r="AI401" s="270">
        <f t="shared" si="18"/>
        <v>112.80000000000001</v>
      </c>
      <c r="AJ401" s="270">
        <f t="shared" si="19"/>
        <v>902.40000000000009</v>
      </c>
      <c r="AK401" s="270">
        <f t="shared" si="20"/>
        <v>3384</v>
      </c>
      <c r="AL401" s="270">
        <f>'MIS Working 1'!$AD401*'MIS Working 1'!$L401</f>
        <v>0</v>
      </c>
      <c r="AM401" s="270">
        <f>'MIS Working 1'!$L401*'MIS Working 1'!$AE401+'MIS Working 1'!$AL401</f>
        <v>4399.2</v>
      </c>
    </row>
    <row r="402" spans="1:39" x14ac:dyDescent="0.3">
      <c r="A402" s="272" t="s">
        <v>479</v>
      </c>
      <c r="B402" s="273">
        <v>45964</v>
      </c>
      <c r="C402" s="274" t="s">
        <v>1871</v>
      </c>
      <c r="D402" s="274" t="s">
        <v>1182</v>
      </c>
      <c r="E402" s="274" t="s">
        <v>1183</v>
      </c>
      <c r="F402" s="274" t="s">
        <v>18</v>
      </c>
      <c r="G402" s="274" t="s">
        <v>19</v>
      </c>
      <c r="H402" s="274" t="s">
        <v>27</v>
      </c>
      <c r="I402" s="275">
        <v>1093</v>
      </c>
      <c r="J402" s="276">
        <v>460568.34</v>
      </c>
      <c r="K402" s="275">
        <v>1093</v>
      </c>
      <c r="L402" s="275">
        <v>1093</v>
      </c>
      <c r="M402" s="273">
        <v>45964</v>
      </c>
      <c r="N402" s="276">
        <v>528093.88</v>
      </c>
      <c r="O402" s="274" t="s">
        <v>21</v>
      </c>
      <c r="P402" s="274" t="s">
        <v>22</v>
      </c>
      <c r="Q402" s="274" t="s">
        <v>660</v>
      </c>
      <c r="R402" s="274" t="str">
        <f>VLOOKUP('MIS Working 1'!$G402,Master!$H$3:$I$8,2,0)</f>
        <v>Finished Goods</v>
      </c>
      <c r="S402" s="274" t="str">
        <f>VLOOKUP('MIS Working 1'!$H402,Master!B:C,2,0)</f>
        <v>FG-PCB-CF</v>
      </c>
      <c r="T402" s="274" t="str">
        <f>VLOOKUP('MIS Working 1'!$S402,Master!E:F,2,0)</f>
        <v>FG-PCB-CF</v>
      </c>
      <c r="U402" s="277">
        <f>'MIS Working 1'!$N402-'MIS Working 1'!$AF402</f>
        <v>67241.360000000219</v>
      </c>
      <c r="V402" s="278">
        <f>'MIS Working 1'!$U402/'MIS Working 1'!$N402</f>
        <v>0.12732842122692317</v>
      </c>
      <c r="W402" s="274">
        <f>'MIS Working 1'!$N402/'MIS Working 1'!$L402</f>
        <v>483.16</v>
      </c>
      <c r="X402" s="279">
        <f>SUM('MIS Working 1'!$Y402:$AE402)</f>
        <v>447.47999999999985</v>
      </c>
      <c r="Y402" s="279">
        <f>SUMIFS('COGS Break up'!$E:$E,'COGS Break up'!$A:$A,'MIS Working 1'!$D402,'COGS Break up'!$D:$D,'MIS Working 1'!$Y$1)</f>
        <v>373.01999999999981</v>
      </c>
      <c r="Z402" s="279">
        <f>SUMIFS('COGS Break up'!$E:$E,'COGS Break up'!$A:$A,'MIS Working 1'!$D402,'COGS Break up'!$D:$D,'MIS Working 1'!$Z$1)</f>
        <v>22</v>
      </c>
      <c r="AA402" s="279">
        <f>SUMIFS('COGS Break up'!E:E,'COGS Break up'!A:A,'MIS Working 1'!$D:$D,'COGS Break up'!C:C,'MIS Working 1'!$AA$1)</f>
        <v>1.8</v>
      </c>
      <c r="AB402" s="279">
        <f>SUMIFS('COGS Break up'!E:E,'COGS Break up'!A:A,'MIS Working 1'!$D:$D,'COGS Break up'!C:C,$AB$1)</f>
        <v>15.99</v>
      </c>
      <c r="AC402" s="279">
        <f>SUMIFS('COGS Break up'!E:E,'COGS Break up'!A:A,'MIS Working 1'!$D:$D,'COGS Break up'!C:C,$AC$1)</f>
        <v>8.31</v>
      </c>
      <c r="AD402" s="279">
        <f>SUMIFS('COGS Break up'!$E:$E,'COGS Break up'!$A:$A,'MIS Working 1'!$D402,'COGS Break up'!$D:$D,'MIS Working 1'!$AD$1)</f>
        <v>0.26</v>
      </c>
      <c r="AE402" s="279">
        <f>SUMIFS('COGS Break up'!$E:$E,'COGS Break up'!$A:$A,'MIS Working 1'!$D402,'COGS Break up'!$D:$D,'MIS Working 1'!$AE$1)</f>
        <v>26.1</v>
      </c>
      <c r="AF402" s="280">
        <f>'MIS Working 1'!$AG402+'MIS Working 1'!$AH402+'MIS Working 1'!$AM402+'MIS Working 1'!$AL402</f>
        <v>460852.51999999979</v>
      </c>
      <c r="AG402" s="279">
        <f>'MIS Working 1'!$L402*'MIS Working 1'!$Y402</f>
        <v>407710.85999999981</v>
      </c>
      <c r="AH402" s="279">
        <f>'MIS Working 1'!$L402*'MIS Working 1'!$Z402</f>
        <v>24046</v>
      </c>
      <c r="AI402" s="279">
        <f t="shared" si="18"/>
        <v>1967.4</v>
      </c>
      <c r="AJ402" s="279">
        <f t="shared" si="19"/>
        <v>17477.07</v>
      </c>
      <c r="AK402" s="279">
        <f t="shared" si="20"/>
        <v>9082.83</v>
      </c>
      <c r="AL402" s="279">
        <f>'MIS Working 1'!$AD402*'MIS Working 1'!$L402</f>
        <v>284.18</v>
      </c>
      <c r="AM402" s="279">
        <f>'MIS Working 1'!$L402*'MIS Working 1'!$AE402+'MIS Working 1'!$AL402</f>
        <v>28811.480000000003</v>
      </c>
    </row>
    <row r="403" spans="1:39" x14ac:dyDescent="0.3">
      <c r="A403" s="263" t="s">
        <v>479</v>
      </c>
      <c r="B403" s="264">
        <v>45964</v>
      </c>
      <c r="C403" s="265" t="s">
        <v>1872</v>
      </c>
      <c r="D403" s="265" t="s">
        <v>1179</v>
      </c>
      <c r="E403" s="265" t="s">
        <v>1180</v>
      </c>
      <c r="F403" s="265" t="s">
        <v>18</v>
      </c>
      <c r="G403" s="265" t="s">
        <v>19</v>
      </c>
      <c r="H403" s="265" t="s">
        <v>27</v>
      </c>
      <c r="I403" s="266">
        <v>175</v>
      </c>
      <c r="J403" s="267">
        <v>73741.5</v>
      </c>
      <c r="K403" s="266">
        <v>175</v>
      </c>
      <c r="L403" s="266">
        <v>175</v>
      </c>
      <c r="M403" s="264">
        <v>45964</v>
      </c>
      <c r="N403" s="267">
        <v>84553</v>
      </c>
      <c r="O403" s="265" t="s">
        <v>21</v>
      </c>
      <c r="P403" s="265" t="s">
        <v>22</v>
      </c>
      <c r="Q403" s="265" t="s">
        <v>660</v>
      </c>
      <c r="R403" s="265" t="str">
        <f>VLOOKUP('MIS Working 1'!$G403,Master!$H$3:$I$8,2,0)</f>
        <v>Finished Goods</v>
      </c>
      <c r="S403" s="265" t="str">
        <f>VLOOKUP('MIS Working 1'!$H403,Master!B:C,2,0)</f>
        <v>FG-PCB-CF</v>
      </c>
      <c r="T403" s="265" t="str">
        <f>VLOOKUP('MIS Working 1'!$S403,Master!E:F,2,0)</f>
        <v>FG-PCB-CF</v>
      </c>
      <c r="U403" s="268">
        <f>'MIS Working 1'!$N403-'MIS Working 1'!$AF403</f>
        <v>10766.000000000029</v>
      </c>
      <c r="V403" s="269">
        <f>'MIS Working 1'!$U403/'MIS Working 1'!$N403</f>
        <v>0.12732842122692312</v>
      </c>
      <c r="W403" s="265">
        <f>'MIS Working 1'!$N403/'MIS Working 1'!$L403</f>
        <v>483.16</v>
      </c>
      <c r="X403" s="270">
        <f>SUM('MIS Working 1'!$Y403:$AE403)</f>
        <v>447.47999999999985</v>
      </c>
      <c r="Y403" s="270">
        <f>SUMIFS('COGS Break up'!$E:$E,'COGS Break up'!$A:$A,'MIS Working 1'!$D403,'COGS Break up'!$D:$D,'MIS Working 1'!$Y$1)</f>
        <v>373.01999999999981</v>
      </c>
      <c r="Z403" s="270">
        <f>SUMIFS('COGS Break up'!$E:$E,'COGS Break up'!$A:$A,'MIS Working 1'!$D403,'COGS Break up'!$D:$D,'MIS Working 1'!$Z$1)</f>
        <v>22</v>
      </c>
      <c r="AA403" s="270">
        <f>SUMIFS('COGS Break up'!E:E,'COGS Break up'!A:A,'MIS Working 1'!$D:$D,'COGS Break up'!C:C,'MIS Working 1'!$AA$1)</f>
        <v>1.8</v>
      </c>
      <c r="AB403" s="270">
        <f>SUMIFS('COGS Break up'!E:E,'COGS Break up'!A:A,'MIS Working 1'!$D:$D,'COGS Break up'!C:C,$AB$1)</f>
        <v>15.99</v>
      </c>
      <c r="AC403" s="270">
        <f>SUMIFS('COGS Break up'!E:E,'COGS Break up'!A:A,'MIS Working 1'!$D:$D,'COGS Break up'!C:C,$AC$1)</f>
        <v>8.31</v>
      </c>
      <c r="AD403" s="270">
        <f>SUMIFS('COGS Break up'!$E:$E,'COGS Break up'!$A:$A,'MIS Working 1'!$D403,'COGS Break up'!$D:$D,'MIS Working 1'!$AD$1)</f>
        <v>0.26</v>
      </c>
      <c r="AE403" s="270">
        <f>SUMIFS('COGS Break up'!$E:$E,'COGS Break up'!$A:$A,'MIS Working 1'!$D403,'COGS Break up'!$D:$D,'MIS Working 1'!$AE$1)</f>
        <v>26.1</v>
      </c>
      <c r="AF403" s="271">
        <f>'MIS Working 1'!$AG403+'MIS Working 1'!$AH403+'MIS Working 1'!$AM403+'MIS Working 1'!$AL403</f>
        <v>73786.999999999971</v>
      </c>
      <c r="AG403" s="270">
        <f>'MIS Working 1'!$L403*'MIS Working 1'!$Y403</f>
        <v>65278.499999999964</v>
      </c>
      <c r="AH403" s="270">
        <f>'MIS Working 1'!$L403*'MIS Working 1'!$Z403</f>
        <v>3850</v>
      </c>
      <c r="AI403" s="270">
        <f t="shared" si="18"/>
        <v>315</v>
      </c>
      <c r="AJ403" s="270">
        <f t="shared" si="19"/>
        <v>2798.25</v>
      </c>
      <c r="AK403" s="270">
        <f t="shared" si="20"/>
        <v>1454.25</v>
      </c>
      <c r="AL403" s="270">
        <f>'MIS Working 1'!$AD403*'MIS Working 1'!$L403</f>
        <v>45.5</v>
      </c>
      <c r="AM403" s="270">
        <f>'MIS Working 1'!$L403*'MIS Working 1'!$AE403+'MIS Working 1'!$AL403</f>
        <v>4613</v>
      </c>
    </row>
    <row r="404" spans="1:39" x14ac:dyDescent="0.3">
      <c r="A404" s="272" t="s">
        <v>479</v>
      </c>
      <c r="B404" s="273">
        <v>45964</v>
      </c>
      <c r="C404" s="274" t="s">
        <v>1873</v>
      </c>
      <c r="D404" s="274" t="s">
        <v>44</v>
      </c>
      <c r="E404" s="274" t="s">
        <v>45</v>
      </c>
      <c r="F404" s="274" t="s">
        <v>18</v>
      </c>
      <c r="G404" s="274" t="s">
        <v>19</v>
      </c>
      <c r="H404" s="274" t="s">
        <v>27</v>
      </c>
      <c r="I404" s="275">
        <v>105</v>
      </c>
      <c r="J404" s="276">
        <v>34358.1</v>
      </c>
      <c r="K404" s="275">
        <v>105</v>
      </c>
      <c r="L404" s="275">
        <v>105</v>
      </c>
      <c r="M404" s="273">
        <v>45964</v>
      </c>
      <c r="N404" s="276">
        <v>35677.949999999997</v>
      </c>
      <c r="O404" s="274" t="s">
        <v>21</v>
      </c>
      <c r="P404" s="274" t="s">
        <v>22</v>
      </c>
      <c r="Q404" s="274" t="s">
        <v>660</v>
      </c>
      <c r="R404" s="274" t="str">
        <f>VLOOKUP('MIS Working 1'!$G404,Master!$H$3:$I$8,2,0)</f>
        <v>Finished Goods</v>
      </c>
      <c r="S404" s="274" t="str">
        <f>VLOOKUP('MIS Working 1'!$H404,Master!B:C,2,0)</f>
        <v>FG-PCB-CF</v>
      </c>
      <c r="T404" s="274" t="str">
        <f>VLOOKUP('MIS Working 1'!$S404,Master!E:F,2,0)</f>
        <v>FG-PCB-CF</v>
      </c>
      <c r="U404" s="277">
        <f>'MIS Working 1'!$N404-'MIS Working 1'!$AF404</f>
        <v>1300.9499999999898</v>
      </c>
      <c r="V404" s="278">
        <f>'MIS Working 1'!$U404/'MIS Working 1'!$N404</f>
        <v>3.6463698166514333E-2</v>
      </c>
      <c r="W404" s="274">
        <f>'MIS Working 1'!$N404/'MIS Working 1'!$L404</f>
        <v>339.78999999999996</v>
      </c>
      <c r="X404" s="279">
        <f>SUM('MIS Working 1'!$Y404:$AE404)</f>
        <v>354.72000000000008</v>
      </c>
      <c r="Y404" s="279">
        <f>SUMIFS('COGS Break up'!$E:$E,'COGS Break up'!$A:$A,'MIS Working 1'!$D404,'COGS Break up'!$D:$D,'MIS Working 1'!$Y$1)</f>
        <v>275.85000000000002</v>
      </c>
      <c r="Z404" s="279">
        <f>SUMIFS('COGS Break up'!$E:$E,'COGS Break up'!$A:$A,'MIS Working 1'!$D404,'COGS Break up'!$D:$D,'MIS Working 1'!$Z$1)</f>
        <v>23.720000000000002</v>
      </c>
      <c r="AA404" s="279">
        <f>SUMIFS('COGS Break up'!E:E,'COGS Break up'!A:A,'MIS Working 1'!$D:$D,'COGS Break up'!C:C,'MIS Working 1'!$AA$1)</f>
        <v>1.94</v>
      </c>
      <c r="AB404" s="279">
        <f>SUMIFS('COGS Break up'!E:E,'COGS Break up'!A:A,'MIS Working 1'!$D:$D,'COGS Break up'!C:C,$AB$1)</f>
        <v>17.239999999999998</v>
      </c>
      <c r="AC404" s="279">
        <f>SUMIFS('COGS Break up'!E:E,'COGS Break up'!A:A,'MIS Working 1'!$D:$D,'COGS Break up'!C:C,$AC$1)</f>
        <v>8.31</v>
      </c>
      <c r="AD404" s="279">
        <f>SUMIFS('COGS Break up'!$E:$E,'COGS Break up'!$A:$A,'MIS Working 1'!$D404,'COGS Break up'!$D:$D,'MIS Working 1'!$AD$1)</f>
        <v>0.17</v>
      </c>
      <c r="AE404" s="279">
        <f>SUMIFS('COGS Break up'!$E:$E,'COGS Break up'!$A:$A,'MIS Working 1'!$D404,'COGS Break up'!$D:$D,'MIS Working 1'!$AE$1)</f>
        <v>27.49</v>
      </c>
      <c r="AF404" s="280">
        <f>'MIS Working 1'!$AG404+'MIS Working 1'!$AH404+'MIS Working 1'!$AM404+'MIS Working 1'!$AL404</f>
        <v>34377.000000000007</v>
      </c>
      <c r="AG404" s="279">
        <f>'MIS Working 1'!$L404*'MIS Working 1'!$Y404</f>
        <v>28964.250000000004</v>
      </c>
      <c r="AH404" s="279">
        <f>'MIS Working 1'!$L404*'MIS Working 1'!$Z404</f>
        <v>2490.6000000000004</v>
      </c>
      <c r="AI404" s="279">
        <f t="shared" si="18"/>
        <v>203.7</v>
      </c>
      <c r="AJ404" s="279">
        <f t="shared" si="19"/>
        <v>1810.1999999999998</v>
      </c>
      <c r="AK404" s="279">
        <f t="shared" si="20"/>
        <v>872.55000000000007</v>
      </c>
      <c r="AL404" s="279">
        <f>'MIS Working 1'!$AD404*'MIS Working 1'!$L404</f>
        <v>17.850000000000001</v>
      </c>
      <c r="AM404" s="279">
        <f>'MIS Working 1'!$L404*'MIS Working 1'!$AE404+'MIS Working 1'!$AL404</f>
        <v>2904.2999999999997</v>
      </c>
    </row>
    <row r="405" spans="1:39" x14ac:dyDescent="0.3">
      <c r="A405" s="263" t="s">
        <v>479</v>
      </c>
      <c r="B405" s="264">
        <v>45964</v>
      </c>
      <c r="C405" s="265" t="s">
        <v>1874</v>
      </c>
      <c r="D405" s="265" t="s">
        <v>639</v>
      </c>
      <c r="E405" s="265" t="s">
        <v>640</v>
      </c>
      <c r="F405" s="265" t="s">
        <v>18</v>
      </c>
      <c r="G405" s="265" t="s">
        <v>19</v>
      </c>
      <c r="H405" s="265" t="s">
        <v>27</v>
      </c>
      <c r="I405" s="266">
        <v>280</v>
      </c>
      <c r="J405" s="267">
        <v>180608.4</v>
      </c>
      <c r="K405" s="266">
        <v>280</v>
      </c>
      <c r="L405" s="266">
        <v>280</v>
      </c>
      <c r="M405" s="264">
        <v>45964</v>
      </c>
      <c r="N405" s="267">
        <v>203996.79999999999</v>
      </c>
      <c r="O405" s="265" t="s">
        <v>21</v>
      </c>
      <c r="P405" s="265" t="s">
        <v>22</v>
      </c>
      <c r="Q405" s="265" t="s">
        <v>660</v>
      </c>
      <c r="R405" s="265" t="str">
        <f>VLOOKUP('MIS Working 1'!$G405,Master!$H$3:$I$8,2,0)</f>
        <v>Finished Goods</v>
      </c>
      <c r="S405" s="265" t="str">
        <f>VLOOKUP('MIS Working 1'!$H405,Master!B:C,2,0)</f>
        <v>FG-PCB-CF</v>
      </c>
      <c r="T405" s="265" t="str">
        <f>VLOOKUP('MIS Working 1'!$S405,Master!E:F,2,0)</f>
        <v>FG-PCB-CF</v>
      </c>
      <c r="U405" s="268">
        <f>'MIS Working 1'!$N405-'MIS Working 1'!$AF405</f>
        <v>23268.000000000116</v>
      </c>
      <c r="V405" s="269">
        <f>'MIS Working 1'!$U405/'MIS Working 1'!$N405</f>
        <v>0.11406061271549416</v>
      </c>
      <c r="W405" s="265">
        <f>'MIS Working 1'!$N405/'MIS Working 1'!$L405</f>
        <v>728.56</v>
      </c>
      <c r="X405" s="270">
        <f>SUM('MIS Working 1'!$Y405:$AE405)</f>
        <v>677.50999999999965</v>
      </c>
      <c r="Y405" s="270">
        <f>SUMIFS('COGS Break up'!$E:$E,'COGS Break up'!$A:$A,'MIS Working 1'!$D405,'COGS Break up'!$D:$D,'MIS Working 1'!$Y$1)</f>
        <v>582.23999999999967</v>
      </c>
      <c r="Z405" s="270">
        <f>SUMIFS('COGS Break up'!$E:$E,'COGS Break up'!$A:$A,'MIS Working 1'!$D405,'COGS Break up'!$D:$D,'MIS Working 1'!$Z$1)</f>
        <v>29.88</v>
      </c>
      <c r="AA405" s="270">
        <f>SUMIFS('COGS Break up'!E:E,'COGS Break up'!A:A,'MIS Working 1'!$D:$D,'COGS Break up'!C:C,'MIS Working 1'!$AA$1)</f>
        <v>2.4500000000000002</v>
      </c>
      <c r="AB405" s="270">
        <f>SUMIFS('COGS Break up'!E:E,'COGS Break up'!A:A,'MIS Working 1'!$D:$D,'COGS Break up'!C:C,$AB$1)</f>
        <v>21.72</v>
      </c>
      <c r="AC405" s="270">
        <f>SUMIFS('COGS Break up'!E:E,'COGS Break up'!A:A,'MIS Working 1'!$D:$D,'COGS Break up'!C:C,$AC$1)</f>
        <v>8.31</v>
      </c>
      <c r="AD405" s="270">
        <f>SUMIFS('COGS Break up'!$E:$E,'COGS Break up'!$A:$A,'MIS Working 1'!$D405,'COGS Break up'!$D:$D,'MIS Working 1'!$AD$1)</f>
        <v>0.43</v>
      </c>
      <c r="AE405" s="270">
        <f>SUMIFS('COGS Break up'!$E:$E,'COGS Break up'!$A:$A,'MIS Working 1'!$D405,'COGS Break up'!$D:$D,'MIS Working 1'!$AE$1)</f>
        <v>32.480000000000004</v>
      </c>
      <c r="AF405" s="271">
        <f>'MIS Working 1'!$AG405+'MIS Working 1'!$AH405+'MIS Working 1'!$AM405+'MIS Working 1'!$AL405</f>
        <v>180728.79999999987</v>
      </c>
      <c r="AG405" s="270">
        <f>'MIS Working 1'!$L405*'MIS Working 1'!$Y405</f>
        <v>163027.1999999999</v>
      </c>
      <c r="AH405" s="270">
        <f>'MIS Working 1'!$L405*'MIS Working 1'!$Z405</f>
        <v>8366.4</v>
      </c>
      <c r="AI405" s="270">
        <f t="shared" si="18"/>
        <v>686</v>
      </c>
      <c r="AJ405" s="270">
        <f t="shared" si="19"/>
        <v>6081.5999999999995</v>
      </c>
      <c r="AK405" s="270">
        <f t="shared" si="20"/>
        <v>2326.8000000000002</v>
      </c>
      <c r="AL405" s="270">
        <f>'MIS Working 1'!$AD405*'MIS Working 1'!$L405</f>
        <v>120.39999999999999</v>
      </c>
      <c r="AM405" s="270">
        <f>'MIS Working 1'!$L405*'MIS Working 1'!$AE405+'MIS Working 1'!$AL405</f>
        <v>9214.8000000000011</v>
      </c>
    </row>
    <row r="406" spans="1:39" x14ac:dyDescent="0.3">
      <c r="A406" s="272" t="s">
        <v>479</v>
      </c>
      <c r="B406" s="273">
        <v>45964</v>
      </c>
      <c r="C406" s="274" t="s">
        <v>1873</v>
      </c>
      <c r="D406" s="274" t="s">
        <v>639</v>
      </c>
      <c r="E406" s="274" t="s">
        <v>640</v>
      </c>
      <c r="F406" s="274" t="s">
        <v>18</v>
      </c>
      <c r="G406" s="274" t="s">
        <v>19</v>
      </c>
      <c r="H406" s="274" t="s">
        <v>27</v>
      </c>
      <c r="I406" s="275">
        <v>135</v>
      </c>
      <c r="J406" s="276">
        <v>87079.05</v>
      </c>
      <c r="K406" s="275">
        <v>135</v>
      </c>
      <c r="L406" s="275">
        <v>135</v>
      </c>
      <c r="M406" s="273">
        <v>45964</v>
      </c>
      <c r="N406" s="276">
        <v>98355.6</v>
      </c>
      <c r="O406" s="274" t="s">
        <v>21</v>
      </c>
      <c r="P406" s="274" t="s">
        <v>22</v>
      </c>
      <c r="Q406" s="274" t="s">
        <v>660</v>
      </c>
      <c r="R406" s="274" t="str">
        <f>VLOOKUP('MIS Working 1'!$G406,Master!$H$3:$I$8,2,0)</f>
        <v>Finished Goods</v>
      </c>
      <c r="S406" s="274" t="str">
        <f>VLOOKUP('MIS Working 1'!$H406,Master!B:C,2,0)</f>
        <v>FG-PCB-CF</v>
      </c>
      <c r="T406" s="274" t="str">
        <f>VLOOKUP('MIS Working 1'!$S406,Master!E:F,2,0)</f>
        <v>FG-PCB-CF</v>
      </c>
      <c r="U406" s="277">
        <f>'MIS Working 1'!$N406-'MIS Working 1'!$AF406</f>
        <v>11218.500000000044</v>
      </c>
      <c r="V406" s="278">
        <f>'MIS Working 1'!$U406/'MIS Working 1'!$N406</f>
        <v>0.11406061271549402</v>
      </c>
      <c r="W406" s="274">
        <f>'MIS Working 1'!$N406/'MIS Working 1'!$L406</f>
        <v>728.56000000000006</v>
      </c>
      <c r="X406" s="279">
        <f>SUM('MIS Working 1'!$Y406:$AE406)</f>
        <v>677.50999999999965</v>
      </c>
      <c r="Y406" s="279">
        <f>SUMIFS('COGS Break up'!$E:$E,'COGS Break up'!$A:$A,'MIS Working 1'!$D406,'COGS Break up'!$D:$D,'MIS Working 1'!$Y$1)</f>
        <v>582.23999999999967</v>
      </c>
      <c r="Z406" s="279">
        <f>SUMIFS('COGS Break up'!$E:$E,'COGS Break up'!$A:$A,'MIS Working 1'!$D406,'COGS Break up'!$D:$D,'MIS Working 1'!$Z$1)</f>
        <v>29.88</v>
      </c>
      <c r="AA406" s="279">
        <f>SUMIFS('COGS Break up'!E:E,'COGS Break up'!A:A,'MIS Working 1'!$D:$D,'COGS Break up'!C:C,'MIS Working 1'!$AA$1)</f>
        <v>2.4500000000000002</v>
      </c>
      <c r="AB406" s="279">
        <f>SUMIFS('COGS Break up'!E:E,'COGS Break up'!A:A,'MIS Working 1'!$D:$D,'COGS Break up'!C:C,$AB$1)</f>
        <v>21.72</v>
      </c>
      <c r="AC406" s="279">
        <f>SUMIFS('COGS Break up'!E:E,'COGS Break up'!A:A,'MIS Working 1'!$D:$D,'COGS Break up'!C:C,$AC$1)</f>
        <v>8.31</v>
      </c>
      <c r="AD406" s="279">
        <f>SUMIFS('COGS Break up'!$E:$E,'COGS Break up'!$A:$A,'MIS Working 1'!$D406,'COGS Break up'!$D:$D,'MIS Working 1'!$AD$1)</f>
        <v>0.43</v>
      </c>
      <c r="AE406" s="279">
        <f>SUMIFS('COGS Break up'!$E:$E,'COGS Break up'!$A:$A,'MIS Working 1'!$D406,'COGS Break up'!$D:$D,'MIS Working 1'!$AE$1)</f>
        <v>32.480000000000004</v>
      </c>
      <c r="AF406" s="280">
        <f>'MIS Working 1'!$AG406+'MIS Working 1'!$AH406+'MIS Working 1'!$AM406+'MIS Working 1'!$AL406</f>
        <v>87137.099999999962</v>
      </c>
      <c r="AG406" s="279">
        <f>'MIS Working 1'!$L406*'MIS Working 1'!$Y406</f>
        <v>78602.399999999951</v>
      </c>
      <c r="AH406" s="279">
        <f>'MIS Working 1'!$L406*'MIS Working 1'!$Z406</f>
        <v>4033.7999999999997</v>
      </c>
      <c r="AI406" s="279">
        <f t="shared" si="18"/>
        <v>330.75</v>
      </c>
      <c r="AJ406" s="279">
        <f t="shared" si="19"/>
        <v>2932.2</v>
      </c>
      <c r="AK406" s="279">
        <f t="shared" si="20"/>
        <v>1121.8500000000001</v>
      </c>
      <c r="AL406" s="279">
        <f>'MIS Working 1'!$AD406*'MIS Working 1'!$L406</f>
        <v>58.05</v>
      </c>
      <c r="AM406" s="279">
        <f>'MIS Working 1'!$L406*'MIS Working 1'!$AE406+'MIS Working 1'!$AL406</f>
        <v>4442.8500000000004</v>
      </c>
    </row>
    <row r="407" spans="1:39" x14ac:dyDescent="0.3">
      <c r="A407" s="263" t="s">
        <v>479</v>
      </c>
      <c r="B407" s="264">
        <v>45964</v>
      </c>
      <c r="C407" s="265" t="s">
        <v>1874</v>
      </c>
      <c r="D407" s="265" t="s">
        <v>42</v>
      </c>
      <c r="E407" s="265" t="s">
        <v>43</v>
      </c>
      <c r="F407" s="265" t="s">
        <v>18</v>
      </c>
      <c r="G407" s="265" t="s">
        <v>19</v>
      </c>
      <c r="H407" s="265" t="s">
        <v>27</v>
      </c>
      <c r="I407" s="266">
        <v>1120</v>
      </c>
      <c r="J407" s="267">
        <v>366385.6</v>
      </c>
      <c r="K407" s="266">
        <v>1120</v>
      </c>
      <c r="L407" s="266">
        <v>1120</v>
      </c>
      <c r="M407" s="264">
        <v>45964</v>
      </c>
      <c r="N407" s="267">
        <v>381998.4</v>
      </c>
      <c r="O407" s="265" t="s">
        <v>21</v>
      </c>
      <c r="P407" s="265" t="s">
        <v>22</v>
      </c>
      <c r="Q407" s="265" t="s">
        <v>660</v>
      </c>
      <c r="R407" s="265" t="str">
        <f>VLOOKUP('MIS Working 1'!$G407,Master!$H$3:$I$8,2,0)</f>
        <v>Finished Goods</v>
      </c>
      <c r="S407" s="265" t="str">
        <f>VLOOKUP('MIS Working 1'!$H407,Master!B:C,2,0)</f>
        <v>FG-PCB-CF</v>
      </c>
      <c r="T407" s="265" t="str">
        <f>VLOOKUP('MIS Working 1'!$S407,Master!E:F,2,0)</f>
        <v>FG-PCB-CF</v>
      </c>
      <c r="U407" s="268">
        <f>'MIS Working 1'!$N407-'MIS Working 1'!$AF407</f>
        <v>15422.399999999965</v>
      </c>
      <c r="V407" s="269">
        <f>'MIS Working 1'!$U407/'MIS Working 1'!$N407</f>
        <v>4.0372943970445857E-2</v>
      </c>
      <c r="W407" s="265">
        <f>'MIS Working 1'!$N407/'MIS Working 1'!$L407</f>
        <v>341.07</v>
      </c>
      <c r="X407" s="270">
        <f>SUM('MIS Working 1'!$Y407:$AE407)</f>
        <v>353.55</v>
      </c>
      <c r="Y407" s="270">
        <f>SUMIFS('COGS Break up'!$E:$E,'COGS Break up'!$A:$A,'MIS Working 1'!$D407,'COGS Break up'!$D:$D,'MIS Working 1'!$Y$1)</f>
        <v>278.14000000000004</v>
      </c>
      <c r="Z407" s="270">
        <f>SUMIFS('COGS Break up'!$E:$E,'COGS Break up'!$A:$A,'MIS Working 1'!$D407,'COGS Break up'!$D:$D,'MIS Working 1'!$Z$1)</f>
        <v>22.400000000000002</v>
      </c>
      <c r="AA407" s="270">
        <f>SUMIFS('COGS Break up'!E:E,'COGS Break up'!A:A,'MIS Working 1'!$D:$D,'COGS Break up'!C:C,'MIS Working 1'!$AA$1)</f>
        <v>1.8299999999999998</v>
      </c>
      <c r="AB407" s="270">
        <f>SUMIFS('COGS Break up'!E:E,'COGS Break up'!A:A,'MIS Working 1'!$D:$D,'COGS Break up'!C:C,$AB$1)</f>
        <v>16.28</v>
      </c>
      <c r="AC407" s="270">
        <f>SUMIFS('COGS Break up'!E:E,'COGS Break up'!A:A,'MIS Working 1'!$D:$D,'COGS Break up'!C:C,$AC$1)</f>
        <v>8.31</v>
      </c>
      <c r="AD407" s="270">
        <f>SUMIFS('COGS Break up'!$E:$E,'COGS Break up'!$A:$A,'MIS Working 1'!$D407,'COGS Break up'!$D:$D,'MIS Working 1'!$AD$1)</f>
        <v>0.17</v>
      </c>
      <c r="AE407" s="270">
        <f>SUMIFS('COGS Break up'!$E:$E,'COGS Break up'!$A:$A,'MIS Working 1'!$D407,'COGS Break up'!$D:$D,'MIS Working 1'!$AE$1)</f>
        <v>26.42</v>
      </c>
      <c r="AF407" s="271">
        <f>'MIS Working 1'!$AG407+'MIS Working 1'!$AH407+'MIS Working 1'!$AM407+'MIS Working 1'!$AL407</f>
        <v>366576.00000000006</v>
      </c>
      <c r="AG407" s="270">
        <f>'MIS Working 1'!$L407*'MIS Working 1'!$Y407</f>
        <v>311516.80000000005</v>
      </c>
      <c r="AH407" s="270">
        <f>'MIS Working 1'!$L407*'MIS Working 1'!$Z407</f>
        <v>25088.000000000004</v>
      </c>
      <c r="AI407" s="270">
        <f t="shared" si="18"/>
        <v>2049.6</v>
      </c>
      <c r="AJ407" s="270">
        <f t="shared" si="19"/>
        <v>18233.600000000002</v>
      </c>
      <c r="AK407" s="270">
        <f t="shared" si="20"/>
        <v>9307.2000000000007</v>
      </c>
      <c r="AL407" s="270">
        <f>'MIS Working 1'!$AD407*'MIS Working 1'!$L407</f>
        <v>190.4</v>
      </c>
      <c r="AM407" s="270">
        <f>'MIS Working 1'!$L407*'MIS Working 1'!$AE407+'MIS Working 1'!$AL407</f>
        <v>29780.800000000003</v>
      </c>
    </row>
    <row r="408" spans="1:39" x14ac:dyDescent="0.3">
      <c r="A408" s="272" t="s">
        <v>479</v>
      </c>
      <c r="B408" s="273">
        <v>45964</v>
      </c>
      <c r="C408" s="274" t="s">
        <v>1875</v>
      </c>
      <c r="D408" s="274" t="s">
        <v>378</v>
      </c>
      <c r="E408" s="274" t="s">
        <v>379</v>
      </c>
      <c r="F408" s="274" t="s">
        <v>18</v>
      </c>
      <c r="G408" s="274" t="s">
        <v>19</v>
      </c>
      <c r="H408" s="274" t="s">
        <v>27</v>
      </c>
      <c r="I408" s="275">
        <v>140</v>
      </c>
      <c r="J408" s="276">
        <v>45528</v>
      </c>
      <c r="K408" s="275">
        <v>140</v>
      </c>
      <c r="L408" s="275">
        <v>140</v>
      </c>
      <c r="M408" s="273">
        <v>45964</v>
      </c>
      <c r="N408" s="276">
        <v>50898.400000000001</v>
      </c>
      <c r="O408" s="274" t="s">
        <v>21</v>
      </c>
      <c r="P408" s="274" t="s">
        <v>22</v>
      </c>
      <c r="Q408" s="274" t="s">
        <v>660</v>
      </c>
      <c r="R408" s="274" t="str">
        <f>VLOOKUP('MIS Working 1'!$G408,Master!$H$3:$I$8,2,0)</f>
        <v>Finished Goods</v>
      </c>
      <c r="S408" s="274" t="str">
        <f>VLOOKUP('MIS Working 1'!$H408,Master!B:C,2,0)</f>
        <v>FG-PCB-CF</v>
      </c>
      <c r="T408" s="274" t="str">
        <f>VLOOKUP('MIS Working 1'!$S408,Master!E:F,2,0)</f>
        <v>FG-PCB-CF</v>
      </c>
      <c r="U408" s="277">
        <f>'MIS Working 1'!$N408-'MIS Working 1'!$AF408</f>
        <v>5334.0000000000073</v>
      </c>
      <c r="V408" s="278">
        <f>'MIS Working 1'!$U408/'MIS Working 1'!$N408</f>
        <v>0.10479700737154816</v>
      </c>
      <c r="W408" s="274">
        <f>'MIS Working 1'!$N408/'MIS Working 1'!$L408</f>
        <v>363.56</v>
      </c>
      <c r="X408" s="279">
        <f>SUM('MIS Working 1'!$Y408:$AE408)</f>
        <v>354.76999999999992</v>
      </c>
      <c r="Y408" s="279">
        <f>SUMIFS('COGS Break up'!$E:$E,'COGS Break up'!$A:$A,'MIS Working 1'!$D408,'COGS Break up'!$D:$D,'MIS Working 1'!$Y$1)</f>
        <v>271.52999999999997</v>
      </c>
      <c r="Z408" s="279">
        <f>SUMIFS('COGS Break up'!$E:$E,'COGS Break up'!$A:$A,'MIS Working 1'!$D408,'COGS Break up'!$D:$D,'MIS Working 1'!$Z$1)</f>
        <v>23.84</v>
      </c>
      <c r="AA408" s="279">
        <f>SUMIFS('COGS Break up'!E:E,'COGS Break up'!A:A,'MIS Working 1'!$D:$D,'COGS Break up'!C:C,'MIS Working 1'!$AA$1)</f>
        <v>1.9500000000000002</v>
      </c>
      <c r="AB408" s="279">
        <f>SUMIFS('COGS Break up'!E:E,'COGS Break up'!A:A,'MIS Working 1'!$D:$D,'COGS Break up'!C:C,$AB$1)</f>
        <v>17.329999999999998</v>
      </c>
      <c r="AC408" s="279">
        <f>SUMIFS('COGS Break up'!E:E,'COGS Break up'!A:A,'MIS Working 1'!$D:$D,'COGS Break up'!C:C,$AC$1)</f>
        <v>10.29</v>
      </c>
      <c r="AD408" s="279">
        <f>SUMIFS('COGS Break up'!$E:$E,'COGS Break up'!$A:$A,'MIS Working 1'!$D408,'COGS Break up'!$D:$D,'MIS Working 1'!$AD$1)</f>
        <v>0.26</v>
      </c>
      <c r="AE408" s="279">
        <f>SUMIFS('COGS Break up'!$E:$E,'COGS Break up'!$A:$A,'MIS Working 1'!$D408,'COGS Break up'!$D:$D,'MIS Working 1'!$AE$1)</f>
        <v>29.569999999999997</v>
      </c>
      <c r="AF408" s="280">
        <f>'MIS Working 1'!$AG408+'MIS Working 1'!$AH408+'MIS Working 1'!$AM408+'MIS Working 1'!$AL408</f>
        <v>45564.399999999994</v>
      </c>
      <c r="AG408" s="279">
        <f>'MIS Working 1'!$L408*'MIS Working 1'!$Y408</f>
        <v>38014.199999999997</v>
      </c>
      <c r="AH408" s="279">
        <f>'MIS Working 1'!$L408*'MIS Working 1'!$Z408</f>
        <v>3337.6</v>
      </c>
      <c r="AI408" s="279">
        <f t="shared" si="18"/>
        <v>273</v>
      </c>
      <c r="AJ408" s="279">
        <f t="shared" si="19"/>
        <v>2426.1999999999998</v>
      </c>
      <c r="AK408" s="279">
        <f t="shared" si="20"/>
        <v>1440.6</v>
      </c>
      <c r="AL408" s="279">
        <f>'MIS Working 1'!$AD408*'MIS Working 1'!$L408</f>
        <v>36.4</v>
      </c>
      <c r="AM408" s="279">
        <f>'MIS Working 1'!$L408*'MIS Working 1'!$AE408+'MIS Working 1'!$AL408</f>
        <v>4176.1999999999989</v>
      </c>
    </row>
    <row r="409" spans="1:39" x14ac:dyDescent="0.3">
      <c r="A409" s="263" t="s">
        <v>479</v>
      </c>
      <c r="B409" s="264">
        <v>45964</v>
      </c>
      <c r="C409" s="265" t="s">
        <v>1876</v>
      </c>
      <c r="D409" s="265" t="s">
        <v>378</v>
      </c>
      <c r="E409" s="265" t="s">
        <v>379</v>
      </c>
      <c r="F409" s="265" t="s">
        <v>18</v>
      </c>
      <c r="G409" s="265" t="s">
        <v>19</v>
      </c>
      <c r="H409" s="265" t="s">
        <v>27</v>
      </c>
      <c r="I409" s="266">
        <v>300</v>
      </c>
      <c r="J409" s="267">
        <v>97560</v>
      </c>
      <c r="K409" s="266">
        <v>300</v>
      </c>
      <c r="L409" s="266">
        <v>300</v>
      </c>
      <c r="M409" s="264">
        <v>45964</v>
      </c>
      <c r="N409" s="267">
        <v>109068</v>
      </c>
      <c r="O409" s="265" t="s">
        <v>21</v>
      </c>
      <c r="P409" s="265" t="s">
        <v>22</v>
      </c>
      <c r="Q409" s="265" t="s">
        <v>660</v>
      </c>
      <c r="R409" s="265" t="str">
        <f>VLOOKUP('MIS Working 1'!$G409,Master!$H$3:$I$8,2,0)</f>
        <v>Finished Goods</v>
      </c>
      <c r="S409" s="265" t="str">
        <f>VLOOKUP('MIS Working 1'!$H409,Master!B:C,2,0)</f>
        <v>FG-PCB-CF</v>
      </c>
      <c r="T409" s="265" t="str">
        <f>VLOOKUP('MIS Working 1'!$S409,Master!E:F,2,0)</f>
        <v>FG-PCB-CF</v>
      </c>
      <c r="U409" s="268">
        <f>'MIS Working 1'!$N409-'MIS Working 1'!$AF409</f>
        <v>11430.000000000015</v>
      </c>
      <c r="V409" s="269">
        <f>'MIS Working 1'!$U409/'MIS Working 1'!$N409</f>
        <v>0.10479700737154816</v>
      </c>
      <c r="W409" s="265">
        <f>'MIS Working 1'!$N409/'MIS Working 1'!$L409</f>
        <v>363.56</v>
      </c>
      <c r="X409" s="270">
        <f>SUM('MIS Working 1'!$Y409:$AE409)</f>
        <v>354.76999999999992</v>
      </c>
      <c r="Y409" s="270">
        <f>SUMIFS('COGS Break up'!$E:$E,'COGS Break up'!$A:$A,'MIS Working 1'!$D409,'COGS Break up'!$D:$D,'MIS Working 1'!$Y$1)</f>
        <v>271.52999999999997</v>
      </c>
      <c r="Z409" s="270">
        <f>SUMIFS('COGS Break up'!$E:$E,'COGS Break up'!$A:$A,'MIS Working 1'!$D409,'COGS Break up'!$D:$D,'MIS Working 1'!$Z$1)</f>
        <v>23.84</v>
      </c>
      <c r="AA409" s="270">
        <f>SUMIFS('COGS Break up'!E:E,'COGS Break up'!A:A,'MIS Working 1'!$D:$D,'COGS Break up'!C:C,'MIS Working 1'!$AA$1)</f>
        <v>1.9500000000000002</v>
      </c>
      <c r="AB409" s="270">
        <f>SUMIFS('COGS Break up'!E:E,'COGS Break up'!A:A,'MIS Working 1'!$D:$D,'COGS Break up'!C:C,$AB$1)</f>
        <v>17.329999999999998</v>
      </c>
      <c r="AC409" s="270">
        <f>SUMIFS('COGS Break up'!E:E,'COGS Break up'!A:A,'MIS Working 1'!$D:$D,'COGS Break up'!C:C,$AC$1)</f>
        <v>10.29</v>
      </c>
      <c r="AD409" s="270">
        <f>SUMIFS('COGS Break up'!$E:$E,'COGS Break up'!$A:$A,'MIS Working 1'!$D409,'COGS Break up'!$D:$D,'MIS Working 1'!$AD$1)</f>
        <v>0.26</v>
      </c>
      <c r="AE409" s="270">
        <f>SUMIFS('COGS Break up'!$E:$E,'COGS Break up'!$A:$A,'MIS Working 1'!$D409,'COGS Break up'!$D:$D,'MIS Working 1'!$AE$1)</f>
        <v>29.569999999999997</v>
      </c>
      <c r="AF409" s="271">
        <f>'MIS Working 1'!$AG409+'MIS Working 1'!$AH409+'MIS Working 1'!$AM409+'MIS Working 1'!$AL409</f>
        <v>97637.999999999985</v>
      </c>
      <c r="AG409" s="270">
        <f>'MIS Working 1'!$L409*'MIS Working 1'!$Y409</f>
        <v>81458.999999999985</v>
      </c>
      <c r="AH409" s="270">
        <f>'MIS Working 1'!$L409*'MIS Working 1'!$Z409</f>
        <v>7152</v>
      </c>
      <c r="AI409" s="270">
        <f t="shared" si="18"/>
        <v>585</v>
      </c>
      <c r="AJ409" s="270">
        <f t="shared" si="19"/>
        <v>5198.9999999999991</v>
      </c>
      <c r="AK409" s="270">
        <f t="shared" si="20"/>
        <v>3086.9999999999995</v>
      </c>
      <c r="AL409" s="270">
        <f>'MIS Working 1'!$AD409*'MIS Working 1'!$L409</f>
        <v>78</v>
      </c>
      <c r="AM409" s="270">
        <f>'MIS Working 1'!$L409*'MIS Working 1'!$AE409+'MIS Working 1'!$AL409</f>
        <v>8948.9999999999982</v>
      </c>
    </row>
    <row r="410" spans="1:39" x14ac:dyDescent="0.3">
      <c r="A410" s="272" t="s">
        <v>479</v>
      </c>
      <c r="B410" s="273">
        <v>45964</v>
      </c>
      <c r="C410" s="274" t="s">
        <v>1873</v>
      </c>
      <c r="D410" s="274" t="s">
        <v>378</v>
      </c>
      <c r="E410" s="274" t="s">
        <v>379</v>
      </c>
      <c r="F410" s="274" t="s">
        <v>18</v>
      </c>
      <c r="G410" s="274" t="s">
        <v>19</v>
      </c>
      <c r="H410" s="274" t="s">
        <v>27</v>
      </c>
      <c r="I410" s="275">
        <v>335</v>
      </c>
      <c r="J410" s="276">
        <v>108942</v>
      </c>
      <c r="K410" s="275">
        <v>335</v>
      </c>
      <c r="L410" s="275">
        <v>335</v>
      </c>
      <c r="M410" s="273">
        <v>45964</v>
      </c>
      <c r="N410" s="276">
        <v>121792.6</v>
      </c>
      <c r="O410" s="274" t="s">
        <v>21</v>
      </c>
      <c r="P410" s="274" t="s">
        <v>22</v>
      </c>
      <c r="Q410" s="274" t="s">
        <v>660</v>
      </c>
      <c r="R410" s="274" t="str">
        <f>VLOOKUP('MIS Working 1'!$G410,Master!$H$3:$I$8,2,0)</f>
        <v>Finished Goods</v>
      </c>
      <c r="S410" s="274" t="str">
        <f>VLOOKUP('MIS Working 1'!$H410,Master!B:C,2,0)</f>
        <v>FG-PCB-CF</v>
      </c>
      <c r="T410" s="274" t="str">
        <f>VLOOKUP('MIS Working 1'!$S410,Master!E:F,2,0)</f>
        <v>FG-PCB-CF</v>
      </c>
      <c r="U410" s="277">
        <f>'MIS Working 1'!$N410-'MIS Working 1'!$AF410</f>
        <v>12763.500000000015</v>
      </c>
      <c r="V410" s="278">
        <f>'MIS Working 1'!$U410/'MIS Working 1'!$N410</f>
        <v>0.10479700737154814</v>
      </c>
      <c r="W410" s="274">
        <f>'MIS Working 1'!$N410/'MIS Working 1'!$L410</f>
        <v>363.56</v>
      </c>
      <c r="X410" s="279">
        <f>SUM('MIS Working 1'!$Y410:$AE410)</f>
        <v>354.76999999999992</v>
      </c>
      <c r="Y410" s="279">
        <f>SUMIFS('COGS Break up'!$E:$E,'COGS Break up'!$A:$A,'MIS Working 1'!$D410,'COGS Break up'!$D:$D,'MIS Working 1'!$Y$1)</f>
        <v>271.52999999999997</v>
      </c>
      <c r="Z410" s="279">
        <f>SUMIFS('COGS Break up'!$E:$E,'COGS Break up'!$A:$A,'MIS Working 1'!$D410,'COGS Break up'!$D:$D,'MIS Working 1'!$Z$1)</f>
        <v>23.84</v>
      </c>
      <c r="AA410" s="279">
        <f>SUMIFS('COGS Break up'!E:E,'COGS Break up'!A:A,'MIS Working 1'!$D:$D,'COGS Break up'!C:C,'MIS Working 1'!$AA$1)</f>
        <v>1.9500000000000002</v>
      </c>
      <c r="AB410" s="279">
        <f>SUMIFS('COGS Break up'!E:E,'COGS Break up'!A:A,'MIS Working 1'!$D:$D,'COGS Break up'!C:C,$AB$1)</f>
        <v>17.329999999999998</v>
      </c>
      <c r="AC410" s="279">
        <f>SUMIFS('COGS Break up'!E:E,'COGS Break up'!A:A,'MIS Working 1'!$D:$D,'COGS Break up'!C:C,$AC$1)</f>
        <v>10.29</v>
      </c>
      <c r="AD410" s="279">
        <f>SUMIFS('COGS Break up'!$E:$E,'COGS Break up'!$A:$A,'MIS Working 1'!$D410,'COGS Break up'!$D:$D,'MIS Working 1'!$AD$1)</f>
        <v>0.26</v>
      </c>
      <c r="AE410" s="279">
        <f>SUMIFS('COGS Break up'!$E:$E,'COGS Break up'!$A:$A,'MIS Working 1'!$D410,'COGS Break up'!$D:$D,'MIS Working 1'!$AE$1)</f>
        <v>29.569999999999997</v>
      </c>
      <c r="AF410" s="280">
        <f>'MIS Working 1'!$AG410+'MIS Working 1'!$AH410+'MIS Working 1'!$AM410+'MIS Working 1'!$AL410</f>
        <v>109029.09999999999</v>
      </c>
      <c r="AG410" s="279">
        <f>'MIS Working 1'!$L410*'MIS Working 1'!$Y410</f>
        <v>90962.549999999988</v>
      </c>
      <c r="AH410" s="279">
        <f>'MIS Working 1'!$L410*'MIS Working 1'!$Z410</f>
        <v>7986.4</v>
      </c>
      <c r="AI410" s="279">
        <f t="shared" si="18"/>
        <v>653.25000000000011</v>
      </c>
      <c r="AJ410" s="279">
        <f t="shared" si="19"/>
        <v>5805.5499999999993</v>
      </c>
      <c r="AK410" s="279">
        <f t="shared" si="20"/>
        <v>3447.1499999999996</v>
      </c>
      <c r="AL410" s="279">
        <f>'MIS Working 1'!$AD410*'MIS Working 1'!$L410</f>
        <v>87.100000000000009</v>
      </c>
      <c r="AM410" s="279">
        <f>'MIS Working 1'!$L410*'MIS Working 1'!$AE410+'MIS Working 1'!$AL410</f>
        <v>9993.0499999999993</v>
      </c>
    </row>
    <row r="411" spans="1:39" x14ac:dyDescent="0.3">
      <c r="A411" s="263" t="s">
        <v>479</v>
      </c>
      <c r="B411" s="264">
        <v>45964</v>
      </c>
      <c r="C411" s="265" t="s">
        <v>1876</v>
      </c>
      <c r="D411" s="265" t="s">
        <v>23</v>
      </c>
      <c r="E411" s="265" t="s">
        <v>24</v>
      </c>
      <c r="F411" s="265" t="s">
        <v>18</v>
      </c>
      <c r="G411" s="265" t="s">
        <v>19</v>
      </c>
      <c r="H411" s="265" t="s">
        <v>27</v>
      </c>
      <c r="I411" s="266">
        <v>1120</v>
      </c>
      <c r="J411" s="267">
        <v>471979.2</v>
      </c>
      <c r="K411" s="266">
        <v>1120</v>
      </c>
      <c r="L411" s="266">
        <v>1120</v>
      </c>
      <c r="M411" s="264">
        <v>45964</v>
      </c>
      <c r="N411" s="267">
        <v>541139.19999999995</v>
      </c>
      <c r="O411" s="265" t="s">
        <v>21</v>
      </c>
      <c r="P411" s="265" t="s">
        <v>22</v>
      </c>
      <c r="Q411" s="265" t="s">
        <v>660</v>
      </c>
      <c r="R411" s="265" t="str">
        <f>VLOOKUP('MIS Working 1'!$G411,Master!$H$3:$I$8,2,0)</f>
        <v>Finished Goods</v>
      </c>
      <c r="S411" s="265" t="str">
        <f>VLOOKUP('MIS Working 1'!$H411,Master!B:C,2,0)</f>
        <v>FG-PCB-CF</v>
      </c>
      <c r="T411" s="265" t="str">
        <f>VLOOKUP('MIS Working 1'!$S411,Master!E:F,2,0)</f>
        <v>FG-PCB-CF</v>
      </c>
      <c r="U411" s="268">
        <f>'MIS Working 1'!$N411-'MIS Working 1'!$AF411</f>
        <v>68868.800000000105</v>
      </c>
      <c r="V411" s="269">
        <f>'MIS Working 1'!$U411/'MIS Working 1'!$N411</f>
        <v>0.12726632999420504</v>
      </c>
      <c r="W411" s="265">
        <f>'MIS Working 1'!$N411/'MIS Working 1'!$L411</f>
        <v>483.15999999999997</v>
      </c>
      <c r="X411" s="270">
        <f>SUM('MIS Working 1'!$Y411:$AE411)</f>
        <v>447.50999999999988</v>
      </c>
      <c r="Y411" s="270">
        <f>SUMIFS('COGS Break up'!$E:$E,'COGS Break up'!$A:$A,'MIS Working 1'!$D411,'COGS Break up'!$D:$D,'MIS Working 1'!$Y$1)</f>
        <v>373.04999999999984</v>
      </c>
      <c r="Z411" s="270">
        <f>SUMIFS('COGS Break up'!$E:$E,'COGS Break up'!$A:$A,'MIS Working 1'!$D411,'COGS Break up'!$D:$D,'MIS Working 1'!$Z$1)</f>
        <v>22</v>
      </c>
      <c r="AA411" s="270">
        <f>SUMIFS('COGS Break up'!E:E,'COGS Break up'!A:A,'MIS Working 1'!$D:$D,'COGS Break up'!C:C,'MIS Working 1'!$AA$1)</f>
        <v>1.8</v>
      </c>
      <c r="AB411" s="270">
        <f>SUMIFS('COGS Break up'!E:E,'COGS Break up'!A:A,'MIS Working 1'!$D:$D,'COGS Break up'!C:C,$AB$1)</f>
        <v>15.99</v>
      </c>
      <c r="AC411" s="270">
        <f>SUMIFS('COGS Break up'!E:E,'COGS Break up'!A:A,'MIS Working 1'!$D:$D,'COGS Break up'!C:C,$AC$1)</f>
        <v>8.31</v>
      </c>
      <c r="AD411" s="270">
        <f>SUMIFS('COGS Break up'!$E:$E,'COGS Break up'!$A:$A,'MIS Working 1'!$D411,'COGS Break up'!$D:$D,'MIS Working 1'!$AD$1)</f>
        <v>0.26</v>
      </c>
      <c r="AE411" s="270">
        <f>SUMIFS('COGS Break up'!$E:$E,'COGS Break up'!$A:$A,'MIS Working 1'!$D411,'COGS Break up'!$D:$D,'MIS Working 1'!$AE$1)</f>
        <v>26.1</v>
      </c>
      <c r="AF411" s="271">
        <f>'MIS Working 1'!$AG411+'MIS Working 1'!$AH411+'MIS Working 1'!$AM411+'MIS Working 1'!$AL411</f>
        <v>472270.39999999985</v>
      </c>
      <c r="AG411" s="270">
        <f>'MIS Working 1'!$L411*'MIS Working 1'!$Y411</f>
        <v>417815.99999999983</v>
      </c>
      <c r="AH411" s="270">
        <f>'MIS Working 1'!$L411*'MIS Working 1'!$Z411</f>
        <v>24640</v>
      </c>
      <c r="AI411" s="270">
        <f t="shared" si="18"/>
        <v>2016</v>
      </c>
      <c r="AJ411" s="270">
        <f t="shared" si="19"/>
        <v>17908.8</v>
      </c>
      <c r="AK411" s="270">
        <f t="shared" si="20"/>
        <v>9307.2000000000007</v>
      </c>
      <c r="AL411" s="270">
        <f>'MIS Working 1'!$AD411*'MIS Working 1'!$L411</f>
        <v>291.2</v>
      </c>
      <c r="AM411" s="270">
        <f>'MIS Working 1'!$L411*'MIS Working 1'!$AE411+'MIS Working 1'!$AL411</f>
        <v>29523.200000000001</v>
      </c>
    </row>
    <row r="412" spans="1:39" x14ac:dyDescent="0.3">
      <c r="A412" s="272" t="s">
        <v>479</v>
      </c>
      <c r="B412" s="273">
        <v>45964</v>
      </c>
      <c r="C412" s="274" t="s">
        <v>1875</v>
      </c>
      <c r="D412" s="274" t="s">
        <v>1184</v>
      </c>
      <c r="E412" s="274" t="s">
        <v>1185</v>
      </c>
      <c r="F412" s="274" t="s">
        <v>18</v>
      </c>
      <c r="G412" s="274" t="s">
        <v>19</v>
      </c>
      <c r="H412" s="274" t="s">
        <v>27</v>
      </c>
      <c r="I412" s="275">
        <v>350</v>
      </c>
      <c r="J412" s="276">
        <v>147483</v>
      </c>
      <c r="K412" s="275">
        <v>350</v>
      </c>
      <c r="L412" s="275">
        <v>350</v>
      </c>
      <c r="M412" s="273">
        <v>45964</v>
      </c>
      <c r="N412" s="276">
        <v>169106</v>
      </c>
      <c r="O412" s="274" t="s">
        <v>21</v>
      </c>
      <c r="P412" s="274" t="s">
        <v>22</v>
      </c>
      <c r="Q412" s="274" t="s">
        <v>660</v>
      </c>
      <c r="R412" s="274" t="str">
        <f>VLOOKUP('MIS Working 1'!$G412,Master!$H$3:$I$8,2,0)</f>
        <v>Finished Goods</v>
      </c>
      <c r="S412" s="274" t="str">
        <f>VLOOKUP('MIS Working 1'!$H412,Master!B:C,2,0)</f>
        <v>FG-PCB-CF</v>
      </c>
      <c r="T412" s="274" t="str">
        <f>VLOOKUP('MIS Working 1'!$S412,Master!E:F,2,0)</f>
        <v>FG-PCB-CF</v>
      </c>
      <c r="U412" s="277">
        <f>'MIS Working 1'!$N412-'MIS Working 1'!$AF412</f>
        <v>21532.000000000058</v>
      </c>
      <c r="V412" s="278">
        <f>'MIS Working 1'!$U412/'MIS Working 1'!$N412</f>
        <v>0.12732842122692312</v>
      </c>
      <c r="W412" s="274">
        <f>'MIS Working 1'!$N412/'MIS Working 1'!$L412</f>
        <v>483.16</v>
      </c>
      <c r="X412" s="279">
        <f>SUM('MIS Working 1'!$Y412:$AE412)</f>
        <v>447.47999999999985</v>
      </c>
      <c r="Y412" s="279">
        <f>SUMIFS('COGS Break up'!$E:$E,'COGS Break up'!$A:$A,'MIS Working 1'!$D412,'COGS Break up'!$D:$D,'MIS Working 1'!$Y$1)</f>
        <v>373.01999999999981</v>
      </c>
      <c r="Z412" s="279">
        <f>SUMIFS('COGS Break up'!$E:$E,'COGS Break up'!$A:$A,'MIS Working 1'!$D412,'COGS Break up'!$D:$D,'MIS Working 1'!$Z$1)</f>
        <v>22</v>
      </c>
      <c r="AA412" s="279">
        <f>SUMIFS('COGS Break up'!E:E,'COGS Break up'!A:A,'MIS Working 1'!$D:$D,'COGS Break up'!C:C,'MIS Working 1'!$AA$1)</f>
        <v>1.8</v>
      </c>
      <c r="AB412" s="279">
        <f>SUMIFS('COGS Break up'!E:E,'COGS Break up'!A:A,'MIS Working 1'!$D:$D,'COGS Break up'!C:C,$AB$1)</f>
        <v>15.99</v>
      </c>
      <c r="AC412" s="279">
        <f>SUMIFS('COGS Break up'!E:E,'COGS Break up'!A:A,'MIS Working 1'!$D:$D,'COGS Break up'!C:C,$AC$1)</f>
        <v>8.31</v>
      </c>
      <c r="AD412" s="279">
        <f>SUMIFS('COGS Break up'!$E:$E,'COGS Break up'!$A:$A,'MIS Working 1'!$D412,'COGS Break up'!$D:$D,'MIS Working 1'!$AD$1)</f>
        <v>0.26</v>
      </c>
      <c r="AE412" s="279">
        <f>SUMIFS('COGS Break up'!$E:$E,'COGS Break up'!$A:$A,'MIS Working 1'!$D412,'COGS Break up'!$D:$D,'MIS Working 1'!$AE$1)</f>
        <v>26.1</v>
      </c>
      <c r="AF412" s="280">
        <f>'MIS Working 1'!$AG412+'MIS Working 1'!$AH412+'MIS Working 1'!$AM412+'MIS Working 1'!$AL412</f>
        <v>147573.99999999994</v>
      </c>
      <c r="AG412" s="279">
        <f>'MIS Working 1'!$L412*'MIS Working 1'!$Y412</f>
        <v>130556.99999999993</v>
      </c>
      <c r="AH412" s="279">
        <f>'MIS Working 1'!$L412*'MIS Working 1'!$Z412</f>
        <v>7700</v>
      </c>
      <c r="AI412" s="279">
        <f t="shared" si="18"/>
        <v>630</v>
      </c>
      <c r="AJ412" s="279">
        <f t="shared" si="19"/>
        <v>5596.5</v>
      </c>
      <c r="AK412" s="279">
        <f t="shared" si="20"/>
        <v>2908.5</v>
      </c>
      <c r="AL412" s="279">
        <f>'MIS Working 1'!$AD412*'MIS Working 1'!$L412</f>
        <v>91</v>
      </c>
      <c r="AM412" s="279">
        <f>'MIS Working 1'!$L412*'MIS Working 1'!$AE412+'MIS Working 1'!$AL412</f>
        <v>9226</v>
      </c>
    </row>
    <row r="413" spans="1:39" x14ac:dyDescent="0.3">
      <c r="A413" s="263" t="s">
        <v>479</v>
      </c>
      <c r="B413" s="264">
        <v>45964</v>
      </c>
      <c r="C413" s="265" t="s">
        <v>1873</v>
      </c>
      <c r="D413" s="265" t="s">
        <v>1184</v>
      </c>
      <c r="E413" s="265" t="s">
        <v>1185</v>
      </c>
      <c r="F413" s="265" t="s">
        <v>18</v>
      </c>
      <c r="G413" s="265" t="s">
        <v>19</v>
      </c>
      <c r="H413" s="265" t="s">
        <v>27</v>
      </c>
      <c r="I413" s="266">
        <v>350</v>
      </c>
      <c r="J413" s="267">
        <v>147483</v>
      </c>
      <c r="K413" s="266">
        <v>350</v>
      </c>
      <c r="L413" s="266">
        <v>350</v>
      </c>
      <c r="M413" s="264">
        <v>45964</v>
      </c>
      <c r="N413" s="267">
        <v>169106</v>
      </c>
      <c r="O413" s="265" t="s">
        <v>21</v>
      </c>
      <c r="P413" s="265" t="s">
        <v>22</v>
      </c>
      <c r="Q413" s="265" t="s">
        <v>660</v>
      </c>
      <c r="R413" s="265" t="str">
        <f>VLOOKUP('MIS Working 1'!$G413,Master!$H$3:$I$8,2,0)</f>
        <v>Finished Goods</v>
      </c>
      <c r="S413" s="265" t="str">
        <f>VLOOKUP('MIS Working 1'!$H413,Master!B:C,2,0)</f>
        <v>FG-PCB-CF</v>
      </c>
      <c r="T413" s="265" t="str">
        <f>VLOOKUP('MIS Working 1'!$S413,Master!E:F,2,0)</f>
        <v>FG-PCB-CF</v>
      </c>
      <c r="U413" s="268">
        <f>'MIS Working 1'!$N413-'MIS Working 1'!$AF413</f>
        <v>21532.000000000058</v>
      </c>
      <c r="V413" s="269">
        <f>'MIS Working 1'!$U413/'MIS Working 1'!$N413</f>
        <v>0.12732842122692312</v>
      </c>
      <c r="W413" s="265">
        <f>'MIS Working 1'!$N413/'MIS Working 1'!$L413</f>
        <v>483.16</v>
      </c>
      <c r="X413" s="270">
        <f>SUM('MIS Working 1'!$Y413:$AE413)</f>
        <v>447.47999999999985</v>
      </c>
      <c r="Y413" s="270">
        <f>SUMIFS('COGS Break up'!$E:$E,'COGS Break up'!$A:$A,'MIS Working 1'!$D413,'COGS Break up'!$D:$D,'MIS Working 1'!$Y$1)</f>
        <v>373.01999999999981</v>
      </c>
      <c r="Z413" s="270">
        <f>SUMIFS('COGS Break up'!$E:$E,'COGS Break up'!$A:$A,'MIS Working 1'!$D413,'COGS Break up'!$D:$D,'MIS Working 1'!$Z$1)</f>
        <v>22</v>
      </c>
      <c r="AA413" s="270">
        <f>SUMIFS('COGS Break up'!E:E,'COGS Break up'!A:A,'MIS Working 1'!$D:$D,'COGS Break up'!C:C,'MIS Working 1'!$AA$1)</f>
        <v>1.8</v>
      </c>
      <c r="AB413" s="270">
        <f>SUMIFS('COGS Break up'!E:E,'COGS Break up'!A:A,'MIS Working 1'!$D:$D,'COGS Break up'!C:C,$AB$1)</f>
        <v>15.99</v>
      </c>
      <c r="AC413" s="270">
        <f>SUMIFS('COGS Break up'!E:E,'COGS Break up'!A:A,'MIS Working 1'!$D:$D,'COGS Break up'!C:C,$AC$1)</f>
        <v>8.31</v>
      </c>
      <c r="AD413" s="270">
        <f>SUMIFS('COGS Break up'!$E:$E,'COGS Break up'!$A:$A,'MIS Working 1'!$D413,'COGS Break up'!$D:$D,'MIS Working 1'!$AD$1)</f>
        <v>0.26</v>
      </c>
      <c r="AE413" s="270">
        <f>SUMIFS('COGS Break up'!$E:$E,'COGS Break up'!$A:$A,'MIS Working 1'!$D413,'COGS Break up'!$D:$D,'MIS Working 1'!$AE$1)</f>
        <v>26.1</v>
      </c>
      <c r="AF413" s="271">
        <f>'MIS Working 1'!$AG413+'MIS Working 1'!$AH413+'MIS Working 1'!$AM413+'MIS Working 1'!$AL413</f>
        <v>147573.99999999994</v>
      </c>
      <c r="AG413" s="270">
        <f>'MIS Working 1'!$L413*'MIS Working 1'!$Y413</f>
        <v>130556.99999999993</v>
      </c>
      <c r="AH413" s="270">
        <f>'MIS Working 1'!$L413*'MIS Working 1'!$Z413</f>
        <v>7700</v>
      </c>
      <c r="AI413" s="270">
        <f t="shared" si="18"/>
        <v>630</v>
      </c>
      <c r="AJ413" s="270">
        <f t="shared" si="19"/>
        <v>5596.5</v>
      </c>
      <c r="AK413" s="270">
        <f t="shared" si="20"/>
        <v>2908.5</v>
      </c>
      <c r="AL413" s="270">
        <f>'MIS Working 1'!$AD413*'MIS Working 1'!$L413</f>
        <v>91</v>
      </c>
      <c r="AM413" s="270">
        <f>'MIS Working 1'!$L413*'MIS Working 1'!$AE413+'MIS Working 1'!$AL413</f>
        <v>9226</v>
      </c>
    </row>
    <row r="414" spans="1:39" x14ac:dyDescent="0.3">
      <c r="A414" s="272" t="s">
        <v>479</v>
      </c>
      <c r="B414" s="273">
        <v>45964</v>
      </c>
      <c r="C414" s="274" t="s">
        <v>1876</v>
      </c>
      <c r="D414" s="274" t="s">
        <v>637</v>
      </c>
      <c r="E414" s="274" t="s">
        <v>638</v>
      </c>
      <c r="F414" s="274" t="s">
        <v>18</v>
      </c>
      <c r="G414" s="274" t="s">
        <v>19</v>
      </c>
      <c r="H414" s="274" t="s">
        <v>27</v>
      </c>
      <c r="I414" s="275">
        <v>1080</v>
      </c>
      <c r="J414" s="276">
        <v>352371.6</v>
      </c>
      <c r="K414" s="275">
        <v>1080</v>
      </c>
      <c r="L414" s="275">
        <v>1080</v>
      </c>
      <c r="M414" s="273">
        <v>45964</v>
      </c>
      <c r="N414" s="276">
        <v>392644.8</v>
      </c>
      <c r="O414" s="274" t="s">
        <v>21</v>
      </c>
      <c r="P414" s="274" t="s">
        <v>22</v>
      </c>
      <c r="Q414" s="274" t="s">
        <v>660</v>
      </c>
      <c r="R414" s="274" t="str">
        <f>VLOOKUP('MIS Working 1'!$G414,Master!$H$3:$I$8,2,0)</f>
        <v>Finished Goods</v>
      </c>
      <c r="S414" s="274" t="str">
        <f>VLOOKUP('MIS Working 1'!$H414,Master!B:C,2,0)</f>
        <v>FG-PCB-CF</v>
      </c>
      <c r="T414" s="274" t="str">
        <f>VLOOKUP('MIS Working 1'!$S414,Master!E:F,2,0)</f>
        <v>FG-PCB-CF</v>
      </c>
      <c r="U414" s="277">
        <f>'MIS Working 1'!$N414-'MIS Working 1'!$AF414</f>
        <v>40003.200000000012</v>
      </c>
      <c r="V414" s="278">
        <f>'MIS Working 1'!$U414/'MIS Working 1'!$N414</f>
        <v>0.10188139509296956</v>
      </c>
      <c r="W414" s="274">
        <f>'MIS Working 1'!$N414/'MIS Working 1'!$L414</f>
        <v>363.56</v>
      </c>
      <c r="X414" s="279">
        <f>SUM('MIS Working 1'!$Y414:$AE414)</f>
        <v>359.82</v>
      </c>
      <c r="Y414" s="279">
        <f>SUMIFS('COGS Break up'!$E:$E,'COGS Break up'!$A:$A,'MIS Working 1'!$D414,'COGS Break up'!$D:$D,'MIS Working 1'!$Y$1)</f>
        <v>271.52999999999997</v>
      </c>
      <c r="Z414" s="279">
        <f>SUMIFS('COGS Break up'!$E:$E,'COGS Break up'!$A:$A,'MIS Working 1'!$D414,'COGS Break up'!$D:$D,'MIS Working 1'!$Z$1)</f>
        <v>20.94</v>
      </c>
      <c r="AA414" s="279">
        <f>SUMIFS('COGS Break up'!E:E,'COGS Break up'!A:A,'MIS Working 1'!$D:$D,'COGS Break up'!C:C,'MIS Working 1'!$AA$1)</f>
        <v>1.7100000000000002</v>
      </c>
      <c r="AB414" s="279">
        <f>SUMIFS('COGS Break up'!E:E,'COGS Break up'!A:A,'MIS Working 1'!$D:$D,'COGS Break up'!C:C,$AB$1)</f>
        <v>15.22</v>
      </c>
      <c r="AC414" s="279">
        <f>SUMIFS('COGS Break up'!E:E,'COGS Break up'!A:A,'MIS Working 1'!$D:$D,'COGS Break up'!C:C,$AC$1)</f>
        <v>16.62</v>
      </c>
      <c r="AD414" s="279">
        <f>SUMIFS('COGS Break up'!$E:$E,'COGS Break up'!$A:$A,'MIS Working 1'!$D414,'COGS Break up'!$D:$D,'MIS Working 1'!$AD$1)</f>
        <v>0.25</v>
      </c>
      <c r="AE414" s="279">
        <f>SUMIFS('COGS Break up'!$E:$E,'COGS Break up'!$A:$A,'MIS Working 1'!$D414,'COGS Break up'!$D:$D,'MIS Working 1'!$AE$1)</f>
        <v>33.550000000000004</v>
      </c>
      <c r="AF414" s="280">
        <f>'MIS Working 1'!$AG414+'MIS Working 1'!$AH414+'MIS Working 1'!$AM414+'MIS Working 1'!$AL414</f>
        <v>352641.6</v>
      </c>
      <c r="AG414" s="279">
        <f>'MIS Working 1'!$L414*'MIS Working 1'!$Y414</f>
        <v>293252.39999999997</v>
      </c>
      <c r="AH414" s="279">
        <f>'MIS Working 1'!$L414*'MIS Working 1'!$Z414</f>
        <v>22615.200000000001</v>
      </c>
      <c r="AI414" s="279">
        <f t="shared" si="18"/>
        <v>1846.8000000000002</v>
      </c>
      <c r="AJ414" s="279">
        <f t="shared" si="19"/>
        <v>16437.600000000002</v>
      </c>
      <c r="AK414" s="279">
        <f t="shared" si="20"/>
        <v>17949.600000000002</v>
      </c>
      <c r="AL414" s="279">
        <f>'MIS Working 1'!$AD414*'MIS Working 1'!$L414</f>
        <v>270</v>
      </c>
      <c r="AM414" s="279">
        <f>'MIS Working 1'!$L414*'MIS Working 1'!$AE414+'MIS Working 1'!$AL414</f>
        <v>36504.000000000007</v>
      </c>
    </row>
    <row r="415" spans="1:39" x14ac:dyDescent="0.3">
      <c r="A415" s="263" t="s">
        <v>479</v>
      </c>
      <c r="B415" s="264">
        <v>45964</v>
      </c>
      <c r="C415" s="265" t="s">
        <v>1876</v>
      </c>
      <c r="D415" s="265" t="s">
        <v>38</v>
      </c>
      <c r="E415" s="265" t="s">
        <v>39</v>
      </c>
      <c r="F415" s="265" t="s">
        <v>18</v>
      </c>
      <c r="G415" s="265" t="s">
        <v>19</v>
      </c>
      <c r="H415" s="265" t="s">
        <v>27</v>
      </c>
      <c r="I415" s="266">
        <v>4480</v>
      </c>
      <c r="J415" s="267">
        <v>1465542.4</v>
      </c>
      <c r="K415" s="266">
        <v>4480</v>
      </c>
      <c r="L415" s="266">
        <v>4480</v>
      </c>
      <c r="M415" s="264">
        <v>45964</v>
      </c>
      <c r="N415" s="267">
        <v>1527993.6</v>
      </c>
      <c r="O415" s="265" t="s">
        <v>21</v>
      </c>
      <c r="P415" s="265" t="s">
        <v>22</v>
      </c>
      <c r="Q415" s="265" t="s">
        <v>660</v>
      </c>
      <c r="R415" s="265" t="str">
        <f>VLOOKUP('MIS Working 1'!$G415,Master!$H$3:$I$8,2,0)</f>
        <v>Finished Goods</v>
      </c>
      <c r="S415" s="265" t="str">
        <f>VLOOKUP('MIS Working 1'!$H415,Master!B:C,2,0)</f>
        <v>FG-PCB-CF</v>
      </c>
      <c r="T415" s="265" t="str">
        <f>VLOOKUP('MIS Working 1'!$S415,Master!E:F,2,0)</f>
        <v>FG-PCB-CF</v>
      </c>
      <c r="U415" s="268">
        <f>'MIS Working 1'!$N415-'MIS Working 1'!$AF415</f>
        <v>61689.600000000093</v>
      </c>
      <c r="V415" s="269">
        <f>'MIS Working 1'!$U415/'MIS Working 1'!$N415</f>
        <v>4.037294397044601E-2</v>
      </c>
      <c r="W415" s="265">
        <f>'MIS Working 1'!$N415/'MIS Working 1'!$L415</f>
        <v>341.07</v>
      </c>
      <c r="X415" s="270">
        <f>SUM('MIS Working 1'!$Y415:$AE415)</f>
        <v>353.55</v>
      </c>
      <c r="Y415" s="270">
        <f>SUMIFS('COGS Break up'!$E:$E,'COGS Break up'!$A:$A,'MIS Working 1'!$D415,'COGS Break up'!$D:$D,'MIS Working 1'!$Y$1)</f>
        <v>278.14</v>
      </c>
      <c r="Z415" s="270">
        <f>SUMIFS('COGS Break up'!$E:$E,'COGS Break up'!$A:$A,'MIS Working 1'!$D415,'COGS Break up'!$D:$D,'MIS Working 1'!$Z$1)</f>
        <v>22.400000000000002</v>
      </c>
      <c r="AA415" s="270">
        <f>SUMIFS('COGS Break up'!E:E,'COGS Break up'!A:A,'MIS Working 1'!$D:$D,'COGS Break up'!C:C,'MIS Working 1'!$AA$1)</f>
        <v>1.8299999999999998</v>
      </c>
      <c r="AB415" s="270">
        <f>SUMIFS('COGS Break up'!E:E,'COGS Break up'!A:A,'MIS Working 1'!$D:$D,'COGS Break up'!C:C,$AB$1)</f>
        <v>16.28</v>
      </c>
      <c r="AC415" s="270">
        <f>SUMIFS('COGS Break up'!E:E,'COGS Break up'!A:A,'MIS Working 1'!$D:$D,'COGS Break up'!C:C,$AC$1)</f>
        <v>8.31</v>
      </c>
      <c r="AD415" s="270">
        <f>SUMIFS('COGS Break up'!$E:$E,'COGS Break up'!$A:$A,'MIS Working 1'!$D415,'COGS Break up'!$D:$D,'MIS Working 1'!$AD$1)</f>
        <v>0.17</v>
      </c>
      <c r="AE415" s="270">
        <f>SUMIFS('COGS Break up'!$E:$E,'COGS Break up'!$A:$A,'MIS Working 1'!$D415,'COGS Break up'!$D:$D,'MIS Working 1'!$AE$1)</f>
        <v>26.42</v>
      </c>
      <c r="AF415" s="271">
        <f>'MIS Working 1'!$AG415+'MIS Working 1'!$AH415+'MIS Working 1'!$AM415+'MIS Working 1'!$AL415</f>
        <v>1466304</v>
      </c>
      <c r="AG415" s="270">
        <f>'MIS Working 1'!$L415*'MIS Working 1'!$Y415</f>
        <v>1246067.2</v>
      </c>
      <c r="AH415" s="270">
        <f>'MIS Working 1'!$L415*'MIS Working 1'!$Z415</f>
        <v>100352.00000000001</v>
      </c>
      <c r="AI415" s="270">
        <f t="shared" si="18"/>
        <v>8198.4</v>
      </c>
      <c r="AJ415" s="270">
        <f t="shared" si="19"/>
        <v>72934.400000000009</v>
      </c>
      <c r="AK415" s="270">
        <f t="shared" si="20"/>
        <v>37228.800000000003</v>
      </c>
      <c r="AL415" s="270">
        <f>'MIS Working 1'!$AD415*'MIS Working 1'!$L415</f>
        <v>761.6</v>
      </c>
      <c r="AM415" s="270">
        <f>'MIS Working 1'!$L415*'MIS Working 1'!$AE415+'MIS Working 1'!$AL415</f>
        <v>119123.20000000001</v>
      </c>
    </row>
    <row r="416" spans="1:39" x14ac:dyDescent="0.3">
      <c r="A416" s="272" t="s">
        <v>479</v>
      </c>
      <c r="B416" s="273">
        <v>45964</v>
      </c>
      <c r="C416" s="274" t="s">
        <v>1875</v>
      </c>
      <c r="D416" s="274" t="s">
        <v>38</v>
      </c>
      <c r="E416" s="274" t="s">
        <v>39</v>
      </c>
      <c r="F416" s="274" t="s">
        <v>18</v>
      </c>
      <c r="G416" s="274" t="s">
        <v>19</v>
      </c>
      <c r="H416" s="274" t="s">
        <v>27</v>
      </c>
      <c r="I416" s="275">
        <v>840</v>
      </c>
      <c r="J416" s="276">
        <v>274789.2</v>
      </c>
      <c r="K416" s="275">
        <v>840</v>
      </c>
      <c r="L416" s="275">
        <v>840</v>
      </c>
      <c r="M416" s="273">
        <v>45964</v>
      </c>
      <c r="N416" s="276">
        <v>286498.8</v>
      </c>
      <c r="O416" s="274" t="s">
        <v>21</v>
      </c>
      <c r="P416" s="274" t="s">
        <v>22</v>
      </c>
      <c r="Q416" s="274" t="s">
        <v>660</v>
      </c>
      <c r="R416" s="274" t="str">
        <f>VLOOKUP('MIS Working 1'!$G416,Master!$H$3:$I$8,2,0)</f>
        <v>Finished Goods</v>
      </c>
      <c r="S416" s="274" t="str">
        <f>VLOOKUP('MIS Working 1'!$H416,Master!B:C,2,0)</f>
        <v>FG-PCB-CF</v>
      </c>
      <c r="T416" s="274" t="str">
        <f>VLOOKUP('MIS Working 1'!$S416,Master!E:F,2,0)</f>
        <v>FG-PCB-CF</v>
      </c>
      <c r="U416" s="277">
        <f>'MIS Working 1'!$N416-'MIS Working 1'!$AF416</f>
        <v>11566.800000000047</v>
      </c>
      <c r="V416" s="278">
        <f>'MIS Working 1'!$U416/'MIS Working 1'!$N416</f>
        <v>4.0372943970446114E-2</v>
      </c>
      <c r="W416" s="274">
        <f>'MIS Working 1'!$N416/'MIS Working 1'!$L416</f>
        <v>341.07</v>
      </c>
      <c r="X416" s="279">
        <f>SUM('MIS Working 1'!$Y416:$AE416)</f>
        <v>353.55</v>
      </c>
      <c r="Y416" s="279">
        <f>SUMIFS('COGS Break up'!$E:$E,'COGS Break up'!$A:$A,'MIS Working 1'!$D416,'COGS Break up'!$D:$D,'MIS Working 1'!$Y$1)</f>
        <v>278.14</v>
      </c>
      <c r="Z416" s="279">
        <f>SUMIFS('COGS Break up'!$E:$E,'COGS Break up'!$A:$A,'MIS Working 1'!$D416,'COGS Break up'!$D:$D,'MIS Working 1'!$Z$1)</f>
        <v>22.400000000000002</v>
      </c>
      <c r="AA416" s="279">
        <f>SUMIFS('COGS Break up'!E:E,'COGS Break up'!A:A,'MIS Working 1'!$D:$D,'COGS Break up'!C:C,'MIS Working 1'!$AA$1)</f>
        <v>1.8299999999999998</v>
      </c>
      <c r="AB416" s="279">
        <f>SUMIFS('COGS Break up'!E:E,'COGS Break up'!A:A,'MIS Working 1'!$D:$D,'COGS Break up'!C:C,$AB$1)</f>
        <v>16.28</v>
      </c>
      <c r="AC416" s="279">
        <f>SUMIFS('COGS Break up'!E:E,'COGS Break up'!A:A,'MIS Working 1'!$D:$D,'COGS Break up'!C:C,$AC$1)</f>
        <v>8.31</v>
      </c>
      <c r="AD416" s="279">
        <f>SUMIFS('COGS Break up'!$E:$E,'COGS Break up'!$A:$A,'MIS Working 1'!$D416,'COGS Break up'!$D:$D,'MIS Working 1'!$AD$1)</f>
        <v>0.17</v>
      </c>
      <c r="AE416" s="279">
        <f>SUMIFS('COGS Break up'!$E:$E,'COGS Break up'!$A:$A,'MIS Working 1'!$D416,'COGS Break up'!$D:$D,'MIS Working 1'!$AE$1)</f>
        <v>26.42</v>
      </c>
      <c r="AF416" s="280">
        <f>'MIS Working 1'!$AG416+'MIS Working 1'!$AH416+'MIS Working 1'!$AM416+'MIS Working 1'!$AL416</f>
        <v>274931.99999999994</v>
      </c>
      <c r="AG416" s="279">
        <f>'MIS Working 1'!$L416*'MIS Working 1'!$Y416</f>
        <v>233637.59999999998</v>
      </c>
      <c r="AH416" s="279">
        <f>'MIS Working 1'!$L416*'MIS Working 1'!$Z416</f>
        <v>18816</v>
      </c>
      <c r="AI416" s="279">
        <f t="shared" si="18"/>
        <v>1537.1999999999998</v>
      </c>
      <c r="AJ416" s="279">
        <f t="shared" si="19"/>
        <v>13675.2</v>
      </c>
      <c r="AK416" s="279">
        <f t="shared" si="20"/>
        <v>6980.4000000000005</v>
      </c>
      <c r="AL416" s="279">
        <f>'MIS Working 1'!$AD416*'MIS Working 1'!$L416</f>
        <v>142.80000000000001</v>
      </c>
      <c r="AM416" s="279">
        <f>'MIS Working 1'!$L416*'MIS Working 1'!$AE416+'MIS Working 1'!$AL416</f>
        <v>22335.600000000002</v>
      </c>
    </row>
    <row r="417" spans="1:39" x14ac:dyDescent="0.3">
      <c r="A417" s="263" t="s">
        <v>1291</v>
      </c>
      <c r="B417" s="264">
        <v>45962</v>
      </c>
      <c r="C417" s="265" t="s">
        <v>1877</v>
      </c>
      <c r="D417" s="265" t="s">
        <v>36</v>
      </c>
      <c r="E417" s="265" t="s">
        <v>37</v>
      </c>
      <c r="F417" s="265" t="s">
        <v>18</v>
      </c>
      <c r="G417" s="265" t="s">
        <v>19</v>
      </c>
      <c r="H417" s="265" t="s">
        <v>20</v>
      </c>
      <c r="I417" s="266">
        <v>2400</v>
      </c>
      <c r="J417" s="267">
        <v>1107288</v>
      </c>
      <c r="K417" s="266">
        <v>2400</v>
      </c>
      <c r="L417" s="266">
        <v>2400</v>
      </c>
      <c r="M417" s="264">
        <v>45962</v>
      </c>
      <c r="N417" s="267">
        <v>1582344</v>
      </c>
      <c r="O417" s="265" t="s">
        <v>21</v>
      </c>
      <c r="P417" s="265" t="s">
        <v>22</v>
      </c>
      <c r="Q417" s="265" t="s">
        <v>660</v>
      </c>
      <c r="R417" s="265" t="str">
        <f>VLOOKUP('MIS Working 1'!$G417,Master!$H$3:$I$8,2,0)</f>
        <v>Finished Goods</v>
      </c>
      <c r="S417" s="265" t="str">
        <f>VLOOKUP('MIS Working 1'!$H417,Master!B:C,2,0)</f>
        <v>FG-PCB-Ref</v>
      </c>
      <c r="T417" s="265" t="str">
        <f>VLOOKUP('MIS Working 1'!$S417,Master!E:F,2,0)</f>
        <v>FG-PCB-Ref</v>
      </c>
      <c r="U417" s="268">
        <f>'MIS Working 1'!$N417-'MIS Working 1'!$AF417</f>
        <v>474480</v>
      </c>
      <c r="V417" s="269">
        <f>'MIS Working 1'!$U417/'MIS Working 1'!$N417</f>
        <v>0.29985894344087</v>
      </c>
      <c r="W417" s="265">
        <f>'MIS Working 1'!$N417/'MIS Working 1'!$L417</f>
        <v>659.31</v>
      </c>
      <c r="X417" s="270">
        <f>SUM('MIS Working 1'!$Y417:$AE417)</f>
        <v>492.59000000000003</v>
      </c>
      <c r="Y417" s="270">
        <f>SUMIFS('COGS Break up'!$E:$E,'COGS Break up'!$A:$A,'MIS Working 1'!$D417,'COGS Break up'!$D:$D,'MIS Working 1'!$Y$1)</f>
        <v>401.59000000000003</v>
      </c>
      <c r="Z417" s="270">
        <f>SUMIFS('COGS Break up'!$E:$E,'COGS Break up'!$A:$A,'MIS Working 1'!$D417,'COGS Break up'!$D:$D,'MIS Working 1'!$Z$1)</f>
        <v>28.32</v>
      </c>
      <c r="AA417" s="270">
        <f>SUMIFS('COGS Break up'!E:E,'COGS Break up'!A:A,'MIS Working 1'!$D:$D,'COGS Break up'!C:C,'MIS Working 1'!$AA$1)</f>
        <v>2.3199999999999998</v>
      </c>
      <c r="AB417" s="270">
        <f>SUMIFS('COGS Break up'!E:E,'COGS Break up'!A:A,'MIS Working 1'!$D:$D,'COGS Break up'!C:C,$AB$1)</f>
        <v>20.59</v>
      </c>
      <c r="AC417" s="270">
        <f>SUMIFS('COGS Break up'!E:E,'COGS Break up'!A:A,'MIS Working 1'!$D:$D,'COGS Break up'!C:C,$AC$1)</f>
        <v>8.31</v>
      </c>
      <c r="AD417" s="270">
        <f>SUMIFS('COGS Break up'!$E:$E,'COGS Break up'!$A:$A,'MIS Working 1'!$D417,'COGS Break up'!$D:$D,'MIS Working 1'!$AD$1)</f>
        <v>0.24</v>
      </c>
      <c r="AE417" s="270">
        <f>SUMIFS('COGS Break up'!$E:$E,'COGS Break up'!$A:$A,'MIS Working 1'!$D417,'COGS Break up'!$D:$D,'MIS Working 1'!$AE$1)</f>
        <v>31.22</v>
      </c>
      <c r="AF417" s="271">
        <f>'MIS Working 1'!$AG417+'MIS Working 1'!$AH417+'MIS Working 1'!$AM417+'MIS Working 1'!$AL417</f>
        <v>1107864</v>
      </c>
      <c r="AG417" s="270">
        <f>'MIS Working 1'!$L417*'MIS Working 1'!$Y417</f>
        <v>963816.00000000012</v>
      </c>
      <c r="AH417" s="270">
        <f>'MIS Working 1'!$L417*'MIS Working 1'!$Z417</f>
        <v>67968</v>
      </c>
      <c r="AI417" s="270">
        <f t="shared" si="18"/>
        <v>5568</v>
      </c>
      <c r="AJ417" s="270">
        <f t="shared" si="19"/>
        <v>49416</v>
      </c>
      <c r="AK417" s="270">
        <f t="shared" si="20"/>
        <v>19944</v>
      </c>
      <c r="AL417" s="270">
        <f>'MIS Working 1'!$AD417*'MIS Working 1'!$L417</f>
        <v>576</v>
      </c>
      <c r="AM417" s="270">
        <f>'MIS Working 1'!$L417*'MIS Working 1'!$AE417+'MIS Working 1'!$AL417</f>
        <v>75504</v>
      </c>
    </row>
    <row r="418" spans="1:39" x14ac:dyDescent="0.3">
      <c r="A418" s="272" t="s">
        <v>479</v>
      </c>
      <c r="B418" s="273">
        <v>45962</v>
      </c>
      <c r="C418" s="274" t="s">
        <v>1878</v>
      </c>
      <c r="D418" s="274" t="s">
        <v>32</v>
      </c>
      <c r="E418" s="274" t="s">
        <v>33</v>
      </c>
      <c r="F418" s="274" t="s">
        <v>18</v>
      </c>
      <c r="G418" s="274" t="s">
        <v>34</v>
      </c>
      <c r="H418" s="274" t="s">
        <v>772</v>
      </c>
      <c r="I418" s="275">
        <v>2240</v>
      </c>
      <c r="J418" s="276">
        <v>427974.40000000002</v>
      </c>
      <c r="K418" s="275">
        <v>2240</v>
      </c>
      <c r="L418" s="275">
        <v>2240</v>
      </c>
      <c r="M418" s="273">
        <v>45962</v>
      </c>
      <c r="N418" s="276">
        <v>465382.40000000002</v>
      </c>
      <c r="O418" s="274" t="s">
        <v>21</v>
      </c>
      <c r="P418" s="274" t="s">
        <v>22</v>
      </c>
      <c r="Q418" s="274" t="s">
        <v>660</v>
      </c>
      <c r="R418" s="274" t="str">
        <f>VLOOKUP('MIS Working 1'!$G418,Master!$H$3:$I$8,2,0)</f>
        <v>Semi-Finished Goods</v>
      </c>
      <c r="S418" s="274" t="str">
        <f>VLOOKUP('MIS Working 1'!$H418,Master!B:C,2,0)</f>
        <v>SFG-GV5 Stator</v>
      </c>
      <c r="T418" s="274" t="str">
        <f>VLOOKUP('MIS Working 1'!$S418,Master!E:F,2,0)</f>
        <v>Sub Ass.-Mech Stator</v>
      </c>
      <c r="U418" s="277">
        <f>'MIS Working 1'!$N418-'MIS Working 1'!$AF418</f>
        <v>37609.600000000093</v>
      </c>
      <c r="V418" s="278">
        <f>'MIS Working 1'!$U418/'MIS Working 1'!$N418</f>
        <v>8.0814401232191191E-2</v>
      </c>
      <c r="W418" s="274">
        <f>'MIS Working 1'!$N418/'MIS Working 1'!$L418</f>
        <v>207.76000000000002</v>
      </c>
      <c r="X418" s="279">
        <f>SUM('MIS Working 1'!$Y418:$AE418)</f>
        <v>192.92</v>
      </c>
      <c r="Y418" s="279">
        <f>SUMIFS('COGS Break up'!$E:$E,'COGS Break up'!$A:$A,'MIS Working 1'!$D418,'COGS Break up'!$D:$D,'MIS Working 1'!$Y$1)</f>
        <v>187.51999999999998</v>
      </c>
      <c r="Z418" s="279">
        <f>SUMIFS('COGS Break up'!$E:$E,'COGS Break up'!$A:$A,'MIS Working 1'!$D418,'COGS Break up'!$D:$D,'MIS Working 1'!$Z$1)</f>
        <v>1.5</v>
      </c>
      <c r="AA418" s="279">
        <f>SUMIFS('COGS Break up'!E:E,'COGS Break up'!A:A,'MIS Working 1'!$D:$D,'COGS Break up'!C:C,'MIS Working 1'!$AA$1)</f>
        <v>0.05</v>
      </c>
      <c r="AB418" s="279">
        <f>SUMIFS('COGS Break up'!E:E,'COGS Break up'!A:A,'MIS Working 1'!$D:$D,'COGS Break up'!C:C,$AB$1)</f>
        <v>0.4</v>
      </c>
      <c r="AC418" s="279">
        <f>SUMIFS('COGS Break up'!E:E,'COGS Break up'!A:A,'MIS Working 1'!$D:$D,'COGS Break up'!C:C,$AC$1)</f>
        <v>1.5</v>
      </c>
      <c r="AD418" s="279">
        <f>SUMIFS('COGS Break up'!$E:$E,'COGS Break up'!$A:$A,'MIS Working 1'!$D418,'COGS Break up'!$D:$D,'MIS Working 1'!$AD$1)</f>
        <v>0</v>
      </c>
      <c r="AE418" s="279">
        <f>SUMIFS('COGS Break up'!$E:$E,'COGS Break up'!$A:$A,'MIS Working 1'!$D418,'COGS Break up'!$D:$D,'MIS Working 1'!$AE$1)</f>
        <v>1.95</v>
      </c>
      <c r="AF418" s="280">
        <f>'MIS Working 1'!$AG418+'MIS Working 1'!$AH418+'MIS Working 1'!$AM418+'MIS Working 1'!$AL418</f>
        <v>427772.79999999993</v>
      </c>
      <c r="AG418" s="279">
        <f>'MIS Working 1'!$L418*'MIS Working 1'!$Y418</f>
        <v>420044.79999999993</v>
      </c>
      <c r="AH418" s="279">
        <f>'MIS Working 1'!$L418*'MIS Working 1'!$Z418</f>
        <v>3360</v>
      </c>
      <c r="AI418" s="279">
        <f t="shared" si="18"/>
        <v>112</v>
      </c>
      <c r="AJ418" s="279">
        <f t="shared" si="19"/>
        <v>896</v>
      </c>
      <c r="AK418" s="279">
        <f t="shared" si="20"/>
        <v>3360</v>
      </c>
      <c r="AL418" s="279">
        <f>'MIS Working 1'!$AD418*'MIS Working 1'!$L418</f>
        <v>0</v>
      </c>
      <c r="AM418" s="279">
        <f>'MIS Working 1'!$L418*'MIS Working 1'!$AE418+'MIS Working 1'!$AL418</f>
        <v>4368</v>
      </c>
    </row>
    <row r="419" spans="1:39" x14ac:dyDescent="0.3">
      <c r="A419" s="263" t="s">
        <v>479</v>
      </c>
      <c r="B419" s="264">
        <v>45962</v>
      </c>
      <c r="C419" s="265" t="s">
        <v>1878</v>
      </c>
      <c r="D419" s="265" t="s">
        <v>40</v>
      </c>
      <c r="E419" s="265" t="s">
        <v>41</v>
      </c>
      <c r="F419" s="265" t="s">
        <v>18</v>
      </c>
      <c r="G419" s="265" t="s">
        <v>34</v>
      </c>
      <c r="H419" s="265" t="s">
        <v>772</v>
      </c>
      <c r="I419" s="266">
        <v>1120</v>
      </c>
      <c r="J419" s="267">
        <v>165491.20000000001</v>
      </c>
      <c r="K419" s="266">
        <v>1120</v>
      </c>
      <c r="L419" s="266">
        <v>1120</v>
      </c>
      <c r="M419" s="264">
        <v>45962</v>
      </c>
      <c r="N419" s="267">
        <v>182492.79999999999</v>
      </c>
      <c r="O419" s="265" t="s">
        <v>21</v>
      </c>
      <c r="P419" s="265" t="s">
        <v>22</v>
      </c>
      <c r="Q419" s="265" t="s">
        <v>660</v>
      </c>
      <c r="R419" s="265" t="str">
        <f>VLOOKUP('MIS Working 1'!$G419,Master!$H$3:$I$8,2,0)</f>
        <v>Semi-Finished Goods</v>
      </c>
      <c r="S419" s="265" t="str">
        <f>VLOOKUP('MIS Working 1'!$H419,Master!B:C,2,0)</f>
        <v>SFG-GV5 Stator</v>
      </c>
      <c r="T419" s="265" t="str">
        <f>VLOOKUP('MIS Working 1'!$S419,Master!E:F,2,0)</f>
        <v>Sub Ass.-Mech Stator</v>
      </c>
      <c r="U419" s="268">
        <f>'MIS Working 1'!$N419-'MIS Working 1'!$AF419</f>
        <v>17102.400000000023</v>
      </c>
      <c r="V419" s="269">
        <f>'MIS Working 1'!$U419/'MIS Working 1'!$N419</f>
        <v>9.3715478090094645E-2</v>
      </c>
      <c r="W419" s="265">
        <f>'MIS Working 1'!$N419/'MIS Working 1'!$L419</f>
        <v>162.94</v>
      </c>
      <c r="X419" s="270">
        <f>SUM('MIS Working 1'!$Y419:$AE419)</f>
        <v>149.61999999999998</v>
      </c>
      <c r="Y419" s="270">
        <f>SUMIFS('COGS Break up'!$E:$E,'COGS Break up'!$A:$A,'MIS Working 1'!$D419,'COGS Break up'!$D:$D,'MIS Working 1'!$Y$1)</f>
        <v>144.21999999999997</v>
      </c>
      <c r="Z419" s="270">
        <f>SUMIFS('COGS Break up'!$E:$E,'COGS Break up'!$A:$A,'MIS Working 1'!$D419,'COGS Break up'!$D:$D,'MIS Working 1'!$Z$1)</f>
        <v>1.5</v>
      </c>
      <c r="AA419" s="270">
        <f>SUMIFS('COGS Break up'!E:E,'COGS Break up'!A:A,'MIS Working 1'!$D:$D,'COGS Break up'!C:C,'MIS Working 1'!$AA$1)</f>
        <v>0.05</v>
      </c>
      <c r="AB419" s="270">
        <f>SUMIFS('COGS Break up'!E:E,'COGS Break up'!A:A,'MIS Working 1'!$D:$D,'COGS Break up'!C:C,$AB$1)</f>
        <v>0.4</v>
      </c>
      <c r="AC419" s="270">
        <f>SUMIFS('COGS Break up'!E:E,'COGS Break up'!A:A,'MIS Working 1'!$D:$D,'COGS Break up'!C:C,$AC$1)</f>
        <v>1.5</v>
      </c>
      <c r="AD419" s="270">
        <f>SUMIFS('COGS Break up'!$E:$E,'COGS Break up'!$A:$A,'MIS Working 1'!$D419,'COGS Break up'!$D:$D,'MIS Working 1'!$AD$1)</f>
        <v>0</v>
      </c>
      <c r="AE419" s="270">
        <f>SUMIFS('COGS Break up'!$E:$E,'COGS Break up'!$A:$A,'MIS Working 1'!$D419,'COGS Break up'!$D:$D,'MIS Working 1'!$AE$1)</f>
        <v>1.95</v>
      </c>
      <c r="AF419" s="271">
        <f>'MIS Working 1'!$AG419+'MIS Working 1'!$AH419+'MIS Working 1'!$AM419+'MIS Working 1'!$AL419</f>
        <v>165390.39999999997</v>
      </c>
      <c r="AG419" s="270">
        <f>'MIS Working 1'!$L419*'MIS Working 1'!$Y419</f>
        <v>161526.39999999997</v>
      </c>
      <c r="AH419" s="270">
        <f>'MIS Working 1'!$L419*'MIS Working 1'!$Z419</f>
        <v>1680</v>
      </c>
      <c r="AI419" s="270">
        <f t="shared" si="18"/>
        <v>56</v>
      </c>
      <c r="AJ419" s="270">
        <f t="shared" si="19"/>
        <v>448</v>
      </c>
      <c r="AK419" s="270">
        <f t="shared" si="20"/>
        <v>1680</v>
      </c>
      <c r="AL419" s="270">
        <f>'MIS Working 1'!$AD419*'MIS Working 1'!$L419</f>
        <v>0</v>
      </c>
      <c r="AM419" s="270">
        <f>'MIS Working 1'!$L419*'MIS Working 1'!$AE419+'MIS Working 1'!$AL419</f>
        <v>2184</v>
      </c>
    </row>
    <row r="420" spans="1:39" x14ac:dyDescent="0.3">
      <c r="A420" s="272" t="s">
        <v>479</v>
      </c>
      <c r="B420" s="273">
        <v>45962</v>
      </c>
      <c r="C420" s="274" t="s">
        <v>1879</v>
      </c>
      <c r="D420" s="274" t="s">
        <v>40</v>
      </c>
      <c r="E420" s="274" t="s">
        <v>41</v>
      </c>
      <c r="F420" s="274" t="s">
        <v>18</v>
      </c>
      <c r="G420" s="274" t="s">
        <v>34</v>
      </c>
      <c r="H420" s="274" t="s">
        <v>772</v>
      </c>
      <c r="I420" s="275">
        <v>840</v>
      </c>
      <c r="J420" s="276">
        <v>124118.39999999999</v>
      </c>
      <c r="K420" s="275">
        <v>840</v>
      </c>
      <c r="L420" s="275">
        <v>840</v>
      </c>
      <c r="M420" s="273">
        <v>45962</v>
      </c>
      <c r="N420" s="276">
        <v>136869.6</v>
      </c>
      <c r="O420" s="274" t="s">
        <v>21</v>
      </c>
      <c r="P420" s="274" t="s">
        <v>22</v>
      </c>
      <c r="Q420" s="274" t="s">
        <v>660</v>
      </c>
      <c r="R420" s="274" t="str">
        <f>VLOOKUP('MIS Working 1'!$G420,Master!$H$3:$I$8,2,0)</f>
        <v>Semi-Finished Goods</v>
      </c>
      <c r="S420" s="274" t="str">
        <f>VLOOKUP('MIS Working 1'!$H420,Master!B:C,2,0)</f>
        <v>SFG-GV5 Stator</v>
      </c>
      <c r="T420" s="274" t="str">
        <f>VLOOKUP('MIS Working 1'!$S420,Master!E:F,2,0)</f>
        <v>Sub Ass.-Mech Stator</v>
      </c>
      <c r="U420" s="277">
        <f>'MIS Working 1'!$N420-'MIS Working 1'!$AF420</f>
        <v>12826.800000000032</v>
      </c>
      <c r="V420" s="278">
        <f>'MIS Working 1'!$U420/'MIS Working 1'!$N420</f>
        <v>9.3715478090094742E-2</v>
      </c>
      <c r="W420" s="274">
        <f>'MIS Working 1'!$N420/'MIS Working 1'!$L420</f>
        <v>162.94</v>
      </c>
      <c r="X420" s="279">
        <f>SUM('MIS Working 1'!$Y420:$AE420)</f>
        <v>149.61999999999998</v>
      </c>
      <c r="Y420" s="279">
        <f>SUMIFS('COGS Break up'!$E:$E,'COGS Break up'!$A:$A,'MIS Working 1'!$D420,'COGS Break up'!$D:$D,'MIS Working 1'!$Y$1)</f>
        <v>144.21999999999997</v>
      </c>
      <c r="Z420" s="279">
        <f>SUMIFS('COGS Break up'!$E:$E,'COGS Break up'!$A:$A,'MIS Working 1'!$D420,'COGS Break up'!$D:$D,'MIS Working 1'!$Z$1)</f>
        <v>1.5</v>
      </c>
      <c r="AA420" s="279">
        <f>SUMIFS('COGS Break up'!E:E,'COGS Break up'!A:A,'MIS Working 1'!$D:$D,'COGS Break up'!C:C,'MIS Working 1'!$AA$1)</f>
        <v>0.05</v>
      </c>
      <c r="AB420" s="279">
        <f>SUMIFS('COGS Break up'!E:E,'COGS Break up'!A:A,'MIS Working 1'!$D:$D,'COGS Break up'!C:C,$AB$1)</f>
        <v>0.4</v>
      </c>
      <c r="AC420" s="279">
        <f>SUMIFS('COGS Break up'!E:E,'COGS Break up'!A:A,'MIS Working 1'!$D:$D,'COGS Break up'!C:C,$AC$1)</f>
        <v>1.5</v>
      </c>
      <c r="AD420" s="279">
        <f>SUMIFS('COGS Break up'!$E:$E,'COGS Break up'!$A:$A,'MIS Working 1'!$D420,'COGS Break up'!$D:$D,'MIS Working 1'!$AD$1)</f>
        <v>0</v>
      </c>
      <c r="AE420" s="279">
        <f>SUMIFS('COGS Break up'!$E:$E,'COGS Break up'!$A:$A,'MIS Working 1'!$D420,'COGS Break up'!$D:$D,'MIS Working 1'!$AE$1)</f>
        <v>1.95</v>
      </c>
      <c r="AF420" s="280">
        <f>'MIS Working 1'!$AG420+'MIS Working 1'!$AH420+'MIS Working 1'!$AM420+'MIS Working 1'!$AL420</f>
        <v>124042.79999999997</v>
      </c>
      <c r="AG420" s="279">
        <f>'MIS Working 1'!$L420*'MIS Working 1'!$Y420</f>
        <v>121144.79999999997</v>
      </c>
      <c r="AH420" s="279">
        <f>'MIS Working 1'!$L420*'MIS Working 1'!$Z420</f>
        <v>1260</v>
      </c>
      <c r="AI420" s="279">
        <f t="shared" si="18"/>
        <v>42</v>
      </c>
      <c r="AJ420" s="279">
        <f t="shared" si="19"/>
        <v>336</v>
      </c>
      <c r="AK420" s="279">
        <f t="shared" si="20"/>
        <v>1260</v>
      </c>
      <c r="AL420" s="279">
        <f>'MIS Working 1'!$AD420*'MIS Working 1'!$L420</f>
        <v>0</v>
      </c>
      <c r="AM420" s="279">
        <f>'MIS Working 1'!$L420*'MIS Working 1'!$AE420+'MIS Working 1'!$AL420</f>
        <v>1638</v>
      </c>
    </row>
    <row r="421" spans="1:39" x14ac:dyDescent="0.3">
      <c r="A421" s="263" t="s">
        <v>479</v>
      </c>
      <c r="B421" s="264">
        <v>45962</v>
      </c>
      <c r="C421" s="265" t="s">
        <v>1880</v>
      </c>
      <c r="D421" s="265" t="s">
        <v>595</v>
      </c>
      <c r="E421" s="265" t="s">
        <v>596</v>
      </c>
      <c r="F421" s="265" t="s">
        <v>18</v>
      </c>
      <c r="G421" s="265" t="s">
        <v>34</v>
      </c>
      <c r="H421" s="265" t="s">
        <v>772</v>
      </c>
      <c r="I421" s="266">
        <v>2275</v>
      </c>
      <c r="J421" s="267">
        <v>284875.5</v>
      </c>
      <c r="K421" s="266">
        <v>2275</v>
      </c>
      <c r="L421" s="266">
        <v>2275</v>
      </c>
      <c r="M421" s="264">
        <v>45962</v>
      </c>
      <c r="N421" s="267">
        <v>301187.25</v>
      </c>
      <c r="O421" s="265" t="s">
        <v>21</v>
      </c>
      <c r="P421" s="265" t="s">
        <v>22</v>
      </c>
      <c r="Q421" s="265" t="s">
        <v>660</v>
      </c>
      <c r="R421" s="265" t="str">
        <f>VLOOKUP('MIS Working 1'!$G421,Master!$H$3:$I$8,2,0)</f>
        <v>Semi-Finished Goods</v>
      </c>
      <c r="S421" s="265" t="str">
        <f>VLOOKUP('MIS Working 1'!$H421,Master!B:C,2,0)</f>
        <v>SFG-GV5 Stator</v>
      </c>
      <c r="T421" s="265" t="str">
        <f>VLOOKUP('MIS Working 1'!$S421,Master!E:F,2,0)</f>
        <v>Sub Ass.-Mech Stator</v>
      </c>
      <c r="U421" s="268">
        <f>'MIS Working 1'!$N421-'MIS Working 1'!$AF421</f>
        <v>16516.5</v>
      </c>
      <c r="V421" s="269">
        <f>'MIS Working 1'!$U421/'MIS Working 1'!$N421</f>
        <v>5.4837978699297532E-2</v>
      </c>
      <c r="W421" s="265">
        <f>'MIS Working 1'!$N421/'MIS Working 1'!$L421</f>
        <v>132.38999999999999</v>
      </c>
      <c r="X421" s="270">
        <f>SUM('MIS Working 1'!$Y421:$AE421)</f>
        <v>127.08</v>
      </c>
      <c r="Y421" s="270">
        <f>SUMIFS('COGS Break up'!$E:$E,'COGS Break up'!$A:$A,'MIS Working 1'!$D421,'COGS Break up'!$D:$D,'MIS Working 1'!$Y$1)</f>
        <v>121.67999999999999</v>
      </c>
      <c r="Z421" s="270">
        <f>SUMIFS('COGS Break up'!$E:$E,'COGS Break up'!$A:$A,'MIS Working 1'!$D421,'COGS Break up'!$D:$D,'MIS Working 1'!$Z$1)</f>
        <v>1.5</v>
      </c>
      <c r="AA421" s="270">
        <f>SUMIFS('COGS Break up'!E:E,'COGS Break up'!A:A,'MIS Working 1'!$D:$D,'COGS Break up'!C:C,'MIS Working 1'!$AA$1)</f>
        <v>0.05</v>
      </c>
      <c r="AB421" s="270">
        <f>SUMIFS('COGS Break up'!E:E,'COGS Break up'!A:A,'MIS Working 1'!$D:$D,'COGS Break up'!C:C,$AB$1)</f>
        <v>0.4</v>
      </c>
      <c r="AC421" s="270">
        <f>SUMIFS('COGS Break up'!E:E,'COGS Break up'!A:A,'MIS Working 1'!$D:$D,'COGS Break up'!C:C,$AC$1)</f>
        <v>1.5</v>
      </c>
      <c r="AD421" s="270">
        <f>SUMIFS('COGS Break up'!$E:$E,'COGS Break up'!$A:$A,'MIS Working 1'!$D421,'COGS Break up'!$D:$D,'MIS Working 1'!$AD$1)</f>
        <v>0</v>
      </c>
      <c r="AE421" s="270">
        <f>SUMIFS('COGS Break up'!$E:$E,'COGS Break up'!$A:$A,'MIS Working 1'!$D421,'COGS Break up'!$D:$D,'MIS Working 1'!$AE$1)</f>
        <v>1.95</v>
      </c>
      <c r="AF421" s="271">
        <f>'MIS Working 1'!$AG421+'MIS Working 1'!$AH421+'MIS Working 1'!$AM421+'MIS Working 1'!$AL421</f>
        <v>284670.75</v>
      </c>
      <c r="AG421" s="270">
        <f>'MIS Working 1'!$L421*'MIS Working 1'!$Y421</f>
        <v>276822</v>
      </c>
      <c r="AH421" s="270">
        <f>'MIS Working 1'!$L421*'MIS Working 1'!$Z421</f>
        <v>3412.5</v>
      </c>
      <c r="AI421" s="270">
        <f t="shared" si="18"/>
        <v>113.75</v>
      </c>
      <c r="AJ421" s="270">
        <f t="shared" si="19"/>
        <v>910</v>
      </c>
      <c r="AK421" s="270">
        <f t="shared" si="20"/>
        <v>3412.5</v>
      </c>
      <c r="AL421" s="270">
        <f>'MIS Working 1'!$AD421*'MIS Working 1'!$L421</f>
        <v>0</v>
      </c>
      <c r="AM421" s="270">
        <f>'MIS Working 1'!$L421*'MIS Working 1'!$AE421+'MIS Working 1'!$AL421</f>
        <v>4436.25</v>
      </c>
    </row>
    <row r="422" spans="1:39" x14ac:dyDescent="0.3">
      <c r="A422" s="272" t="s">
        <v>479</v>
      </c>
      <c r="B422" s="273">
        <v>45962</v>
      </c>
      <c r="C422" s="274" t="s">
        <v>1882</v>
      </c>
      <c r="D422" s="274" t="s">
        <v>639</v>
      </c>
      <c r="E422" s="274" t="s">
        <v>640</v>
      </c>
      <c r="F422" s="274" t="s">
        <v>18</v>
      </c>
      <c r="G422" s="274" t="s">
        <v>19</v>
      </c>
      <c r="H422" s="274" t="s">
        <v>27</v>
      </c>
      <c r="I422" s="275">
        <v>315</v>
      </c>
      <c r="J422" s="276">
        <v>203184.45</v>
      </c>
      <c r="K422" s="275">
        <v>315</v>
      </c>
      <c r="L422" s="275">
        <v>315</v>
      </c>
      <c r="M422" s="273">
        <v>45962</v>
      </c>
      <c r="N422" s="276">
        <v>229496.4</v>
      </c>
      <c r="O422" s="274" t="s">
        <v>21</v>
      </c>
      <c r="P422" s="274" t="s">
        <v>22</v>
      </c>
      <c r="Q422" s="274" t="s">
        <v>660</v>
      </c>
      <c r="R422" s="274" t="str">
        <f>VLOOKUP('MIS Working 1'!$G422,Master!$H$3:$I$8,2,0)</f>
        <v>Finished Goods</v>
      </c>
      <c r="S422" s="274" t="str">
        <f>VLOOKUP('MIS Working 1'!$H422,Master!B:C,2,0)</f>
        <v>FG-PCB-CF</v>
      </c>
      <c r="T422" s="274" t="str">
        <f>VLOOKUP('MIS Working 1'!$S422,Master!E:F,2,0)</f>
        <v>FG-PCB-CF</v>
      </c>
      <c r="U422" s="277">
        <f>'MIS Working 1'!$N422-'MIS Working 1'!$AF422</f>
        <v>26176.500000000087</v>
      </c>
      <c r="V422" s="278">
        <f>'MIS Working 1'!$U422/'MIS Working 1'!$N422</f>
        <v>0.11406061271549396</v>
      </c>
      <c r="W422" s="274">
        <f>'MIS Working 1'!$N422/'MIS Working 1'!$L422</f>
        <v>728.56</v>
      </c>
      <c r="X422" s="279">
        <f>SUM('MIS Working 1'!$Y422:$AE422)</f>
        <v>677.50999999999965</v>
      </c>
      <c r="Y422" s="279">
        <f>SUMIFS('COGS Break up'!$E:$E,'COGS Break up'!$A:$A,'MIS Working 1'!$D422,'COGS Break up'!$D:$D,'MIS Working 1'!$Y$1)</f>
        <v>582.23999999999967</v>
      </c>
      <c r="Z422" s="279">
        <f>SUMIFS('COGS Break up'!$E:$E,'COGS Break up'!$A:$A,'MIS Working 1'!$D422,'COGS Break up'!$D:$D,'MIS Working 1'!$Z$1)</f>
        <v>29.88</v>
      </c>
      <c r="AA422" s="279">
        <f>SUMIFS('COGS Break up'!E:E,'COGS Break up'!A:A,'MIS Working 1'!$D:$D,'COGS Break up'!C:C,'MIS Working 1'!$AA$1)</f>
        <v>2.4500000000000002</v>
      </c>
      <c r="AB422" s="279">
        <f>SUMIFS('COGS Break up'!E:E,'COGS Break up'!A:A,'MIS Working 1'!$D:$D,'COGS Break up'!C:C,$AB$1)</f>
        <v>21.72</v>
      </c>
      <c r="AC422" s="279">
        <f>SUMIFS('COGS Break up'!E:E,'COGS Break up'!A:A,'MIS Working 1'!$D:$D,'COGS Break up'!C:C,$AC$1)</f>
        <v>8.31</v>
      </c>
      <c r="AD422" s="279">
        <f>SUMIFS('COGS Break up'!$E:$E,'COGS Break up'!$A:$A,'MIS Working 1'!$D422,'COGS Break up'!$D:$D,'MIS Working 1'!$AD$1)</f>
        <v>0.43</v>
      </c>
      <c r="AE422" s="279">
        <f>SUMIFS('COGS Break up'!$E:$E,'COGS Break up'!$A:$A,'MIS Working 1'!$D422,'COGS Break up'!$D:$D,'MIS Working 1'!$AE$1)</f>
        <v>32.480000000000004</v>
      </c>
      <c r="AF422" s="280">
        <f>'MIS Working 1'!$AG422+'MIS Working 1'!$AH422+'MIS Working 1'!$AM422+'MIS Working 1'!$AL422</f>
        <v>203319.89999999991</v>
      </c>
      <c r="AG422" s="279">
        <f>'MIS Working 1'!$L422*'MIS Working 1'!$Y422</f>
        <v>183405.59999999989</v>
      </c>
      <c r="AH422" s="279">
        <f>'MIS Working 1'!$L422*'MIS Working 1'!$Z422</f>
        <v>9412.1999999999989</v>
      </c>
      <c r="AI422" s="279">
        <f t="shared" si="18"/>
        <v>771.75</v>
      </c>
      <c r="AJ422" s="279">
        <f t="shared" si="19"/>
        <v>6841.7999999999993</v>
      </c>
      <c r="AK422" s="279">
        <f t="shared" si="20"/>
        <v>2617.65</v>
      </c>
      <c r="AL422" s="279">
        <f>'MIS Working 1'!$AD422*'MIS Working 1'!$L422</f>
        <v>135.44999999999999</v>
      </c>
      <c r="AM422" s="279">
        <f>'MIS Working 1'!$L422*'MIS Working 1'!$AE422+'MIS Working 1'!$AL422</f>
        <v>10366.650000000001</v>
      </c>
    </row>
    <row r="423" spans="1:39" x14ac:dyDescent="0.3">
      <c r="A423" s="263" t="s">
        <v>479</v>
      </c>
      <c r="B423" s="264">
        <v>45962</v>
      </c>
      <c r="C423" s="265" t="s">
        <v>1881</v>
      </c>
      <c r="D423" s="265" t="s">
        <v>639</v>
      </c>
      <c r="E423" s="265" t="s">
        <v>640</v>
      </c>
      <c r="F423" s="265" t="s">
        <v>18</v>
      </c>
      <c r="G423" s="265" t="s">
        <v>19</v>
      </c>
      <c r="H423" s="265" t="s">
        <v>27</v>
      </c>
      <c r="I423" s="266">
        <v>234</v>
      </c>
      <c r="J423" s="267">
        <v>150937.01999999999</v>
      </c>
      <c r="K423" s="266">
        <v>234</v>
      </c>
      <c r="L423" s="266">
        <v>234</v>
      </c>
      <c r="M423" s="264">
        <v>45962</v>
      </c>
      <c r="N423" s="267">
        <v>170483.04</v>
      </c>
      <c r="O423" s="265" t="s">
        <v>21</v>
      </c>
      <c r="P423" s="265" t="s">
        <v>22</v>
      </c>
      <c r="Q423" s="265" t="s">
        <v>660</v>
      </c>
      <c r="R423" s="265" t="str">
        <f>VLOOKUP('MIS Working 1'!$G423,Master!$H$3:$I$8,2,0)</f>
        <v>Finished Goods</v>
      </c>
      <c r="S423" s="265" t="str">
        <f>VLOOKUP('MIS Working 1'!$H423,Master!B:C,2,0)</f>
        <v>FG-PCB-CF</v>
      </c>
      <c r="T423" s="265" t="str">
        <f>VLOOKUP('MIS Working 1'!$S423,Master!E:F,2,0)</f>
        <v>FG-PCB-CF</v>
      </c>
      <c r="U423" s="268">
        <f>'MIS Working 1'!$N423-'MIS Working 1'!$AF423</f>
        <v>19445.400000000081</v>
      </c>
      <c r="V423" s="269">
        <f>'MIS Working 1'!$U423/'MIS Working 1'!$N423</f>
        <v>0.11406061271549404</v>
      </c>
      <c r="W423" s="265">
        <f>'MIS Working 1'!$N423/'MIS Working 1'!$L423</f>
        <v>728.56000000000006</v>
      </c>
      <c r="X423" s="270">
        <f>SUM('MIS Working 1'!$Y423:$AE423)</f>
        <v>677.50999999999965</v>
      </c>
      <c r="Y423" s="270">
        <f>SUMIFS('COGS Break up'!$E:$E,'COGS Break up'!$A:$A,'MIS Working 1'!$D423,'COGS Break up'!$D:$D,'MIS Working 1'!$Y$1)</f>
        <v>582.23999999999967</v>
      </c>
      <c r="Z423" s="270">
        <f>SUMIFS('COGS Break up'!$E:$E,'COGS Break up'!$A:$A,'MIS Working 1'!$D423,'COGS Break up'!$D:$D,'MIS Working 1'!$Z$1)</f>
        <v>29.88</v>
      </c>
      <c r="AA423" s="270">
        <f>SUMIFS('COGS Break up'!E:E,'COGS Break up'!A:A,'MIS Working 1'!$D:$D,'COGS Break up'!C:C,'MIS Working 1'!$AA$1)</f>
        <v>2.4500000000000002</v>
      </c>
      <c r="AB423" s="270">
        <f>SUMIFS('COGS Break up'!E:E,'COGS Break up'!A:A,'MIS Working 1'!$D:$D,'COGS Break up'!C:C,$AB$1)</f>
        <v>21.72</v>
      </c>
      <c r="AC423" s="270">
        <f>SUMIFS('COGS Break up'!E:E,'COGS Break up'!A:A,'MIS Working 1'!$D:$D,'COGS Break up'!C:C,$AC$1)</f>
        <v>8.31</v>
      </c>
      <c r="AD423" s="270">
        <f>SUMIFS('COGS Break up'!$E:$E,'COGS Break up'!$A:$A,'MIS Working 1'!$D423,'COGS Break up'!$D:$D,'MIS Working 1'!$AD$1)</f>
        <v>0.43</v>
      </c>
      <c r="AE423" s="270">
        <f>SUMIFS('COGS Break up'!$E:$E,'COGS Break up'!$A:$A,'MIS Working 1'!$D423,'COGS Break up'!$D:$D,'MIS Working 1'!$AE$1)</f>
        <v>32.480000000000004</v>
      </c>
      <c r="AF423" s="271">
        <f>'MIS Working 1'!$AG423+'MIS Working 1'!$AH423+'MIS Working 1'!$AM423+'MIS Working 1'!$AL423</f>
        <v>151037.63999999993</v>
      </c>
      <c r="AG423" s="270">
        <f>'MIS Working 1'!$L423*'MIS Working 1'!$Y423</f>
        <v>136244.15999999992</v>
      </c>
      <c r="AH423" s="270">
        <f>'MIS Working 1'!$L423*'MIS Working 1'!$Z423</f>
        <v>6991.92</v>
      </c>
      <c r="AI423" s="270">
        <f t="shared" si="18"/>
        <v>573.30000000000007</v>
      </c>
      <c r="AJ423" s="270">
        <f t="shared" si="19"/>
        <v>5082.4799999999996</v>
      </c>
      <c r="AK423" s="270">
        <f t="shared" si="20"/>
        <v>1944.5400000000002</v>
      </c>
      <c r="AL423" s="270">
        <f>'MIS Working 1'!$AD423*'MIS Working 1'!$L423</f>
        <v>100.62</v>
      </c>
      <c r="AM423" s="270">
        <f>'MIS Working 1'!$L423*'MIS Working 1'!$AE423+'MIS Working 1'!$AL423</f>
        <v>7700.9400000000005</v>
      </c>
    </row>
    <row r="424" spans="1:39" x14ac:dyDescent="0.3">
      <c r="A424" s="272" t="s">
        <v>479</v>
      </c>
      <c r="B424" s="273">
        <v>45962</v>
      </c>
      <c r="C424" s="274" t="s">
        <v>1882</v>
      </c>
      <c r="D424" s="274" t="s">
        <v>378</v>
      </c>
      <c r="E424" s="274" t="s">
        <v>379</v>
      </c>
      <c r="F424" s="274" t="s">
        <v>18</v>
      </c>
      <c r="G424" s="274" t="s">
        <v>19</v>
      </c>
      <c r="H424" s="274" t="s">
        <v>27</v>
      </c>
      <c r="I424" s="275">
        <v>120</v>
      </c>
      <c r="J424" s="276">
        <v>39024</v>
      </c>
      <c r="K424" s="275">
        <v>120</v>
      </c>
      <c r="L424" s="275">
        <v>120</v>
      </c>
      <c r="M424" s="273">
        <v>45962</v>
      </c>
      <c r="N424" s="276">
        <v>43627.199999999997</v>
      </c>
      <c r="O424" s="274" t="s">
        <v>21</v>
      </c>
      <c r="P424" s="274" t="s">
        <v>22</v>
      </c>
      <c r="Q424" s="274" t="s">
        <v>660</v>
      </c>
      <c r="R424" s="274" t="str">
        <f>VLOOKUP('MIS Working 1'!$G424,Master!$H$3:$I$8,2,0)</f>
        <v>Finished Goods</v>
      </c>
      <c r="S424" s="274" t="str">
        <f>VLOOKUP('MIS Working 1'!$H424,Master!B:C,2,0)</f>
        <v>FG-PCB-CF</v>
      </c>
      <c r="T424" s="274" t="str">
        <f>VLOOKUP('MIS Working 1'!$S424,Master!E:F,2,0)</f>
        <v>FG-PCB-CF</v>
      </c>
      <c r="U424" s="277">
        <f>'MIS Working 1'!$N424-'MIS Working 1'!$AF424</f>
        <v>4572</v>
      </c>
      <c r="V424" s="278">
        <f>'MIS Working 1'!$U424/'MIS Working 1'!$N424</f>
        <v>0.10479700737154803</v>
      </c>
      <c r="W424" s="274">
        <f>'MIS Working 1'!$N424/'MIS Working 1'!$L424</f>
        <v>363.56</v>
      </c>
      <c r="X424" s="279">
        <f>SUM('MIS Working 1'!$Y424:$AE424)</f>
        <v>354.76999999999992</v>
      </c>
      <c r="Y424" s="279">
        <f>SUMIFS('COGS Break up'!$E:$E,'COGS Break up'!$A:$A,'MIS Working 1'!$D424,'COGS Break up'!$D:$D,'MIS Working 1'!$Y$1)</f>
        <v>271.52999999999997</v>
      </c>
      <c r="Z424" s="279">
        <f>SUMIFS('COGS Break up'!$E:$E,'COGS Break up'!$A:$A,'MIS Working 1'!$D424,'COGS Break up'!$D:$D,'MIS Working 1'!$Z$1)</f>
        <v>23.84</v>
      </c>
      <c r="AA424" s="279">
        <f>SUMIFS('COGS Break up'!E:E,'COGS Break up'!A:A,'MIS Working 1'!$D:$D,'COGS Break up'!C:C,'MIS Working 1'!$AA$1)</f>
        <v>1.9500000000000002</v>
      </c>
      <c r="AB424" s="279">
        <f>SUMIFS('COGS Break up'!E:E,'COGS Break up'!A:A,'MIS Working 1'!$D:$D,'COGS Break up'!C:C,$AB$1)</f>
        <v>17.329999999999998</v>
      </c>
      <c r="AC424" s="279">
        <f>SUMIFS('COGS Break up'!E:E,'COGS Break up'!A:A,'MIS Working 1'!$D:$D,'COGS Break up'!C:C,$AC$1)</f>
        <v>10.29</v>
      </c>
      <c r="AD424" s="279">
        <f>SUMIFS('COGS Break up'!$E:$E,'COGS Break up'!$A:$A,'MIS Working 1'!$D424,'COGS Break up'!$D:$D,'MIS Working 1'!$AD$1)</f>
        <v>0.26</v>
      </c>
      <c r="AE424" s="279">
        <f>SUMIFS('COGS Break up'!$E:$E,'COGS Break up'!$A:$A,'MIS Working 1'!$D424,'COGS Break up'!$D:$D,'MIS Working 1'!$AE$1)</f>
        <v>29.569999999999997</v>
      </c>
      <c r="AF424" s="280">
        <f>'MIS Working 1'!$AG424+'MIS Working 1'!$AH424+'MIS Working 1'!$AM424+'MIS Working 1'!$AL424</f>
        <v>39055.199999999997</v>
      </c>
      <c r="AG424" s="279">
        <f>'MIS Working 1'!$L424*'MIS Working 1'!$Y424</f>
        <v>32583.599999999999</v>
      </c>
      <c r="AH424" s="279">
        <f>'MIS Working 1'!$L424*'MIS Working 1'!$Z424</f>
        <v>2860.8</v>
      </c>
      <c r="AI424" s="279">
        <f t="shared" si="18"/>
        <v>234.00000000000003</v>
      </c>
      <c r="AJ424" s="279">
        <f t="shared" si="19"/>
        <v>2079.6</v>
      </c>
      <c r="AK424" s="279">
        <f t="shared" si="20"/>
        <v>1234.8</v>
      </c>
      <c r="AL424" s="279">
        <f>'MIS Working 1'!$AD424*'MIS Working 1'!$L424</f>
        <v>31.200000000000003</v>
      </c>
      <c r="AM424" s="279">
        <f>'MIS Working 1'!$L424*'MIS Working 1'!$AE424+'MIS Working 1'!$AL424</f>
        <v>3579.5999999999995</v>
      </c>
    </row>
    <row r="425" spans="1:39" x14ac:dyDescent="0.3">
      <c r="A425" s="263" t="s">
        <v>479</v>
      </c>
      <c r="B425" s="264">
        <v>45962</v>
      </c>
      <c r="C425" s="265" t="s">
        <v>1882</v>
      </c>
      <c r="D425" s="265" t="s">
        <v>380</v>
      </c>
      <c r="E425" s="265" t="s">
        <v>381</v>
      </c>
      <c r="F425" s="265" t="s">
        <v>18</v>
      </c>
      <c r="G425" s="265" t="s">
        <v>19</v>
      </c>
      <c r="H425" s="265" t="s">
        <v>27</v>
      </c>
      <c r="I425" s="266">
        <v>96</v>
      </c>
      <c r="J425" s="267">
        <v>20793.599999999999</v>
      </c>
      <c r="K425" s="266">
        <v>96</v>
      </c>
      <c r="L425" s="266">
        <v>96</v>
      </c>
      <c r="M425" s="264">
        <v>45962</v>
      </c>
      <c r="N425" s="267">
        <v>21554.880000000001</v>
      </c>
      <c r="O425" s="265" t="s">
        <v>21</v>
      </c>
      <c r="P425" s="265" t="s">
        <v>22</v>
      </c>
      <c r="Q425" s="265" t="s">
        <v>660</v>
      </c>
      <c r="R425" s="265" t="str">
        <f>VLOOKUP('MIS Working 1'!$G425,Master!$H$3:$I$8,2,0)</f>
        <v>Finished Goods</v>
      </c>
      <c r="S425" s="265" t="str">
        <f>VLOOKUP('MIS Working 1'!$H425,Master!B:C,2,0)</f>
        <v>FG-PCB-CF</v>
      </c>
      <c r="T425" s="265" t="str">
        <f>VLOOKUP('MIS Working 1'!$S425,Master!E:F,2,0)</f>
        <v>FG-PCB-CF</v>
      </c>
      <c r="U425" s="268">
        <f>'MIS Working 1'!$N425-'MIS Working 1'!$AF425</f>
        <v>757.4400000000096</v>
      </c>
      <c r="V425" s="269">
        <f>'MIS Working 1'!$U425/'MIS Working 1'!$N425</f>
        <v>3.5140070369216139E-2</v>
      </c>
      <c r="W425" s="265">
        <f>'MIS Working 1'!$N425/'MIS Working 1'!$L425</f>
        <v>224.53</v>
      </c>
      <c r="X425" s="270">
        <f>SUM('MIS Working 1'!$Y425:$AE425)</f>
        <v>239.77999999999994</v>
      </c>
      <c r="Y425" s="270">
        <f>SUMIFS('COGS Break up'!$E:$E,'COGS Break up'!$A:$A,'MIS Working 1'!$D425,'COGS Break up'!$D:$D,'MIS Working 1'!$Y$1)</f>
        <v>174.98999999999995</v>
      </c>
      <c r="Z425" s="270">
        <f>SUMIFS('COGS Break up'!$E:$E,'COGS Break up'!$A:$A,'MIS Working 1'!$D425,'COGS Break up'!$D:$D,'MIS Working 1'!$Z$1)</f>
        <v>18.389999999999997</v>
      </c>
      <c r="AA425" s="270">
        <f>SUMIFS('COGS Break up'!E:E,'COGS Break up'!A:A,'MIS Working 1'!$D:$D,'COGS Break up'!C:C,'MIS Working 1'!$AA$1)</f>
        <v>1.5</v>
      </c>
      <c r="AB425" s="270">
        <f>SUMIFS('COGS Break up'!E:E,'COGS Break up'!A:A,'MIS Working 1'!$D:$D,'COGS Break up'!C:C,$AB$1)</f>
        <v>13.37</v>
      </c>
      <c r="AC425" s="270">
        <f>SUMIFS('COGS Break up'!E:E,'COGS Break up'!A:A,'MIS Working 1'!$D:$D,'COGS Break up'!C:C,$AC$1)</f>
        <v>8.31</v>
      </c>
      <c r="AD425" s="270">
        <f>SUMIFS('COGS Break up'!$E:$E,'COGS Break up'!$A:$A,'MIS Working 1'!$D425,'COGS Break up'!$D:$D,'MIS Working 1'!$AD$1)</f>
        <v>0.04</v>
      </c>
      <c r="AE425" s="270">
        <f>SUMIFS('COGS Break up'!$E:$E,'COGS Break up'!$A:$A,'MIS Working 1'!$D425,'COGS Break up'!$D:$D,'MIS Working 1'!$AE$1)</f>
        <v>23.18</v>
      </c>
      <c r="AF425" s="271">
        <f>'MIS Working 1'!$AG425+'MIS Working 1'!$AH425+'MIS Working 1'!$AM425+'MIS Working 1'!$AL425</f>
        <v>20797.439999999991</v>
      </c>
      <c r="AG425" s="270">
        <f>'MIS Working 1'!$L425*'MIS Working 1'!$Y425</f>
        <v>16799.039999999994</v>
      </c>
      <c r="AH425" s="270">
        <f>'MIS Working 1'!$L425*'MIS Working 1'!$Z425</f>
        <v>1765.4399999999996</v>
      </c>
      <c r="AI425" s="270">
        <f t="shared" si="18"/>
        <v>144</v>
      </c>
      <c r="AJ425" s="270">
        <f t="shared" si="19"/>
        <v>1283.52</v>
      </c>
      <c r="AK425" s="270">
        <f t="shared" si="20"/>
        <v>797.76</v>
      </c>
      <c r="AL425" s="270">
        <f>'MIS Working 1'!$AD425*'MIS Working 1'!$L425</f>
        <v>3.84</v>
      </c>
      <c r="AM425" s="270">
        <f>'MIS Working 1'!$L425*'MIS Working 1'!$AE425+'MIS Working 1'!$AL425</f>
        <v>2229.12</v>
      </c>
    </row>
    <row r="426" spans="1:39" x14ac:dyDescent="0.3">
      <c r="A426" s="272" t="s">
        <v>479</v>
      </c>
      <c r="B426" s="273">
        <v>45962</v>
      </c>
      <c r="C426" s="274" t="s">
        <v>1884</v>
      </c>
      <c r="D426" s="274" t="s">
        <v>23</v>
      </c>
      <c r="E426" s="274" t="s">
        <v>24</v>
      </c>
      <c r="F426" s="274" t="s">
        <v>18</v>
      </c>
      <c r="G426" s="274" t="s">
        <v>19</v>
      </c>
      <c r="H426" s="274" t="s">
        <v>27</v>
      </c>
      <c r="I426" s="275">
        <v>1120</v>
      </c>
      <c r="J426" s="276">
        <v>471979.2</v>
      </c>
      <c r="K426" s="275">
        <v>1120</v>
      </c>
      <c r="L426" s="275">
        <v>1120</v>
      </c>
      <c r="M426" s="273">
        <v>45962</v>
      </c>
      <c r="N426" s="276">
        <v>541139.19999999995</v>
      </c>
      <c r="O426" s="274" t="s">
        <v>21</v>
      </c>
      <c r="P426" s="274" t="s">
        <v>22</v>
      </c>
      <c r="Q426" s="274" t="s">
        <v>660</v>
      </c>
      <c r="R426" s="274" t="str">
        <f>VLOOKUP('MIS Working 1'!$G426,Master!$H$3:$I$8,2,0)</f>
        <v>Finished Goods</v>
      </c>
      <c r="S426" s="274" t="str">
        <f>VLOOKUP('MIS Working 1'!$H426,Master!B:C,2,0)</f>
        <v>FG-PCB-CF</v>
      </c>
      <c r="T426" s="274" t="str">
        <f>VLOOKUP('MIS Working 1'!$S426,Master!E:F,2,0)</f>
        <v>FG-PCB-CF</v>
      </c>
      <c r="U426" s="277">
        <f>'MIS Working 1'!$N426-'MIS Working 1'!$AF426</f>
        <v>68868.800000000105</v>
      </c>
      <c r="V426" s="278">
        <f>'MIS Working 1'!$U426/'MIS Working 1'!$N426</f>
        <v>0.12726632999420504</v>
      </c>
      <c r="W426" s="274">
        <f>'MIS Working 1'!$N426/'MIS Working 1'!$L426</f>
        <v>483.15999999999997</v>
      </c>
      <c r="X426" s="279">
        <f>SUM('MIS Working 1'!$Y426:$AE426)</f>
        <v>447.50999999999988</v>
      </c>
      <c r="Y426" s="279">
        <f>SUMIFS('COGS Break up'!$E:$E,'COGS Break up'!$A:$A,'MIS Working 1'!$D426,'COGS Break up'!$D:$D,'MIS Working 1'!$Y$1)</f>
        <v>373.04999999999984</v>
      </c>
      <c r="Z426" s="279">
        <f>SUMIFS('COGS Break up'!$E:$E,'COGS Break up'!$A:$A,'MIS Working 1'!$D426,'COGS Break up'!$D:$D,'MIS Working 1'!$Z$1)</f>
        <v>22</v>
      </c>
      <c r="AA426" s="279">
        <f>SUMIFS('COGS Break up'!E:E,'COGS Break up'!A:A,'MIS Working 1'!$D:$D,'COGS Break up'!C:C,'MIS Working 1'!$AA$1)</f>
        <v>1.8</v>
      </c>
      <c r="AB426" s="279">
        <f>SUMIFS('COGS Break up'!E:E,'COGS Break up'!A:A,'MIS Working 1'!$D:$D,'COGS Break up'!C:C,$AB$1)</f>
        <v>15.99</v>
      </c>
      <c r="AC426" s="279">
        <f>SUMIFS('COGS Break up'!E:E,'COGS Break up'!A:A,'MIS Working 1'!$D:$D,'COGS Break up'!C:C,$AC$1)</f>
        <v>8.31</v>
      </c>
      <c r="AD426" s="279">
        <f>SUMIFS('COGS Break up'!$E:$E,'COGS Break up'!$A:$A,'MIS Working 1'!$D426,'COGS Break up'!$D:$D,'MIS Working 1'!$AD$1)</f>
        <v>0.26</v>
      </c>
      <c r="AE426" s="279">
        <f>SUMIFS('COGS Break up'!$E:$E,'COGS Break up'!$A:$A,'MIS Working 1'!$D426,'COGS Break up'!$D:$D,'MIS Working 1'!$AE$1)</f>
        <v>26.1</v>
      </c>
      <c r="AF426" s="280">
        <f>'MIS Working 1'!$AG426+'MIS Working 1'!$AH426+'MIS Working 1'!$AM426+'MIS Working 1'!$AL426</f>
        <v>472270.39999999985</v>
      </c>
      <c r="AG426" s="279">
        <f>'MIS Working 1'!$L426*'MIS Working 1'!$Y426</f>
        <v>417815.99999999983</v>
      </c>
      <c r="AH426" s="279">
        <f>'MIS Working 1'!$L426*'MIS Working 1'!$Z426</f>
        <v>24640</v>
      </c>
      <c r="AI426" s="279">
        <f t="shared" si="18"/>
        <v>2016</v>
      </c>
      <c r="AJ426" s="279">
        <f t="shared" si="19"/>
        <v>17908.8</v>
      </c>
      <c r="AK426" s="279">
        <f t="shared" si="20"/>
        <v>9307.2000000000007</v>
      </c>
      <c r="AL426" s="279">
        <f>'MIS Working 1'!$AD426*'MIS Working 1'!$L426</f>
        <v>291.2</v>
      </c>
      <c r="AM426" s="279">
        <f>'MIS Working 1'!$L426*'MIS Working 1'!$AE426+'MIS Working 1'!$AL426</f>
        <v>29523.200000000001</v>
      </c>
    </row>
    <row r="427" spans="1:39" x14ac:dyDescent="0.3">
      <c r="A427" s="263" t="s">
        <v>479</v>
      </c>
      <c r="B427" s="264">
        <v>45962</v>
      </c>
      <c r="C427" s="265" t="s">
        <v>1883</v>
      </c>
      <c r="D427" s="265" t="s">
        <v>23</v>
      </c>
      <c r="E427" s="265" t="s">
        <v>24</v>
      </c>
      <c r="F427" s="265" t="s">
        <v>18</v>
      </c>
      <c r="G427" s="265" t="s">
        <v>19</v>
      </c>
      <c r="H427" s="265" t="s">
        <v>27</v>
      </c>
      <c r="I427" s="266">
        <v>1120</v>
      </c>
      <c r="J427" s="267">
        <v>471979.2</v>
      </c>
      <c r="K427" s="266">
        <v>1120</v>
      </c>
      <c r="L427" s="266">
        <v>1120</v>
      </c>
      <c r="M427" s="264">
        <v>45962</v>
      </c>
      <c r="N427" s="267">
        <v>541139.19999999995</v>
      </c>
      <c r="O427" s="265" t="s">
        <v>21</v>
      </c>
      <c r="P427" s="265" t="s">
        <v>22</v>
      </c>
      <c r="Q427" s="265" t="s">
        <v>660</v>
      </c>
      <c r="R427" s="265" t="str">
        <f>VLOOKUP('MIS Working 1'!$G427,Master!$H$3:$I$8,2,0)</f>
        <v>Finished Goods</v>
      </c>
      <c r="S427" s="265" t="str">
        <f>VLOOKUP('MIS Working 1'!$H427,Master!B:C,2,0)</f>
        <v>FG-PCB-CF</v>
      </c>
      <c r="T427" s="265" t="str">
        <f>VLOOKUP('MIS Working 1'!$S427,Master!E:F,2,0)</f>
        <v>FG-PCB-CF</v>
      </c>
      <c r="U427" s="268">
        <f>'MIS Working 1'!$N427-'MIS Working 1'!$AF427</f>
        <v>68868.800000000105</v>
      </c>
      <c r="V427" s="269">
        <f>'MIS Working 1'!$U427/'MIS Working 1'!$N427</f>
        <v>0.12726632999420504</v>
      </c>
      <c r="W427" s="265">
        <f>'MIS Working 1'!$N427/'MIS Working 1'!$L427</f>
        <v>483.15999999999997</v>
      </c>
      <c r="X427" s="270">
        <f>SUM('MIS Working 1'!$Y427:$AE427)</f>
        <v>447.50999999999988</v>
      </c>
      <c r="Y427" s="270">
        <f>SUMIFS('COGS Break up'!$E:$E,'COGS Break up'!$A:$A,'MIS Working 1'!$D427,'COGS Break up'!$D:$D,'MIS Working 1'!$Y$1)</f>
        <v>373.04999999999984</v>
      </c>
      <c r="Z427" s="270">
        <f>SUMIFS('COGS Break up'!$E:$E,'COGS Break up'!$A:$A,'MIS Working 1'!$D427,'COGS Break up'!$D:$D,'MIS Working 1'!$Z$1)</f>
        <v>22</v>
      </c>
      <c r="AA427" s="270">
        <f>SUMIFS('COGS Break up'!E:E,'COGS Break up'!A:A,'MIS Working 1'!$D:$D,'COGS Break up'!C:C,'MIS Working 1'!$AA$1)</f>
        <v>1.8</v>
      </c>
      <c r="AB427" s="270">
        <f>SUMIFS('COGS Break up'!E:E,'COGS Break up'!A:A,'MIS Working 1'!$D:$D,'COGS Break up'!C:C,$AB$1)</f>
        <v>15.99</v>
      </c>
      <c r="AC427" s="270">
        <f>SUMIFS('COGS Break up'!E:E,'COGS Break up'!A:A,'MIS Working 1'!$D:$D,'COGS Break up'!C:C,$AC$1)</f>
        <v>8.31</v>
      </c>
      <c r="AD427" s="270">
        <f>SUMIFS('COGS Break up'!$E:$E,'COGS Break up'!$A:$A,'MIS Working 1'!$D427,'COGS Break up'!$D:$D,'MIS Working 1'!$AD$1)</f>
        <v>0.26</v>
      </c>
      <c r="AE427" s="270">
        <f>SUMIFS('COGS Break up'!$E:$E,'COGS Break up'!$A:$A,'MIS Working 1'!$D427,'COGS Break up'!$D:$D,'MIS Working 1'!$AE$1)</f>
        <v>26.1</v>
      </c>
      <c r="AF427" s="271">
        <f>'MIS Working 1'!$AG427+'MIS Working 1'!$AH427+'MIS Working 1'!$AM427+'MIS Working 1'!$AL427</f>
        <v>472270.39999999985</v>
      </c>
      <c r="AG427" s="270">
        <f>'MIS Working 1'!$L427*'MIS Working 1'!$Y427</f>
        <v>417815.99999999983</v>
      </c>
      <c r="AH427" s="270">
        <f>'MIS Working 1'!$L427*'MIS Working 1'!$Z427</f>
        <v>24640</v>
      </c>
      <c r="AI427" s="270">
        <f t="shared" si="18"/>
        <v>2016</v>
      </c>
      <c r="AJ427" s="270">
        <f t="shared" si="19"/>
        <v>17908.8</v>
      </c>
      <c r="AK427" s="270">
        <f t="shared" si="20"/>
        <v>9307.2000000000007</v>
      </c>
      <c r="AL427" s="270">
        <f>'MIS Working 1'!$AD427*'MIS Working 1'!$L427</f>
        <v>291.2</v>
      </c>
      <c r="AM427" s="270">
        <f>'MIS Working 1'!$L427*'MIS Working 1'!$AE427+'MIS Working 1'!$AL427</f>
        <v>29523.200000000001</v>
      </c>
    </row>
    <row r="428" spans="1:39" x14ac:dyDescent="0.3">
      <c r="A428" s="272" t="s">
        <v>479</v>
      </c>
      <c r="B428" s="273">
        <v>45962</v>
      </c>
      <c r="C428" s="274" t="s">
        <v>1883</v>
      </c>
      <c r="D428" s="274" t="s">
        <v>637</v>
      </c>
      <c r="E428" s="274" t="s">
        <v>638</v>
      </c>
      <c r="F428" s="274" t="s">
        <v>18</v>
      </c>
      <c r="G428" s="274" t="s">
        <v>19</v>
      </c>
      <c r="H428" s="274" t="s">
        <v>27</v>
      </c>
      <c r="I428" s="275">
        <v>1080</v>
      </c>
      <c r="J428" s="276">
        <v>352371.6</v>
      </c>
      <c r="K428" s="275">
        <v>1080</v>
      </c>
      <c r="L428" s="275">
        <v>1080</v>
      </c>
      <c r="M428" s="273">
        <v>45962</v>
      </c>
      <c r="N428" s="276">
        <v>392644.8</v>
      </c>
      <c r="O428" s="274" t="s">
        <v>21</v>
      </c>
      <c r="P428" s="274" t="s">
        <v>22</v>
      </c>
      <c r="Q428" s="274" t="s">
        <v>660</v>
      </c>
      <c r="R428" s="274" t="str">
        <f>VLOOKUP('MIS Working 1'!$G428,Master!$H$3:$I$8,2,0)</f>
        <v>Finished Goods</v>
      </c>
      <c r="S428" s="274" t="str">
        <f>VLOOKUP('MIS Working 1'!$H428,Master!B:C,2,0)</f>
        <v>FG-PCB-CF</v>
      </c>
      <c r="T428" s="274" t="str">
        <f>VLOOKUP('MIS Working 1'!$S428,Master!E:F,2,0)</f>
        <v>FG-PCB-CF</v>
      </c>
      <c r="U428" s="277">
        <f>'MIS Working 1'!$N428-'MIS Working 1'!$AF428</f>
        <v>40003.200000000012</v>
      </c>
      <c r="V428" s="278">
        <f>'MIS Working 1'!$U428/'MIS Working 1'!$N428</f>
        <v>0.10188139509296956</v>
      </c>
      <c r="W428" s="274">
        <f>'MIS Working 1'!$N428/'MIS Working 1'!$L428</f>
        <v>363.56</v>
      </c>
      <c r="X428" s="279">
        <f>SUM('MIS Working 1'!$Y428:$AE428)</f>
        <v>359.82</v>
      </c>
      <c r="Y428" s="279">
        <f>SUMIFS('COGS Break up'!$E:$E,'COGS Break up'!$A:$A,'MIS Working 1'!$D428,'COGS Break up'!$D:$D,'MIS Working 1'!$Y$1)</f>
        <v>271.52999999999997</v>
      </c>
      <c r="Z428" s="279">
        <f>SUMIFS('COGS Break up'!$E:$E,'COGS Break up'!$A:$A,'MIS Working 1'!$D428,'COGS Break up'!$D:$D,'MIS Working 1'!$Z$1)</f>
        <v>20.94</v>
      </c>
      <c r="AA428" s="279">
        <f>SUMIFS('COGS Break up'!E:E,'COGS Break up'!A:A,'MIS Working 1'!$D:$D,'COGS Break up'!C:C,'MIS Working 1'!$AA$1)</f>
        <v>1.7100000000000002</v>
      </c>
      <c r="AB428" s="279">
        <f>SUMIFS('COGS Break up'!E:E,'COGS Break up'!A:A,'MIS Working 1'!$D:$D,'COGS Break up'!C:C,$AB$1)</f>
        <v>15.22</v>
      </c>
      <c r="AC428" s="279">
        <f>SUMIFS('COGS Break up'!E:E,'COGS Break up'!A:A,'MIS Working 1'!$D:$D,'COGS Break up'!C:C,$AC$1)</f>
        <v>16.62</v>
      </c>
      <c r="AD428" s="279">
        <f>SUMIFS('COGS Break up'!$E:$E,'COGS Break up'!$A:$A,'MIS Working 1'!$D428,'COGS Break up'!$D:$D,'MIS Working 1'!$AD$1)</f>
        <v>0.25</v>
      </c>
      <c r="AE428" s="279">
        <f>SUMIFS('COGS Break up'!$E:$E,'COGS Break up'!$A:$A,'MIS Working 1'!$D428,'COGS Break up'!$D:$D,'MIS Working 1'!$AE$1)</f>
        <v>33.550000000000004</v>
      </c>
      <c r="AF428" s="280">
        <f>'MIS Working 1'!$AG428+'MIS Working 1'!$AH428+'MIS Working 1'!$AM428+'MIS Working 1'!$AL428</f>
        <v>352641.6</v>
      </c>
      <c r="AG428" s="279">
        <f>'MIS Working 1'!$L428*'MIS Working 1'!$Y428</f>
        <v>293252.39999999997</v>
      </c>
      <c r="AH428" s="279">
        <f>'MIS Working 1'!$L428*'MIS Working 1'!$Z428</f>
        <v>22615.200000000001</v>
      </c>
      <c r="AI428" s="279">
        <f t="shared" si="18"/>
        <v>1846.8000000000002</v>
      </c>
      <c r="AJ428" s="279">
        <f t="shared" si="19"/>
        <v>16437.600000000002</v>
      </c>
      <c r="AK428" s="279">
        <f t="shared" si="20"/>
        <v>17949.600000000002</v>
      </c>
      <c r="AL428" s="279">
        <f>'MIS Working 1'!$AD428*'MIS Working 1'!$L428</f>
        <v>270</v>
      </c>
      <c r="AM428" s="279">
        <f>'MIS Working 1'!$L428*'MIS Working 1'!$AE428+'MIS Working 1'!$AL428</f>
        <v>36504.000000000007</v>
      </c>
    </row>
    <row r="429" spans="1:39" x14ac:dyDescent="0.3">
      <c r="A429" s="263" t="s">
        <v>479</v>
      </c>
      <c r="B429" s="264">
        <v>45962</v>
      </c>
      <c r="C429" s="265" t="s">
        <v>1882</v>
      </c>
      <c r="D429" s="265" t="s">
        <v>38</v>
      </c>
      <c r="E429" s="265" t="s">
        <v>39</v>
      </c>
      <c r="F429" s="265" t="s">
        <v>18</v>
      </c>
      <c r="G429" s="265" t="s">
        <v>19</v>
      </c>
      <c r="H429" s="265" t="s">
        <v>27</v>
      </c>
      <c r="I429" s="266">
        <v>300</v>
      </c>
      <c r="J429" s="267">
        <v>98139</v>
      </c>
      <c r="K429" s="266">
        <v>300</v>
      </c>
      <c r="L429" s="266">
        <v>300</v>
      </c>
      <c r="M429" s="264">
        <v>45962</v>
      </c>
      <c r="N429" s="267">
        <v>102321</v>
      </c>
      <c r="O429" s="265" t="s">
        <v>21</v>
      </c>
      <c r="P429" s="265" t="s">
        <v>22</v>
      </c>
      <c r="Q429" s="265" t="s">
        <v>660</v>
      </c>
      <c r="R429" s="265" t="str">
        <f>VLOOKUP('MIS Working 1'!$G429,Master!$H$3:$I$8,2,0)</f>
        <v>Finished Goods</v>
      </c>
      <c r="S429" s="265" t="str">
        <f>VLOOKUP('MIS Working 1'!$H429,Master!B:C,2,0)</f>
        <v>FG-PCB-CF</v>
      </c>
      <c r="T429" s="265" t="str">
        <f>VLOOKUP('MIS Working 1'!$S429,Master!E:F,2,0)</f>
        <v>FG-PCB-CF</v>
      </c>
      <c r="U429" s="268">
        <f>'MIS Working 1'!$N429-'MIS Working 1'!$AF429</f>
        <v>4131</v>
      </c>
      <c r="V429" s="269">
        <f>'MIS Working 1'!$U429/'MIS Working 1'!$N429</f>
        <v>4.0372943970445947E-2</v>
      </c>
      <c r="W429" s="265">
        <f>'MIS Working 1'!$N429/'MIS Working 1'!$L429</f>
        <v>341.07</v>
      </c>
      <c r="X429" s="270">
        <f>SUM('MIS Working 1'!$Y429:$AE429)</f>
        <v>353.55</v>
      </c>
      <c r="Y429" s="270">
        <f>SUMIFS('COGS Break up'!$E:$E,'COGS Break up'!$A:$A,'MIS Working 1'!$D429,'COGS Break up'!$D:$D,'MIS Working 1'!$Y$1)</f>
        <v>278.14</v>
      </c>
      <c r="Z429" s="270">
        <f>SUMIFS('COGS Break up'!$E:$E,'COGS Break up'!$A:$A,'MIS Working 1'!$D429,'COGS Break up'!$D:$D,'MIS Working 1'!$Z$1)</f>
        <v>22.400000000000002</v>
      </c>
      <c r="AA429" s="270">
        <f>SUMIFS('COGS Break up'!E:E,'COGS Break up'!A:A,'MIS Working 1'!$D:$D,'COGS Break up'!C:C,'MIS Working 1'!$AA$1)</f>
        <v>1.8299999999999998</v>
      </c>
      <c r="AB429" s="270">
        <f>SUMIFS('COGS Break up'!E:E,'COGS Break up'!A:A,'MIS Working 1'!$D:$D,'COGS Break up'!C:C,$AB$1)</f>
        <v>16.28</v>
      </c>
      <c r="AC429" s="270">
        <f>SUMIFS('COGS Break up'!E:E,'COGS Break up'!A:A,'MIS Working 1'!$D:$D,'COGS Break up'!C:C,$AC$1)</f>
        <v>8.31</v>
      </c>
      <c r="AD429" s="270">
        <f>SUMIFS('COGS Break up'!$E:$E,'COGS Break up'!$A:$A,'MIS Working 1'!$D429,'COGS Break up'!$D:$D,'MIS Working 1'!$AD$1)</f>
        <v>0.17</v>
      </c>
      <c r="AE429" s="270">
        <f>SUMIFS('COGS Break up'!$E:$E,'COGS Break up'!$A:$A,'MIS Working 1'!$D429,'COGS Break up'!$D:$D,'MIS Working 1'!$AE$1)</f>
        <v>26.42</v>
      </c>
      <c r="AF429" s="271">
        <f>'MIS Working 1'!$AG429+'MIS Working 1'!$AH429+'MIS Working 1'!$AM429+'MIS Working 1'!$AL429</f>
        <v>98190</v>
      </c>
      <c r="AG429" s="270">
        <f>'MIS Working 1'!$L429*'MIS Working 1'!$Y429</f>
        <v>83442</v>
      </c>
      <c r="AH429" s="270">
        <f>'MIS Working 1'!$L429*'MIS Working 1'!$Z429</f>
        <v>6720.0000000000009</v>
      </c>
      <c r="AI429" s="270">
        <f t="shared" si="18"/>
        <v>549</v>
      </c>
      <c r="AJ429" s="270">
        <f t="shared" si="19"/>
        <v>4884</v>
      </c>
      <c r="AK429" s="270">
        <f t="shared" si="20"/>
        <v>2493</v>
      </c>
      <c r="AL429" s="270">
        <f>'MIS Working 1'!$AD429*'MIS Working 1'!$L429</f>
        <v>51.000000000000007</v>
      </c>
      <c r="AM429" s="270">
        <f>'MIS Working 1'!$L429*'MIS Working 1'!$AE429+'MIS Working 1'!$AL429</f>
        <v>7977.0000000000009</v>
      </c>
    </row>
    <row r="430" spans="1:39" x14ac:dyDescent="0.3">
      <c r="A430" s="272" t="s">
        <v>479</v>
      </c>
      <c r="B430" s="273">
        <v>45962</v>
      </c>
      <c r="C430" s="274" t="s">
        <v>1884</v>
      </c>
      <c r="D430" s="274" t="s">
        <v>38</v>
      </c>
      <c r="E430" s="274" t="s">
        <v>39</v>
      </c>
      <c r="F430" s="274" t="s">
        <v>18</v>
      </c>
      <c r="G430" s="274" t="s">
        <v>19</v>
      </c>
      <c r="H430" s="274" t="s">
        <v>27</v>
      </c>
      <c r="I430" s="275">
        <v>1120</v>
      </c>
      <c r="J430" s="276">
        <v>366385.6</v>
      </c>
      <c r="K430" s="275">
        <v>1120</v>
      </c>
      <c r="L430" s="275">
        <v>1120</v>
      </c>
      <c r="M430" s="273">
        <v>45962</v>
      </c>
      <c r="N430" s="276">
        <v>381998.4</v>
      </c>
      <c r="O430" s="274" t="s">
        <v>21</v>
      </c>
      <c r="P430" s="274" t="s">
        <v>22</v>
      </c>
      <c r="Q430" s="274" t="s">
        <v>660</v>
      </c>
      <c r="R430" s="274" t="str">
        <f>VLOOKUP('MIS Working 1'!$G430,Master!$H$3:$I$8,2,0)</f>
        <v>Finished Goods</v>
      </c>
      <c r="S430" s="274" t="str">
        <f>VLOOKUP('MIS Working 1'!$H430,Master!B:C,2,0)</f>
        <v>FG-PCB-CF</v>
      </c>
      <c r="T430" s="274" t="str">
        <f>VLOOKUP('MIS Working 1'!$S430,Master!E:F,2,0)</f>
        <v>FG-PCB-CF</v>
      </c>
      <c r="U430" s="277">
        <f>'MIS Working 1'!$N430-'MIS Working 1'!$AF430</f>
        <v>15422.400000000023</v>
      </c>
      <c r="V430" s="278">
        <f>'MIS Working 1'!$U430/'MIS Working 1'!$N430</f>
        <v>4.037294397044601E-2</v>
      </c>
      <c r="W430" s="274">
        <f>'MIS Working 1'!$N430/'MIS Working 1'!$L430</f>
        <v>341.07</v>
      </c>
      <c r="X430" s="279">
        <f>SUM('MIS Working 1'!$Y430:$AE430)</f>
        <v>353.55</v>
      </c>
      <c r="Y430" s="279">
        <f>SUMIFS('COGS Break up'!$E:$E,'COGS Break up'!$A:$A,'MIS Working 1'!$D430,'COGS Break up'!$D:$D,'MIS Working 1'!$Y$1)</f>
        <v>278.14</v>
      </c>
      <c r="Z430" s="279">
        <f>SUMIFS('COGS Break up'!$E:$E,'COGS Break up'!$A:$A,'MIS Working 1'!$D430,'COGS Break up'!$D:$D,'MIS Working 1'!$Z$1)</f>
        <v>22.400000000000002</v>
      </c>
      <c r="AA430" s="279">
        <f>SUMIFS('COGS Break up'!E:E,'COGS Break up'!A:A,'MIS Working 1'!$D:$D,'COGS Break up'!C:C,'MIS Working 1'!$AA$1)</f>
        <v>1.8299999999999998</v>
      </c>
      <c r="AB430" s="279">
        <f>SUMIFS('COGS Break up'!E:E,'COGS Break up'!A:A,'MIS Working 1'!$D:$D,'COGS Break up'!C:C,$AB$1)</f>
        <v>16.28</v>
      </c>
      <c r="AC430" s="279">
        <f>SUMIFS('COGS Break up'!E:E,'COGS Break up'!A:A,'MIS Working 1'!$D:$D,'COGS Break up'!C:C,$AC$1)</f>
        <v>8.31</v>
      </c>
      <c r="AD430" s="279">
        <f>SUMIFS('COGS Break up'!$E:$E,'COGS Break up'!$A:$A,'MIS Working 1'!$D430,'COGS Break up'!$D:$D,'MIS Working 1'!$AD$1)</f>
        <v>0.17</v>
      </c>
      <c r="AE430" s="279">
        <f>SUMIFS('COGS Break up'!$E:$E,'COGS Break up'!$A:$A,'MIS Working 1'!$D430,'COGS Break up'!$D:$D,'MIS Working 1'!$AE$1)</f>
        <v>26.42</v>
      </c>
      <c r="AF430" s="280">
        <f>'MIS Working 1'!$AG430+'MIS Working 1'!$AH430+'MIS Working 1'!$AM430+'MIS Working 1'!$AL430</f>
        <v>366576</v>
      </c>
      <c r="AG430" s="279">
        <f>'MIS Working 1'!$L430*'MIS Working 1'!$Y430</f>
        <v>311516.79999999999</v>
      </c>
      <c r="AH430" s="279">
        <f>'MIS Working 1'!$L430*'MIS Working 1'!$Z430</f>
        <v>25088.000000000004</v>
      </c>
      <c r="AI430" s="279">
        <f t="shared" si="18"/>
        <v>2049.6</v>
      </c>
      <c r="AJ430" s="279">
        <f t="shared" si="19"/>
        <v>18233.600000000002</v>
      </c>
      <c r="AK430" s="279">
        <f t="shared" si="20"/>
        <v>9307.2000000000007</v>
      </c>
      <c r="AL430" s="279">
        <f>'MIS Working 1'!$AD430*'MIS Working 1'!$L430</f>
        <v>190.4</v>
      </c>
      <c r="AM430" s="279">
        <f>'MIS Working 1'!$L430*'MIS Working 1'!$AE430+'MIS Working 1'!$AL430</f>
        <v>29780.800000000003</v>
      </c>
    </row>
    <row r="431" spans="1:39" x14ac:dyDescent="0.3">
      <c r="A431" s="263" t="s">
        <v>479</v>
      </c>
      <c r="B431" s="264">
        <v>45962</v>
      </c>
      <c r="C431" s="265" t="s">
        <v>1881</v>
      </c>
      <c r="D431" s="265" t="s">
        <v>38</v>
      </c>
      <c r="E431" s="265" t="s">
        <v>39</v>
      </c>
      <c r="F431" s="265" t="s">
        <v>18</v>
      </c>
      <c r="G431" s="265" t="s">
        <v>19</v>
      </c>
      <c r="H431" s="265" t="s">
        <v>27</v>
      </c>
      <c r="I431" s="266">
        <v>1120</v>
      </c>
      <c r="J431" s="267">
        <v>366385.6</v>
      </c>
      <c r="K431" s="266">
        <v>1120</v>
      </c>
      <c r="L431" s="266">
        <v>1120</v>
      </c>
      <c r="M431" s="264">
        <v>45962</v>
      </c>
      <c r="N431" s="267">
        <v>381998.4</v>
      </c>
      <c r="O431" s="265" t="s">
        <v>21</v>
      </c>
      <c r="P431" s="265" t="s">
        <v>22</v>
      </c>
      <c r="Q431" s="265" t="s">
        <v>660</v>
      </c>
      <c r="R431" s="265" t="str">
        <f>VLOOKUP('MIS Working 1'!$G431,Master!$H$3:$I$8,2,0)</f>
        <v>Finished Goods</v>
      </c>
      <c r="S431" s="265" t="str">
        <f>VLOOKUP('MIS Working 1'!$H431,Master!B:C,2,0)</f>
        <v>FG-PCB-CF</v>
      </c>
      <c r="T431" s="265" t="str">
        <f>VLOOKUP('MIS Working 1'!$S431,Master!E:F,2,0)</f>
        <v>FG-PCB-CF</v>
      </c>
      <c r="U431" s="268">
        <f>'MIS Working 1'!$N431-'MIS Working 1'!$AF431</f>
        <v>15422.400000000023</v>
      </c>
      <c r="V431" s="269">
        <f>'MIS Working 1'!$U431/'MIS Working 1'!$N431</f>
        <v>4.037294397044601E-2</v>
      </c>
      <c r="W431" s="265">
        <f>'MIS Working 1'!$N431/'MIS Working 1'!$L431</f>
        <v>341.07</v>
      </c>
      <c r="X431" s="270">
        <f>SUM('MIS Working 1'!$Y431:$AE431)</f>
        <v>353.55</v>
      </c>
      <c r="Y431" s="270">
        <f>SUMIFS('COGS Break up'!$E:$E,'COGS Break up'!$A:$A,'MIS Working 1'!$D431,'COGS Break up'!$D:$D,'MIS Working 1'!$Y$1)</f>
        <v>278.14</v>
      </c>
      <c r="Z431" s="270">
        <f>SUMIFS('COGS Break up'!$E:$E,'COGS Break up'!$A:$A,'MIS Working 1'!$D431,'COGS Break up'!$D:$D,'MIS Working 1'!$Z$1)</f>
        <v>22.400000000000002</v>
      </c>
      <c r="AA431" s="270">
        <f>SUMIFS('COGS Break up'!E:E,'COGS Break up'!A:A,'MIS Working 1'!$D:$D,'COGS Break up'!C:C,'MIS Working 1'!$AA$1)</f>
        <v>1.8299999999999998</v>
      </c>
      <c r="AB431" s="270">
        <f>SUMIFS('COGS Break up'!E:E,'COGS Break up'!A:A,'MIS Working 1'!$D:$D,'COGS Break up'!C:C,$AB$1)</f>
        <v>16.28</v>
      </c>
      <c r="AC431" s="270">
        <f>SUMIFS('COGS Break up'!E:E,'COGS Break up'!A:A,'MIS Working 1'!$D:$D,'COGS Break up'!C:C,$AC$1)</f>
        <v>8.31</v>
      </c>
      <c r="AD431" s="270">
        <f>SUMIFS('COGS Break up'!$E:$E,'COGS Break up'!$A:$A,'MIS Working 1'!$D431,'COGS Break up'!$D:$D,'MIS Working 1'!$AD$1)</f>
        <v>0.17</v>
      </c>
      <c r="AE431" s="270">
        <f>SUMIFS('COGS Break up'!$E:$E,'COGS Break up'!$A:$A,'MIS Working 1'!$D431,'COGS Break up'!$D:$D,'MIS Working 1'!$AE$1)</f>
        <v>26.42</v>
      </c>
      <c r="AF431" s="271">
        <f>'MIS Working 1'!$AG431+'MIS Working 1'!$AH431+'MIS Working 1'!$AM431+'MIS Working 1'!$AL431</f>
        <v>366576</v>
      </c>
      <c r="AG431" s="270">
        <f>'MIS Working 1'!$L431*'MIS Working 1'!$Y431</f>
        <v>311516.79999999999</v>
      </c>
      <c r="AH431" s="270">
        <f>'MIS Working 1'!$L431*'MIS Working 1'!$Z431</f>
        <v>25088.000000000004</v>
      </c>
      <c r="AI431" s="270">
        <f t="shared" si="18"/>
        <v>2049.6</v>
      </c>
      <c r="AJ431" s="270">
        <f t="shared" si="19"/>
        <v>18233.600000000002</v>
      </c>
      <c r="AK431" s="270">
        <f t="shared" si="20"/>
        <v>9307.2000000000007</v>
      </c>
      <c r="AL431" s="270">
        <f>'MIS Working 1'!$AD431*'MIS Working 1'!$L431</f>
        <v>190.4</v>
      </c>
      <c r="AM431" s="270">
        <f>'MIS Working 1'!$L431*'MIS Working 1'!$AE431+'MIS Working 1'!$AL431</f>
        <v>29780.800000000003</v>
      </c>
    </row>
    <row r="432" spans="1:39" x14ac:dyDescent="0.3">
      <c r="A432" s="272" t="s">
        <v>479</v>
      </c>
      <c r="B432" s="273">
        <v>45962</v>
      </c>
      <c r="C432" s="274" t="s">
        <v>1883</v>
      </c>
      <c r="D432" s="274" t="s">
        <v>38</v>
      </c>
      <c r="E432" s="274" t="s">
        <v>39</v>
      </c>
      <c r="F432" s="274" t="s">
        <v>18</v>
      </c>
      <c r="G432" s="274" t="s">
        <v>19</v>
      </c>
      <c r="H432" s="274" t="s">
        <v>27</v>
      </c>
      <c r="I432" s="275">
        <v>2250</v>
      </c>
      <c r="J432" s="276">
        <v>736042.5</v>
      </c>
      <c r="K432" s="275">
        <v>2250</v>
      </c>
      <c r="L432" s="275">
        <v>2250</v>
      </c>
      <c r="M432" s="273">
        <v>45962</v>
      </c>
      <c r="N432" s="276">
        <v>767407.5</v>
      </c>
      <c r="O432" s="274" t="s">
        <v>21</v>
      </c>
      <c r="P432" s="274" t="s">
        <v>22</v>
      </c>
      <c r="Q432" s="274" t="s">
        <v>660</v>
      </c>
      <c r="R432" s="274" t="str">
        <f>VLOOKUP('MIS Working 1'!$G432,Master!$H$3:$I$8,2,0)</f>
        <v>Finished Goods</v>
      </c>
      <c r="S432" s="274" t="str">
        <f>VLOOKUP('MIS Working 1'!$H432,Master!B:C,2,0)</f>
        <v>FG-PCB-CF</v>
      </c>
      <c r="T432" s="274" t="str">
        <f>VLOOKUP('MIS Working 1'!$S432,Master!E:F,2,0)</f>
        <v>FG-PCB-CF</v>
      </c>
      <c r="U432" s="277">
        <f>'MIS Working 1'!$N432-'MIS Working 1'!$AF432</f>
        <v>30982.5</v>
      </c>
      <c r="V432" s="278">
        <f>'MIS Working 1'!$U432/'MIS Working 1'!$N432</f>
        <v>4.0372943970445947E-2</v>
      </c>
      <c r="W432" s="274">
        <f>'MIS Working 1'!$N432/'MIS Working 1'!$L432</f>
        <v>341.07</v>
      </c>
      <c r="X432" s="279">
        <f>SUM('MIS Working 1'!$Y432:$AE432)</f>
        <v>353.55</v>
      </c>
      <c r="Y432" s="279">
        <f>SUMIFS('COGS Break up'!$E:$E,'COGS Break up'!$A:$A,'MIS Working 1'!$D432,'COGS Break up'!$D:$D,'MIS Working 1'!$Y$1)</f>
        <v>278.14</v>
      </c>
      <c r="Z432" s="279">
        <f>SUMIFS('COGS Break up'!$E:$E,'COGS Break up'!$A:$A,'MIS Working 1'!$D432,'COGS Break up'!$D:$D,'MIS Working 1'!$Z$1)</f>
        <v>22.400000000000002</v>
      </c>
      <c r="AA432" s="279">
        <f>SUMIFS('COGS Break up'!E:E,'COGS Break up'!A:A,'MIS Working 1'!$D:$D,'COGS Break up'!C:C,'MIS Working 1'!$AA$1)</f>
        <v>1.8299999999999998</v>
      </c>
      <c r="AB432" s="279">
        <f>SUMIFS('COGS Break up'!E:E,'COGS Break up'!A:A,'MIS Working 1'!$D:$D,'COGS Break up'!C:C,$AB$1)</f>
        <v>16.28</v>
      </c>
      <c r="AC432" s="279">
        <f>SUMIFS('COGS Break up'!E:E,'COGS Break up'!A:A,'MIS Working 1'!$D:$D,'COGS Break up'!C:C,$AC$1)</f>
        <v>8.31</v>
      </c>
      <c r="AD432" s="279">
        <f>SUMIFS('COGS Break up'!$E:$E,'COGS Break up'!$A:$A,'MIS Working 1'!$D432,'COGS Break up'!$D:$D,'MIS Working 1'!$AD$1)</f>
        <v>0.17</v>
      </c>
      <c r="AE432" s="279">
        <f>SUMIFS('COGS Break up'!$E:$E,'COGS Break up'!$A:$A,'MIS Working 1'!$D432,'COGS Break up'!$D:$D,'MIS Working 1'!$AE$1)</f>
        <v>26.42</v>
      </c>
      <c r="AF432" s="280">
        <f>'MIS Working 1'!$AG432+'MIS Working 1'!$AH432+'MIS Working 1'!$AM432+'MIS Working 1'!$AL432</f>
        <v>736425</v>
      </c>
      <c r="AG432" s="279">
        <f>'MIS Working 1'!$L432*'MIS Working 1'!$Y432</f>
        <v>625815</v>
      </c>
      <c r="AH432" s="279">
        <f>'MIS Working 1'!$L432*'MIS Working 1'!$Z432</f>
        <v>50400.000000000007</v>
      </c>
      <c r="AI432" s="279">
        <f t="shared" si="18"/>
        <v>4117.5</v>
      </c>
      <c r="AJ432" s="279">
        <f t="shared" si="19"/>
        <v>36630</v>
      </c>
      <c r="AK432" s="279">
        <f t="shared" si="20"/>
        <v>18697.5</v>
      </c>
      <c r="AL432" s="279">
        <f>'MIS Working 1'!$AD432*'MIS Working 1'!$L432</f>
        <v>382.5</v>
      </c>
      <c r="AM432" s="279">
        <f>'MIS Working 1'!$L432*'MIS Working 1'!$AE432+'MIS Working 1'!$AL432</f>
        <v>59827.500000000007</v>
      </c>
    </row>
    <row r="433" spans="1:39" x14ac:dyDescent="0.3">
      <c r="A433" s="263" t="s">
        <v>479</v>
      </c>
      <c r="B433" s="264">
        <v>45962</v>
      </c>
      <c r="C433" s="265" t="s">
        <v>1881</v>
      </c>
      <c r="D433" s="265" t="s">
        <v>46</v>
      </c>
      <c r="E433" s="265" t="s">
        <v>47</v>
      </c>
      <c r="F433" s="265" t="s">
        <v>18</v>
      </c>
      <c r="G433" s="265" t="s">
        <v>19</v>
      </c>
      <c r="H433" s="265" t="s">
        <v>27</v>
      </c>
      <c r="I433" s="266">
        <v>1260</v>
      </c>
      <c r="J433" s="267">
        <v>412146</v>
      </c>
      <c r="K433" s="266">
        <v>1260</v>
      </c>
      <c r="L433" s="266">
        <v>1260</v>
      </c>
      <c r="M433" s="264">
        <v>45962</v>
      </c>
      <c r="N433" s="267">
        <v>429748.2</v>
      </c>
      <c r="O433" s="265" t="s">
        <v>21</v>
      </c>
      <c r="P433" s="265" t="s">
        <v>22</v>
      </c>
      <c r="Q433" s="265" t="s">
        <v>660</v>
      </c>
      <c r="R433" s="265" t="str">
        <f>VLOOKUP('MIS Working 1'!$G433,Master!$H$3:$I$8,2,0)</f>
        <v>Finished Goods</v>
      </c>
      <c r="S433" s="265" t="str">
        <f>VLOOKUP('MIS Working 1'!$H433,Master!B:C,2,0)</f>
        <v>FG-PCB-CF</v>
      </c>
      <c r="T433" s="265" t="str">
        <f>VLOOKUP('MIS Working 1'!$S433,Master!E:F,2,0)</f>
        <v>FG-PCB-CF</v>
      </c>
      <c r="U433" s="268">
        <f>'MIS Working 1'!$N433-'MIS Working 1'!$AF433</f>
        <v>17388.000000000116</v>
      </c>
      <c r="V433" s="269">
        <f>'MIS Working 1'!$U433/'MIS Working 1'!$N433</f>
        <v>4.0460902454041964E-2</v>
      </c>
      <c r="W433" s="265">
        <f>'MIS Working 1'!$N433/'MIS Working 1'!$L433</f>
        <v>341.07</v>
      </c>
      <c r="X433" s="270">
        <f>SUM('MIS Working 1'!$Y433:$AE433)</f>
        <v>353.51999999999992</v>
      </c>
      <c r="Y433" s="270">
        <f>SUMIFS('COGS Break up'!$E:$E,'COGS Break up'!$A:$A,'MIS Working 1'!$D433,'COGS Break up'!$D:$D,'MIS Working 1'!$Y$1)</f>
        <v>278.1099999999999</v>
      </c>
      <c r="Z433" s="270">
        <f>SUMIFS('COGS Break up'!$E:$E,'COGS Break up'!$A:$A,'MIS Working 1'!$D433,'COGS Break up'!$D:$D,'MIS Working 1'!$Z$1)</f>
        <v>22.400000000000002</v>
      </c>
      <c r="AA433" s="270">
        <f>SUMIFS('COGS Break up'!E:E,'COGS Break up'!A:A,'MIS Working 1'!$D:$D,'COGS Break up'!C:C,'MIS Working 1'!$AA$1)</f>
        <v>1.8299999999999998</v>
      </c>
      <c r="AB433" s="270">
        <f>SUMIFS('COGS Break up'!E:E,'COGS Break up'!A:A,'MIS Working 1'!$D:$D,'COGS Break up'!C:C,$AB$1)</f>
        <v>16.28</v>
      </c>
      <c r="AC433" s="270">
        <f>SUMIFS('COGS Break up'!E:E,'COGS Break up'!A:A,'MIS Working 1'!$D:$D,'COGS Break up'!C:C,$AC$1)</f>
        <v>8.31</v>
      </c>
      <c r="AD433" s="270">
        <f>SUMIFS('COGS Break up'!$E:$E,'COGS Break up'!$A:$A,'MIS Working 1'!$D433,'COGS Break up'!$D:$D,'MIS Working 1'!$AD$1)</f>
        <v>0.17</v>
      </c>
      <c r="AE433" s="270">
        <f>SUMIFS('COGS Break up'!$E:$E,'COGS Break up'!$A:$A,'MIS Working 1'!$D433,'COGS Break up'!$D:$D,'MIS Working 1'!$AE$1)</f>
        <v>26.42</v>
      </c>
      <c r="AF433" s="271">
        <f>'MIS Working 1'!$AG433+'MIS Working 1'!$AH433+'MIS Working 1'!$AM433+'MIS Working 1'!$AL433</f>
        <v>412360.1999999999</v>
      </c>
      <c r="AG433" s="270">
        <f>'MIS Working 1'!$L433*'MIS Working 1'!$Y433</f>
        <v>350418.59999999986</v>
      </c>
      <c r="AH433" s="270">
        <f>'MIS Working 1'!$L433*'MIS Working 1'!$Z433</f>
        <v>28224.000000000004</v>
      </c>
      <c r="AI433" s="270">
        <f t="shared" si="18"/>
        <v>2305.7999999999997</v>
      </c>
      <c r="AJ433" s="270">
        <f t="shared" si="19"/>
        <v>20512.800000000003</v>
      </c>
      <c r="AK433" s="270">
        <f t="shared" si="20"/>
        <v>10470.6</v>
      </c>
      <c r="AL433" s="270">
        <f>'MIS Working 1'!$AD433*'MIS Working 1'!$L433</f>
        <v>214.20000000000002</v>
      </c>
      <c r="AM433" s="270">
        <f>'MIS Working 1'!$L433*'MIS Working 1'!$AE433+'MIS Working 1'!$AL433</f>
        <v>33503.4</v>
      </c>
    </row>
    <row r="434" spans="1:39" x14ac:dyDescent="0.3">
      <c r="A434" s="272" t="s">
        <v>479</v>
      </c>
      <c r="B434" s="273">
        <v>45962</v>
      </c>
      <c r="C434" s="274" t="s">
        <v>1883</v>
      </c>
      <c r="D434" s="274" t="s">
        <v>46</v>
      </c>
      <c r="E434" s="274" t="s">
        <v>47</v>
      </c>
      <c r="F434" s="274" t="s">
        <v>18</v>
      </c>
      <c r="G434" s="274" t="s">
        <v>19</v>
      </c>
      <c r="H434" s="274" t="s">
        <v>27</v>
      </c>
      <c r="I434" s="275">
        <v>770</v>
      </c>
      <c r="J434" s="276">
        <v>251867</v>
      </c>
      <c r="K434" s="275">
        <v>770</v>
      </c>
      <c r="L434" s="275">
        <v>770</v>
      </c>
      <c r="M434" s="273">
        <v>45962</v>
      </c>
      <c r="N434" s="276">
        <v>262623.90000000002</v>
      </c>
      <c r="O434" s="274" t="s">
        <v>21</v>
      </c>
      <c r="P434" s="274" t="s">
        <v>22</v>
      </c>
      <c r="Q434" s="274" t="s">
        <v>660</v>
      </c>
      <c r="R434" s="274" t="str">
        <f>VLOOKUP('MIS Working 1'!$G434,Master!$H$3:$I$8,2,0)</f>
        <v>Finished Goods</v>
      </c>
      <c r="S434" s="274" t="str">
        <f>VLOOKUP('MIS Working 1'!$H434,Master!B:C,2,0)</f>
        <v>FG-PCB-CF</v>
      </c>
      <c r="T434" s="274" t="str">
        <f>VLOOKUP('MIS Working 1'!$S434,Master!E:F,2,0)</f>
        <v>FG-PCB-CF</v>
      </c>
      <c r="U434" s="277">
        <f>'MIS Working 1'!$N434-'MIS Working 1'!$AF434</f>
        <v>10626.000000000087</v>
      </c>
      <c r="V434" s="278">
        <f>'MIS Working 1'!$U434/'MIS Working 1'!$N434</f>
        <v>4.0460902454042019E-2</v>
      </c>
      <c r="W434" s="274">
        <f>'MIS Working 1'!$N434/'MIS Working 1'!$L434</f>
        <v>341.07000000000005</v>
      </c>
      <c r="X434" s="279">
        <f>SUM('MIS Working 1'!$Y434:$AE434)</f>
        <v>353.51999999999992</v>
      </c>
      <c r="Y434" s="279">
        <f>SUMIFS('COGS Break up'!$E:$E,'COGS Break up'!$A:$A,'MIS Working 1'!$D434,'COGS Break up'!$D:$D,'MIS Working 1'!$Y$1)</f>
        <v>278.1099999999999</v>
      </c>
      <c r="Z434" s="279">
        <f>SUMIFS('COGS Break up'!$E:$E,'COGS Break up'!$A:$A,'MIS Working 1'!$D434,'COGS Break up'!$D:$D,'MIS Working 1'!$Z$1)</f>
        <v>22.400000000000002</v>
      </c>
      <c r="AA434" s="279">
        <f>SUMIFS('COGS Break up'!E:E,'COGS Break up'!A:A,'MIS Working 1'!$D:$D,'COGS Break up'!C:C,'MIS Working 1'!$AA$1)</f>
        <v>1.8299999999999998</v>
      </c>
      <c r="AB434" s="279">
        <f>SUMIFS('COGS Break up'!E:E,'COGS Break up'!A:A,'MIS Working 1'!$D:$D,'COGS Break up'!C:C,$AB$1)</f>
        <v>16.28</v>
      </c>
      <c r="AC434" s="279">
        <f>SUMIFS('COGS Break up'!E:E,'COGS Break up'!A:A,'MIS Working 1'!$D:$D,'COGS Break up'!C:C,$AC$1)</f>
        <v>8.31</v>
      </c>
      <c r="AD434" s="279">
        <f>SUMIFS('COGS Break up'!$E:$E,'COGS Break up'!$A:$A,'MIS Working 1'!$D434,'COGS Break up'!$D:$D,'MIS Working 1'!$AD$1)</f>
        <v>0.17</v>
      </c>
      <c r="AE434" s="279">
        <f>SUMIFS('COGS Break up'!$E:$E,'COGS Break up'!$A:$A,'MIS Working 1'!$D434,'COGS Break up'!$D:$D,'MIS Working 1'!$AE$1)</f>
        <v>26.42</v>
      </c>
      <c r="AF434" s="280">
        <f>'MIS Working 1'!$AG434+'MIS Working 1'!$AH434+'MIS Working 1'!$AM434+'MIS Working 1'!$AL434</f>
        <v>251997.89999999994</v>
      </c>
      <c r="AG434" s="279">
        <f>'MIS Working 1'!$L434*'MIS Working 1'!$Y434</f>
        <v>214144.69999999992</v>
      </c>
      <c r="AH434" s="279">
        <f>'MIS Working 1'!$L434*'MIS Working 1'!$Z434</f>
        <v>17248</v>
      </c>
      <c r="AI434" s="279">
        <f t="shared" si="18"/>
        <v>1409.1</v>
      </c>
      <c r="AJ434" s="279">
        <f t="shared" si="19"/>
        <v>12535.6</v>
      </c>
      <c r="AK434" s="279">
        <f t="shared" si="20"/>
        <v>6398.7000000000007</v>
      </c>
      <c r="AL434" s="279">
        <f>'MIS Working 1'!$AD434*'MIS Working 1'!$L434</f>
        <v>130.9</v>
      </c>
      <c r="AM434" s="279">
        <f>'MIS Working 1'!$L434*'MIS Working 1'!$AE434+'MIS Working 1'!$AL434</f>
        <v>20474.300000000003</v>
      </c>
    </row>
    <row r="435" spans="1:39" x14ac:dyDescent="0.3">
      <c r="A435" s="263" t="s">
        <v>1374</v>
      </c>
      <c r="B435" s="264">
        <v>45962</v>
      </c>
      <c r="C435" s="265" t="s">
        <v>1885</v>
      </c>
      <c r="D435" s="265" t="s">
        <v>1578</v>
      </c>
      <c r="E435" s="265" t="s">
        <v>1579</v>
      </c>
      <c r="F435" s="265" t="s">
        <v>18</v>
      </c>
      <c r="G435" s="265" t="s">
        <v>48</v>
      </c>
      <c r="H435" s="265" t="s">
        <v>204</v>
      </c>
      <c r="I435" s="266">
        <v>28000</v>
      </c>
      <c r="J435" s="267">
        <v>54600</v>
      </c>
      <c r="K435" s="266">
        <v>28000</v>
      </c>
      <c r="L435" s="266">
        <v>28000</v>
      </c>
      <c r="M435" s="264">
        <v>45962</v>
      </c>
      <c r="N435" s="267">
        <v>54600</v>
      </c>
      <c r="O435" s="265" t="s">
        <v>21</v>
      </c>
      <c r="P435" s="265" t="s">
        <v>22</v>
      </c>
      <c r="Q435" s="265" t="s">
        <v>660</v>
      </c>
      <c r="R435" s="265" t="str">
        <f>VLOOKUP('MIS Working 1'!$G435,Master!$H$3:$I$8,2,0)</f>
        <v>Raw Material</v>
      </c>
      <c r="S435" s="265" t="str">
        <f>VLOOKUP('MIS Working 1'!$H435,Master!B:C,2,0)</f>
        <v>RM-Eletro-Resistor</v>
      </c>
      <c r="T435" s="265" t="str">
        <f>VLOOKUP('MIS Working 1'!$S435,Master!E:F,2,0)</f>
        <v>Raw Material</v>
      </c>
      <c r="U435" s="268">
        <f>'MIS Working 1'!$N435-'MIS Working 1'!$AF435</f>
        <v>54600</v>
      </c>
      <c r="V435" s="269">
        <f>'MIS Working 1'!$U435/'MIS Working 1'!$N435</f>
        <v>1</v>
      </c>
      <c r="W435" s="265">
        <f>'MIS Working 1'!$N435/'MIS Working 1'!$L435</f>
        <v>1.95</v>
      </c>
      <c r="X435" s="270">
        <f>SUM('MIS Working 1'!$Y435:$AE435)</f>
        <v>0</v>
      </c>
      <c r="Y435" s="270">
        <f>SUMIFS('COGS Break up'!$E:$E,'COGS Break up'!$A:$A,'MIS Working 1'!$D435,'COGS Break up'!$D:$D,'MIS Working 1'!$Y$1)</f>
        <v>0</v>
      </c>
      <c r="Z435" s="270">
        <f>SUMIFS('COGS Break up'!$E:$E,'COGS Break up'!$A:$A,'MIS Working 1'!$D435,'COGS Break up'!$D:$D,'MIS Working 1'!$Z$1)</f>
        <v>0</v>
      </c>
      <c r="AA435" s="270">
        <f>SUMIFS('COGS Break up'!E:E,'COGS Break up'!A:A,'MIS Working 1'!$D:$D,'COGS Break up'!C:C,'MIS Working 1'!$AA$1)</f>
        <v>0</v>
      </c>
      <c r="AB435" s="270">
        <f>SUMIFS('COGS Break up'!E:E,'COGS Break up'!A:A,'MIS Working 1'!$D:$D,'COGS Break up'!C:C,$AB$1)</f>
        <v>0</v>
      </c>
      <c r="AC435" s="270">
        <f>SUMIFS('COGS Break up'!E:E,'COGS Break up'!A:A,'MIS Working 1'!$D:$D,'COGS Break up'!C:C,$AC$1)</f>
        <v>0</v>
      </c>
      <c r="AD435" s="270">
        <f>SUMIFS('COGS Break up'!$E:$E,'COGS Break up'!$A:$A,'MIS Working 1'!$D435,'COGS Break up'!$D:$D,'MIS Working 1'!$AD$1)</f>
        <v>0</v>
      </c>
      <c r="AE435" s="270">
        <f>SUMIFS('COGS Break up'!$E:$E,'COGS Break up'!$A:$A,'MIS Working 1'!$D435,'COGS Break up'!$D:$D,'MIS Working 1'!$AE$1)</f>
        <v>0</v>
      </c>
      <c r="AF435" s="271">
        <f>'MIS Working 1'!$AG435+'MIS Working 1'!$AH435+'MIS Working 1'!$AM435+'MIS Working 1'!$AL435</f>
        <v>0</v>
      </c>
      <c r="AG435" s="270">
        <f>'MIS Working 1'!$L435*'MIS Working 1'!$Y435</f>
        <v>0</v>
      </c>
      <c r="AH435" s="270">
        <f>'MIS Working 1'!$L435*'MIS Working 1'!$Z435</f>
        <v>0</v>
      </c>
      <c r="AI435" s="270">
        <f t="shared" si="18"/>
        <v>0</v>
      </c>
      <c r="AJ435" s="270">
        <f t="shared" si="19"/>
        <v>0</v>
      </c>
      <c r="AK435" s="270">
        <f t="shared" si="20"/>
        <v>0</v>
      </c>
      <c r="AL435" s="270">
        <f>'MIS Working 1'!$AD435*'MIS Working 1'!$L435</f>
        <v>0</v>
      </c>
      <c r="AM435" s="270">
        <f>'MIS Working 1'!$L435*'MIS Working 1'!$AE435+'MIS Working 1'!$AL435</f>
        <v>0</v>
      </c>
    </row>
    <row r="436" spans="1:39" x14ac:dyDescent="0.3">
      <c r="A436" s="272" t="s">
        <v>1374</v>
      </c>
      <c r="B436" s="273">
        <v>45962</v>
      </c>
      <c r="C436" s="274" t="s">
        <v>1885</v>
      </c>
      <c r="D436" s="274" t="s">
        <v>1580</v>
      </c>
      <c r="E436" s="274" t="s">
        <v>1581</v>
      </c>
      <c r="F436" s="274" t="s">
        <v>18</v>
      </c>
      <c r="G436" s="274" t="s">
        <v>48</v>
      </c>
      <c r="H436" s="274" t="s">
        <v>202</v>
      </c>
      <c r="I436" s="275">
        <v>48000</v>
      </c>
      <c r="J436" s="276">
        <v>499199.62</v>
      </c>
      <c r="K436" s="275">
        <v>48000</v>
      </c>
      <c r="L436" s="275">
        <v>48000</v>
      </c>
      <c r="M436" s="273">
        <v>45962</v>
      </c>
      <c r="N436" s="276">
        <v>502080</v>
      </c>
      <c r="O436" s="274" t="s">
        <v>21</v>
      </c>
      <c r="P436" s="274" t="s">
        <v>22</v>
      </c>
      <c r="Q436" s="274" t="s">
        <v>660</v>
      </c>
      <c r="R436" s="274" t="str">
        <f>VLOOKUP('MIS Working 1'!$G436,Master!$H$3:$I$8,2,0)</f>
        <v>Raw Material</v>
      </c>
      <c r="S436" s="274" t="str">
        <f>VLOOKUP('MIS Working 1'!$H436,Master!B:C,2,0)</f>
        <v>RM-Eletro-IC</v>
      </c>
      <c r="T436" s="274" t="str">
        <f>VLOOKUP('MIS Working 1'!$S436,Master!E:F,2,0)</f>
        <v>Raw Material</v>
      </c>
      <c r="U436" s="277">
        <f>'MIS Working 1'!$N436-'MIS Working 1'!$AF436</f>
        <v>502080</v>
      </c>
      <c r="V436" s="278">
        <f>'MIS Working 1'!$U436/'MIS Working 1'!$N436</f>
        <v>1</v>
      </c>
      <c r="W436" s="274">
        <f>'MIS Working 1'!$N436/'MIS Working 1'!$L436</f>
        <v>10.46</v>
      </c>
      <c r="X436" s="279">
        <f>SUM('MIS Working 1'!$Y436:$AE436)</f>
        <v>0</v>
      </c>
      <c r="Y436" s="279">
        <f>SUMIFS('COGS Break up'!$E:$E,'COGS Break up'!$A:$A,'MIS Working 1'!$D436,'COGS Break up'!$D:$D,'MIS Working 1'!$Y$1)</f>
        <v>0</v>
      </c>
      <c r="Z436" s="279">
        <f>SUMIFS('COGS Break up'!$E:$E,'COGS Break up'!$A:$A,'MIS Working 1'!$D436,'COGS Break up'!$D:$D,'MIS Working 1'!$Z$1)</f>
        <v>0</v>
      </c>
      <c r="AA436" s="279">
        <f>SUMIFS('COGS Break up'!E:E,'COGS Break up'!A:A,'MIS Working 1'!$D:$D,'COGS Break up'!C:C,'MIS Working 1'!$AA$1)</f>
        <v>0</v>
      </c>
      <c r="AB436" s="279">
        <f>SUMIFS('COGS Break up'!E:E,'COGS Break up'!A:A,'MIS Working 1'!$D:$D,'COGS Break up'!C:C,$AB$1)</f>
        <v>0</v>
      </c>
      <c r="AC436" s="279">
        <f>SUMIFS('COGS Break up'!E:E,'COGS Break up'!A:A,'MIS Working 1'!$D:$D,'COGS Break up'!C:C,$AC$1)</f>
        <v>0</v>
      </c>
      <c r="AD436" s="279">
        <f>SUMIFS('COGS Break up'!$E:$E,'COGS Break up'!$A:$A,'MIS Working 1'!$D436,'COGS Break up'!$D:$D,'MIS Working 1'!$AD$1)</f>
        <v>0</v>
      </c>
      <c r="AE436" s="279">
        <f>SUMIFS('COGS Break up'!$E:$E,'COGS Break up'!$A:$A,'MIS Working 1'!$D436,'COGS Break up'!$D:$D,'MIS Working 1'!$AE$1)</f>
        <v>0</v>
      </c>
      <c r="AF436" s="280">
        <f>'MIS Working 1'!$AG436+'MIS Working 1'!$AH436+'MIS Working 1'!$AM436+'MIS Working 1'!$AL436</f>
        <v>0</v>
      </c>
      <c r="AG436" s="279">
        <f>'MIS Working 1'!$L436*'MIS Working 1'!$Y436</f>
        <v>0</v>
      </c>
      <c r="AH436" s="279">
        <f>'MIS Working 1'!$L436*'MIS Working 1'!$Z436</f>
        <v>0</v>
      </c>
      <c r="AI436" s="279">
        <f t="shared" si="18"/>
        <v>0</v>
      </c>
      <c r="AJ436" s="279">
        <f t="shared" si="19"/>
        <v>0</v>
      </c>
      <c r="AK436" s="279">
        <f t="shared" si="20"/>
        <v>0</v>
      </c>
      <c r="AL436" s="279">
        <f>'MIS Working 1'!$AD436*'MIS Working 1'!$L436</f>
        <v>0</v>
      </c>
      <c r="AM436" s="279">
        <f>'MIS Working 1'!$L436*'MIS Working 1'!$AE436+'MIS Working 1'!$AL436</f>
        <v>0</v>
      </c>
    </row>
    <row r="437" spans="1:39" x14ac:dyDescent="0.3">
      <c r="A437" s="263" t="s">
        <v>1374</v>
      </c>
      <c r="B437" s="264">
        <v>45962</v>
      </c>
      <c r="C437" s="265" t="s">
        <v>1885</v>
      </c>
      <c r="D437" s="265" t="s">
        <v>1582</v>
      </c>
      <c r="E437" s="265" t="s">
        <v>1583</v>
      </c>
      <c r="F437" s="265" t="s">
        <v>18</v>
      </c>
      <c r="G437" s="265" t="s">
        <v>48</v>
      </c>
      <c r="H437" s="265" t="s">
        <v>202</v>
      </c>
      <c r="I437" s="266">
        <v>39000</v>
      </c>
      <c r="J437" s="267">
        <v>478092.29</v>
      </c>
      <c r="K437" s="266">
        <v>39000</v>
      </c>
      <c r="L437" s="266">
        <v>39000</v>
      </c>
      <c r="M437" s="264">
        <v>45962</v>
      </c>
      <c r="N437" s="267">
        <v>477360</v>
      </c>
      <c r="O437" s="265" t="s">
        <v>21</v>
      </c>
      <c r="P437" s="265" t="s">
        <v>22</v>
      </c>
      <c r="Q437" s="265" t="s">
        <v>660</v>
      </c>
      <c r="R437" s="265" t="str">
        <f>VLOOKUP('MIS Working 1'!$G437,Master!$H$3:$I$8,2,0)</f>
        <v>Raw Material</v>
      </c>
      <c r="S437" s="265" t="str">
        <f>VLOOKUP('MIS Working 1'!$H437,Master!B:C,2,0)</f>
        <v>RM-Eletro-IC</v>
      </c>
      <c r="T437" s="265" t="str">
        <f>VLOOKUP('MIS Working 1'!$S437,Master!E:F,2,0)</f>
        <v>Raw Material</v>
      </c>
      <c r="U437" s="268">
        <f>'MIS Working 1'!$N437-'MIS Working 1'!$AF437</f>
        <v>477360</v>
      </c>
      <c r="V437" s="269">
        <f>'MIS Working 1'!$U437/'MIS Working 1'!$N437</f>
        <v>1</v>
      </c>
      <c r="W437" s="265">
        <f>'MIS Working 1'!$N437/'MIS Working 1'!$L437</f>
        <v>12.24</v>
      </c>
      <c r="X437" s="270">
        <f>SUM('MIS Working 1'!$Y437:$AE437)</f>
        <v>0</v>
      </c>
      <c r="Y437" s="270">
        <f>SUMIFS('COGS Break up'!$E:$E,'COGS Break up'!$A:$A,'MIS Working 1'!$D437,'COGS Break up'!$D:$D,'MIS Working 1'!$Y$1)</f>
        <v>0</v>
      </c>
      <c r="Z437" s="270">
        <f>SUMIFS('COGS Break up'!$E:$E,'COGS Break up'!$A:$A,'MIS Working 1'!$D437,'COGS Break up'!$D:$D,'MIS Working 1'!$Z$1)</f>
        <v>0</v>
      </c>
      <c r="AA437" s="270">
        <f>SUMIFS('COGS Break up'!E:E,'COGS Break up'!A:A,'MIS Working 1'!$D:$D,'COGS Break up'!C:C,'MIS Working 1'!$AA$1)</f>
        <v>0</v>
      </c>
      <c r="AB437" s="270">
        <f>SUMIFS('COGS Break up'!E:E,'COGS Break up'!A:A,'MIS Working 1'!$D:$D,'COGS Break up'!C:C,$AB$1)</f>
        <v>0</v>
      </c>
      <c r="AC437" s="270">
        <f>SUMIFS('COGS Break up'!E:E,'COGS Break up'!A:A,'MIS Working 1'!$D:$D,'COGS Break up'!C:C,$AC$1)</f>
        <v>0</v>
      </c>
      <c r="AD437" s="270">
        <f>SUMIFS('COGS Break up'!$E:$E,'COGS Break up'!$A:$A,'MIS Working 1'!$D437,'COGS Break up'!$D:$D,'MIS Working 1'!$AD$1)</f>
        <v>0</v>
      </c>
      <c r="AE437" s="270">
        <f>SUMIFS('COGS Break up'!$E:$E,'COGS Break up'!$A:$A,'MIS Working 1'!$D437,'COGS Break up'!$D:$D,'MIS Working 1'!$AE$1)</f>
        <v>0</v>
      </c>
      <c r="AF437" s="271">
        <f>'MIS Working 1'!$AG437+'MIS Working 1'!$AH437+'MIS Working 1'!$AM437+'MIS Working 1'!$AL437</f>
        <v>0</v>
      </c>
      <c r="AG437" s="270">
        <f>'MIS Working 1'!$L437*'MIS Working 1'!$Y437</f>
        <v>0</v>
      </c>
      <c r="AH437" s="270">
        <f>'MIS Working 1'!$L437*'MIS Working 1'!$Z437</f>
        <v>0</v>
      </c>
      <c r="AI437" s="270">
        <f t="shared" si="18"/>
        <v>0</v>
      </c>
      <c r="AJ437" s="270">
        <f t="shared" si="19"/>
        <v>0</v>
      </c>
      <c r="AK437" s="270">
        <f t="shared" si="20"/>
        <v>0</v>
      </c>
      <c r="AL437" s="270">
        <f>'MIS Working 1'!$AD437*'MIS Working 1'!$L437</f>
        <v>0</v>
      </c>
      <c r="AM437" s="270">
        <f>'MIS Working 1'!$L437*'MIS Working 1'!$AE437+'MIS Working 1'!$AL437</f>
        <v>0</v>
      </c>
    </row>
    <row r="438" spans="1:39" x14ac:dyDescent="0.3">
      <c r="A438" s="272" t="s">
        <v>1374</v>
      </c>
      <c r="B438" s="273">
        <v>45962</v>
      </c>
      <c r="C438" s="274" t="s">
        <v>1885</v>
      </c>
      <c r="D438" s="274" t="s">
        <v>1439</v>
      </c>
      <c r="E438" s="274" t="s">
        <v>1440</v>
      </c>
      <c r="F438" s="274" t="s">
        <v>18</v>
      </c>
      <c r="G438" s="274" t="s">
        <v>48</v>
      </c>
      <c r="H438" s="274" t="s">
        <v>198</v>
      </c>
      <c r="I438" s="275">
        <v>99000</v>
      </c>
      <c r="J438" s="276">
        <v>62418.45</v>
      </c>
      <c r="K438" s="275">
        <v>99000</v>
      </c>
      <c r="L438" s="275">
        <v>99000</v>
      </c>
      <c r="M438" s="273">
        <v>45962</v>
      </c>
      <c r="N438" s="276">
        <v>62370</v>
      </c>
      <c r="O438" s="274" t="s">
        <v>21</v>
      </c>
      <c r="P438" s="274" t="s">
        <v>22</v>
      </c>
      <c r="Q438" s="274" t="s">
        <v>660</v>
      </c>
      <c r="R438" s="274" t="str">
        <f>VLOOKUP('MIS Working 1'!$G438,Master!$H$3:$I$8,2,0)</f>
        <v>Raw Material</v>
      </c>
      <c r="S438" s="274" t="str">
        <f>VLOOKUP('MIS Working 1'!$H438,Master!B:C,2,0)</f>
        <v>RM-Eletro-Capacitor</v>
      </c>
      <c r="T438" s="274" t="str">
        <f>VLOOKUP('MIS Working 1'!$S438,Master!E:F,2,0)</f>
        <v>Raw Material</v>
      </c>
      <c r="U438" s="277">
        <f>'MIS Working 1'!$N438-'MIS Working 1'!$AF438</f>
        <v>62370</v>
      </c>
      <c r="V438" s="278">
        <f>'MIS Working 1'!$U438/'MIS Working 1'!$N438</f>
        <v>1</v>
      </c>
      <c r="W438" s="274">
        <f>'MIS Working 1'!$N438/'MIS Working 1'!$L438</f>
        <v>0.63</v>
      </c>
      <c r="X438" s="279">
        <f>SUM('MIS Working 1'!$Y438:$AE438)</f>
        <v>0</v>
      </c>
      <c r="Y438" s="279">
        <f>SUMIFS('COGS Break up'!$E:$E,'COGS Break up'!$A:$A,'MIS Working 1'!$D438,'COGS Break up'!$D:$D,'MIS Working 1'!$Y$1)</f>
        <v>0</v>
      </c>
      <c r="Z438" s="279">
        <f>SUMIFS('COGS Break up'!$E:$E,'COGS Break up'!$A:$A,'MIS Working 1'!$D438,'COGS Break up'!$D:$D,'MIS Working 1'!$Z$1)</f>
        <v>0</v>
      </c>
      <c r="AA438" s="279">
        <f>SUMIFS('COGS Break up'!E:E,'COGS Break up'!A:A,'MIS Working 1'!$D:$D,'COGS Break up'!C:C,'MIS Working 1'!$AA$1)</f>
        <v>0</v>
      </c>
      <c r="AB438" s="279">
        <f>SUMIFS('COGS Break up'!E:E,'COGS Break up'!A:A,'MIS Working 1'!$D:$D,'COGS Break up'!C:C,$AB$1)</f>
        <v>0</v>
      </c>
      <c r="AC438" s="279">
        <f>SUMIFS('COGS Break up'!E:E,'COGS Break up'!A:A,'MIS Working 1'!$D:$D,'COGS Break up'!C:C,$AC$1)</f>
        <v>0</v>
      </c>
      <c r="AD438" s="279">
        <f>SUMIFS('COGS Break up'!$E:$E,'COGS Break up'!$A:$A,'MIS Working 1'!$D438,'COGS Break up'!$D:$D,'MIS Working 1'!$AD$1)</f>
        <v>0</v>
      </c>
      <c r="AE438" s="279">
        <f>SUMIFS('COGS Break up'!$E:$E,'COGS Break up'!$A:$A,'MIS Working 1'!$D438,'COGS Break up'!$D:$D,'MIS Working 1'!$AE$1)</f>
        <v>0</v>
      </c>
      <c r="AF438" s="280">
        <f>'MIS Working 1'!$AG438+'MIS Working 1'!$AH438+'MIS Working 1'!$AM438+'MIS Working 1'!$AL438</f>
        <v>0</v>
      </c>
      <c r="AG438" s="279">
        <f>'MIS Working 1'!$L438*'MIS Working 1'!$Y438</f>
        <v>0</v>
      </c>
      <c r="AH438" s="279">
        <f>'MIS Working 1'!$L438*'MIS Working 1'!$Z438</f>
        <v>0</v>
      </c>
      <c r="AI438" s="279">
        <f t="shared" si="18"/>
        <v>0</v>
      </c>
      <c r="AJ438" s="279">
        <f t="shared" si="19"/>
        <v>0</v>
      </c>
      <c r="AK438" s="279">
        <f t="shared" si="20"/>
        <v>0</v>
      </c>
      <c r="AL438" s="279">
        <f>'MIS Working 1'!$AD438*'MIS Working 1'!$L438</f>
        <v>0</v>
      </c>
      <c r="AM438" s="279">
        <f>'MIS Working 1'!$L438*'MIS Working 1'!$AE438+'MIS Working 1'!$AL438</f>
        <v>0</v>
      </c>
    </row>
    <row r="439" spans="1:39" x14ac:dyDescent="0.3">
      <c r="A439" s="263" t="s">
        <v>1374</v>
      </c>
      <c r="B439" s="264">
        <v>45962</v>
      </c>
      <c r="C439" s="265" t="s">
        <v>1885</v>
      </c>
      <c r="D439" s="265" t="s">
        <v>1521</v>
      </c>
      <c r="E439" s="265" t="s">
        <v>1522</v>
      </c>
      <c r="F439" s="265" t="s">
        <v>18</v>
      </c>
      <c r="G439" s="265" t="s">
        <v>48</v>
      </c>
      <c r="H439" s="265" t="s">
        <v>198</v>
      </c>
      <c r="I439" s="266">
        <v>14400</v>
      </c>
      <c r="J439" s="267">
        <v>144436.87</v>
      </c>
      <c r="K439" s="266">
        <v>14400</v>
      </c>
      <c r="L439" s="266">
        <v>14400</v>
      </c>
      <c r="M439" s="264">
        <v>45962</v>
      </c>
      <c r="N439" s="267">
        <v>149760</v>
      </c>
      <c r="O439" s="265" t="s">
        <v>21</v>
      </c>
      <c r="P439" s="265" t="s">
        <v>22</v>
      </c>
      <c r="Q439" s="265" t="s">
        <v>660</v>
      </c>
      <c r="R439" s="265" t="str">
        <f>VLOOKUP('MIS Working 1'!$G439,Master!$H$3:$I$8,2,0)</f>
        <v>Raw Material</v>
      </c>
      <c r="S439" s="265" t="str">
        <f>VLOOKUP('MIS Working 1'!$H439,Master!B:C,2,0)</f>
        <v>RM-Eletro-Capacitor</v>
      </c>
      <c r="T439" s="265" t="str">
        <f>VLOOKUP('MIS Working 1'!$S439,Master!E:F,2,0)</f>
        <v>Raw Material</v>
      </c>
      <c r="U439" s="268">
        <f>'MIS Working 1'!$N439-'MIS Working 1'!$AF439</f>
        <v>149760</v>
      </c>
      <c r="V439" s="269">
        <f>'MIS Working 1'!$U439/'MIS Working 1'!$N439</f>
        <v>1</v>
      </c>
      <c r="W439" s="265">
        <f>'MIS Working 1'!$N439/'MIS Working 1'!$L439</f>
        <v>10.4</v>
      </c>
      <c r="X439" s="270">
        <f>SUM('MIS Working 1'!$Y439:$AE439)</f>
        <v>0</v>
      </c>
      <c r="Y439" s="270">
        <f>SUMIFS('COGS Break up'!$E:$E,'COGS Break up'!$A:$A,'MIS Working 1'!$D439,'COGS Break up'!$D:$D,'MIS Working 1'!$Y$1)</f>
        <v>0</v>
      </c>
      <c r="Z439" s="270">
        <f>SUMIFS('COGS Break up'!$E:$E,'COGS Break up'!$A:$A,'MIS Working 1'!$D439,'COGS Break up'!$D:$D,'MIS Working 1'!$Z$1)</f>
        <v>0</v>
      </c>
      <c r="AA439" s="270">
        <f>SUMIFS('COGS Break up'!E:E,'COGS Break up'!A:A,'MIS Working 1'!$D:$D,'COGS Break up'!C:C,'MIS Working 1'!$AA$1)</f>
        <v>0</v>
      </c>
      <c r="AB439" s="270">
        <f>SUMIFS('COGS Break up'!E:E,'COGS Break up'!A:A,'MIS Working 1'!$D:$D,'COGS Break up'!C:C,$AB$1)</f>
        <v>0</v>
      </c>
      <c r="AC439" s="270">
        <f>SUMIFS('COGS Break up'!E:E,'COGS Break up'!A:A,'MIS Working 1'!$D:$D,'COGS Break up'!C:C,$AC$1)</f>
        <v>0</v>
      </c>
      <c r="AD439" s="270">
        <f>SUMIFS('COGS Break up'!$E:$E,'COGS Break up'!$A:$A,'MIS Working 1'!$D439,'COGS Break up'!$D:$D,'MIS Working 1'!$AD$1)</f>
        <v>0</v>
      </c>
      <c r="AE439" s="270">
        <f>SUMIFS('COGS Break up'!$E:$E,'COGS Break up'!$A:$A,'MIS Working 1'!$D439,'COGS Break up'!$D:$D,'MIS Working 1'!$AE$1)</f>
        <v>0</v>
      </c>
      <c r="AF439" s="271">
        <f>'MIS Working 1'!$AG439+'MIS Working 1'!$AH439+'MIS Working 1'!$AM439+'MIS Working 1'!$AL439</f>
        <v>0</v>
      </c>
      <c r="AG439" s="270">
        <f>'MIS Working 1'!$L439*'MIS Working 1'!$Y439</f>
        <v>0</v>
      </c>
      <c r="AH439" s="270">
        <f>'MIS Working 1'!$L439*'MIS Working 1'!$Z439</f>
        <v>0</v>
      </c>
      <c r="AI439" s="270">
        <f t="shared" si="18"/>
        <v>0</v>
      </c>
      <c r="AJ439" s="270">
        <f t="shared" si="19"/>
        <v>0</v>
      </c>
      <c r="AK439" s="270">
        <f t="shared" si="20"/>
        <v>0</v>
      </c>
      <c r="AL439" s="270">
        <f>'MIS Working 1'!$AD439*'MIS Working 1'!$L439</f>
        <v>0</v>
      </c>
      <c r="AM439" s="270">
        <f>'MIS Working 1'!$L439*'MIS Working 1'!$AE439+'MIS Working 1'!$AL439</f>
        <v>0</v>
      </c>
    </row>
    <row r="440" spans="1:39" x14ac:dyDescent="0.3">
      <c r="A440" s="272" t="s">
        <v>1374</v>
      </c>
      <c r="B440" s="273">
        <v>45962</v>
      </c>
      <c r="C440" s="274" t="s">
        <v>1885</v>
      </c>
      <c r="D440" s="274" t="s">
        <v>1431</v>
      </c>
      <c r="E440" s="274" t="s">
        <v>1432</v>
      </c>
      <c r="F440" s="274" t="s">
        <v>18</v>
      </c>
      <c r="G440" s="274" t="s">
        <v>48</v>
      </c>
      <c r="H440" s="274" t="s">
        <v>49</v>
      </c>
      <c r="I440" s="275">
        <v>19500</v>
      </c>
      <c r="J440" s="276">
        <v>205725</v>
      </c>
      <c r="K440" s="275">
        <v>19500</v>
      </c>
      <c r="L440" s="275">
        <v>19500</v>
      </c>
      <c r="M440" s="273">
        <v>45962</v>
      </c>
      <c r="N440" s="276">
        <v>205725</v>
      </c>
      <c r="O440" s="274" t="s">
        <v>21</v>
      </c>
      <c r="P440" s="274" t="s">
        <v>22</v>
      </c>
      <c r="Q440" s="274" t="s">
        <v>660</v>
      </c>
      <c r="R440" s="274" t="str">
        <f>VLOOKUP('MIS Working 1'!$G440,Master!$H$3:$I$8,2,0)</f>
        <v>Raw Material</v>
      </c>
      <c r="S440" s="274" t="str">
        <f>VLOOKUP('MIS Working 1'!$H440,Master!B:C,2,0)</f>
        <v>RM-Eletro-Connecter</v>
      </c>
      <c r="T440" s="274" t="str">
        <f>VLOOKUP('MIS Working 1'!$S440,Master!E:F,2,0)</f>
        <v>Raw Material</v>
      </c>
      <c r="U440" s="277">
        <f>'MIS Working 1'!$N440-'MIS Working 1'!$AF440</f>
        <v>205725</v>
      </c>
      <c r="V440" s="278">
        <f>'MIS Working 1'!$U440/'MIS Working 1'!$N440</f>
        <v>1</v>
      </c>
      <c r="W440" s="274">
        <f>'MIS Working 1'!$N440/'MIS Working 1'!$L440</f>
        <v>10.55</v>
      </c>
      <c r="X440" s="279">
        <f>SUM('MIS Working 1'!$Y440:$AE440)</f>
        <v>0</v>
      </c>
      <c r="Y440" s="279">
        <f>SUMIFS('COGS Break up'!$E:$E,'COGS Break up'!$A:$A,'MIS Working 1'!$D440,'COGS Break up'!$D:$D,'MIS Working 1'!$Y$1)</f>
        <v>0</v>
      </c>
      <c r="Z440" s="279">
        <f>SUMIFS('COGS Break up'!$E:$E,'COGS Break up'!$A:$A,'MIS Working 1'!$D440,'COGS Break up'!$D:$D,'MIS Working 1'!$Z$1)</f>
        <v>0</v>
      </c>
      <c r="AA440" s="279">
        <f>SUMIFS('COGS Break up'!E:E,'COGS Break up'!A:A,'MIS Working 1'!$D:$D,'COGS Break up'!C:C,'MIS Working 1'!$AA$1)</f>
        <v>0</v>
      </c>
      <c r="AB440" s="279">
        <f>SUMIFS('COGS Break up'!E:E,'COGS Break up'!A:A,'MIS Working 1'!$D:$D,'COGS Break up'!C:C,$AB$1)</f>
        <v>0</v>
      </c>
      <c r="AC440" s="279">
        <f>SUMIFS('COGS Break up'!E:E,'COGS Break up'!A:A,'MIS Working 1'!$D:$D,'COGS Break up'!C:C,$AC$1)</f>
        <v>0</v>
      </c>
      <c r="AD440" s="279">
        <f>SUMIFS('COGS Break up'!$E:$E,'COGS Break up'!$A:$A,'MIS Working 1'!$D440,'COGS Break up'!$D:$D,'MIS Working 1'!$AD$1)</f>
        <v>0</v>
      </c>
      <c r="AE440" s="279">
        <f>SUMIFS('COGS Break up'!$E:$E,'COGS Break up'!$A:$A,'MIS Working 1'!$D440,'COGS Break up'!$D:$D,'MIS Working 1'!$AE$1)</f>
        <v>0</v>
      </c>
      <c r="AF440" s="280">
        <f>'MIS Working 1'!$AG440+'MIS Working 1'!$AH440+'MIS Working 1'!$AM440+'MIS Working 1'!$AL440</f>
        <v>0</v>
      </c>
      <c r="AG440" s="279">
        <f>'MIS Working 1'!$L440*'MIS Working 1'!$Y440</f>
        <v>0</v>
      </c>
      <c r="AH440" s="279">
        <f>'MIS Working 1'!$L440*'MIS Working 1'!$Z440</f>
        <v>0</v>
      </c>
      <c r="AI440" s="279">
        <f t="shared" si="18"/>
        <v>0</v>
      </c>
      <c r="AJ440" s="279">
        <f t="shared" si="19"/>
        <v>0</v>
      </c>
      <c r="AK440" s="279">
        <f t="shared" si="20"/>
        <v>0</v>
      </c>
      <c r="AL440" s="279">
        <f>'MIS Working 1'!$AD440*'MIS Working 1'!$L440</f>
        <v>0</v>
      </c>
      <c r="AM440" s="279">
        <f>'MIS Working 1'!$L440*'MIS Working 1'!$AE440+'MIS Working 1'!$AL440</f>
        <v>0</v>
      </c>
    </row>
    <row r="441" spans="1:39" x14ac:dyDescent="0.3">
      <c r="A441" s="263" t="s">
        <v>1374</v>
      </c>
      <c r="B441" s="264">
        <v>45962</v>
      </c>
      <c r="C441" s="265" t="s">
        <v>1885</v>
      </c>
      <c r="D441" s="265" t="s">
        <v>1584</v>
      </c>
      <c r="E441" s="265" t="s">
        <v>1585</v>
      </c>
      <c r="F441" s="265" t="s">
        <v>18</v>
      </c>
      <c r="G441" s="265" t="s">
        <v>48</v>
      </c>
      <c r="H441" s="265" t="s">
        <v>168</v>
      </c>
      <c r="I441" s="266">
        <v>49800</v>
      </c>
      <c r="J441" s="267">
        <v>283362</v>
      </c>
      <c r="K441" s="266">
        <v>49800</v>
      </c>
      <c r="L441" s="266">
        <v>49800</v>
      </c>
      <c r="M441" s="264">
        <v>45962</v>
      </c>
      <c r="N441" s="267">
        <v>283362</v>
      </c>
      <c r="O441" s="265" t="s">
        <v>21</v>
      </c>
      <c r="P441" s="265" t="s">
        <v>22</v>
      </c>
      <c r="Q441" s="265" t="s">
        <v>660</v>
      </c>
      <c r="R441" s="265" t="str">
        <f>VLOOKUP('MIS Working 1'!$G441,Master!$H$3:$I$8,2,0)</f>
        <v>Raw Material</v>
      </c>
      <c r="S441" s="265" t="str">
        <f>VLOOKUP('MIS Working 1'!$H441,Master!B:C,2,0)</f>
        <v>Raw Materials</v>
      </c>
      <c r="T441" s="265" t="str">
        <f>VLOOKUP('MIS Working 1'!$S441,Master!E:F,2,0)</f>
        <v>Raw Material</v>
      </c>
      <c r="U441" s="268">
        <f>'MIS Working 1'!$N441-'MIS Working 1'!$AF441</f>
        <v>283362</v>
      </c>
      <c r="V441" s="269">
        <f>'MIS Working 1'!$U441/'MIS Working 1'!$N441</f>
        <v>1</v>
      </c>
      <c r="W441" s="265">
        <f>'MIS Working 1'!$N441/'MIS Working 1'!$L441</f>
        <v>5.69</v>
      </c>
      <c r="X441" s="270">
        <f>SUM('MIS Working 1'!$Y441:$AE441)</f>
        <v>0</v>
      </c>
      <c r="Y441" s="270">
        <f>SUMIFS('COGS Break up'!$E:$E,'COGS Break up'!$A:$A,'MIS Working 1'!$D441,'COGS Break up'!$D:$D,'MIS Working 1'!$Y$1)</f>
        <v>0</v>
      </c>
      <c r="Z441" s="270">
        <f>SUMIFS('COGS Break up'!$E:$E,'COGS Break up'!$A:$A,'MIS Working 1'!$D441,'COGS Break up'!$D:$D,'MIS Working 1'!$Z$1)</f>
        <v>0</v>
      </c>
      <c r="AA441" s="270">
        <f>SUMIFS('COGS Break up'!E:E,'COGS Break up'!A:A,'MIS Working 1'!$D:$D,'COGS Break up'!C:C,'MIS Working 1'!$AA$1)</f>
        <v>0</v>
      </c>
      <c r="AB441" s="270">
        <f>SUMIFS('COGS Break up'!E:E,'COGS Break up'!A:A,'MIS Working 1'!$D:$D,'COGS Break up'!C:C,$AB$1)</f>
        <v>0</v>
      </c>
      <c r="AC441" s="270">
        <f>SUMIFS('COGS Break up'!E:E,'COGS Break up'!A:A,'MIS Working 1'!$D:$D,'COGS Break up'!C:C,$AC$1)</f>
        <v>0</v>
      </c>
      <c r="AD441" s="270">
        <f>SUMIFS('COGS Break up'!$E:$E,'COGS Break up'!$A:$A,'MIS Working 1'!$D441,'COGS Break up'!$D:$D,'MIS Working 1'!$AD$1)</f>
        <v>0</v>
      </c>
      <c r="AE441" s="270">
        <f>SUMIFS('COGS Break up'!$E:$E,'COGS Break up'!$A:$A,'MIS Working 1'!$D441,'COGS Break up'!$D:$D,'MIS Working 1'!$AE$1)</f>
        <v>0</v>
      </c>
      <c r="AF441" s="271">
        <f>'MIS Working 1'!$AG441+'MIS Working 1'!$AH441+'MIS Working 1'!$AM441+'MIS Working 1'!$AL441</f>
        <v>0</v>
      </c>
      <c r="AG441" s="270">
        <f>'MIS Working 1'!$L441*'MIS Working 1'!$Y441</f>
        <v>0</v>
      </c>
      <c r="AH441" s="270">
        <f>'MIS Working 1'!$L441*'MIS Working 1'!$Z441</f>
        <v>0</v>
      </c>
      <c r="AI441" s="270">
        <f t="shared" si="18"/>
        <v>0</v>
      </c>
      <c r="AJ441" s="270">
        <f t="shared" si="19"/>
        <v>0</v>
      </c>
      <c r="AK441" s="270">
        <f t="shared" si="20"/>
        <v>0</v>
      </c>
      <c r="AL441" s="270">
        <f>'MIS Working 1'!$AD441*'MIS Working 1'!$L441</f>
        <v>0</v>
      </c>
      <c r="AM441" s="270">
        <f>'MIS Working 1'!$L441*'MIS Working 1'!$AE441+'MIS Working 1'!$AL441</f>
        <v>0</v>
      </c>
    </row>
    <row r="442" spans="1:39" x14ac:dyDescent="0.3">
      <c r="A442" s="272" t="s">
        <v>1374</v>
      </c>
      <c r="B442" s="273">
        <v>45962</v>
      </c>
      <c r="C442" s="274" t="s">
        <v>1885</v>
      </c>
      <c r="D442" s="274" t="s">
        <v>1375</v>
      </c>
      <c r="E442" s="274" t="s">
        <v>1376</v>
      </c>
      <c r="F442" s="274" t="s">
        <v>18</v>
      </c>
      <c r="G442" s="274" t="s">
        <v>48</v>
      </c>
      <c r="H442" s="274" t="s">
        <v>225</v>
      </c>
      <c r="I442" s="275">
        <v>37455</v>
      </c>
      <c r="J442" s="276">
        <v>136588.82999999999</v>
      </c>
      <c r="K442" s="275">
        <v>37455</v>
      </c>
      <c r="L442" s="275">
        <v>37455</v>
      </c>
      <c r="M442" s="273">
        <v>45962</v>
      </c>
      <c r="N442" s="276">
        <v>151318.20000000001</v>
      </c>
      <c r="O442" s="274" t="s">
        <v>21</v>
      </c>
      <c r="P442" s="274" t="s">
        <v>22</v>
      </c>
      <c r="Q442" s="274" t="s">
        <v>660</v>
      </c>
      <c r="R442" s="274" t="str">
        <f>VLOOKUP('MIS Working 1'!$G442,Master!$H$3:$I$8,2,0)</f>
        <v>Raw Material</v>
      </c>
      <c r="S442" s="274" t="str">
        <f>VLOOKUP('MIS Working 1'!$H442,Master!B:C,2,0)</f>
        <v>RM-Eletro-PCB</v>
      </c>
      <c r="T442" s="274" t="str">
        <f>VLOOKUP('MIS Working 1'!$S442,Master!E:F,2,0)</f>
        <v>Raw Material</v>
      </c>
      <c r="U442" s="277">
        <f>'MIS Working 1'!$N442-'MIS Working 1'!$AF442</f>
        <v>151318.20000000001</v>
      </c>
      <c r="V442" s="278">
        <f>'MIS Working 1'!$U442/'MIS Working 1'!$N442</f>
        <v>1</v>
      </c>
      <c r="W442" s="274">
        <f>'MIS Working 1'!$N442/'MIS Working 1'!$L442</f>
        <v>4.04</v>
      </c>
      <c r="X442" s="279">
        <f>SUM('MIS Working 1'!$Y442:$AE442)</f>
        <v>0</v>
      </c>
      <c r="Y442" s="279">
        <f>SUMIFS('COGS Break up'!$E:$E,'COGS Break up'!$A:$A,'MIS Working 1'!$D442,'COGS Break up'!$D:$D,'MIS Working 1'!$Y$1)</f>
        <v>0</v>
      </c>
      <c r="Z442" s="279">
        <f>SUMIFS('COGS Break up'!$E:$E,'COGS Break up'!$A:$A,'MIS Working 1'!$D442,'COGS Break up'!$D:$D,'MIS Working 1'!$Z$1)</f>
        <v>0</v>
      </c>
      <c r="AA442" s="279">
        <f>SUMIFS('COGS Break up'!E:E,'COGS Break up'!A:A,'MIS Working 1'!$D:$D,'COGS Break up'!C:C,'MIS Working 1'!$AA$1)</f>
        <v>0</v>
      </c>
      <c r="AB442" s="279">
        <f>SUMIFS('COGS Break up'!E:E,'COGS Break up'!A:A,'MIS Working 1'!$D:$D,'COGS Break up'!C:C,$AB$1)</f>
        <v>0</v>
      </c>
      <c r="AC442" s="279">
        <f>SUMIFS('COGS Break up'!E:E,'COGS Break up'!A:A,'MIS Working 1'!$D:$D,'COGS Break up'!C:C,$AC$1)</f>
        <v>0</v>
      </c>
      <c r="AD442" s="279">
        <f>SUMIFS('COGS Break up'!$E:$E,'COGS Break up'!$A:$A,'MIS Working 1'!$D442,'COGS Break up'!$D:$D,'MIS Working 1'!$AD$1)</f>
        <v>0</v>
      </c>
      <c r="AE442" s="279">
        <f>SUMIFS('COGS Break up'!$E:$E,'COGS Break up'!$A:$A,'MIS Working 1'!$D442,'COGS Break up'!$D:$D,'MIS Working 1'!$AE$1)</f>
        <v>0</v>
      </c>
      <c r="AF442" s="280">
        <f>'MIS Working 1'!$AG442+'MIS Working 1'!$AH442+'MIS Working 1'!$AM442+'MIS Working 1'!$AL442</f>
        <v>0</v>
      </c>
      <c r="AG442" s="279">
        <f>'MIS Working 1'!$L442*'MIS Working 1'!$Y442</f>
        <v>0</v>
      </c>
      <c r="AH442" s="279">
        <f>'MIS Working 1'!$L442*'MIS Working 1'!$Z442</f>
        <v>0</v>
      </c>
      <c r="AI442" s="279">
        <f t="shared" si="18"/>
        <v>0</v>
      </c>
      <c r="AJ442" s="279">
        <f t="shared" si="19"/>
        <v>0</v>
      </c>
      <c r="AK442" s="279">
        <f t="shared" si="20"/>
        <v>0</v>
      </c>
      <c r="AL442" s="279">
        <f>'MIS Working 1'!$AD442*'MIS Working 1'!$L442</f>
        <v>0</v>
      </c>
      <c r="AM442" s="279">
        <f>'MIS Working 1'!$L442*'MIS Working 1'!$AE442+'MIS Working 1'!$AL442</f>
        <v>0</v>
      </c>
    </row>
    <row r="443" spans="1:39" x14ac:dyDescent="0.3">
      <c r="A443" s="263" t="s">
        <v>1374</v>
      </c>
      <c r="B443" s="264">
        <v>45962</v>
      </c>
      <c r="C443" s="265" t="s">
        <v>1885</v>
      </c>
      <c r="D443" s="265" t="s">
        <v>1377</v>
      </c>
      <c r="E443" s="265" t="s">
        <v>1378</v>
      </c>
      <c r="F443" s="265" t="s">
        <v>18</v>
      </c>
      <c r="G443" s="265" t="s">
        <v>48</v>
      </c>
      <c r="H443" s="265" t="s">
        <v>207</v>
      </c>
      <c r="I443" s="266">
        <v>40500</v>
      </c>
      <c r="J443" s="267">
        <v>1026910.49</v>
      </c>
      <c r="K443" s="266">
        <v>40500</v>
      </c>
      <c r="L443" s="266">
        <v>40500</v>
      </c>
      <c r="M443" s="264">
        <v>45962</v>
      </c>
      <c r="N443" s="267">
        <v>1138860</v>
      </c>
      <c r="O443" s="265" t="s">
        <v>21</v>
      </c>
      <c r="P443" s="265" t="s">
        <v>22</v>
      </c>
      <c r="Q443" s="265" t="s">
        <v>660</v>
      </c>
      <c r="R443" s="265" t="str">
        <f>VLOOKUP('MIS Working 1'!$G443,Master!$H$3:$I$8,2,0)</f>
        <v>Raw Material</v>
      </c>
      <c r="S443" s="265" t="str">
        <f>VLOOKUP('MIS Working 1'!$H443,Master!B:C,2,0)</f>
        <v>RM-Mech. Accessories</v>
      </c>
      <c r="T443" s="265" t="str">
        <f>VLOOKUP('MIS Working 1'!$S443,Master!E:F,2,0)</f>
        <v>Raw Material</v>
      </c>
      <c r="U443" s="268">
        <f>'MIS Working 1'!$N443-'MIS Working 1'!$AF443</f>
        <v>1138860</v>
      </c>
      <c r="V443" s="269">
        <f>'MIS Working 1'!$U443/'MIS Working 1'!$N443</f>
        <v>1</v>
      </c>
      <c r="W443" s="265">
        <f>'MIS Working 1'!$N443/'MIS Working 1'!$L443</f>
        <v>28.12</v>
      </c>
      <c r="X443" s="270">
        <f>SUM('MIS Working 1'!$Y443:$AE443)</f>
        <v>0</v>
      </c>
      <c r="Y443" s="270">
        <f>SUMIFS('COGS Break up'!$E:$E,'COGS Break up'!$A:$A,'MIS Working 1'!$D443,'COGS Break up'!$D:$D,'MIS Working 1'!$Y$1)</f>
        <v>0</v>
      </c>
      <c r="Z443" s="270">
        <f>SUMIFS('COGS Break up'!$E:$E,'COGS Break up'!$A:$A,'MIS Working 1'!$D443,'COGS Break up'!$D:$D,'MIS Working 1'!$Z$1)</f>
        <v>0</v>
      </c>
      <c r="AA443" s="270">
        <f>SUMIFS('COGS Break up'!E:E,'COGS Break up'!A:A,'MIS Working 1'!$D:$D,'COGS Break up'!C:C,'MIS Working 1'!$AA$1)</f>
        <v>0</v>
      </c>
      <c r="AB443" s="270">
        <f>SUMIFS('COGS Break up'!E:E,'COGS Break up'!A:A,'MIS Working 1'!$D:$D,'COGS Break up'!C:C,$AB$1)</f>
        <v>0</v>
      </c>
      <c r="AC443" s="270">
        <f>SUMIFS('COGS Break up'!E:E,'COGS Break up'!A:A,'MIS Working 1'!$D:$D,'COGS Break up'!C:C,$AC$1)</f>
        <v>0</v>
      </c>
      <c r="AD443" s="270">
        <f>SUMIFS('COGS Break up'!$E:$E,'COGS Break up'!$A:$A,'MIS Working 1'!$D443,'COGS Break up'!$D:$D,'MIS Working 1'!$AD$1)</f>
        <v>0</v>
      </c>
      <c r="AE443" s="270">
        <f>SUMIFS('COGS Break up'!$E:$E,'COGS Break up'!$A:$A,'MIS Working 1'!$D443,'COGS Break up'!$D:$D,'MIS Working 1'!$AE$1)</f>
        <v>0</v>
      </c>
      <c r="AF443" s="271">
        <f>'MIS Working 1'!$AG443+'MIS Working 1'!$AH443+'MIS Working 1'!$AM443+'MIS Working 1'!$AL443</f>
        <v>0</v>
      </c>
      <c r="AG443" s="270">
        <f>'MIS Working 1'!$L443*'MIS Working 1'!$Y443</f>
        <v>0</v>
      </c>
      <c r="AH443" s="270">
        <f>'MIS Working 1'!$L443*'MIS Working 1'!$Z443</f>
        <v>0</v>
      </c>
      <c r="AI443" s="270">
        <f t="shared" si="18"/>
        <v>0</v>
      </c>
      <c r="AJ443" s="270">
        <f t="shared" si="19"/>
        <v>0</v>
      </c>
      <c r="AK443" s="270">
        <f t="shared" si="20"/>
        <v>0</v>
      </c>
      <c r="AL443" s="270">
        <f>'MIS Working 1'!$AD443*'MIS Working 1'!$L443</f>
        <v>0</v>
      </c>
      <c r="AM443" s="270">
        <f>'MIS Working 1'!$L443*'MIS Working 1'!$AE443+'MIS Working 1'!$AL443</f>
        <v>0</v>
      </c>
    </row>
    <row r="444" spans="1:39" x14ac:dyDescent="0.3">
      <c r="A444" s="272" t="s">
        <v>1374</v>
      </c>
      <c r="B444" s="273">
        <v>45962</v>
      </c>
      <c r="C444" s="274" t="s">
        <v>1885</v>
      </c>
      <c r="D444" s="274" t="s">
        <v>1586</v>
      </c>
      <c r="E444" s="274" t="s">
        <v>1587</v>
      </c>
      <c r="F444" s="274" t="s">
        <v>18</v>
      </c>
      <c r="G444" s="274" t="s">
        <v>48</v>
      </c>
      <c r="H444" s="274" t="s">
        <v>202</v>
      </c>
      <c r="I444" s="275">
        <v>14950</v>
      </c>
      <c r="J444" s="276">
        <v>1448103.19</v>
      </c>
      <c r="K444" s="275">
        <v>14950</v>
      </c>
      <c r="L444" s="275">
        <v>14950</v>
      </c>
      <c r="M444" s="273">
        <v>45962</v>
      </c>
      <c r="N444" s="276">
        <v>1463904</v>
      </c>
      <c r="O444" s="274" t="s">
        <v>21</v>
      </c>
      <c r="P444" s="274" t="s">
        <v>22</v>
      </c>
      <c r="Q444" s="274" t="s">
        <v>660</v>
      </c>
      <c r="R444" s="274" t="str">
        <f>VLOOKUP('MIS Working 1'!$G444,Master!$H$3:$I$8,2,0)</f>
        <v>Raw Material</v>
      </c>
      <c r="S444" s="274" t="str">
        <f>VLOOKUP('MIS Working 1'!$H444,Master!B:C,2,0)</f>
        <v>RM-Eletro-IC</v>
      </c>
      <c r="T444" s="274" t="str">
        <f>VLOOKUP('MIS Working 1'!$S444,Master!E:F,2,0)</f>
        <v>Raw Material</v>
      </c>
      <c r="U444" s="277">
        <f>'MIS Working 1'!$N444-'MIS Working 1'!$AF444</f>
        <v>1463904</v>
      </c>
      <c r="V444" s="278">
        <f>'MIS Working 1'!$U444/'MIS Working 1'!$N444</f>
        <v>1</v>
      </c>
      <c r="W444" s="274">
        <f>'MIS Working 1'!$N444/'MIS Working 1'!$L444</f>
        <v>97.92</v>
      </c>
      <c r="X444" s="279">
        <f>SUM('MIS Working 1'!$Y444:$AE444)</f>
        <v>0</v>
      </c>
      <c r="Y444" s="279">
        <f>SUMIFS('COGS Break up'!$E:$E,'COGS Break up'!$A:$A,'MIS Working 1'!$D444,'COGS Break up'!$D:$D,'MIS Working 1'!$Y$1)</f>
        <v>0</v>
      </c>
      <c r="Z444" s="279">
        <f>SUMIFS('COGS Break up'!$E:$E,'COGS Break up'!$A:$A,'MIS Working 1'!$D444,'COGS Break up'!$D:$D,'MIS Working 1'!$Z$1)</f>
        <v>0</v>
      </c>
      <c r="AA444" s="279">
        <f>SUMIFS('COGS Break up'!E:E,'COGS Break up'!A:A,'MIS Working 1'!$D:$D,'COGS Break up'!C:C,'MIS Working 1'!$AA$1)</f>
        <v>0</v>
      </c>
      <c r="AB444" s="279">
        <f>SUMIFS('COGS Break up'!E:E,'COGS Break up'!A:A,'MIS Working 1'!$D:$D,'COGS Break up'!C:C,$AB$1)</f>
        <v>0</v>
      </c>
      <c r="AC444" s="279">
        <f>SUMIFS('COGS Break up'!E:E,'COGS Break up'!A:A,'MIS Working 1'!$D:$D,'COGS Break up'!C:C,$AC$1)</f>
        <v>0</v>
      </c>
      <c r="AD444" s="279">
        <f>SUMIFS('COGS Break up'!$E:$E,'COGS Break up'!$A:$A,'MIS Working 1'!$D444,'COGS Break up'!$D:$D,'MIS Working 1'!$AD$1)</f>
        <v>0</v>
      </c>
      <c r="AE444" s="279">
        <f>SUMIFS('COGS Break up'!$E:$E,'COGS Break up'!$A:$A,'MIS Working 1'!$D444,'COGS Break up'!$D:$D,'MIS Working 1'!$AE$1)</f>
        <v>0</v>
      </c>
      <c r="AF444" s="280">
        <f>'MIS Working 1'!$AG444+'MIS Working 1'!$AH444+'MIS Working 1'!$AM444+'MIS Working 1'!$AL444</f>
        <v>0</v>
      </c>
      <c r="AG444" s="279">
        <f>'MIS Working 1'!$L444*'MIS Working 1'!$Y444</f>
        <v>0</v>
      </c>
      <c r="AH444" s="279">
        <f>'MIS Working 1'!$L444*'MIS Working 1'!$Z444</f>
        <v>0</v>
      </c>
      <c r="AI444" s="279">
        <f t="shared" si="18"/>
        <v>0</v>
      </c>
      <c r="AJ444" s="279">
        <f t="shared" si="19"/>
        <v>0</v>
      </c>
      <c r="AK444" s="279">
        <f t="shared" si="20"/>
        <v>0</v>
      </c>
      <c r="AL444" s="279">
        <f>'MIS Working 1'!$AD444*'MIS Working 1'!$L444</f>
        <v>0</v>
      </c>
      <c r="AM444" s="279">
        <f>'MIS Working 1'!$L444*'MIS Working 1'!$AE444+'MIS Working 1'!$AL444</f>
        <v>0</v>
      </c>
    </row>
    <row r="445" spans="1:39" x14ac:dyDescent="0.3">
      <c r="A445" s="263" t="s">
        <v>1374</v>
      </c>
      <c r="B445" s="264">
        <v>45962</v>
      </c>
      <c r="C445" s="265" t="s">
        <v>1885</v>
      </c>
      <c r="D445" s="265" t="s">
        <v>437</v>
      </c>
      <c r="E445" s="265" t="s">
        <v>438</v>
      </c>
      <c r="F445" s="265" t="s">
        <v>18</v>
      </c>
      <c r="G445" s="265" t="s">
        <v>48</v>
      </c>
      <c r="H445" s="265" t="s">
        <v>207</v>
      </c>
      <c r="I445" s="266">
        <v>39150</v>
      </c>
      <c r="J445" s="267">
        <v>1302346.57</v>
      </c>
      <c r="K445" s="266">
        <v>39150</v>
      </c>
      <c r="L445" s="266">
        <v>39150</v>
      </c>
      <c r="M445" s="264">
        <v>45962</v>
      </c>
      <c r="N445" s="267">
        <v>1350675</v>
      </c>
      <c r="O445" s="265" t="s">
        <v>21</v>
      </c>
      <c r="P445" s="265" t="s">
        <v>22</v>
      </c>
      <c r="Q445" s="265" t="s">
        <v>660</v>
      </c>
      <c r="R445" s="265" t="str">
        <f>VLOOKUP('MIS Working 1'!$G445,Master!$H$3:$I$8,2,0)</f>
        <v>Raw Material</v>
      </c>
      <c r="S445" s="265" t="str">
        <f>VLOOKUP('MIS Working 1'!$H445,Master!B:C,2,0)</f>
        <v>RM-Mech. Accessories</v>
      </c>
      <c r="T445" s="265" t="str">
        <f>VLOOKUP('MIS Working 1'!$S445,Master!E:F,2,0)</f>
        <v>Raw Material</v>
      </c>
      <c r="U445" s="268">
        <f>'MIS Working 1'!$N445-'MIS Working 1'!$AF445</f>
        <v>385627.5</v>
      </c>
      <c r="V445" s="269">
        <f>'MIS Working 1'!$U445/'MIS Working 1'!$N445</f>
        <v>0.28550724637681157</v>
      </c>
      <c r="W445" s="265">
        <f>'MIS Working 1'!$N445/'MIS Working 1'!$L445</f>
        <v>34.5</v>
      </c>
      <c r="X445" s="270">
        <f>SUM('MIS Working 1'!$Y445:$AE445)</f>
        <v>24.65</v>
      </c>
      <c r="Y445" s="270">
        <f>SUMIFS('COGS Break up'!$E:$E,'COGS Break up'!$A:$A,'MIS Working 1'!$D445,'COGS Break up'!$D:$D,'MIS Working 1'!$Y$1)</f>
        <v>24.65</v>
      </c>
      <c r="Z445" s="270">
        <f>SUMIFS('COGS Break up'!$E:$E,'COGS Break up'!$A:$A,'MIS Working 1'!$D445,'COGS Break up'!$D:$D,'MIS Working 1'!$Z$1)</f>
        <v>0</v>
      </c>
      <c r="AA445" s="270">
        <f>SUMIFS('COGS Break up'!E:E,'COGS Break up'!A:A,'MIS Working 1'!$D:$D,'COGS Break up'!C:C,'MIS Working 1'!$AA$1)</f>
        <v>0</v>
      </c>
      <c r="AB445" s="270">
        <f>SUMIFS('COGS Break up'!E:E,'COGS Break up'!A:A,'MIS Working 1'!$D:$D,'COGS Break up'!C:C,$AB$1)</f>
        <v>0</v>
      </c>
      <c r="AC445" s="270">
        <f>SUMIFS('COGS Break up'!E:E,'COGS Break up'!A:A,'MIS Working 1'!$D:$D,'COGS Break up'!C:C,$AC$1)</f>
        <v>0</v>
      </c>
      <c r="AD445" s="270">
        <f>SUMIFS('COGS Break up'!$E:$E,'COGS Break up'!$A:$A,'MIS Working 1'!$D445,'COGS Break up'!$D:$D,'MIS Working 1'!$AD$1)</f>
        <v>0</v>
      </c>
      <c r="AE445" s="270">
        <f>SUMIFS('COGS Break up'!$E:$E,'COGS Break up'!$A:$A,'MIS Working 1'!$D445,'COGS Break up'!$D:$D,'MIS Working 1'!$AE$1)</f>
        <v>0</v>
      </c>
      <c r="AF445" s="271">
        <f>'MIS Working 1'!$AG445+'MIS Working 1'!$AH445+'MIS Working 1'!$AM445+'MIS Working 1'!$AL445</f>
        <v>965047.5</v>
      </c>
      <c r="AG445" s="270">
        <f>'MIS Working 1'!$L445*'MIS Working 1'!$Y445</f>
        <v>965047.5</v>
      </c>
      <c r="AH445" s="270">
        <f>'MIS Working 1'!$L445*'MIS Working 1'!$Z445</f>
        <v>0</v>
      </c>
      <c r="AI445" s="270">
        <f t="shared" si="18"/>
        <v>0</v>
      </c>
      <c r="AJ445" s="270">
        <f t="shared" si="19"/>
        <v>0</v>
      </c>
      <c r="AK445" s="270">
        <f t="shared" si="20"/>
        <v>0</v>
      </c>
      <c r="AL445" s="270">
        <f>'MIS Working 1'!$AD445*'MIS Working 1'!$L445</f>
        <v>0</v>
      </c>
      <c r="AM445" s="270">
        <f>'MIS Working 1'!$L445*'MIS Working 1'!$AE445+'MIS Working 1'!$AL445</f>
        <v>0</v>
      </c>
    </row>
    <row r="446" spans="1:39" x14ac:dyDescent="0.3">
      <c r="A446" s="272" t="s">
        <v>1374</v>
      </c>
      <c r="B446" s="273">
        <v>45962</v>
      </c>
      <c r="C446" s="274" t="s">
        <v>1885</v>
      </c>
      <c r="D446" s="274" t="s">
        <v>1588</v>
      </c>
      <c r="E446" s="274" t="s">
        <v>1589</v>
      </c>
      <c r="F446" s="274" t="s">
        <v>18</v>
      </c>
      <c r="G446" s="274" t="s">
        <v>48</v>
      </c>
      <c r="H446" s="274" t="s">
        <v>198</v>
      </c>
      <c r="I446" s="275">
        <v>50000</v>
      </c>
      <c r="J446" s="276">
        <v>18500</v>
      </c>
      <c r="K446" s="275">
        <v>50000</v>
      </c>
      <c r="L446" s="275">
        <v>50000</v>
      </c>
      <c r="M446" s="273">
        <v>45962</v>
      </c>
      <c r="N446" s="276">
        <v>18500</v>
      </c>
      <c r="O446" s="274" t="s">
        <v>21</v>
      </c>
      <c r="P446" s="274" t="s">
        <v>22</v>
      </c>
      <c r="Q446" s="274" t="s">
        <v>660</v>
      </c>
      <c r="R446" s="274" t="str">
        <f>VLOOKUP('MIS Working 1'!$G446,Master!$H$3:$I$8,2,0)</f>
        <v>Raw Material</v>
      </c>
      <c r="S446" s="274" t="str">
        <f>VLOOKUP('MIS Working 1'!$H446,Master!B:C,2,0)</f>
        <v>RM-Eletro-Capacitor</v>
      </c>
      <c r="T446" s="274" t="str">
        <f>VLOOKUP('MIS Working 1'!$S446,Master!E:F,2,0)</f>
        <v>Raw Material</v>
      </c>
      <c r="U446" s="277">
        <f>'MIS Working 1'!$N446-'MIS Working 1'!$AF446</f>
        <v>18500</v>
      </c>
      <c r="V446" s="278">
        <f>'MIS Working 1'!$U446/'MIS Working 1'!$N446</f>
        <v>1</v>
      </c>
      <c r="W446" s="274">
        <f>'MIS Working 1'!$N446/'MIS Working 1'!$L446</f>
        <v>0.37</v>
      </c>
      <c r="X446" s="279">
        <f>SUM('MIS Working 1'!$Y446:$AE446)</f>
        <v>0</v>
      </c>
      <c r="Y446" s="279">
        <f>SUMIFS('COGS Break up'!$E:$E,'COGS Break up'!$A:$A,'MIS Working 1'!$D446,'COGS Break up'!$D:$D,'MIS Working 1'!$Y$1)</f>
        <v>0</v>
      </c>
      <c r="Z446" s="279">
        <f>SUMIFS('COGS Break up'!$E:$E,'COGS Break up'!$A:$A,'MIS Working 1'!$D446,'COGS Break up'!$D:$D,'MIS Working 1'!$Z$1)</f>
        <v>0</v>
      </c>
      <c r="AA446" s="279">
        <f>SUMIFS('COGS Break up'!E:E,'COGS Break up'!A:A,'MIS Working 1'!$D:$D,'COGS Break up'!C:C,'MIS Working 1'!$AA$1)</f>
        <v>0</v>
      </c>
      <c r="AB446" s="279">
        <f>SUMIFS('COGS Break up'!E:E,'COGS Break up'!A:A,'MIS Working 1'!$D:$D,'COGS Break up'!C:C,$AB$1)</f>
        <v>0</v>
      </c>
      <c r="AC446" s="279">
        <f>SUMIFS('COGS Break up'!E:E,'COGS Break up'!A:A,'MIS Working 1'!$D:$D,'COGS Break up'!C:C,$AC$1)</f>
        <v>0</v>
      </c>
      <c r="AD446" s="279">
        <f>SUMIFS('COGS Break up'!$E:$E,'COGS Break up'!$A:$A,'MIS Working 1'!$D446,'COGS Break up'!$D:$D,'MIS Working 1'!$AD$1)</f>
        <v>0</v>
      </c>
      <c r="AE446" s="279">
        <f>SUMIFS('COGS Break up'!$E:$E,'COGS Break up'!$A:$A,'MIS Working 1'!$D446,'COGS Break up'!$D:$D,'MIS Working 1'!$AE$1)</f>
        <v>0</v>
      </c>
      <c r="AF446" s="280">
        <f>'MIS Working 1'!$AG446+'MIS Working 1'!$AH446+'MIS Working 1'!$AM446+'MIS Working 1'!$AL446</f>
        <v>0</v>
      </c>
      <c r="AG446" s="279">
        <f>'MIS Working 1'!$L446*'MIS Working 1'!$Y446</f>
        <v>0</v>
      </c>
      <c r="AH446" s="279">
        <f>'MIS Working 1'!$L446*'MIS Working 1'!$Z446</f>
        <v>0</v>
      </c>
      <c r="AI446" s="279">
        <f t="shared" si="18"/>
        <v>0</v>
      </c>
      <c r="AJ446" s="279">
        <f t="shared" si="19"/>
        <v>0</v>
      </c>
      <c r="AK446" s="279">
        <f t="shared" si="20"/>
        <v>0</v>
      </c>
      <c r="AL446" s="279">
        <f>'MIS Working 1'!$AD446*'MIS Working 1'!$L446</f>
        <v>0</v>
      </c>
      <c r="AM446" s="279">
        <f>'MIS Working 1'!$L446*'MIS Working 1'!$AE446+'MIS Working 1'!$AL446</f>
        <v>0</v>
      </c>
    </row>
    <row r="447" spans="1:39" x14ac:dyDescent="0.3">
      <c r="A447" s="263" t="s">
        <v>1374</v>
      </c>
      <c r="B447" s="264">
        <v>45962</v>
      </c>
      <c r="C447" s="265" t="s">
        <v>1885</v>
      </c>
      <c r="D447" s="265" t="s">
        <v>1590</v>
      </c>
      <c r="E447" s="265" t="s">
        <v>1591</v>
      </c>
      <c r="F447" s="265" t="s">
        <v>18</v>
      </c>
      <c r="G447" s="265" t="s">
        <v>48</v>
      </c>
      <c r="H447" s="265" t="s">
        <v>204</v>
      </c>
      <c r="I447" s="266">
        <v>60000</v>
      </c>
      <c r="J447" s="267">
        <v>3359.99</v>
      </c>
      <c r="K447" s="266">
        <v>60000</v>
      </c>
      <c r="L447" s="266">
        <v>60000</v>
      </c>
      <c r="M447" s="264">
        <v>45962</v>
      </c>
      <c r="N447" s="267">
        <v>3600</v>
      </c>
      <c r="O447" s="265" t="s">
        <v>21</v>
      </c>
      <c r="P447" s="265" t="s">
        <v>22</v>
      </c>
      <c r="Q447" s="265" t="s">
        <v>660</v>
      </c>
      <c r="R447" s="265" t="str">
        <f>VLOOKUP('MIS Working 1'!$G447,Master!$H$3:$I$8,2,0)</f>
        <v>Raw Material</v>
      </c>
      <c r="S447" s="265" t="str">
        <f>VLOOKUP('MIS Working 1'!$H447,Master!B:C,2,0)</f>
        <v>RM-Eletro-Resistor</v>
      </c>
      <c r="T447" s="265" t="str">
        <f>VLOOKUP('MIS Working 1'!$S447,Master!E:F,2,0)</f>
        <v>Raw Material</v>
      </c>
      <c r="U447" s="268">
        <f>'MIS Working 1'!$N447-'MIS Working 1'!$AF447</f>
        <v>3600</v>
      </c>
      <c r="V447" s="269">
        <f>'MIS Working 1'!$U447/'MIS Working 1'!$N447</f>
        <v>1</v>
      </c>
      <c r="W447" s="265">
        <f>'MIS Working 1'!$N447/'MIS Working 1'!$L447</f>
        <v>0.06</v>
      </c>
      <c r="X447" s="270">
        <f>SUM('MIS Working 1'!$Y447:$AE447)</f>
        <v>0</v>
      </c>
      <c r="Y447" s="270">
        <f>SUMIFS('COGS Break up'!$E:$E,'COGS Break up'!$A:$A,'MIS Working 1'!$D447,'COGS Break up'!$D:$D,'MIS Working 1'!$Y$1)</f>
        <v>0</v>
      </c>
      <c r="Z447" s="270">
        <f>SUMIFS('COGS Break up'!$E:$E,'COGS Break up'!$A:$A,'MIS Working 1'!$D447,'COGS Break up'!$D:$D,'MIS Working 1'!$Z$1)</f>
        <v>0</v>
      </c>
      <c r="AA447" s="270">
        <f>SUMIFS('COGS Break up'!E:E,'COGS Break up'!A:A,'MIS Working 1'!$D:$D,'COGS Break up'!C:C,'MIS Working 1'!$AA$1)</f>
        <v>0</v>
      </c>
      <c r="AB447" s="270">
        <f>SUMIFS('COGS Break up'!E:E,'COGS Break up'!A:A,'MIS Working 1'!$D:$D,'COGS Break up'!C:C,$AB$1)</f>
        <v>0</v>
      </c>
      <c r="AC447" s="270">
        <f>SUMIFS('COGS Break up'!E:E,'COGS Break up'!A:A,'MIS Working 1'!$D:$D,'COGS Break up'!C:C,$AC$1)</f>
        <v>0</v>
      </c>
      <c r="AD447" s="270">
        <f>SUMIFS('COGS Break up'!$E:$E,'COGS Break up'!$A:$A,'MIS Working 1'!$D447,'COGS Break up'!$D:$D,'MIS Working 1'!$AD$1)</f>
        <v>0</v>
      </c>
      <c r="AE447" s="270">
        <f>SUMIFS('COGS Break up'!$E:$E,'COGS Break up'!$A:$A,'MIS Working 1'!$D447,'COGS Break up'!$D:$D,'MIS Working 1'!$AE$1)</f>
        <v>0</v>
      </c>
      <c r="AF447" s="271">
        <f>'MIS Working 1'!$AG447+'MIS Working 1'!$AH447+'MIS Working 1'!$AM447+'MIS Working 1'!$AL447</f>
        <v>0</v>
      </c>
      <c r="AG447" s="270">
        <f>'MIS Working 1'!$L447*'MIS Working 1'!$Y447</f>
        <v>0</v>
      </c>
      <c r="AH447" s="270">
        <f>'MIS Working 1'!$L447*'MIS Working 1'!$Z447</f>
        <v>0</v>
      </c>
      <c r="AI447" s="270">
        <f t="shared" si="18"/>
        <v>0</v>
      </c>
      <c r="AJ447" s="270">
        <f t="shared" si="19"/>
        <v>0</v>
      </c>
      <c r="AK447" s="270">
        <f t="shared" si="20"/>
        <v>0</v>
      </c>
      <c r="AL447" s="270">
        <f>'MIS Working 1'!$AD447*'MIS Working 1'!$L447</f>
        <v>0</v>
      </c>
      <c r="AM447" s="270">
        <f>'MIS Working 1'!$L447*'MIS Working 1'!$AE447+'MIS Working 1'!$AL447</f>
        <v>0</v>
      </c>
    </row>
    <row r="448" spans="1:39" x14ac:dyDescent="0.3">
      <c r="A448" s="272" t="s">
        <v>1374</v>
      </c>
      <c r="B448" s="273">
        <v>45962</v>
      </c>
      <c r="C448" s="274" t="s">
        <v>1885</v>
      </c>
      <c r="D448" s="274" t="s">
        <v>1592</v>
      </c>
      <c r="E448" s="274" t="s">
        <v>1593</v>
      </c>
      <c r="F448" s="274" t="s">
        <v>18</v>
      </c>
      <c r="G448" s="274" t="s">
        <v>48</v>
      </c>
      <c r="H448" s="274" t="s">
        <v>204</v>
      </c>
      <c r="I448" s="275">
        <v>30000</v>
      </c>
      <c r="J448" s="276">
        <v>1681.06</v>
      </c>
      <c r="K448" s="275">
        <v>30000</v>
      </c>
      <c r="L448" s="275">
        <v>30000</v>
      </c>
      <c r="M448" s="273">
        <v>45962</v>
      </c>
      <c r="N448" s="276">
        <v>1800</v>
      </c>
      <c r="O448" s="274" t="s">
        <v>21</v>
      </c>
      <c r="P448" s="274" t="s">
        <v>22</v>
      </c>
      <c r="Q448" s="274" t="s">
        <v>660</v>
      </c>
      <c r="R448" s="274" t="str">
        <f>VLOOKUP('MIS Working 1'!$G448,Master!$H$3:$I$8,2,0)</f>
        <v>Raw Material</v>
      </c>
      <c r="S448" s="274" t="str">
        <f>VLOOKUP('MIS Working 1'!$H448,Master!B:C,2,0)</f>
        <v>RM-Eletro-Resistor</v>
      </c>
      <c r="T448" s="274" t="str">
        <f>VLOOKUP('MIS Working 1'!$S448,Master!E:F,2,0)</f>
        <v>Raw Material</v>
      </c>
      <c r="U448" s="277">
        <f>'MIS Working 1'!$N448-'MIS Working 1'!$AF448</f>
        <v>1800</v>
      </c>
      <c r="V448" s="278">
        <f>'MIS Working 1'!$U448/'MIS Working 1'!$N448</f>
        <v>1</v>
      </c>
      <c r="W448" s="274">
        <f>'MIS Working 1'!$N448/'MIS Working 1'!$L448</f>
        <v>0.06</v>
      </c>
      <c r="X448" s="279">
        <f>SUM('MIS Working 1'!$Y448:$AE448)</f>
        <v>0</v>
      </c>
      <c r="Y448" s="279">
        <f>SUMIFS('COGS Break up'!$E:$E,'COGS Break up'!$A:$A,'MIS Working 1'!$D448,'COGS Break up'!$D:$D,'MIS Working 1'!$Y$1)</f>
        <v>0</v>
      </c>
      <c r="Z448" s="279">
        <f>SUMIFS('COGS Break up'!$E:$E,'COGS Break up'!$A:$A,'MIS Working 1'!$D448,'COGS Break up'!$D:$D,'MIS Working 1'!$Z$1)</f>
        <v>0</v>
      </c>
      <c r="AA448" s="279">
        <f>SUMIFS('COGS Break up'!E:E,'COGS Break up'!A:A,'MIS Working 1'!$D:$D,'COGS Break up'!C:C,'MIS Working 1'!$AA$1)</f>
        <v>0</v>
      </c>
      <c r="AB448" s="279">
        <f>SUMIFS('COGS Break up'!E:E,'COGS Break up'!A:A,'MIS Working 1'!$D:$D,'COGS Break up'!C:C,$AB$1)</f>
        <v>0</v>
      </c>
      <c r="AC448" s="279">
        <f>SUMIFS('COGS Break up'!E:E,'COGS Break up'!A:A,'MIS Working 1'!$D:$D,'COGS Break up'!C:C,$AC$1)</f>
        <v>0</v>
      </c>
      <c r="AD448" s="279">
        <f>SUMIFS('COGS Break up'!$E:$E,'COGS Break up'!$A:$A,'MIS Working 1'!$D448,'COGS Break up'!$D:$D,'MIS Working 1'!$AD$1)</f>
        <v>0</v>
      </c>
      <c r="AE448" s="279">
        <f>SUMIFS('COGS Break up'!$E:$E,'COGS Break up'!$A:$A,'MIS Working 1'!$D448,'COGS Break up'!$D:$D,'MIS Working 1'!$AE$1)</f>
        <v>0</v>
      </c>
      <c r="AF448" s="280">
        <f>'MIS Working 1'!$AG448+'MIS Working 1'!$AH448+'MIS Working 1'!$AM448+'MIS Working 1'!$AL448</f>
        <v>0</v>
      </c>
      <c r="AG448" s="279">
        <f>'MIS Working 1'!$L448*'MIS Working 1'!$Y448</f>
        <v>0</v>
      </c>
      <c r="AH448" s="279">
        <f>'MIS Working 1'!$L448*'MIS Working 1'!$Z448</f>
        <v>0</v>
      </c>
      <c r="AI448" s="279">
        <f t="shared" si="18"/>
        <v>0</v>
      </c>
      <c r="AJ448" s="279">
        <f t="shared" si="19"/>
        <v>0</v>
      </c>
      <c r="AK448" s="279">
        <f t="shared" si="20"/>
        <v>0</v>
      </c>
      <c r="AL448" s="279">
        <f>'MIS Working 1'!$AD448*'MIS Working 1'!$L448</f>
        <v>0</v>
      </c>
      <c r="AM448" s="279">
        <f>'MIS Working 1'!$L448*'MIS Working 1'!$AE448+'MIS Working 1'!$AL448</f>
        <v>0</v>
      </c>
    </row>
    <row r="449" spans="1:39" x14ac:dyDescent="0.3">
      <c r="A449" s="263" t="s">
        <v>1374</v>
      </c>
      <c r="B449" s="264">
        <v>45962</v>
      </c>
      <c r="C449" s="265" t="s">
        <v>1885</v>
      </c>
      <c r="D449" s="265" t="s">
        <v>1429</v>
      </c>
      <c r="E449" s="265" t="s">
        <v>1430</v>
      </c>
      <c r="F449" s="265" t="s">
        <v>18</v>
      </c>
      <c r="G449" s="265" t="s">
        <v>48</v>
      </c>
      <c r="H449" s="265" t="s">
        <v>198</v>
      </c>
      <c r="I449" s="266">
        <v>50000</v>
      </c>
      <c r="J449" s="267">
        <v>45194.96</v>
      </c>
      <c r="K449" s="266">
        <v>50000</v>
      </c>
      <c r="L449" s="266">
        <v>50000</v>
      </c>
      <c r="M449" s="264">
        <v>45962</v>
      </c>
      <c r="N449" s="267">
        <v>45500</v>
      </c>
      <c r="O449" s="265" t="s">
        <v>21</v>
      </c>
      <c r="P449" s="265" t="s">
        <v>22</v>
      </c>
      <c r="Q449" s="265" t="s">
        <v>660</v>
      </c>
      <c r="R449" s="265" t="str">
        <f>VLOOKUP('MIS Working 1'!$G449,Master!$H$3:$I$8,2,0)</f>
        <v>Raw Material</v>
      </c>
      <c r="S449" s="265" t="str">
        <f>VLOOKUP('MIS Working 1'!$H449,Master!B:C,2,0)</f>
        <v>RM-Eletro-Capacitor</v>
      </c>
      <c r="T449" s="265" t="str">
        <f>VLOOKUP('MIS Working 1'!$S449,Master!E:F,2,0)</f>
        <v>Raw Material</v>
      </c>
      <c r="U449" s="268">
        <f>'MIS Working 1'!$N449-'MIS Working 1'!$AF449</f>
        <v>45500</v>
      </c>
      <c r="V449" s="269">
        <f>'MIS Working 1'!$U449/'MIS Working 1'!$N449</f>
        <v>1</v>
      </c>
      <c r="W449" s="265">
        <f>'MIS Working 1'!$N449/'MIS Working 1'!$L449</f>
        <v>0.91</v>
      </c>
      <c r="X449" s="270">
        <f>SUM('MIS Working 1'!$Y449:$AE449)</f>
        <v>0</v>
      </c>
      <c r="Y449" s="270">
        <f>SUMIFS('COGS Break up'!$E:$E,'COGS Break up'!$A:$A,'MIS Working 1'!$D449,'COGS Break up'!$D:$D,'MIS Working 1'!$Y$1)</f>
        <v>0</v>
      </c>
      <c r="Z449" s="270">
        <f>SUMIFS('COGS Break up'!$E:$E,'COGS Break up'!$A:$A,'MIS Working 1'!$D449,'COGS Break up'!$D:$D,'MIS Working 1'!$Z$1)</f>
        <v>0</v>
      </c>
      <c r="AA449" s="270">
        <f>SUMIFS('COGS Break up'!E:E,'COGS Break up'!A:A,'MIS Working 1'!$D:$D,'COGS Break up'!C:C,'MIS Working 1'!$AA$1)</f>
        <v>0</v>
      </c>
      <c r="AB449" s="270">
        <f>SUMIFS('COGS Break up'!E:E,'COGS Break up'!A:A,'MIS Working 1'!$D:$D,'COGS Break up'!C:C,$AB$1)</f>
        <v>0</v>
      </c>
      <c r="AC449" s="270">
        <f>SUMIFS('COGS Break up'!E:E,'COGS Break up'!A:A,'MIS Working 1'!$D:$D,'COGS Break up'!C:C,$AC$1)</f>
        <v>0</v>
      </c>
      <c r="AD449" s="270">
        <f>SUMIFS('COGS Break up'!$E:$E,'COGS Break up'!$A:$A,'MIS Working 1'!$D449,'COGS Break up'!$D:$D,'MIS Working 1'!$AD$1)</f>
        <v>0</v>
      </c>
      <c r="AE449" s="270">
        <f>SUMIFS('COGS Break up'!$E:$E,'COGS Break up'!$A:$A,'MIS Working 1'!$D449,'COGS Break up'!$D:$D,'MIS Working 1'!$AE$1)</f>
        <v>0</v>
      </c>
      <c r="AF449" s="271">
        <f>'MIS Working 1'!$AG449+'MIS Working 1'!$AH449+'MIS Working 1'!$AM449+'MIS Working 1'!$AL449</f>
        <v>0</v>
      </c>
      <c r="AG449" s="270">
        <f>'MIS Working 1'!$L449*'MIS Working 1'!$Y449</f>
        <v>0</v>
      </c>
      <c r="AH449" s="270">
        <f>'MIS Working 1'!$L449*'MIS Working 1'!$Z449</f>
        <v>0</v>
      </c>
      <c r="AI449" s="270">
        <f t="shared" si="18"/>
        <v>0</v>
      </c>
      <c r="AJ449" s="270">
        <f t="shared" si="19"/>
        <v>0</v>
      </c>
      <c r="AK449" s="270">
        <f t="shared" si="20"/>
        <v>0</v>
      </c>
      <c r="AL449" s="270">
        <f>'MIS Working 1'!$AD449*'MIS Working 1'!$L449</f>
        <v>0</v>
      </c>
      <c r="AM449" s="270">
        <f>'MIS Working 1'!$L449*'MIS Working 1'!$AE449+'MIS Working 1'!$AL449</f>
        <v>0</v>
      </c>
    </row>
    <row r="450" spans="1:39" x14ac:dyDescent="0.3">
      <c r="A450" s="272" t="s">
        <v>1374</v>
      </c>
      <c r="B450" s="273">
        <v>45962</v>
      </c>
      <c r="C450" s="274" t="s">
        <v>1885</v>
      </c>
      <c r="D450" s="274" t="s">
        <v>1594</v>
      </c>
      <c r="E450" s="274" t="s">
        <v>1595</v>
      </c>
      <c r="F450" s="274" t="s">
        <v>18</v>
      </c>
      <c r="G450" s="274" t="s">
        <v>48</v>
      </c>
      <c r="H450" s="274" t="s">
        <v>168</v>
      </c>
      <c r="I450" s="275">
        <v>60000</v>
      </c>
      <c r="J450" s="276">
        <v>33792.51</v>
      </c>
      <c r="K450" s="275">
        <v>60000</v>
      </c>
      <c r="L450" s="275">
        <v>60000</v>
      </c>
      <c r="M450" s="273">
        <v>45962</v>
      </c>
      <c r="N450" s="276">
        <v>28800</v>
      </c>
      <c r="O450" s="274" t="s">
        <v>21</v>
      </c>
      <c r="P450" s="274" t="s">
        <v>22</v>
      </c>
      <c r="Q450" s="274" t="s">
        <v>660</v>
      </c>
      <c r="R450" s="274" t="str">
        <f>VLOOKUP('MIS Working 1'!$G450,Master!$H$3:$I$8,2,0)</f>
        <v>Raw Material</v>
      </c>
      <c r="S450" s="274" t="str">
        <f>VLOOKUP('MIS Working 1'!$H450,Master!B:C,2,0)</f>
        <v>Raw Materials</v>
      </c>
      <c r="T450" s="274" t="str">
        <f>VLOOKUP('MIS Working 1'!$S450,Master!E:F,2,0)</f>
        <v>Raw Material</v>
      </c>
      <c r="U450" s="277">
        <f>'MIS Working 1'!$N450-'MIS Working 1'!$AF450</f>
        <v>28800</v>
      </c>
      <c r="V450" s="278">
        <f>'MIS Working 1'!$U450/'MIS Working 1'!$N450</f>
        <v>1</v>
      </c>
      <c r="W450" s="274">
        <f>'MIS Working 1'!$N450/'MIS Working 1'!$L450</f>
        <v>0.48</v>
      </c>
      <c r="X450" s="279">
        <f>SUM('MIS Working 1'!$Y450:$AE450)</f>
        <v>0</v>
      </c>
      <c r="Y450" s="279">
        <f>SUMIFS('COGS Break up'!$E:$E,'COGS Break up'!$A:$A,'MIS Working 1'!$D450,'COGS Break up'!$D:$D,'MIS Working 1'!$Y$1)</f>
        <v>0</v>
      </c>
      <c r="Z450" s="279">
        <f>SUMIFS('COGS Break up'!$E:$E,'COGS Break up'!$A:$A,'MIS Working 1'!$D450,'COGS Break up'!$D:$D,'MIS Working 1'!$Z$1)</f>
        <v>0</v>
      </c>
      <c r="AA450" s="279">
        <f>SUMIFS('COGS Break up'!E:E,'COGS Break up'!A:A,'MIS Working 1'!$D:$D,'COGS Break up'!C:C,'MIS Working 1'!$AA$1)</f>
        <v>0</v>
      </c>
      <c r="AB450" s="279">
        <f>SUMIFS('COGS Break up'!E:E,'COGS Break up'!A:A,'MIS Working 1'!$D:$D,'COGS Break up'!C:C,$AB$1)</f>
        <v>0</v>
      </c>
      <c r="AC450" s="279">
        <f>SUMIFS('COGS Break up'!E:E,'COGS Break up'!A:A,'MIS Working 1'!$D:$D,'COGS Break up'!C:C,$AC$1)</f>
        <v>0</v>
      </c>
      <c r="AD450" s="279">
        <f>SUMIFS('COGS Break up'!$E:$E,'COGS Break up'!$A:$A,'MIS Working 1'!$D450,'COGS Break up'!$D:$D,'MIS Working 1'!$AD$1)</f>
        <v>0</v>
      </c>
      <c r="AE450" s="279">
        <f>SUMIFS('COGS Break up'!$E:$E,'COGS Break up'!$A:$A,'MIS Working 1'!$D450,'COGS Break up'!$D:$D,'MIS Working 1'!$AE$1)</f>
        <v>0</v>
      </c>
      <c r="AF450" s="280">
        <f>'MIS Working 1'!$AG450+'MIS Working 1'!$AH450+'MIS Working 1'!$AM450+'MIS Working 1'!$AL450</f>
        <v>0</v>
      </c>
      <c r="AG450" s="279">
        <f>'MIS Working 1'!$L450*'MIS Working 1'!$Y450</f>
        <v>0</v>
      </c>
      <c r="AH450" s="279">
        <f>'MIS Working 1'!$L450*'MIS Working 1'!$Z450</f>
        <v>0</v>
      </c>
      <c r="AI450" s="279">
        <f t="shared" ref="AI450:AI472" si="21">AA450*$L450</f>
        <v>0</v>
      </c>
      <c r="AJ450" s="279">
        <f t="shared" ref="AJ450:AJ472" si="22">AB450*$L450</f>
        <v>0</v>
      </c>
      <c r="AK450" s="279">
        <f t="shared" ref="AK450:AK472" si="23">AC450*$L450</f>
        <v>0</v>
      </c>
      <c r="AL450" s="279">
        <f>'MIS Working 1'!$AD450*'MIS Working 1'!$L450</f>
        <v>0</v>
      </c>
      <c r="AM450" s="279">
        <f>'MIS Working 1'!$L450*'MIS Working 1'!$AE450+'MIS Working 1'!$AL450</f>
        <v>0</v>
      </c>
    </row>
    <row r="451" spans="1:39" x14ac:dyDescent="0.3">
      <c r="A451" s="263" t="s">
        <v>1374</v>
      </c>
      <c r="B451" s="264">
        <v>45962</v>
      </c>
      <c r="C451" s="265" t="s">
        <v>1885</v>
      </c>
      <c r="D451" s="265" t="s">
        <v>1596</v>
      </c>
      <c r="E451" s="265" t="s">
        <v>1597</v>
      </c>
      <c r="F451" s="265" t="s">
        <v>18</v>
      </c>
      <c r="G451" s="265" t="s">
        <v>48</v>
      </c>
      <c r="H451" s="265" t="s">
        <v>168</v>
      </c>
      <c r="I451" s="266">
        <v>40000</v>
      </c>
      <c r="J451" s="267">
        <v>280000</v>
      </c>
      <c r="K451" s="266">
        <v>40000</v>
      </c>
      <c r="L451" s="266">
        <v>40000</v>
      </c>
      <c r="M451" s="264">
        <v>45962</v>
      </c>
      <c r="N451" s="267">
        <v>280000</v>
      </c>
      <c r="O451" s="265" t="s">
        <v>21</v>
      </c>
      <c r="P451" s="265" t="s">
        <v>22</v>
      </c>
      <c r="Q451" s="265" t="s">
        <v>660</v>
      </c>
      <c r="R451" s="265" t="str">
        <f>VLOOKUP('MIS Working 1'!$G451,Master!$H$3:$I$8,2,0)</f>
        <v>Raw Material</v>
      </c>
      <c r="S451" s="265" t="str">
        <f>VLOOKUP('MIS Working 1'!$H451,Master!B:C,2,0)</f>
        <v>Raw Materials</v>
      </c>
      <c r="T451" s="265" t="str">
        <f>VLOOKUP('MIS Working 1'!$S451,Master!E:F,2,0)</f>
        <v>Raw Material</v>
      </c>
      <c r="U451" s="268">
        <f>'MIS Working 1'!$N451-'MIS Working 1'!$AF451</f>
        <v>280000</v>
      </c>
      <c r="V451" s="269">
        <f>'MIS Working 1'!$U451/'MIS Working 1'!$N451</f>
        <v>1</v>
      </c>
      <c r="W451" s="265">
        <f>'MIS Working 1'!$N451/'MIS Working 1'!$L451</f>
        <v>7</v>
      </c>
      <c r="X451" s="270">
        <f>SUM('MIS Working 1'!$Y451:$AE451)</f>
        <v>0</v>
      </c>
      <c r="Y451" s="270">
        <f>SUMIFS('COGS Break up'!$E:$E,'COGS Break up'!$A:$A,'MIS Working 1'!$D451,'COGS Break up'!$D:$D,'MIS Working 1'!$Y$1)</f>
        <v>0</v>
      </c>
      <c r="Z451" s="270">
        <f>SUMIFS('COGS Break up'!$E:$E,'COGS Break up'!$A:$A,'MIS Working 1'!$D451,'COGS Break up'!$D:$D,'MIS Working 1'!$Z$1)</f>
        <v>0</v>
      </c>
      <c r="AA451" s="270">
        <f>SUMIFS('COGS Break up'!E:E,'COGS Break up'!A:A,'MIS Working 1'!$D:$D,'COGS Break up'!C:C,'MIS Working 1'!$AA$1)</f>
        <v>0</v>
      </c>
      <c r="AB451" s="270">
        <f>SUMIFS('COGS Break up'!E:E,'COGS Break up'!A:A,'MIS Working 1'!$D:$D,'COGS Break up'!C:C,$AB$1)</f>
        <v>0</v>
      </c>
      <c r="AC451" s="270">
        <f>SUMIFS('COGS Break up'!E:E,'COGS Break up'!A:A,'MIS Working 1'!$D:$D,'COGS Break up'!C:C,$AC$1)</f>
        <v>0</v>
      </c>
      <c r="AD451" s="270">
        <f>SUMIFS('COGS Break up'!$E:$E,'COGS Break up'!$A:$A,'MIS Working 1'!$D451,'COGS Break up'!$D:$D,'MIS Working 1'!$AD$1)</f>
        <v>0</v>
      </c>
      <c r="AE451" s="270">
        <f>SUMIFS('COGS Break up'!$E:$E,'COGS Break up'!$A:$A,'MIS Working 1'!$D451,'COGS Break up'!$D:$D,'MIS Working 1'!$AE$1)</f>
        <v>0</v>
      </c>
      <c r="AF451" s="271">
        <f>'MIS Working 1'!$AG451+'MIS Working 1'!$AH451+'MIS Working 1'!$AM451+'MIS Working 1'!$AL451</f>
        <v>0</v>
      </c>
      <c r="AG451" s="270">
        <f>'MIS Working 1'!$L451*'MIS Working 1'!$Y451</f>
        <v>0</v>
      </c>
      <c r="AH451" s="270">
        <f>'MIS Working 1'!$L451*'MIS Working 1'!$Z451</f>
        <v>0</v>
      </c>
      <c r="AI451" s="270">
        <f t="shared" si="21"/>
        <v>0</v>
      </c>
      <c r="AJ451" s="270">
        <f t="shared" si="22"/>
        <v>0</v>
      </c>
      <c r="AK451" s="270">
        <f t="shared" si="23"/>
        <v>0</v>
      </c>
      <c r="AL451" s="270">
        <f>'MIS Working 1'!$AD451*'MIS Working 1'!$L451</f>
        <v>0</v>
      </c>
      <c r="AM451" s="270">
        <f>'MIS Working 1'!$L451*'MIS Working 1'!$AE451+'MIS Working 1'!$AL451</f>
        <v>0</v>
      </c>
    </row>
    <row r="452" spans="1:39" x14ac:dyDescent="0.3">
      <c r="A452" s="272" t="s">
        <v>1374</v>
      </c>
      <c r="B452" s="273">
        <v>45962</v>
      </c>
      <c r="C452" s="274" t="s">
        <v>1885</v>
      </c>
      <c r="D452" s="274" t="s">
        <v>1310</v>
      </c>
      <c r="E452" s="274" t="s">
        <v>1311</v>
      </c>
      <c r="F452" s="274" t="s">
        <v>18</v>
      </c>
      <c r="G452" s="274" t="s">
        <v>48</v>
      </c>
      <c r="H452" s="274" t="s">
        <v>198</v>
      </c>
      <c r="I452" s="275">
        <v>20000</v>
      </c>
      <c r="J452" s="276">
        <v>144473.04999999999</v>
      </c>
      <c r="K452" s="275">
        <v>20000</v>
      </c>
      <c r="L452" s="275">
        <v>20000</v>
      </c>
      <c r="M452" s="273">
        <v>45962</v>
      </c>
      <c r="N452" s="276">
        <v>145600</v>
      </c>
      <c r="O452" s="274" t="s">
        <v>21</v>
      </c>
      <c r="P452" s="274" t="s">
        <v>22</v>
      </c>
      <c r="Q452" s="274" t="s">
        <v>660</v>
      </c>
      <c r="R452" s="274" t="str">
        <f>VLOOKUP('MIS Working 1'!$G452,Master!$H$3:$I$8,2,0)</f>
        <v>Raw Material</v>
      </c>
      <c r="S452" s="274" t="str">
        <f>VLOOKUP('MIS Working 1'!$H452,Master!B:C,2,0)</f>
        <v>RM-Eletro-Capacitor</v>
      </c>
      <c r="T452" s="274" t="str">
        <f>VLOOKUP('MIS Working 1'!$S452,Master!E:F,2,0)</f>
        <v>Raw Material</v>
      </c>
      <c r="U452" s="277">
        <f>'MIS Working 1'!$N452-'MIS Working 1'!$AF452</f>
        <v>145600</v>
      </c>
      <c r="V452" s="278">
        <f>'MIS Working 1'!$U452/'MIS Working 1'!$N452</f>
        <v>1</v>
      </c>
      <c r="W452" s="274">
        <f>'MIS Working 1'!$N452/'MIS Working 1'!$L452</f>
        <v>7.28</v>
      </c>
      <c r="X452" s="279">
        <f>SUM('MIS Working 1'!$Y452:$AE452)</f>
        <v>0</v>
      </c>
      <c r="Y452" s="279">
        <f>SUMIFS('COGS Break up'!$E:$E,'COGS Break up'!$A:$A,'MIS Working 1'!$D452,'COGS Break up'!$D:$D,'MIS Working 1'!$Y$1)</f>
        <v>0</v>
      </c>
      <c r="Z452" s="279">
        <f>SUMIFS('COGS Break up'!$E:$E,'COGS Break up'!$A:$A,'MIS Working 1'!$D452,'COGS Break up'!$D:$D,'MIS Working 1'!$Z$1)</f>
        <v>0</v>
      </c>
      <c r="AA452" s="279">
        <f>SUMIFS('COGS Break up'!E:E,'COGS Break up'!A:A,'MIS Working 1'!$D:$D,'COGS Break up'!C:C,'MIS Working 1'!$AA$1)</f>
        <v>0</v>
      </c>
      <c r="AB452" s="279">
        <f>SUMIFS('COGS Break up'!E:E,'COGS Break up'!A:A,'MIS Working 1'!$D:$D,'COGS Break up'!C:C,$AB$1)</f>
        <v>0</v>
      </c>
      <c r="AC452" s="279">
        <f>SUMIFS('COGS Break up'!E:E,'COGS Break up'!A:A,'MIS Working 1'!$D:$D,'COGS Break up'!C:C,$AC$1)</f>
        <v>0</v>
      </c>
      <c r="AD452" s="279">
        <f>SUMIFS('COGS Break up'!$E:$E,'COGS Break up'!$A:$A,'MIS Working 1'!$D452,'COGS Break up'!$D:$D,'MIS Working 1'!$AD$1)</f>
        <v>0</v>
      </c>
      <c r="AE452" s="279">
        <f>SUMIFS('COGS Break up'!$E:$E,'COGS Break up'!$A:$A,'MIS Working 1'!$D452,'COGS Break up'!$D:$D,'MIS Working 1'!$AE$1)</f>
        <v>0</v>
      </c>
      <c r="AF452" s="280">
        <f>'MIS Working 1'!$AG452+'MIS Working 1'!$AH452+'MIS Working 1'!$AM452+'MIS Working 1'!$AL452</f>
        <v>0</v>
      </c>
      <c r="AG452" s="279">
        <f>'MIS Working 1'!$L452*'MIS Working 1'!$Y452</f>
        <v>0</v>
      </c>
      <c r="AH452" s="279">
        <f>'MIS Working 1'!$L452*'MIS Working 1'!$Z452</f>
        <v>0</v>
      </c>
      <c r="AI452" s="279">
        <f t="shared" si="21"/>
        <v>0</v>
      </c>
      <c r="AJ452" s="279">
        <f t="shared" si="22"/>
        <v>0</v>
      </c>
      <c r="AK452" s="279">
        <f t="shared" si="23"/>
        <v>0</v>
      </c>
      <c r="AL452" s="279">
        <f>'MIS Working 1'!$AD452*'MIS Working 1'!$L452</f>
        <v>0</v>
      </c>
      <c r="AM452" s="279">
        <f>'MIS Working 1'!$L452*'MIS Working 1'!$AE452+'MIS Working 1'!$AL452</f>
        <v>0</v>
      </c>
    </row>
    <row r="453" spans="1:39" x14ac:dyDescent="0.3">
      <c r="A453" s="263" t="s">
        <v>1374</v>
      </c>
      <c r="B453" s="264">
        <v>45962</v>
      </c>
      <c r="C453" s="265" t="s">
        <v>1885</v>
      </c>
      <c r="D453" s="265" t="s">
        <v>1361</v>
      </c>
      <c r="E453" s="265" t="s">
        <v>1362</v>
      </c>
      <c r="F453" s="265" t="s">
        <v>18</v>
      </c>
      <c r="G453" s="265" t="s">
        <v>48</v>
      </c>
      <c r="H453" s="265" t="s">
        <v>204</v>
      </c>
      <c r="I453" s="266">
        <v>40000</v>
      </c>
      <c r="J453" s="267">
        <v>2240</v>
      </c>
      <c r="K453" s="266">
        <v>40000</v>
      </c>
      <c r="L453" s="266">
        <v>40000</v>
      </c>
      <c r="M453" s="264">
        <v>45962</v>
      </c>
      <c r="N453" s="267">
        <v>2400</v>
      </c>
      <c r="O453" s="265" t="s">
        <v>21</v>
      </c>
      <c r="P453" s="265" t="s">
        <v>22</v>
      </c>
      <c r="Q453" s="265" t="s">
        <v>660</v>
      </c>
      <c r="R453" s="265" t="str">
        <f>VLOOKUP('MIS Working 1'!$G453,Master!$H$3:$I$8,2,0)</f>
        <v>Raw Material</v>
      </c>
      <c r="S453" s="265" t="str">
        <f>VLOOKUP('MIS Working 1'!$H453,Master!B:C,2,0)</f>
        <v>RM-Eletro-Resistor</v>
      </c>
      <c r="T453" s="265" t="str">
        <f>VLOOKUP('MIS Working 1'!$S453,Master!E:F,2,0)</f>
        <v>Raw Material</v>
      </c>
      <c r="U453" s="268">
        <f>'MIS Working 1'!$N453-'MIS Working 1'!$AF453</f>
        <v>2400</v>
      </c>
      <c r="V453" s="269">
        <f>'MIS Working 1'!$U453/'MIS Working 1'!$N453</f>
        <v>1</v>
      </c>
      <c r="W453" s="265">
        <f>'MIS Working 1'!$N453/'MIS Working 1'!$L453</f>
        <v>0.06</v>
      </c>
      <c r="X453" s="270">
        <f>SUM('MIS Working 1'!$Y453:$AE453)</f>
        <v>0</v>
      </c>
      <c r="Y453" s="270">
        <f>SUMIFS('COGS Break up'!$E:$E,'COGS Break up'!$A:$A,'MIS Working 1'!$D453,'COGS Break up'!$D:$D,'MIS Working 1'!$Y$1)</f>
        <v>0</v>
      </c>
      <c r="Z453" s="270">
        <f>SUMIFS('COGS Break up'!$E:$E,'COGS Break up'!$A:$A,'MIS Working 1'!$D453,'COGS Break up'!$D:$D,'MIS Working 1'!$Z$1)</f>
        <v>0</v>
      </c>
      <c r="AA453" s="270">
        <f>SUMIFS('COGS Break up'!E:E,'COGS Break up'!A:A,'MIS Working 1'!$D:$D,'COGS Break up'!C:C,'MIS Working 1'!$AA$1)</f>
        <v>0</v>
      </c>
      <c r="AB453" s="270">
        <f>SUMIFS('COGS Break up'!E:E,'COGS Break up'!A:A,'MIS Working 1'!$D:$D,'COGS Break up'!C:C,$AB$1)</f>
        <v>0</v>
      </c>
      <c r="AC453" s="270">
        <f>SUMIFS('COGS Break up'!E:E,'COGS Break up'!A:A,'MIS Working 1'!$D:$D,'COGS Break up'!C:C,$AC$1)</f>
        <v>0</v>
      </c>
      <c r="AD453" s="270">
        <f>SUMIFS('COGS Break up'!$E:$E,'COGS Break up'!$A:$A,'MIS Working 1'!$D453,'COGS Break up'!$D:$D,'MIS Working 1'!$AD$1)</f>
        <v>0</v>
      </c>
      <c r="AE453" s="270">
        <f>SUMIFS('COGS Break up'!$E:$E,'COGS Break up'!$A:$A,'MIS Working 1'!$D453,'COGS Break up'!$D:$D,'MIS Working 1'!$AE$1)</f>
        <v>0</v>
      </c>
      <c r="AF453" s="271">
        <f>'MIS Working 1'!$AG453+'MIS Working 1'!$AH453+'MIS Working 1'!$AM453+'MIS Working 1'!$AL453</f>
        <v>0</v>
      </c>
      <c r="AG453" s="270">
        <f>'MIS Working 1'!$L453*'MIS Working 1'!$Y453</f>
        <v>0</v>
      </c>
      <c r="AH453" s="270">
        <f>'MIS Working 1'!$L453*'MIS Working 1'!$Z453</f>
        <v>0</v>
      </c>
      <c r="AI453" s="270">
        <f t="shared" si="21"/>
        <v>0</v>
      </c>
      <c r="AJ453" s="270">
        <f t="shared" si="22"/>
        <v>0</v>
      </c>
      <c r="AK453" s="270">
        <f t="shared" si="23"/>
        <v>0</v>
      </c>
      <c r="AL453" s="270">
        <f>'MIS Working 1'!$AD453*'MIS Working 1'!$L453</f>
        <v>0</v>
      </c>
      <c r="AM453" s="270">
        <f>'MIS Working 1'!$L453*'MIS Working 1'!$AE453+'MIS Working 1'!$AL453</f>
        <v>0</v>
      </c>
    </row>
    <row r="454" spans="1:39" x14ac:dyDescent="0.3">
      <c r="A454" s="272" t="s">
        <v>1374</v>
      </c>
      <c r="B454" s="273">
        <v>45962</v>
      </c>
      <c r="C454" s="274" t="s">
        <v>1885</v>
      </c>
      <c r="D454" s="274" t="s">
        <v>1598</v>
      </c>
      <c r="E454" s="274" t="s">
        <v>1599</v>
      </c>
      <c r="F454" s="274" t="s">
        <v>18</v>
      </c>
      <c r="G454" s="274" t="s">
        <v>48</v>
      </c>
      <c r="H454" s="274" t="s">
        <v>204</v>
      </c>
      <c r="I454" s="275">
        <v>40000</v>
      </c>
      <c r="J454" s="276">
        <v>2239.9899999999998</v>
      </c>
      <c r="K454" s="275">
        <v>40000</v>
      </c>
      <c r="L454" s="275">
        <v>40000</v>
      </c>
      <c r="M454" s="273">
        <v>45962</v>
      </c>
      <c r="N454" s="276">
        <v>2400</v>
      </c>
      <c r="O454" s="274" t="s">
        <v>21</v>
      </c>
      <c r="P454" s="274" t="s">
        <v>22</v>
      </c>
      <c r="Q454" s="274" t="s">
        <v>660</v>
      </c>
      <c r="R454" s="274" t="str">
        <f>VLOOKUP('MIS Working 1'!$G454,Master!$H$3:$I$8,2,0)</f>
        <v>Raw Material</v>
      </c>
      <c r="S454" s="274" t="str">
        <f>VLOOKUP('MIS Working 1'!$H454,Master!B:C,2,0)</f>
        <v>RM-Eletro-Resistor</v>
      </c>
      <c r="T454" s="274" t="str">
        <f>VLOOKUP('MIS Working 1'!$S454,Master!E:F,2,0)</f>
        <v>Raw Material</v>
      </c>
      <c r="U454" s="277">
        <f>'MIS Working 1'!$N454-'MIS Working 1'!$AF454</f>
        <v>2400</v>
      </c>
      <c r="V454" s="278">
        <f>'MIS Working 1'!$U454/'MIS Working 1'!$N454</f>
        <v>1</v>
      </c>
      <c r="W454" s="274">
        <f>'MIS Working 1'!$N454/'MIS Working 1'!$L454</f>
        <v>0.06</v>
      </c>
      <c r="X454" s="279">
        <f>SUM('MIS Working 1'!$Y454:$AE454)</f>
        <v>0</v>
      </c>
      <c r="Y454" s="279">
        <f>SUMIFS('COGS Break up'!$E:$E,'COGS Break up'!$A:$A,'MIS Working 1'!$D454,'COGS Break up'!$D:$D,'MIS Working 1'!$Y$1)</f>
        <v>0</v>
      </c>
      <c r="Z454" s="279">
        <f>SUMIFS('COGS Break up'!$E:$E,'COGS Break up'!$A:$A,'MIS Working 1'!$D454,'COGS Break up'!$D:$D,'MIS Working 1'!$Z$1)</f>
        <v>0</v>
      </c>
      <c r="AA454" s="279">
        <f>SUMIFS('COGS Break up'!E:E,'COGS Break up'!A:A,'MIS Working 1'!$D:$D,'COGS Break up'!C:C,'MIS Working 1'!$AA$1)</f>
        <v>0</v>
      </c>
      <c r="AB454" s="279">
        <f>SUMIFS('COGS Break up'!E:E,'COGS Break up'!A:A,'MIS Working 1'!$D:$D,'COGS Break up'!C:C,$AB$1)</f>
        <v>0</v>
      </c>
      <c r="AC454" s="279">
        <f>SUMIFS('COGS Break up'!E:E,'COGS Break up'!A:A,'MIS Working 1'!$D:$D,'COGS Break up'!C:C,$AC$1)</f>
        <v>0</v>
      </c>
      <c r="AD454" s="279">
        <f>SUMIFS('COGS Break up'!$E:$E,'COGS Break up'!$A:$A,'MIS Working 1'!$D454,'COGS Break up'!$D:$D,'MIS Working 1'!$AD$1)</f>
        <v>0</v>
      </c>
      <c r="AE454" s="279">
        <f>SUMIFS('COGS Break up'!$E:$E,'COGS Break up'!$A:$A,'MIS Working 1'!$D454,'COGS Break up'!$D:$D,'MIS Working 1'!$AE$1)</f>
        <v>0</v>
      </c>
      <c r="AF454" s="280">
        <f>'MIS Working 1'!$AG454+'MIS Working 1'!$AH454+'MIS Working 1'!$AM454+'MIS Working 1'!$AL454</f>
        <v>0</v>
      </c>
      <c r="AG454" s="279">
        <f>'MIS Working 1'!$L454*'MIS Working 1'!$Y454</f>
        <v>0</v>
      </c>
      <c r="AH454" s="279">
        <f>'MIS Working 1'!$L454*'MIS Working 1'!$Z454</f>
        <v>0</v>
      </c>
      <c r="AI454" s="279">
        <f t="shared" si="21"/>
        <v>0</v>
      </c>
      <c r="AJ454" s="279">
        <f t="shared" si="22"/>
        <v>0</v>
      </c>
      <c r="AK454" s="279">
        <f t="shared" si="23"/>
        <v>0</v>
      </c>
      <c r="AL454" s="279">
        <f>'MIS Working 1'!$AD454*'MIS Working 1'!$L454</f>
        <v>0</v>
      </c>
      <c r="AM454" s="279">
        <f>'MIS Working 1'!$L454*'MIS Working 1'!$AE454+'MIS Working 1'!$AL454</f>
        <v>0</v>
      </c>
    </row>
    <row r="455" spans="1:39" x14ac:dyDescent="0.3">
      <c r="A455" s="263" t="s">
        <v>1374</v>
      </c>
      <c r="B455" s="264">
        <v>45962</v>
      </c>
      <c r="C455" s="265" t="s">
        <v>1885</v>
      </c>
      <c r="D455" s="265" t="s">
        <v>1600</v>
      </c>
      <c r="E455" s="265" t="s">
        <v>1601</v>
      </c>
      <c r="F455" s="265" t="s">
        <v>18</v>
      </c>
      <c r="G455" s="265" t="s">
        <v>48</v>
      </c>
      <c r="H455" s="265" t="s">
        <v>204</v>
      </c>
      <c r="I455" s="266">
        <v>40000</v>
      </c>
      <c r="J455" s="267">
        <v>2240</v>
      </c>
      <c r="K455" s="266">
        <v>40000</v>
      </c>
      <c r="L455" s="266">
        <v>40000</v>
      </c>
      <c r="M455" s="264">
        <v>45962</v>
      </c>
      <c r="N455" s="267">
        <v>2400</v>
      </c>
      <c r="O455" s="265" t="s">
        <v>21</v>
      </c>
      <c r="P455" s="265" t="s">
        <v>22</v>
      </c>
      <c r="Q455" s="265" t="s">
        <v>660</v>
      </c>
      <c r="R455" s="265" t="str">
        <f>VLOOKUP('MIS Working 1'!$G455,Master!$H$3:$I$8,2,0)</f>
        <v>Raw Material</v>
      </c>
      <c r="S455" s="265" t="str">
        <f>VLOOKUP('MIS Working 1'!$H455,Master!B:C,2,0)</f>
        <v>RM-Eletro-Resistor</v>
      </c>
      <c r="T455" s="265" t="str">
        <f>VLOOKUP('MIS Working 1'!$S455,Master!E:F,2,0)</f>
        <v>Raw Material</v>
      </c>
      <c r="U455" s="268">
        <f>'MIS Working 1'!$N455-'MIS Working 1'!$AF455</f>
        <v>2400</v>
      </c>
      <c r="V455" s="269">
        <f>'MIS Working 1'!$U455/'MIS Working 1'!$N455</f>
        <v>1</v>
      </c>
      <c r="W455" s="265">
        <f>'MIS Working 1'!$N455/'MIS Working 1'!$L455</f>
        <v>0.06</v>
      </c>
      <c r="X455" s="270">
        <f>SUM('MIS Working 1'!$Y455:$AE455)</f>
        <v>0</v>
      </c>
      <c r="Y455" s="270">
        <f>SUMIFS('COGS Break up'!$E:$E,'COGS Break up'!$A:$A,'MIS Working 1'!$D455,'COGS Break up'!$D:$D,'MIS Working 1'!$Y$1)</f>
        <v>0</v>
      </c>
      <c r="Z455" s="270">
        <f>SUMIFS('COGS Break up'!$E:$E,'COGS Break up'!$A:$A,'MIS Working 1'!$D455,'COGS Break up'!$D:$D,'MIS Working 1'!$Z$1)</f>
        <v>0</v>
      </c>
      <c r="AA455" s="270">
        <f>SUMIFS('COGS Break up'!E:E,'COGS Break up'!A:A,'MIS Working 1'!$D:$D,'COGS Break up'!C:C,'MIS Working 1'!$AA$1)</f>
        <v>0</v>
      </c>
      <c r="AB455" s="270">
        <f>SUMIFS('COGS Break up'!E:E,'COGS Break up'!A:A,'MIS Working 1'!$D:$D,'COGS Break up'!C:C,$AB$1)</f>
        <v>0</v>
      </c>
      <c r="AC455" s="270">
        <f>SUMIFS('COGS Break up'!E:E,'COGS Break up'!A:A,'MIS Working 1'!$D:$D,'COGS Break up'!C:C,$AC$1)</f>
        <v>0</v>
      </c>
      <c r="AD455" s="270">
        <f>SUMIFS('COGS Break up'!$E:$E,'COGS Break up'!$A:$A,'MIS Working 1'!$D455,'COGS Break up'!$D:$D,'MIS Working 1'!$AD$1)</f>
        <v>0</v>
      </c>
      <c r="AE455" s="270">
        <f>SUMIFS('COGS Break up'!$E:$E,'COGS Break up'!$A:$A,'MIS Working 1'!$D455,'COGS Break up'!$D:$D,'MIS Working 1'!$AE$1)</f>
        <v>0</v>
      </c>
      <c r="AF455" s="271">
        <f>'MIS Working 1'!$AG455+'MIS Working 1'!$AH455+'MIS Working 1'!$AM455+'MIS Working 1'!$AL455</f>
        <v>0</v>
      </c>
      <c r="AG455" s="270">
        <f>'MIS Working 1'!$L455*'MIS Working 1'!$Y455</f>
        <v>0</v>
      </c>
      <c r="AH455" s="270">
        <f>'MIS Working 1'!$L455*'MIS Working 1'!$Z455</f>
        <v>0</v>
      </c>
      <c r="AI455" s="270">
        <f t="shared" si="21"/>
        <v>0</v>
      </c>
      <c r="AJ455" s="270">
        <f t="shared" si="22"/>
        <v>0</v>
      </c>
      <c r="AK455" s="270">
        <f t="shared" si="23"/>
        <v>0</v>
      </c>
      <c r="AL455" s="270">
        <f>'MIS Working 1'!$AD455*'MIS Working 1'!$L455</f>
        <v>0</v>
      </c>
      <c r="AM455" s="270">
        <f>'MIS Working 1'!$L455*'MIS Working 1'!$AE455+'MIS Working 1'!$AL455</f>
        <v>0</v>
      </c>
    </row>
    <row r="456" spans="1:39" x14ac:dyDescent="0.3">
      <c r="A456" s="272" t="s">
        <v>1374</v>
      </c>
      <c r="B456" s="273">
        <v>45962</v>
      </c>
      <c r="C456" s="274" t="s">
        <v>1885</v>
      </c>
      <c r="D456" s="274" t="s">
        <v>1602</v>
      </c>
      <c r="E456" s="274" t="s">
        <v>1603</v>
      </c>
      <c r="F456" s="274" t="s">
        <v>18</v>
      </c>
      <c r="G456" s="274" t="s">
        <v>48</v>
      </c>
      <c r="H456" s="274" t="s">
        <v>204</v>
      </c>
      <c r="I456" s="275">
        <v>40000</v>
      </c>
      <c r="J456" s="276">
        <v>3560</v>
      </c>
      <c r="K456" s="275">
        <v>40000</v>
      </c>
      <c r="L456" s="275">
        <v>40000</v>
      </c>
      <c r="M456" s="273">
        <v>45962</v>
      </c>
      <c r="N456" s="276">
        <v>3600</v>
      </c>
      <c r="O456" s="274" t="s">
        <v>21</v>
      </c>
      <c r="P456" s="274" t="s">
        <v>22</v>
      </c>
      <c r="Q456" s="274" t="s">
        <v>660</v>
      </c>
      <c r="R456" s="274" t="str">
        <f>VLOOKUP('MIS Working 1'!$G456,Master!$H$3:$I$8,2,0)</f>
        <v>Raw Material</v>
      </c>
      <c r="S456" s="274" t="str">
        <f>VLOOKUP('MIS Working 1'!$H456,Master!B:C,2,0)</f>
        <v>RM-Eletro-Resistor</v>
      </c>
      <c r="T456" s="274" t="str">
        <f>VLOOKUP('MIS Working 1'!$S456,Master!E:F,2,0)</f>
        <v>Raw Material</v>
      </c>
      <c r="U456" s="277">
        <f>'MIS Working 1'!$N456-'MIS Working 1'!$AF456</f>
        <v>3600</v>
      </c>
      <c r="V456" s="278">
        <f>'MIS Working 1'!$U456/'MIS Working 1'!$N456</f>
        <v>1</v>
      </c>
      <c r="W456" s="274">
        <f>'MIS Working 1'!$N456/'MIS Working 1'!$L456</f>
        <v>0.09</v>
      </c>
      <c r="X456" s="279">
        <f>SUM('MIS Working 1'!$Y456:$AE456)</f>
        <v>0</v>
      </c>
      <c r="Y456" s="279">
        <f>SUMIFS('COGS Break up'!$E:$E,'COGS Break up'!$A:$A,'MIS Working 1'!$D456,'COGS Break up'!$D:$D,'MIS Working 1'!$Y$1)</f>
        <v>0</v>
      </c>
      <c r="Z456" s="279">
        <f>SUMIFS('COGS Break up'!$E:$E,'COGS Break up'!$A:$A,'MIS Working 1'!$D456,'COGS Break up'!$D:$D,'MIS Working 1'!$Z$1)</f>
        <v>0</v>
      </c>
      <c r="AA456" s="279">
        <f>SUMIFS('COGS Break up'!E:E,'COGS Break up'!A:A,'MIS Working 1'!$D:$D,'COGS Break up'!C:C,'MIS Working 1'!$AA$1)</f>
        <v>0</v>
      </c>
      <c r="AB456" s="279">
        <f>SUMIFS('COGS Break up'!E:E,'COGS Break up'!A:A,'MIS Working 1'!$D:$D,'COGS Break up'!C:C,$AB$1)</f>
        <v>0</v>
      </c>
      <c r="AC456" s="279">
        <f>SUMIFS('COGS Break up'!E:E,'COGS Break up'!A:A,'MIS Working 1'!$D:$D,'COGS Break up'!C:C,$AC$1)</f>
        <v>0</v>
      </c>
      <c r="AD456" s="279">
        <f>SUMIFS('COGS Break up'!$E:$E,'COGS Break up'!$A:$A,'MIS Working 1'!$D456,'COGS Break up'!$D:$D,'MIS Working 1'!$AD$1)</f>
        <v>0</v>
      </c>
      <c r="AE456" s="279">
        <f>SUMIFS('COGS Break up'!$E:$E,'COGS Break up'!$A:$A,'MIS Working 1'!$D456,'COGS Break up'!$D:$D,'MIS Working 1'!$AE$1)</f>
        <v>0</v>
      </c>
      <c r="AF456" s="280">
        <f>'MIS Working 1'!$AG456+'MIS Working 1'!$AH456+'MIS Working 1'!$AM456+'MIS Working 1'!$AL456</f>
        <v>0</v>
      </c>
      <c r="AG456" s="279">
        <f>'MIS Working 1'!$L456*'MIS Working 1'!$Y456</f>
        <v>0</v>
      </c>
      <c r="AH456" s="279">
        <f>'MIS Working 1'!$L456*'MIS Working 1'!$Z456</f>
        <v>0</v>
      </c>
      <c r="AI456" s="279">
        <f t="shared" si="21"/>
        <v>0</v>
      </c>
      <c r="AJ456" s="279">
        <f t="shared" si="22"/>
        <v>0</v>
      </c>
      <c r="AK456" s="279">
        <f t="shared" si="23"/>
        <v>0</v>
      </c>
      <c r="AL456" s="279">
        <f>'MIS Working 1'!$AD456*'MIS Working 1'!$L456</f>
        <v>0</v>
      </c>
      <c r="AM456" s="279">
        <f>'MIS Working 1'!$L456*'MIS Working 1'!$AE456+'MIS Working 1'!$AL456</f>
        <v>0</v>
      </c>
    </row>
    <row r="457" spans="1:39" x14ac:dyDescent="0.3">
      <c r="A457" s="263" t="s">
        <v>1374</v>
      </c>
      <c r="B457" s="264">
        <v>45962</v>
      </c>
      <c r="C457" s="265" t="s">
        <v>1885</v>
      </c>
      <c r="D457" s="265" t="s">
        <v>1604</v>
      </c>
      <c r="E457" s="265" t="s">
        <v>1605</v>
      </c>
      <c r="F457" s="265" t="s">
        <v>18</v>
      </c>
      <c r="G457" s="265" t="s">
        <v>48</v>
      </c>
      <c r="H457" s="265" t="s">
        <v>204</v>
      </c>
      <c r="I457" s="266">
        <v>40000</v>
      </c>
      <c r="J457" s="267">
        <v>2880</v>
      </c>
      <c r="K457" s="266">
        <v>40000</v>
      </c>
      <c r="L457" s="266">
        <v>40000</v>
      </c>
      <c r="M457" s="264">
        <v>45962</v>
      </c>
      <c r="N457" s="267">
        <v>2800</v>
      </c>
      <c r="O457" s="265" t="s">
        <v>21</v>
      </c>
      <c r="P457" s="265" t="s">
        <v>22</v>
      </c>
      <c r="Q457" s="265" t="s">
        <v>660</v>
      </c>
      <c r="R457" s="265" t="str">
        <f>VLOOKUP('MIS Working 1'!$G457,Master!$H$3:$I$8,2,0)</f>
        <v>Raw Material</v>
      </c>
      <c r="S457" s="265" t="str">
        <f>VLOOKUP('MIS Working 1'!$H457,Master!B:C,2,0)</f>
        <v>RM-Eletro-Resistor</v>
      </c>
      <c r="T457" s="265" t="str">
        <f>VLOOKUP('MIS Working 1'!$S457,Master!E:F,2,0)</f>
        <v>Raw Material</v>
      </c>
      <c r="U457" s="268">
        <f>'MIS Working 1'!$N457-'MIS Working 1'!$AF457</f>
        <v>2800</v>
      </c>
      <c r="V457" s="269">
        <f>'MIS Working 1'!$U457/'MIS Working 1'!$N457</f>
        <v>1</v>
      </c>
      <c r="W457" s="265">
        <f>'MIS Working 1'!$N457/'MIS Working 1'!$L457</f>
        <v>7.0000000000000007E-2</v>
      </c>
      <c r="X457" s="270">
        <f>SUM('MIS Working 1'!$Y457:$AE457)</f>
        <v>0</v>
      </c>
      <c r="Y457" s="270">
        <f>SUMIFS('COGS Break up'!$E:$E,'COGS Break up'!$A:$A,'MIS Working 1'!$D457,'COGS Break up'!$D:$D,'MIS Working 1'!$Y$1)</f>
        <v>0</v>
      </c>
      <c r="Z457" s="270">
        <f>SUMIFS('COGS Break up'!$E:$E,'COGS Break up'!$A:$A,'MIS Working 1'!$D457,'COGS Break up'!$D:$D,'MIS Working 1'!$Z$1)</f>
        <v>0</v>
      </c>
      <c r="AA457" s="270">
        <f>SUMIFS('COGS Break up'!E:E,'COGS Break up'!A:A,'MIS Working 1'!$D:$D,'COGS Break up'!C:C,'MIS Working 1'!$AA$1)</f>
        <v>0</v>
      </c>
      <c r="AB457" s="270">
        <f>SUMIFS('COGS Break up'!E:E,'COGS Break up'!A:A,'MIS Working 1'!$D:$D,'COGS Break up'!C:C,$AB$1)</f>
        <v>0</v>
      </c>
      <c r="AC457" s="270">
        <f>SUMIFS('COGS Break up'!E:E,'COGS Break up'!A:A,'MIS Working 1'!$D:$D,'COGS Break up'!C:C,$AC$1)</f>
        <v>0</v>
      </c>
      <c r="AD457" s="270">
        <f>SUMIFS('COGS Break up'!$E:$E,'COGS Break up'!$A:$A,'MIS Working 1'!$D457,'COGS Break up'!$D:$D,'MIS Working 1'!$AD$1)</f>
        <v>0</v>
      </c>
      <c r="AE457" s="270">
        <f>SUMIFS('COGS Break up'!$E:$E,'COGS Break up'!$A:$A,'MIS Working 1'!$D457,'COGS Break up'!$D:$D,'MIS Working 1'!$AE$1)</f>
        <v>0</v>
      </c>
      <c r="AF457" s="271">
        <f>'MIS Working 1'!$AG457+'MIS Working 1'!$AH457+'MIS Working 1'!$AM457+'MIS Working 1'!$AL457</f>
        <v>0</v>
      </c>
      <c r="AG457" s="270">
        <f>'MIS Working 1'!$L457*'MIS Working 1'!$Y457</f>
        <v>0</v>
      </c>
      <c r="AH457" s="270">
        <f>'MIS Working 1'!$L457*'MIS Working 1'!$Z457</f>
        <v>0</v>
      </c>
      <c r="AI457" s="270">
        <f t="shared" si="21"/>
        <v>0</v>
      </c>
      <c r="AJ457" s="270">
        <f t="shared" si="22"/>
        <v>0</v>
      </c>
      <c r="AK457" s="270">
        <f t="shared" si="23"/>
        <v>0</v>
      </c>
      <c r="AL457" s="270">
        <f>'MIS Working 1'!$AD457*'MIS Working 1'!$L457</f>
        <v>0</v>
      </c>
      <c r="AM457" s="270">
        <f>'MIS Working 1'!$L457*'MIS Working 1'!$AE457+'MIS Working 1'!$AL457</f>
        <v>0</v>
      </c>
    </row>
    <row r="458" spans="1:39" x14ac:dyDescent="0.3">
      <c r="A458" s="272" t="s">
        <v>1374</v>
      </c>
      <c r="B458" s="273">
        <v>45962</v>
      </c>
      <c r="C458" s="274" t="s">
        <v>1885</v>
      </c>
      <c r="D458" s="274" t="s">
        <v>1606</v>
      </c>
      <c r="E458" s="274" t="s">
        <v>1607</v>
      </c>
      <c r="F458" s="274" t="s">
        <v>18</v>
      </c>
      <c r="G458" s="274" t="s">
        <v>48</v>
      </c>
      <c r="H458" s="274" t="s">
        <v>204</v>
      </c>
      <c r="I458" s="275">
        <v>100000</v>
      </c>
      <c r="J458" s="276">
        <v>5599.98</v>
      </c>
      <c r="K458" s="275">
        <v>100000</v>
      </c>
      <c r="L458" s="275">
        <v>100000</v>
      </c>
      <c r="M458" s="273">
        <v>45962</v>
      </c>
      <c r="N458" s="276">
        <v>6000</v>
      </c>
      <c r="O458" s="274" t="s">
        <v>21</v>
      </c>
      <c r="P458" s="274" t="s">
        <v>22</v>
      </c>
      <c r="Q458" s="274" t="s">
        <v>660</v>
      </c>
      <c r="R458" s="274" t="str">
        <f>VLOOKUP('MIS Working 1'!$G458,Master!$H$3:$I$8,2,0)</f>
        <v>Raw Material</v>
      </c>
      <c r="S458" s="274" t="str">
        <f>VLOOKUP('MIS Working 1'!$H458,Master!B:C,2,0)</f>
        <v>RM-Eletro-Resistor</v>
      </c>
      <c r="T458" s="274" t="str">
        <f>VLOOKUP('MIS Working 1'!$S458,Master!E:F,2,0)</f>
        <v>Raw Material</v>
      </c>
      <c r="U458" s="277">
        <f>'MIS Working 1'!$N458-'MIS Working 1'!$AF458</f>
        <v>6000</v>
      </c>
      <c r="V458" s="278">
        <f>'MIS Working 1'!$U458/'MIS Working 1'!$N458</f>
        <v>1</v>
      </c>
      <c r="W458" s="274">
        <f>'MIS Working 1'!$N458/'MIS Working 1'!$L458</f>
        <v>0.06</v>
      </c>
      <c r="X458" s="279">
        <f>SUM('MIS Working 1'!$Y458:$AE458)</f>
        <v>0</v>
      </c>
      <c r="Y458" s="279">
        <f>SUMIFS('COGS Break up'!$E:$E,'COGS Break up'!$A:$A,'MIS Working 1'!$D458,'COGS Break up'!$D:$D,'MIS Working 1'!$Y$1)</f>
        <v>0</v>
      </c>
      <c r="Z458" s="279">
        <f>SUMIFS('COGS Break up'!$E:$E,'COGS Break up'!$A:$A,'MIS Working 1'!$D458,'COGS Break up'!$D:$D,'MIS Working 1'!$Z$1)</f>
        <v>0</v>
      </c>
      <c r="AA458" s="279">
        <f>SUMIFS('COGS Break up'!E:E,'COGS Break up'!A:A,'MIS Working 1'!$D:$D,'COGS Break up'!C:C,'MIS Working 1'!$AA$1)</f>
        <v>0</v>
      </c>
      <c r="AB458" s="279">
        <f>SUMIFS('COGS Break up'!E:E,'COGS Break up'!A:A,'MIS Working 1'!$D:$D,'COGS Break up'!C:C,$AB$1)</f>
        <v>0</v>
      </c>
      <c r="AC458" s="279">
        <f>SUMIFS('COGS Break up'!E:E,'COGS Break up'!A:A,'MIS Working 1'!$D:$D,'COGS Break up'!C:C,$AC$1)</f>
        <v>0</v>
      </c>
      <c r="AD458" s="279">
        <f>SUMIFS('COGS Break up'!$E:$E,'COGS Break up'!$A:$A,'MIS Working 1'!$D458,'COGS Break up'!$D:$D,'MIS Working 1'!$AD$1)</f>
        <v>0</v>
      </c>
      <c r="AE458" s="279">
        <f>SUMIFS('COGS Break up'!$E:$E,'COGS Break up'!$A:$A,'MIS Working 1'!$D458,'COGS Break up'!$D:$D,'MIS Working 1'!$AE$1)</f>
        <v>0</v>
      </c>
      <c r="AF458" s="280">
        <f>'MIS Working 1'!$AG458+'MIS Working 1'!$AH458+'MIS Working 1'!$AM458+'MIS Working 1'!$AL458</f>
        <v>0</v>
      </c>
      <c r="AG458" s="279">
        <f>'MIS Working 1'!$L458*'MIS Working 1'!$Y458</f>
        <v>0</v>
      </c>
      <c r="AH458" s="279">
        <f>'MIS Working 1'!$L458*'MIS Working 1'!$Z458</f>
        <v>0</v>
      </c>
      <c r="AI458" s="279">
        <f t="shared" si="21"/>
        <v>0</v>
      </c>
      <c r="AJ458" s="279">
        <f t="shared" si="22"/>
        <v>0</v>
      </c>
      <c r="AK458" s="279">
        <f t="shared" si="23"/>
        <v>0</v>
      </c>
      <c r="AL458" s="279">
        <f>'MIS Working 1'!$AD458*'MIS Working 1'!$L458</f>
        <v>0</v>
      </c>
      <c r="AM458" s="279">
        <f>'MIS Working 1'!$L458*'MIS Working 1'!$AE458+'MIS Working 1'!$AL458</f>
        <v>0</v>
      </c>
    </row>
    <row r="459" spans="1:39" x14ac:dyDescent="0.3">
      <c r="A459" s="263" t="s">
        <v>1374</v>
      </c>
      <c r="B459" s="264">
        <v>45962</v>
      </c>
      <c r="C459" s="265" t="s">
        <v>1885</v>
      </c>
      <c r="D459" s="265" t="s">
        <v>1608</v>
      </c>
      <c r="E459" s="265" t="s">
        <v>448</v>
      </c>
      <c r="F459" s="265" t="s">
        <v>18</v>
      </c>
      <c r="G459" s="265" t="s">
        <v>48</v>
      </c>
      <c r="H459" s="265" t="s">
        <v>198</v>
      </c>
      <c r="I459" s="266">
        <v>100000</v>
      </c>
      <c r="J459" s="267">
        <v>166000</v>
      </c>
      <c r="K459" s="266">
        <v>100000</v>
      </c>
      <c r="L459" s="266">
        <v>100000</v>
      </c>
      <c r="M459" s="264">
        <v>45962</v>
      </c>
      <c r="N459" s="267">
        <v>166000</v>
      </c>
      <c r="O459" s="265" t="s">
        <v>21</v>
      </c>
      <c r="P459" s="265" t="s">
        <v>22</v>
      </c>
      <c r="Q459" s="265" t="s">
        <v>660</v>
      </c>
      <c r="R459" s="265" t="str">
        <f>VLOOKUP('MIS Working 1'!$G459,Master!$H$3:$I$8,2,0)</f>
        <v>Raw Material</v>
      </c>
      <c r="S459" s="265" t="str">
        <f>VLOOKUP('MIS Working 1'!$H459,Master!B:C,2,0)</f>
        <v>RM-Eletro-Capacitor</v>
      </c>
      <c r="T459" s="265" t="str">
        <f>VLOOKUP('MIS Working 1'!$S459,Master!E:F,2,0)</f>
        <v>Raw Material</v>
      </c>
      <c r="U459" s="268">
        <f>'MIS Working 1'!$N459-'MIS Working 1'!$AF459</f>
        <v>166000</v>
      </c>
      <c r="V459" s="269">
        <f>'MIS Working 1'!$U459/'MIS Working 1'!$N459</f>
        <v>1</v>
      </c>
      <c r="W459" s="265">
        <f>'MIS Working 1'!$N459/'MIS Working 1'!$L459</f>
        <v>1.66</v>
      </c>
      <c r="X459" s="270">
        <f>SUM('MIS Working 1'!$Y459:$AE459)</f>
        <v>0</v>
      </c>
      <c r="Y459" s="270">
        <f>SUMIFS('COGS Break up'!$E:$E,'COGS Break up'!$A:$A,'MIS Working 1'!$D459,'COGS Break up'!$D:$D,'MIS Working 1'!$Y$1)</f>
        <v>0</v>
      </c>
      <c r="Z459" s="270">
        <f>SUMIFS('COGS Break up'!$E:$E,'COGS Break up'!$A:$A,'MIS Working 1'!$D459,'COGS Break up'!$D:$D,'MIS Working 1'!$Z$1)</f>
        <v>0</v>
      </c>
      <c r="AA459" s="270">
        <f>SUMIFS('COGS Break up'!E:E,'COGS Break up'!A:A,'MIS Working 1'!$D:$D,'COGS Break up'!C:C,'MIS Working 1'!$AA$1)</f>
        <v>0</v>
      </c>
      <c r="AB459" s="270">
        <f>SUMIFS('COGS Break up'!E:E,'COGS Break up'!A:A,'MIS Working 1'!$D:$D,'COGS Break up'!C:C,$AB$1)</f>
        <v>0</v>
      </c>
      <c r="AC459" s="270">
        <f>SUMIFS('COGS Break up'!E:E,'COGS Break up'!A:A,'MIS Working 1'!$D:$D,'COGS Break up'!C:C,$AC$1)</f>
        <v>0</v>
      </c>
      <c r="AD459" s="270">
        <f>SUMIFS('COGS Break up'!$E:$E,'COGS Break up'!$A:$A,'MIS Working 1'!$D459,'COGS Break up'!$D:$D,'MIS Working 1'!$AD$1)</f>
        <v>0</v>
      </c>
      <c r="AE459" s="270">
        <f>SUMIFS('COGS Break up'!$E:$E,'COGS Break up'!$A:$A,'MIS Working 1'!$D459,'COGS Break up'!$D:$D,'MIS Working 1'!$AE$1)</f>
        <v>0</v>
      </c>
      <c r="AF459" s="271">
        <f>'MIS Working 1'!$AG459+'MIS Working 1'!$AH459+'MIS Working 1'!$AM459+'MIS Working 1'!$AL459</f>
        <v>0</v>
      </c>
      <c r="AG459" s="270">
        <f>'MIS Working 1'!$L459*'MIS Working 1'!$Y459</f>
        <v>0</v>
      </c>
      <c r="AH459" s="270">
        <f>'MIS Working 1'!$L459*'MIS Working 1'!$Z459</f>
        <v>0</v>
      </c>
      <c r="AI459" s="270">
        <f t="shared" si="21"/>
        <v>0</v>
      </c>
      <c r="AJ459" s="270">
        <f t="shared" si="22"/>
        <v>0</v>
      </c>
      <c r="AK459" s="270">
        <f t="shared" si="23"/>
        <v>0</v>
      </c>
      <c r="AL459" s="270">
        <f>'MIS Working 1'!$AD459*'MIS Working 1'!$L459</f>
        <v>0</v>
      </c>
      <c r="AM459" s="270">
        <f>'MIS Working 1'!$L459*'MIS Working 1'!$AE459+'MIS Working 1'!$AL459</f>
        <v>0</v>
      </c>
    </row>
    <row r="460" spans="1:39" x14ac:dyDescent="0.3">
      <c r="A460" s="272" t="s">
        <v>1374</v>
      </c>
      <c r="B460" s="273">
        <v>45962</v>
      </c>
      <c r="C460" s="274" t="s">
        <v>1885</v>
      </c>
      <c r="D460" s="274" t="s">
        <v>1609</v>
      </c>
      <c r="E460" s="274" t="s">
        <v>1610</v>
      </c>
      <c r="F460" s="274" t="s">
        <v>18</v>
      </c>
      <c r="G460" s="274" t="s">
        <v>48</v>
      </c>
      <c r="H460" s="274" t="s">
        <v>198</v>
      </c>
      <c r="I460" s="275">
        <v>100000</v>
      </c>
      <c r="J460" s="276">
        <v>50005.05</v>
      </c>
      <c r="K460" s="275">
        <v>100000</v>
      </c>
      <c r="L460" s="275">
        <v>100000</v>
      </c>
      <c r="M460" s="273">
        <v>45962</v>
      </c>
      <c r="N460" s="276">
        <v>50000</v>
      </c>
      <c r="O460" s="274" t="s">
        <v>21</v>
      </c>
      <c r="P460" s="274" t="s">
        <v>22</v>
      </c>
      <c r="Q460" s="274" t="s">
        <v>660</v>
      </c>
      <c r="R460" s="274" t="str">
        <f>VLOOKUP('MIS Working 1'!$G460,Master!$H$3:$I$8,2,0)</f>
        <v>Raw Material</v>
      </c>
      <c r="S460" s="274" t="str">
        <f>VLOOKUP('MIS Working 1'!$H460,Master!B:C,2,0)</f>
        <v>RM-Eletro-Capacitor</v>
      </c>
      <c r="T460" s="274" t="str">
        <f>VLOOKUP('MIS Working 1'!$S460,Master!E:F,2,0)</f>
        <v>Raw Material</v>
      </c>
      <c r="U460" s="277">
        <f>'MIS Working 1'!$N460-'MIS Working 1'!$AF460</f>
        <v>50000</v>
      </c>
      <c r="V460" s="278">
        <f>'MIS Working 1'!$U460/'MIS Working 1'!$N460</f>
        <v>1</v>
      </c>
      <c r="W460" s="274">
        <f>'MIS Working 1'!$N460/'MIS Working 1'!$L460</f>
        <v>0.5</v>
      </c>
      <c r="X460" s="279">
        <f>SUM('MIS Working 1'!$Y460:$AE460)</f>
        <v>0</v>
      </c>
      <c r="Y460" s="279">
        <f>SUMIFS('COGS Break up'!$E:$E,'COGS Break up'!$A:$A,'MIS Working 1'!$D460,'COGS Break up'!$D:$D,'MIS Working 1'!$Y$1)</f>
        <v>0</v>
      </c>
      <c r="Z460" s="279">
        <f>SUMIFS('COGS Break up'!$E:$E,'COGS Break up'!$A:$A,'MIS Working 1'!$D460,'COGS Break up'!$D:$D,'MIS Working 1'!$Z$1)</f>
        <v>0</v>
      </c>
      <c r="AA460" s="279">
        <f>SUMIFS('COGS Break up'!E:E,'COGS Break up'!A:A,'MIS Working 1'!$D:$D,'COGS Break up'!C:C,'MIS Working 1'!$AA$1)</f>
        <v>0</v>
      </c>
      <c r="AB460" s="279">
        <f>SUMIFS('COGS Break up'!E:E,'COGS Break up'!A:A,'MIS Working 1'!$D:$D,'COGS Break up'!C:C,$AB$1)</f>
        <v>0</v>
      </c>
      <c r="AC460" s="279">
        <f>SUMIFS('COGS Break up'!E:E,'COGS Break up'!A:A,'MIS Working 1'!$D:$D,'COGS Break up'!C:C,$AC$1)</f>
        <v>0</v>
      </c>
      <c r="AD460" s="279">
        <f>SUMIFS('COGS Break up'!$E:$E,'COGS Break up'!$A:$A,'MIS Working 1'!$D460,'COGS Break up'!$D:$D,'MIS Working 1'!$AD$1)</f>
        <v>0</v>
      </c>
      <c r="AE460" s="279">
        <f>SUMIFS('COGS Break up'!$E:$E,'COGS Break up'!$A:$A,'MIS Working 1'!$D460,'COGS Break up'!$D:$D,'MIS Working 1'!$AE$1)</f>
        <v>0</v>
      </c>
      <c r="AF460" s="280">
        <f>'MIS Working 1'!$AG460+'MIS Working 1'!$AH460+'MIS Working 1'!$AM460+'MIS Working 1'!$AL460</f>
        <v>0</v>
      </c>
      <c r="AG460" s="279">
        <f>'MIS Working 1'!$L460*'MIS Working 1'!$Y460</f>
        <v>0</v>
      </c>
      <c r="AH460" s="279">
        <f>'MIS Working 1'!$L460*'MIS Working 1'!$Z460</f>
        <v>0</v>
      </c>
      <c r="AI460" s="279">
        <f t="shared" si="21"/>
        <v>0</v>
      </c>
      <c r="AJ460" s="279">
        <f t="shared" si="22"/>
        <v>0</v>
      </c>
      <c r="AK460" s="279">
        <f t="shared" si="23"/>
        <v>0</v>
      </c>
      <c r="AL460" s="279">
        <f>'MIS Working 1'!$AD460*'MIS Working 1'!$L460</f>
        <v>0</v>
      </c>
      <c r="AM460" s="279">
        <f>'MIS Working 1'!$L460*'MIS Working 1'!$AE460+'MIS Working 1'!$AL460</f>
        <v>0</v>
      </c>
    </row>
    <row r="461" spans="1:39" x14ac:dyDescent="0.3">
      <c r="A461" s="263" t="s">
        <v>1374</v>
      </c>
      <c r="B461" s="264">
        <v>45962</v>
      </c>
      <c r="C461" s="265" t="s">
        <v>1885</v>
      </c>
      <c r="D461" s="265" t="s">
        <v>1352</v>
      </c>
      <c r="E461" s="265" t="s">
        <v>1353</v>
      </c>
      <c r="F461" s="265" t="s">
        <v>18</v>
      </c>
      <c r="G461" s="265" t="s">
        <v>48</v>
      </c>
      <c r="H461" s="265" t="s">
        <v>204</v>
      </c>
      <c r="I461" s="266">
        <v>40000</v>
      </c>
      <c r="J461" s="267">
        <v>2240.0100000000002</v>
      </c>
      <c r="K461" s="266">
        <v>40000</v>
      </c>
      <c r="L461" s="266">
        <v>40000</v>
      </c>
      <c r="M461" s="264">
        <v>45962</v>
      </c>
      <c r="N461" s="267">
        <v>2400</v>
      </c>
      <c r="O461" s="265" t="s">
        <v>21</v>
      </c>
      <c r="P461" s="265" t="s">
        <v>22</v>
      </c>
      <c r="Q461" s="265" t="s">
        <v>660</v>
      </c>
      <c r="R461" s="265" t="str">
        <f>VLOOKUP('MIS Working 1'!$G461,Master!$H$3:$I$8,2,0)</f>
        <v>Raw Material</v>
      </c>
      <c r="S461" s="265" t="str">
        <f>VLOOKUP('MIS Working 1'!$H461,Master!B:C,2,0)</f>
        <v>RM-Eletro-Resistor</v>
      </c>
      <c r="T461" s="265" t="str">
        <f>VLOOKUP('MIS Working 1'!$S461,Master!E:F,2,0)</f>
        <v>Raw Material</v>
      </c>
      <c r="U461" s="268">
        <f>'MIS Working 1'!$N461-'MIS Working 1'!$AF461</f>
        <v>2400</v>
      </c>
      <c r="V461" s="269">
        <f>'MIS Working 1'!$U461/'MIS Working 1'!$N461</f>
        <v>1</v>
      </c>
      <c r="W461" s="265">
        <f>'MIS Working 1'!$N461/'MIS Working 1'!$L461</f>
        <v>0.06</v>
      </c>
      <c r="X461" s="270">
        <f>SUM('MIS Working 1'!$Y461:$AE461)</f>
        <v>0</v>
      </c>
      <c r="Y461" s="270">
        <f>SUMIFS('COGS Break up'!$E:$E,'COGS Break up'!$A:$A,'MIS Working 1'!$D461,'COGS Break up'!$D:$D,'MIS Working 1'!$Y$1)</f>
        <v>0</v>
      </c>
      <c r="Z461" s="270">
        <f>SUMIFS('COGS Break up'!$E:$E,'COGS Break up'!$A:$A,'MIS Working 1'!$D461,'COGS Break up'!$D:$D,'MIS Working 1'!$Z$1)</f>
        <v>0</v>
      </c>
      <c r="AA461" s="270">
        <f>SUMIFS('COGS Break up'!E:E,'COGS Break up'!A:A,'MIS Working 1'!$D:$D,'COGS Break up'!C:C,'MIS Working 1'!$AA$1)</f>
        <v>0</v>
      </c>
      <c r="AB461" s="270">
        <f>SUMIFS('COGS Break up'!E:E,'COGS Break up'!A:A,'MIS Working 1'!$D:$D,'COGS Break up'!C:C,$AB$1)</f>
        <v>0</v>
      </c>
      <c r="AC461" s="270">
        <f>SUMIFS('COGS Break up'!E:E,'COGS Break up'!A:A,'MIS Working 1'!$D:$D,'COGS Break up'!C:C,$AC$1)</f>
        <v>0</v>
      </c>
      <c r="AD461" s="270">
        <f>SUMIFS('COGS Break up'!$E:$E,'COGS Break up'!$A:$A,'MIS Working 1'!$D461,'COGS Break up'!$D:$D,'MIS Working 1'!$AD$1)</f>
        <v>0</v>
      </c>
      <c r="AE461" s="270">
        <f>SUMIFS('COGS Break up'!$E:$E,'COGS Break up'!$A:$A,'MIS Working 1'!$D461,'COGS Break up'!$D:$D,'MIS Working 1'!$AE$1)</f>
        <v>0</v>
      </c>
      <c r="AF461" s="271">
        <f>'MIS Working 1'!$AG461+'MIS Working 1'!$AH461+'MIS Working 1'!$AM461+'MIS Working 1'!$AL461</f>
        <v>0</v>
      </c>
      <c r="AG461" s="270">
        <f>'MIS Working 1'!$L461*'MIS Working 1'!$Y461</f>
        <v>0</v>
      </c>
      <c r="AH461" s="270">
        <f>'MIS Working 1'!$L461*'MIS Working 1'!$Z461</f>
        <v>0</v>
      </c>
      <c r="AI461" s="270">
        <f t="shared" si="21"/>
        <v>0</v>
      </c>
      <c r="AJ461" s="270">
        <f t="shared" si="22"/>
        <v>0</v>
      </c>
      <c r="AK461" s="270">
        <f t="shared" si="23"/>
        <v>0</v>
      </c>
      <c r="AL461" s="270">
        <f>'MIS Working 1'!$AD461*'MIS Working 1'!$L461</f>
        <v>0</v>
      </c>
      <c r="AM461" s="270">
        <f>'MIS Working 1'!$L461*'MIS Working 1'!$AE461+'MIS Working 1'!$AL461</f>
        <v>0</v>
      </c>
    </row>
    <row r="462" spans="1:39" x14ac:dyDescent="0.3">
      <c r="A462" s="272" t="s">
        <v>1374</v>
      </c>
      <c r="B462" s="273">
        <v>45962</v>
      </c>
      <c r="C462" s="274" t="s">
        <v>1885</v>
      </c>
      <c r="D462" s="274" t="s">
        <v>1350</v>
      </c>
      <c r="E462" s="274" t="s">
        <v>1351</v>
      </c>
      <c r="F462" s="274" t="s">
        <v>18</v>
      </c>
      <c r="G462" s="274" t="s">
        <v>48</v>
      </c>
      <c r="H462" s="274" t="s">
        <v>204</v>
      </c>
      <c r="I462" s="275">
        <v>300000</v>
      </c>
      <c r="J462" s="276">
        <v>18000</v>
      </c>
      <c r="K462" s="275">
        <v>300000</v>
      </c>
      <c r="L462" s="275">
        <v>300000</v>
      </c>
      <c r="M462" s="273">
        <v>45962</v>
      </c>
      <c r="N462" s="276">
        <v>18000</v>
      </c>
      <c r="O462" s="274" t="s">
        <v>21</v>
      </c>
      <c r="P462" s="274" t="s">
        <v>22</v>
      </c>
      <c r="Q462" s="274" t="s">
        <v>660</v>
      </c>
      <c r="R462" s="274" t="str">
        <f>VLOOKUP('MIS Working 1'!$G462,Master!$H$3:$I$8,2,0)</f>
        <v>Raw Material</v>
      </c>
      <c r="S462" s="274" t="str">
        <f>VLOOKUP('MIS Working 1'!$H462,Master!B:C,2,0)</f>
        <v>RM-Eletro-Resistor</v>
      </c>
      <c r="T462" s="274" t="str">
        <f>VLOOKUP('MIS Working 1'!$S462,Master!E:F,2,0)</f>
        <v>Raw Material</v>
      </c>
      <c r="U462" s="277">
        <f>'MIS Working 1'!$N462-'MIS Working 1'!$AF462</f>
        <v>18000</v>
      </c>
      <c r="V462" s="278">
        <f>'MIS Working 1'!$U462/'MIS Working 1'!$N462</f>
        <v>1</v>
      </c>
      <c r="W462" s="274">
        <f>'MIS Working 1'!$N462/'MIS Working 1'!$L462</f>
        <v>0.06</v>
      </c>
      <c r="X462" s="279">
        <f>SUM('MIS Working 1'!$Y462:$AE462)</f>
        <v>0</v>
      </c>
      <c r="Y462" s="279">
        <f>SUMIFS('COGS Break up'!$E:$E,'COGS Break up'!$A:$A,'MIS Working 1'!$D462,'COGS Break up'!$D:$D,'MIS Working 1'!$Y$1)</f>
        <v>0</v>
      </c>
      <c r="Z462" s="279">
        <f>SUMIFS('COGS Break up'!$E:$E,'COGS Break up'!$A:$A,'MIS Working 1'!$D462,'COGS Break up'!$D:$D,'MIS Working 1'!$Z$1)</f>
        <v>0</v>
      </c>
      <c r="AA462" s="279">
        <f>SUMIFS('COGS Break up'!E:E,'COGS Break up'!A:A,'MIS Working 1'!$D:$D,'COGS Break up'!C:C,'MIS Working 1'!$AA$1)</f>
        <v>0</v>
      </c>
      <c r="AB462" s="279">
        <f>SUMIFS('COGS Break up'!E:E,'COGS Break up'!A:A,'MIS Working 1'!$D:$D,'COGS Break up'!C:C,$AB$1)</f>
        <v>0</v>
      </c>
      <c r="AC462" s="279">
        <f>SUMIFS('COGS Break up'!E:E,'COGS Break up'!A:A,'MIS Working 1'!$D:$D,'COGS Break up'!C:C,$AC$1)</f>
        <v>0</v>
      </c>
      <c r="AD462" s="279">
        <f>SUMIFS('COGS Break up'!$E:$E,'COGS Break up'!$A:$A,'MIS Working 1'!$D462,'COGS Break up'!$D:$D,'MIS Working 1'!$AD$1)</f>
        <v>0</v>
      </c>
      <c r="AE462" s="279">
        <f>SUMIFS('COGS Break up'!$E:$E,'COGS Break up'!$A:$A,'MIS Working 1'!$D462,'COGS Break up'!$D:$D,'MIS Working 1'!$AE$1)</f>
        <v>0</v>
      </c>
      <c r="AF462" s="280">
        <f>'MIS Working 1'!$AG462+'MIS Working 1'!$AH462+'MIS Working 1'!$AM462+'MIS Working 1'!$AL462</f>
        <v>0</v>
      </c>
      <c r="AG462" s="279">
        <f>'MIS Working 1'!$L462*'MIS Working 1'!$Y462</f>
        <v>0</v>
      </c>
      <c r="AH462" s="279">
        <f>'MIS Working 1'!$L462*'MIS Working 1'!$Z462</f>
        <v>0</v>
      </c>
      <c r="AI462" s="279">
        <f t="shared" si="21"/>
        <v>0</v>
      </c>
      <c r="AJ462" s="279">
        <f t="shared" si="22"/>
        <v>0</v>
      </c>
      <c r="AK462" s="279">
        <f t="shared" si="23"/>
        <v>0</v>
      </c>
      <c r="AL462" s="279">
        <f>'MIS Working 1'!$AD462*'MIS Working 1'!$L462</f>
        <v>0</v>
      </c>
      <c r="AM462" s="279">
        <f>'MIS Working 1'!$L462*'MIS Working 1'!$AE462+'MIS Working 1'!$AL462</f>
        <v>0</v>
      </c>
    </row>
    <row r="463" spans="1:39" x14ac:dyDescent="0.3">
      <c r="A463" s="263" t="s">
        <v>1374</v>
      </c>
      <c r="B463" s="264">
        <v>45962</v>
      </c>
      <c r="C463" s="265" t="s">
        <v>1885</v>
      </c>
      <c r="D463" s="265" t="s">
        <v>1523</v>
      </c>
      <c r="E463" s="265" t="s">
        <v>1524</v>
      </c>
      <c r="F463" s="265" t="s">
        <v>18</v>
      </c>
      <c r="G463" s="265" t="s">
        <v>48</v>
      </c>
      <c r="H463" s="265" t="s">
        <v>204</v>
      </c>
      <c r="I463" s="266">
        <v>40000</v>
      </c>
      <c r="J463" s="267">
        <v>800</v>
      </c>
      <c r="K463" s="266">
        <v>40000</v>
      </c>
      <c r="L463" s="266">
        <v>40000</v>
      </c>
      <c r="M463" s="264">
        <v>45962</v>
      </c>
      <c r="N463" s="267">
        <v>800</v>
      </c>
      <c r="O463" s="265" t="s">
        <v>21</v>
      </c>
      <c r="P463" s="265" t="s">
        <v>22</v>
      </c>
      <c r="Q463" s="265" t="s">
        <v>660</v>
      </c>
      <c r="R463" s="265" t="str">
        <f>VLOOKUP('MIS Working 1'!$G463,Master!$H$3:$I$8,2,0)</f>
        <v>Raw Material</v>
      </c>
      <c r="S463" s="265" t="str">
        <f>VLOOKUP('MIS Working 1'!$H463,Master!B:C,2,0)</f>
        <v>RM-Eletro-Resistor</v>
      </c>
      <c r="T463" s="265" t="str">
        <f>VLOOKUP('MIS Working 1'!$S463,Master!E:F,2,0)</f>
        <v>Raw Material</v>
      </c>
      <c r="U463" s="268">
        <f>'MIS Working 1'!$N463-'MIS Working 1'!$AF463</f>
        <v>800</v>
      </c>
      <c r="V463" s="269">
        <f>'MIS Working 1'!$U463/'MIS Working 1'!$N463</f>
        <v>1</v>
      </c>
      <c r="W463" s="265">
        <f>'MIS Working 1'!$N463/'MIS Working 1'!$L463</f>
        <v>0.02</v>
      </c>
      <c r="X463" s="270">
        <f>SUM('MIS Working 1'!$Y463:$AE463)</f>
        <v>0</v>
      </c>
      <c r="Y463" s="270">
        <f>SUMIFS('COGS Break up'!$E:$E,'COGS Break up'!$A:$A,'MIS Working 1'!$D463,'COGS Break up'!$D:$D,'MIS Working 1'!$Y$1)</f>
        <v>0</v>
      </c>
      <c r="Z463" s="270">
        <f>SUMIFS('COGS Break up'!$E:$E,'COGS Break up'!$A:$A,'MIS Working 1'!$D463,'COGS Break up'!$D:$D,'MIS Working 1'!$Z$1)</f>
        <v>0</v>
      </c>
      <c r="AA463" s="270">
        <f>SUMIFS('COGS Break up'!E:E,'COGS Break up'!A:A,'MIS Working 1'!$D:$D,'COGS Break up'!C:C,'MIS Working 1'!$AA$1)</f>
        <v>0</v>
      </c>
      <c r="AB463" s="270">
        <f>SUMIFS('COGS Break up'!E:E,'COGS Break up'!A:A,'MIS Working 1'!$D:$D,'COGS Break up'!C:C,$AB$1)</f>
        <v>0</v>
      </c>
      <c r="AC463" s="270">
        <f>SUMIFS('COGS Break up'!E:E,'COGS Break up'!A:A,'MIS Working 1'!$D:$D,'COGS Break up'!C:C,$AC$1)</f>
        <v>0</v>
      </c>
      <c r="AD463" s="270">
        <f>SUMIFS('COGS Break up'!$E:$E,'COGS Break up'!$A:$A,'MIS Working 1'!$D463,'COGS Break up'!$D:$D,'MIS Working 1'!$AD$1)</f>
        <v>0</v>
      </c>
      <c r="AE463" s="270">
        <f>SUMIFS('COGS Break up'!$E:$E,'COGS Break up'!$A:$A,'MIS Working 1'!$D463,'COGS Break up'!$D:$D,'MIS Working 1'!$AE$1)</f>
        <v>0</v>
      </c>
      <c r="AF463" s="271">
        <f>'MIS Working 1'!$AG463+'MIS Working 1'!$AH463+'MIS Working 1'!$AM463+'MIS Working 1'!$AL463</f>
        <v>0</v>
      </c>
      <c r="AG463" s="270">
        <f>'MIS Working 1'!$L463*'MIS Working 1'!$Y463</f>
        <v>0</v>
      </c>
      <c r="AH463" s="270">
        <f>'MIS Working 1'!$L463*'MIS Working 1'!$Z463</f>
        <v>0</v>
      </c>
      <c r="AI463" s="270">
        <f t="shared" si="21"/>
        <v>0</v>
      </c>
      <c r="AJ463" s="270">
        <f t="shared" si="22"/>
        <v>0</v>
      </c>
      <c r="AK463" s="270">
        <f t="shared" si="23"/>
        <v>0</v>
      </c>
      <c r="AL463" s="270">
        <f>'MIS Working 1'!$AD463*'MIS Working 1'!$L463</f>
        <v>0</v>
      </c>
      <c r="AM463" s="270">
        <f>'MIS Working 1'!$L463*'MIS Working 1'!$AE463+'MIS Working 1'!$AL463</f>
        <v>0</v>
      </c>
    </row>
    <row r="464" spans="1:39" x14ac:dyDescent="0.3">
      <c r="A464" s="272" t="s">
        <v>1374</v>
      </c>
      <c r="B464" s="273">
        <v>45962</v>
      </c>
      <c r="C464" s="274" t="s">
        <v>1885</v>
      </c>
      <c r="D464" s="274" t="s">
        <v>1611</v>
      </c>
      <c r="E464" s="274" t="s">
        <v>1612</v>
      </c>
      <c r="F464" s="274" t="s">
        <v>18</v>
      </c>
      <c r="G464" s="274" t="s">
        <v>48</v>
      </c>
      <c r="H464" s="274" t="s">
        <v>204</v>
      </c>
      <c r="I464" s="275">
        <v>40000</v>
      </c>
      <c r="J464" s="276">
        <v>2240</v>
      </c>
      <c r="K464" s="275">
        <v>40000</v>
      </c>
      <c r="L464" s="275">
        <v>40000</v>
      </c>
      <c r="M464" s="273">
        <v>45962</v>
      </c>
      <c r="N464" s="276">
        <v>2400</v>
      </c>
      <c r="O464" s="274" t="s">
        <v>21</v>
      </c>
      <c r="P464" s="274" t="s">
        <v>22</v>
      </c>
      <c r="Q464" s="274" t="s">
        <v>660</v>
      </c>
      <c r="R464" s="274" t="str">
        <f>VLOOKUP('MIS Working 1'!$G464,Master!$H$3:$I$8,2,0)</f>
        <v>Raw Material</v>
      </c>
      <c r="S464" s="274" t="str">
        <f>VLOOKUP('MIS Working 1'!$H464,Master!B:C,2,0)</f>
        <v>RM-Eletro-Resistor</v>
      </c>
      <c r="T464" s="274" t="str">
        <f>VLOOKUP('MIS Working 1'!$S464,Master!E:F,2,0)</f>
        <v>Raw Material</v>
      </c>
      <c r="U464" s="277">
        <f>'MIS Working 1'!$N464-'MIS Working 1'!$AF464</f>
        <v>2400</v>
      </c>
      <c r="V464" s="278">
        <f>'MIS Working 1'!$U464/'MIS Working 1'!$N464</f>
        <v>1</v>
      </c>
      <c r="W464" s="274">
        <f>'MIS Working 1'!$N464/'MIS Working 1'!$L464</f>
        <v>0.06</v>
      </c>
      <c r="X464" s="279">
        <f>SUM('MIS Working 1'!$Y464:$AE464)</f>
        <v>0</v>
      </c>
      <c r="Y464" s="279">
        <f>SUMIFS('COGS Break up'!$E:$E,'COGS Break up'!$A:$A,'MIS Working 1'!$D464,'COGS Break up'!$D:$D,'MIS Working 1'!$Y$1)</f>
        <v>0</v>
      </c>
      <c r="Z464" s="279">
        <f>SUMIFS('COGS Break up'!$E:$E,'COGS Break up'!$A:$A,'MIS Working 1'!$D464,'COGS Break up'!$D:$D,'MIS Working 1'!$Z$1)</f>
        <v>0</v>
      </c>
      <c r="AA464" s="279">
        <f>SUMIFS('COGS Break up'!E:E,'COGS Break up'!A:A,'MIS Working 1'!$D:$D,'COGS Break up'!C:C,'MIS Working 1'!$AA$1)</f>
        <v>0</v>
      </c>
      <c r="AB464" s="279">
        <f>SUMIFS('COGS Break up'!E:E,'COGS Break up'!A:A,'MIS Working 1'!$D:$D,'COGS Break up'!C:C,$AB$1)</f>
        <v>0</v>
      </c>
      <c r="AC464" s="279">
        <f>SUMIFS('COGS Break up'!E:E,'COGS Break up'!A:A,'MIS Working 1'!$D:$D,'COGS Break up'!C:C,$AC$1)</f>
        <v>0</v>
      </c>
      <c r="AD464" s="279">
        <f>SUMIFS('COGS Break up'!$E:$E,'COGS Break up'!$A:$A,'MIS Working 1'!$D464,'COGS Break up'!$D:$D,'MIS Working 1'!$AD$1)</f>
        <v>0</v>
      </c>
      <c r="AE464" s="279">
        <f>SUMIFS('COGS Break up'!$E:$E,'COGS Break up'!$A:$A,'MIS Working 1'!$D464,'COGS Break up'!$D:$D,'MIS Working 1'!$AE$1)</f>
        <v>0</v>
      </c>
      <c r="AF464" s="280">
        <f>'MIS Working 1'!$AG464+'MIS Working 1'!$AH464+'MIS Working 1'!$AM464+'MIS Working 1'!$AL464</f>
        <v>0</v>
      </c>
      <c r="AG464" s="279">
        <f>'MIS Working 1'!$L464*'MIS Working 1'!$Y464</f>
        <v>0</v>
      </c>
      <c r="AH464" s="279">
        <f>'MIS Working 1'!$L464*'MIS Working 1'!$Z464</f>
        <v>0</v>
      </c>
      <c r="AI464" s="279">
        <f t="shared" si="21"/>
        <v>0</v>
      </c>
      <c r="AJ464" s="279">
        <f t="shared" si="22"/>
        <v>0</v>
      </c>
      <c r="AK464" s="279">
        <f t="shared" si="23"/>
        <v>0</v>
      </c>
      <c r="AL464" s="279">
        <f>'MIS Working 1'!$AD464*'MIS Working 1'!$L464</f>
        <v>0</v>
      </c>
      <c r="AM464" s="279">
        <f>'MIS Working 1'!$L464*'MIS Working 1'!$AE464+'MIS Working 1'!$AL464</f>
        <v>0</v>
      </c>
    </row>
    <row r="465" spans="1:39" x14ac:dyDescent="0.3">
      <c r="A465" s="263" t="s">
        <v>1374</v>
      </c>
      <c r="B465" s="264">
        <v>45962</v>
      </c>
      <c r="C465" s="265" t="s">
        <v>1885</v>
      </c>
      <c r="D465" s="265" t="s">
        <v>1525</v>
      </c>
      <c r="E465" s="265" t="s">
        <v>1526</v>
      </c>
      <c r="F465" s="265" t="s">
        <v>18</v>
      </c>
      <c r="G465" s="265" t="s">
        <v>48</v>
      </c>
      <c r="H465" s="265" t="s">
        <v>204</v>
      </c>
      <c r="I465" s="266">
        <v>30000</v>
      </c>
      <c r="J465" s="267">
        <v>600</v>
      </c>
      <c r="K465" s="266">
        <v>30000</v>
      </c>
      <c r="L465" s="266">
        <v>30000</v>
      </c>
      <c r="M465" s="264">
        <v>45962</v>
      </c>
      <c r="N465" s="267">
        <v>600</v>
      </c>
      <c r="O465" s="265" t="s">
        <v>21</v>
      </c>
      <c r="P465" s="265" t="s">
        <v>22</v>
      </c>
      <c r="Q465" s="265" t="s">
        <v>660</v>
      </c>
      <c r="R465" s="265" t="str">
        <f>VLOOKUP('MIS Working 1'!$G465,Master!$H$3:$I$8,2,0)</f>
        <v>Raw Material</v>
      </c>
      <c r="S465" s="265" t="str">
        <f>VLOOKUP('MIS Working 1'!$H465,Master!B:C,2,0)</f>
        <v>RM-Eletro-Resistor</v>
      </c>
      <c r="T465" s="265" t="str">
        <f>VLOOKUP('MIS Working 1'!$S465,Master!E:F,2,0)</f>
        <v>Raw Material</v>
      </c>
      <c r="U465" s="268">
        <f>'MIS Working 1'!$N465-'MIS Working 1'!$AF465</f>
        <v>600</v>
      </c>
      <c r="V465" s="269">
        <f>'MIS Working 1'!$U465/'MIS Working 1'!$N465</f>
        <v>1</v>
      </c>
      <c r="W465" s="265">
        <f>'MIS Working 1'!$N465/'MIS Working 1'!$L465</f>
        <v>0.02</v>
      </c>
      <c r="X465" s="270">
        <f>SUM('MIS Working 1'!$Y465:$AE465)</f>
        <v>0</v>
      </c>
      <c r="Y465" s="270">
        <f>SUMIFS('COGS Break up'!$E:$E,'COGS Break up'!$A:$A,'MIS Working 1'!$D465,'COGS Break up'!$D:$D,'MIS Working 1'!$Y$1)</f>
        <v>0</v>
      </c>
      <c r="Z465" s="270">
        <f>SUMIFS('COGS Break up'!$E:$E,'COGS Break up'!$A:$A,'MIS Working 1'!$D465,'COGS Break up'!$D:$D,'MIS Working 1'!$Z$1)</f>
        <v>0</v>
      </c>
      <c r="AA465" s="270">
        <f>SUMIFS('COGS Break up'!E:E,'COGS Break up'!A:A,'MIS Working 1'!$D:$D,'COGS Break up'!C:C,'MIS Working 1'!$AA$1)</f>
        <v>0</v>
      </c>
      <c r="AB465" s="270">
        <f>SUMIFS('COGS Break up'!E:E,'COGS Break up'!A:A,'MIS Working 1'!$D:$D,'COGS Break up'!C:C,$AB$1)</f>
        <v>0</v>
      </c>
      <c r="AC465" s="270">
        <f>SUMIFS('COGS Break up'!E:E,'COGS Break up'!A:A,'MIS Working 1'!$D:$D,'COGS Break up'!C:C,$AC$1)</f>
        <v>0</v>
      </c>
      <c r="AD465" s="270">
        <f>SUMIFS('COGS Break up'!$E:$E,'COGS Break up'!$A:$A,'MIS Working 1'!$D465,'COGS Break up'!$D:$D,'MIS Working 1'!$AD$1)</f>
        <v>0</v>
      </c>
      <c r="AE465" s="270">
        <f>SUMIFS('COGS Break up'!$E:$E,'COGS Break up'!$A:$A,'MIS Working 1'!$D465,'COGS Break up'!$D:$D,'MIS Working 1'!$AE$1)</f>
        <v>0</v>
      </c>
      <c r="AF465" s="271">
        <f>'MIS Working 1'!$AG465+'MIS Working 1'!$AH465+'MIS Working 1'!$AM465+'MIS Working 1'!$AL465</f>
        <v>0</v>
      </c>
      <c r="AG465" s="270">
        <f>'MIS Working 1'!$L465*'MIS Working 1'!$Y465</f>
        <v>0</v>
      </c>
      <c r="AH465" s="270">
        <f>'MIS Working 1'!$L465*'MIS Working 1'!$Z465</f>
        <v>0</v>
      </c>
      <c r="AI465" s="270">
        <f t="shared" si="21"/>
        <v>0</v>
      </c>
      <c r="AJ465" s="270">
        <f t="shared" si="22"/>
        <v>0</v>
      </c>
      <c r="AK465" s="270">
        <f t="shared" si="23"/>
        <v>0</v>
      </c>
      <c r="AL465" s="270">
        <f>'MIS Working 1'!$AD465*'MIS Working 1'!$L465</f>
        <v>0</v>
      </c>
      <c r="AM465" s="270">
        <f>'MIS Working 1'!$L465*'MIS Working 1'!$AE465+'MIS Working 1'!$AL465</f>
        <v>0</v>
      </c>
    </row>
    <row r="466" spans="1:39" x14ac:dyDescent="0.3">
      <c r="A466" s="272" t="s">
        <v>1374</v>
      </c>
      <c r="B466" s="273">
        <v>45962</v>
      </c>
      <c r="C466" s="274" t="s">
        <v>1885</v>
      </c>
      <c r="D466" s="274" t="s">
        <v>1613</v>
      </c>
      <c r="E466" s="274" t="s">
        <v>1614</v>
      </c>
      <c r="F466" s="274" t="s">
        <v>18</v>
      </c>
      <c r="G466" s="274" t="s">
        <v>48</v>
      </c>
      <c r="H466" s="274" t="s">
        <v>207</v>
      </c>
      <c r="I466" s="275">
        <v>20000</v>
      </c>
      <c r="J466" s="276">
        <v>89600</v>
      </c>
      <c r="K466" s="275">
        <v>20000</v>
      </c>
      <c r="L466" s="275">
        <v>20000</v>
      </c>
      <c r="M466" s="273">
        <v>45962</v>
      </c>
      <c r="N466" s="276">
        <v>89600</v>
      </c>
      <c r="O466" s="274" t="s">
        <v>21</v>
      </c>
      <c r="P466" s="274" t="s">
        <v>22</v>
      </c>
      <c r="Q466" s="274" t="s">
        <v>660</v>
      </c>
      <c r="R466" s="274" t="str">
        <f>VLOOKUP('MIS Working 1'!$G466,Master!$H$3:$I$8,2,0)</f>
        <v>Raw Material</v>
      </c>
      <c r="S466" s="274" t="str">
        <f>VLOOKUP('MIS Working 1'!$H466,Master!B:C,2,0)</f>
        <v>RM-Mech. Accessories</v>
      </c>
      <c r="T466" s="274" t="str">
        <f>VLOOKUP('MIS Working 1'!$S466,Master!E:F,2,0)</f>
        <v>Raw Material</v>
      </c>
      <c r="U466" s="277">
        <f>'MIS Working 1'!$N466-'MIS Working 1'!$AF466</f>
        <v>89600</v>
      </c>
      <c r="V466" s="278">
        <f>'MIS Working 1'!$U466/'MIS Working 1'!$N466</f>
        <v>1</v>
      </c>
      <c r="W466" s="274">
        <f>'MIS Working 1'!$N466/'MIS Working 1'!$L466</f>
        <v>4.4800000000000004</v>
      </c>
      <c r="X466" s="279">
        <f>SUM('MIS Working 1'!$Y466:$AE466)</f>
        <v>0</v>
      </c>
      <c r="Y466" s="279">
        <f>SUMIFS('COGS Break up'!$E:$E,'COGS Break up'!$A:$A,'MIS Working 1'!$D466,'COGS Break up'!$D:$D,'MIS Working 1'!$Y$1)</f>
        <v>0</v>
      </c>
      <c r="Z466" s="279">
        <f>SUMIFS('COGS Break up'!$E:$E,'COGS Break up'!$A:$A,'MIS Working 1'!$D466,'COGS Break up'!$D:$D,'MIS Working 1'!$Z$1)</f>
        <v>0</v>
      </c>
      <c r="AA466" s="279">
        <f>SUMIFS('COGS Break up'!E:E,'COGS Break up'!A:A,'MIS Working 1'!$D:$D,'COGS Break up'!C:C,'MIS Working 1'!$AA$1)</f>
        <v>0</v>
      </c>
      <c r="AB466" s="279">
        <f>SUMIFS('COGS Break up'!E:E,'COGS Break up'!A:A,'MIS Working 1'!$D:$D,'COGS Break up'!C:C,$AB$1)</f>
        <v>0</v>
      </c>
      <c r="AC466" s="279">
        <f>SUMIFS('COGS Break up'!E:E,'COGS Break up'!A:A,'MIS Working 1'!$D:$D,'COGS Break up'!C:C,$AC$1)</f>
        <v>0</v>
      </c>
      <c r="AD466" s="279">
        <f>SUMIFS('COGS Break up'!$E:$E,'COGS Break up'!$A:$A,'MIS Working 1'!$D466,'COGS Break up'!$D:$D,'MIS Working 1'!$AD$1)</f>
        <v>0</v>
      </c>
      <c r="AE466" s="279">
        <f>SUMIFS('COGS Break up'!$E:$E,'COGS Break up'!$A:$A,'MIS Working 1'!$D466,'COGS Break up'!$D:$D,'MIS Working 1'!$AE$1)</f>
        <v>0</v>
      </c>
      <c r="AF466" s="280">
        <f>'MIS Working 1'!$AG466+'MIS Working 1'!$AH466+'MIS Working 1'!$AM466+'MIS Working 1'!$AL466</f>
        <v>0</v>
      </c>
      <c r="AG466" s="279">
        <f>'MIS Working 1'!$L466*'MIS Working 1'!$Y466</f>
        <v>0</v>
      </c>
      <c r="AH466" s="279">
        <f>'MIS Working 1'!$L466*'MIS Working 1'!$Z466</f>
        <v>0</v>
      </c>
      <c r="AI466" s="279">
        <f t="shared" si="21"/>
        <v>0</v>
      </c>
      <c r="AJ466" s="279">
        <f t="shared" si="22"/>
        <v>0</v>
      </c>
      <c r="AK466" s="279">
        <f t="shared" si="23"/>
        <v>0</v>
      </c>
      <c r="AL466" s="279">
        <f>'MIS Working 1'!$AD466*'MIS Working 1'!$L466</f>
        <v>0</v>
      </c>
      <c r="AM466" s="279">
        <f>'MIS Working 1'!$L466*'MIS Working 1'!$AE466+'MIS Working 1'!$AL466</f>
        <v>0</v>
      </c>
    </row>
    <row r="467" spans="1:39" x14ac:dyDescent="0.3">
      <c r="A467" s="263" t="s">
        <v>1374</v>
      </c>
      <c r="B467" s="264">
        <v>45962</v>
      </c>
      <c r="C467" s="265" t="s">
        <v>1885</v>
      </c>
      <c r="D467" s="265" t="s">
        <v>1615</v>
      </c>
      <c r="E467" s="265" t="s">
        <v>1616</v>
      </c>
      <c r="F467" s="265" t="s">
        <v>18</v>
      </c>
      <c r="G467" s="265" t="s">
        <v>48</v>
      </c>
      <c r="H467" s="265" t="s">
        <v>207</v>
      </c>
      <c r="I467" s="266">
        <v>50000</v>
      </c>
      <c r="J467" s="267">
        <v>385540.35</v>
      </c>
      <c r="K467" s="266">
        <v>50000</v>
      </c>
      <c r="L467" s="266">
        <v>50000</v>
      </c>
      <c r="M467" s="264">
        <v>45962</v>
      </c>
      <c r="N467" s="267">
        <v>392000</v>
      </c>
      <c r="O467" s="265" t="s">
        <v>21</v>
      </c>
      <c r="P467" s="265" t="s">
        <v>22</v>
      </c>
      <c r="Q467" s="265" t="s">
        <v>660</v>
      </c>
      <c r="R467" s="265" t="str">
        <f>VLOOKUP('MIS Working 1'!$G467,Master!$H$3:$I$8,2,0)</f>
        <v>Raw Material</v>
      </c>
      <c r="S467" s="265" t="str">
        <f>VLOOKUP('MIS Working 1'!$H467,Master!B:C,2,0)</f>
        <v>RM-Mech. Accessories</v>
      </c>
      <c r="T467" s="265" t="str">
        <f>VLOOKUP('MIS Working 1'!$S467,Master!E:F,2,0)</f>
        <v>Raw Material</v>
      </c>
      <c r="U467" s="268">
        <f>'MIS Working 1'!$N467-'MIS Working 1'!$AF467</f>
        <v>392000</v>
      </c>
      <c r="V467" s="269">
        <f>'MIS Working 1'!$U467/'MIS Working 1'!$N467</f>
        <v>1</v>
      </c>
      <c r="W467" s="265">
        <f>'MIS Working 1'!$N467/'MIS Working 1'!$L467</f>
        <v>7.84</v>
      </c>
      <c r="X467" s="270">
        <f>SUM('MIS Working 1'!$Y467:$AE467)</f>
        <v>0</v>
      </c>
      <c r="Y467" s="270">
        <f>SUMIFS('COGS Break up'!$E:$E,'COGS Break up'!$A:$A,'MIS Working 1'!$D467,'COGS Break up'!$D:$D,'MIS Working 1'!$Y$1)</f>
        <v>0</v>
      </c>
      <c r="Z467" s="270">
        <f>SUMIFS('COGS Break up'!$E:$E,'COGS Break up'!$A:$A,'MIS Working 1'!$D467,'COGS Break up'!$D:$D,'MIS Working 1'!$Z$1)</f>
        <v>0</v>
      </c>
      <c r="AA467" s="270">
        <f>SUMIFS('COGS Break up'!E:E,'COGS Break up'!A:A,'MIS Working 1'!$D:$D,'COGS Break up'!C:C,'MIS Working 1'!$AA$1)</f>
        <v>0</v>
      </c>
      <c r="AB467" s="270">
        <f>SUMIFS('COGS Break up'!E:E,'COGS Break up'!A:A,'MIS Working 1'!$D:$D,'COGS Break up'!C:C,$AB$1)</f>
        <v>0</v>
      </c>
      <c r="AC467" s="270">
        <f>SUMIFS('COGS Break up'!E:E,'COGS Break up'!A:A,'MIS Working 1'!$D:$D,'COGS Break up'!C:C,$AC$1)</f>
        <v>0</v>
      </c>
      <c r="AD467" s="270">
        <f>SUMIFS('COGS Break up'!$E:$E,'COGS Break up'!$A:$A,'MIS Working 1'!$D467,'COGS Break up'!$D:$D,'MIS Working 1'!$AD$1)</f>
        <v>0</v>
      </c>
      <c r="AE467" s="270">
        <f>SUMIFS('COGS Break up'!$E:$E,'COGS Break up'!$A:$A,'MIS Working 1'!$D467,'COGS Break up'!$D:$D,'MIS Working 1'!$AE$1)</f>
        <v>0</v>
      </c>
      <c r="AF467" s="271">
        <f>'MIS Working 1'!$AG467+'MIS Working 1'!$AH467+'MIS Working 1'!$AM467+'MIS Working 1'!$AL467</f>
        <v>0</v>
      </c>
      <c r="AG467" s="270">
        <f>'MIS Working 1'!$L467*'MIS Working 1'!$Y467</f>
        <v>0</v>
      </c>
      <c r="AH467" s="270">
        <f>'MIS Working 1'!$L467*'MIS Working 1'!$Z467</f>
        <v>0</v>
      </c>
      <c r="AI467" s="270">
        <f t="shared" si="21"/>
        <v>0</v>
      </c>
      <c r="AJ467" s="270">
        <f t="shared" si="22"/>
        <v>0</v>
      </c>
      <c r="AK467" s="270">
        <f t="shared" si="23"/>
        <v>0</v>
      </c>
      <c r="AL467" s="270">
        <f>'MIS Working 1'!$AD467*'MIS Working 1'!$L467</f>
        <v>0</v>
      </c>
      <c r="AM467" s="270">
        <f>'MIS Working 1'!$L467*'MIS Working 1'!$AE467+'MIS Working 1'!$AL467</f>
        <v>0</v>
      </c>
    </row>
    <row r="468" spans="1:39" x14ac:dyDescent="0.3">
      <c r="A468" s="272" t="s">
        <v>1374</v>
      </c>
      <c r="B468" s="273">
        <v>45962</v>
      </c>
      <c r="C468" s="274" t="s">
        <v>1885</v>
      </c>
      <c r="D468" s="274" t="s">
        <v>1617</v>
      </c>
      <c r="E468" s="274" t="s">
        <v>1618</v>
      </c>
      <c r="F468" s="274" t="s">
        <v>18</v>
      </c>
      <c r="G468" s="274" t="s">
        <v>48</v>
      </c>
      <c r="H468" s="274" t="s">
        <v>207</v>
      </c>
      <c r="I468" s="275">
        <v>30000</v>
      </c>
      <c r="J468" s="276">
        <v>600</v>
      </c>
      <c r="K468" s="275">
        <v>30000</v>
      </c>
      <c r="L468" s="275">
        <v>30000</v>
      </c>
      <c r="M468" s="273">
        <v>45962</v>
      </c>
      <c r="N468" s="276">
        <v>600</v>
      </c>
      <c r="O468" s="274" t="s">
        <v>21</v>
      </c>
      <c r="P468" s="274" t="s">
        <v>22</v>
      </c>
      <c r="Q468" s="274" t="s">
        <v>660</v>
      </c>
      <c r="R468" s="274" t="str">
        <f>VLOOKUP('MIS Working 1'!$G468,Master!$H$3:$I$8,2,0)</f>
        <v>Raw Material</v>
      </c>
      <c r="S468" s="274" t="str">
        <f>VLOOKUP('MIS Working 1'!$H468,Master!B:C,2,0)</f>
        <v>RM-Mech. Accessories</v>
      </c>
      <c r="T468" s="274" t="str">
        <f>VLOOKUP('MIS Working 1'!$S468,Master!E:F,2,0)</f>
        <v>Raw Material</v>
      </c>
      <c r="U468" s="277">
        <f>'MIS Working 1'!$N468-'MIS Working 1'!$AF468</f>
        <v>600</v>
      </c>
      <c r="V468" s="278">
        <f>'MIS Working 1'!$U468/'MIS Working 1'!$N468</f>
        <v>1</v>
      </c>
      <c r="W468" s="274">
        <f>'MIS Working 1'!$N468/'MIS Working 1'!$L468</f>
        <v>0.02</v>
      </c>
      <c r="X468" s="279">
        <f>SUM('MIS Working 1'!$Y468:$AE468)</f>
        <v>0</v>
      </c>
      <c r="Y468" s="279">
        <f>SUMIFS('COGS Break up'!$E:$E,'COGS Break up'!$A:$A,'MIS Working 1'!$D468,'COGS Break up'!$D:$D,'MIS Working 1'!$Y$1)</f>
        <v>0</v>
      </c>
      <c r="Z468" s="279">
        <f>SUMIFS('COGS Break up'!$E:$E,'COGS Break up'!$A:$A,'MIS Working 1'!$D468,'COGS Break up'!$D:$D,'MIS Working 1'!$Z$1)</f>
        <v>0</v>
      </c>
      <c r="AA468" s="279">
        <f>SUMIFS('COGS Break up'!E:E,'COGS Break up'!A:A,'MIS Working 1'!$D:$D,'COGS Break up'!C:C,'MIS Working 1'!$AA$1)</f>
        <v>0</v>
      </c>
      <c r="AB468" s="279">
        <f>SUMIFS('COGS Break up'!E:E,'COGS Break up'!A:A,'MIS Working 1'!$D:$D,'COGS Break up'!C:C,$AB$1)</f>
        <v>0</v>
      </c>
      <c r="AC468" s="279">
        <f>SUMIFS('COGS Break up'!E:E,'COGS Break up'!A:A,'MIS Working 1'!$D:$D,'COGS Break up'!C:C,$AC$1)</f>
        <v>0</v>
      </c>
      <c r="AD468" s="279">
        <f>SUMIFS('COGS Break up'!$E:$E,'COGS Break up'!$A:$A,'MIS Working 1'!$D468,'COGS Break up'!$D:$D,'MIS Working 1'!$AD$1)</f>
        <v>0</v>
      </c>
      <c r="AE468" s="279">
        <f>SUMIFS('COGS Break up'!$E:$E,'COGS Break up'!$A:$A,'MIS Working 1'!$D468,'COGS Break up'!$D:$D,'MIS Working 1'!$AE$1)</f>
        <v>0</v>
      </c>
      <c r="AF468" s="280">
        <f>'MIS Working 1'!$AG468+'MIS Working 1'!$AH468+'MIS Working 1'!$AM468+'MIS Working 1'!$AL468</f>
        <v>0</v>
      </c>
      <c r="AG468" s="279">
        <f>'MIS Working 1'!$L468*'MIS Working 1'!$Y468</f>
        <v>0</v>
      </c>
      <c r="AH468" s="279">
        <f>'MIS Working 1'!$L468*'MIS Working 1'!$Z468</f>
        <v>0</v>
      </c>
      <c r="AI468" s="279">
        <f t="shared" si="21"/>
        <v>0</v>
      </c>
      <c r="AJ468" s="279">
        <f t="shared" si="22"/>
        <v>0</v>
      </c>
      <c r="AK468" s="279">
        <f t="shared" si="23"/>
        <v>0</v>
      </c>
      <c r="AL468" s="279">
        <f>'MIS Working 1'!$AD468*'MIS Working 1'!$L468</f>
        <v>0</v>
      </c>
      <c r="AM468" s="279">
        <f>'MIS Working 1'!$L468*'MIS Working 1'!$AE468+'MIS Working 1'!$AL468</f>
        <v>0</v>
      </c>
    </row>
    <row r="469" spans="1:39" x14ac:dyDescent="0.3">
      <c r="A469" s="263" t="s">
        <v>1374</v>
      </c>
      <c r="B469" s="264">
        <v>45962</v>
      </c>
      <c r="C469" s="265" t="s">
        <v>1885</v>
      </c>
      <c r="D469" s="265" t="s">
        <v>1619</v>
      </c>
      <c r="E469" s="265" t="s">
        <v>1620</v>
      </c>
      <c r="F469" s="265" t="s">
        <v>18</v>
      </c>
      <c r="G469" s="265" t="s">
        <v>48</v>
      </c>
      <c r="H469" s="265" t="s">
        <v>207</v>
      </c>
      <c r="I469" s="266">
        <v>40000</v>
      </c>
      <c r="J469" s="267">
        <v>3802.71</v>
      </c>
      <c r="K469" s="266">
        <v>40000</v>
      </c>
      <c r="L469" s="266">
        <v>40000</v>
      </c>
      <c r="M469" s="264">
        <v>45962</v>
      </c>
      <c r="N469" s="267">
        <v>4000</v>
      </c>
      <c r="O469" s="265" t="s">
        <v>21</v>
      </c>
      <c r="P469" s="265" t="s">
        <v>22</v>
      </c>
      <c r="Q469" s="265" t="s">
        <v>660</v>
      </c>
      <c r="R469" s="265" t="str">
        <f>VLOOKUP('MIS Working 1'!$G469,Master!$H$3:$I$8,2,0)</f>
        <v>Raw Material</v>
      </c>
      <c r="S469" s="265" t="str">
        <f>VLOOKUP('MIS Working 1'!$H469,Master!B:C,2,0)</f>
        <v>RM-Mech. Accessories</v>
      </c>
      <c r="T469" s="265" t="str">
        <f>VLOOKUP('MIS Working 1'!$S469,Master!E:F,2,0)</f>
        <v>Raw Material</v>
      </c>
      <c r="U469" s="268">
        <f>'MIS Working 1'!$N469-'MIS Working 1'!$AF469</f>
        <v>4000</v>
      </c>
      <c r="V469" s="269">
        <f>'MIS Working 1'!$U469/'MIS Working 1'!$N469</f>
        <v>1</v>
      </c>
      <c r="W469" s="265">
        <f>'MIS Working 1'!$N469/'MIS Working 1'!$L469</f>
        <v>0.1</v>
      </c>
      <c r="X469" s="270">
        <f>SUM('MIS Working 1'!$Y469:$AE469)</f>
        <v>0</v>
      </c>
      <c r="Y469" s="270">
        <f>SUMIFS('COGS Break up'!$E:$E,'COGS Break up'!$A:$A,'MIS Working 1'!$D469,'COGS Break up'!$D:$D,'MIS Working 1'!$Y$1)</f>
        <v>0</v>
      </c>
      <c r="Z469" s="270">
        <f>SUMIFS('COGS Break up'!$E:$E,'COGS Break up'!$A:$A,'MIS Working 1'!$D469,'COGS Break up'!$D:$D,'MIS Working 1'!$Z$1)</f>
        <v>0</v>
      </c>
      <c r="AA469" s="270">
        <f>SUMIFS('COGS Break up'!E:E,'COGS Break up'!A:A,'MIS Working 1'!$D:$D,'COGS Break up'!C:C,'MIS Working 1'!$AA$1)</f>
        <v>0</v>
      </c>
      <c r="AB469" s="270">
        <f>SUMIFS('COGS Break up'!E:E,'COGS Break up'!A:A,'MIS Working 1'!$D:$D,'COGS Break up'!C:C,$AB$1)</f>
        <v>0</v>
      </c>
      <c r="AC469" s="270">
        <f>SUMIFS('COGS Break up'!E:E,'COGS Break up'!A:A,'MIS Working 1'!$D:$D,'COGS Break up'!C:C,$AC$1)</f>
        <v>0</v>
      </c>
      <c r="AD469" s="270">
        <f>SUMIFS('COGS Break up'!$E:$E,'COGS Break up'!$A:$A,'MIS Working 1'!$D469,'COGS Break up'!$D:$D,'MIS Working 1'!$AD$1)</f>
        <v>0</v>
      </c>
      <c r="AE469" s="270">
        <f>SUMIFS('COGS Break up'!$E:$E,'COGS Break up'!$A:$A,'MIS Working 1'!$D469,'COGS Break up'!$D:$D,'MIS Working 1'!$AE$1)</f>
        <v>0</v>
      </c>
      <c r="AF469" s="271">
        <f>'MIS Working 1'!$AG469+'MIS Working 1'!$AH469+'MIS Working 1'!$AM469+'MIS Working 1'!$AL469</f>
        <v>0</v>
      </c>
      <c r="AG469" s="270">
        <f>'MIS Working 1'!$L469*'MIS Working 1'!$Y469</f>
        <v>0</v>
      </c>
      <c r="AH469" s="270">
        <f>'MIS Working 1'!$L469*'MIS Working 1'!$Z469</f>
        <v>0</v>
      </c>
      <c r="AI469" s="270">
        <f t="shared" si="21"/>
        <v>0</v>
      </c>
      <c r="AJ469" s="270">
        <f t="shared" si="22"/>
        <v>0</v>
      </c>
      <c r="AK469" s="270">
        <f t="shared" si="23"/>
        <v>0</v>
      </c>
      <c r="AL469" s="270">
        <f>'MIS Working 1'!$AD469*'MIS Working 1'!$L469</f>
        <v>0</v>
      </c>
      <c r="AM469" s="270">
        <f>'MIS Working 1'!$L469*'MIS Working 1'!$AE469+'MIS Working 1'!$AL469</f>
        <v>0</v>
      </c>
    </row>
    <row r="470" spans="1:39" x14ac:dyDescent="0.3">
      <c r="A470" s="272" t="s">
        <v>1374</v>
      </c>
      <c r="B470" s="273">
        <v>45962</v>
      </c>
      <c r="C470" s="274" t="s">
        <v>1885</v>
      </c>
      <c r="D470" s="274" t="s">
        <v>1621</v>
      </c>
      <c r="E470" s="274" t="s">
        <v>1622</v>
      </c>
      <c r="F470" s="274" t="s">
        <v>18</v>
      </c>
      <c r="G470" s="274" t="s">
        <v>48</v>
      </c>
      <c r="H470" s="274" t="s">
        <v>207</v>
      </c>
      <c r="I470" s="275">
        <v>50000</v>
      </c>
      <c r="J470" s="276">
        <v>250000</v>
      </c>
      <c r="K470" s="275">
        <v>50000</v>
      </c>
      <c r="L470" s="275">
        <v>50000</v>
      </c>
      <c r="M470" s="273">
        <v>45962</v>
      </c>
      <c r="N470" s="276">
        <v>250000</v>
      </c>
      <c r="O470" s="274" t="s">
        <v>21</v>
      </c>
      <c r="P470" s="274" t="s">
        <v>22</v>
      </c>
      <c r="Q470" s="274" t="s">
        <v>660</v>
      </c>
      <c r="R470" s="274" t="str">
        <f>VLOOKUP('MIS Working 1'!$G470,Master!$H$3:$I$8,2,0)</f>
        <v>Raw Material</v>
      </c>
      <c r="S470" s="274" t="str">
        <f>VLOOKUP('MIS Working 1'!$H470,Master!B:C,2,0)</f>
        <v>RM-Mech. Accessories</v>
      </c>
      <c r="T470" s="274" t="str">
        <f>VLOOKUP('MIS Working 1'!$S470,Master!E:F,2,0)</f>
        <v>Raw Material</v>
      </c>
      <c r="U470" s="277">
        <f>'MIS Working 1'!$N470-'MIS Working 1'!$AF470</f>
        <v>250000</v>
      </c>
      <c r="V470" s="278">
        <f>'MIS Working 1'!$U470/'MIS Working 1'!$N470</f>
        <v>1</v>
      </c>
      <c r="W470" s="274">
        <f>'MIS Working 1'!$N470/'MIS Working 1'!$L470</f>
        <v>5</v>
      </c>
      <c r="X470" s="279">
        <f>SUM('MIS Working 1'!$Y470:$AE470)</f>
        <v>0</v>
      </c>
      <c r="Y470" s="279">
        <f>SUMIFS('COGS Break up'!$E:$E,'COGS Break up'!$A:$A,'MIS Working 1'!$D470,'COGS Break up'!$D:$D,'MIS Working 1'!$Y$1)</f>
        <v>0</v>
      </c>
      <c r="Z470" s="279">
        <f>SUMIFS('COGS Break up'!$E:$E,'COGS Break up'!$A:$A,'MIS Working 1'!$D470,'COGS Break up'!$D:$D,'MIS Working 1'!$Z$1)</f>
        <v>0</v>
      </c>
      <c r="AA470" s="279">
        <f>SUMIFS('COGS Break up'!E:E,'COGS Break up'!A:A,'MIS Working 1'!$D:$D,'COGS Break up'!C:C,'MIS Working 1'!$AA$1)</f>
        <v>0</v>
      </c>
      <c r="AB470" s="279">
        <f>SUMIFS('COGS Break up'!E:E,'COGS Break up'!A:A,'MIS Working 1'!$D:$D,'COGS Break up'!C:C,$AB$1)</f>
        <v>0</v>
      </c>
      <c r="AC470" s="279">
        <f>SUMIFS('COGS Break up'!E:E,'COGS Break up'!A:A,'MIS Working 1'!$D:$D,'COGS Break up'!C:C,$AC$1)</f>
        <v>0</v>
      </c>
      <c r="AD470" s="279">
        <f>SUMIFS('COGS Break up'!$E:$E,'COGS Break up'!$A:$A,'MIS Working 1'!$D470,'COGS Break up'!$D:$D,'MIS Working 1'!$AD$1)</f>
        <v>0</v>
      </c>
      <c r="AE470" s="279">
        <f>SUMIFS('COGS Break up'!$E:$E,'COGS Break up'!$A:$A,'MIS Working 1'!$D470,'COGS Break up'!$D:$D,'MIS Working 1'!$AE$1)</f>
        <v>0</v>
      </c>
      <c r="AF470" s="280">
        <f>'MIS Working 1'!$AG470+'MIS Working 1'!$AH470+'MIS Working 1'!$AM470+'MIS Working 1'!$AL470</f>
        <v>0</v>
      </c>
      <c r="AG470" s="279">
        <f>'MIS Working 1'!$L470*'MIS Working 1'!$Y470</f>
        <v>0</v>
      </c>
      <c r="AH470" s="279">
        <f>'MIS Working 1'!$L470*'MIS Working 1'!$Z470</f>
        <v>0</v>
      </c>
      <c r="AI470" s="279">
        <f t="shared" si="21"/>
        <v>0</v>
      </c>
      <c r="AJ470" s="279">
        <f t="shared" si="22"/>
        <v>0</v>
      </c>
      <c r="AK470" s="279">
        <f t="shared" si="23"/>
        <v>0</v>
      </c>
      <c r="AL470" s="279">
        <f>'MIS Working 1'!$AD470*'MIS Working 1'!$L470</f>
        <v>0</v>
      </c>
      <c r="AM470" s="279">
        <f>'MIS Working 1'!$L470*'MIS Working 1'!$AE470+'MIS Working 1'!$AL470</f>
        <v>0</v>
      </c>
    </row>
    <row r="471" spans="1:39" x14ac:dyDescent="0.3">
      <c r="A471" s="263" t="s">
        <v>1374</v>
      </c>
      <c r="B471" s="264">
        <v>45962</v>
      </c>
      <c r="C471" s="265" t="s">
        <v>1885</v>
      </c>
      <c r="D471" s="265" t="s">
        <v>1213</v>
      </c>
      <c r="E471" s="265" t="s">
        <v>1214</v>
      </c>
      <c r="F471" s="265" t="s">
        <v>18</v>
      </c>
      <c r="G471" s="265" t="s">
        <v>48</v>
      </c>
      <c r="H471" s="265" t="s">
        <v>207</v>
      </c>
      <c r="I471" s="266">
        <v>50000</v>
      </c>
      <c r="J471" s="267">
        <v>24218.75</v>
      </c>
      <c r="K471" s="266">
        <v>50000</v>
      </c>
      <c r="L471" s="266">
        <v>50000</v>
      </c>
      <c r="M471" s="264">
        <v>45962</v>
      </c>
      <c r="N471" s="267">
        <v>21500</v>
      </c>
      <c r="O471" s="265" t="s">
        <v>21</v>
      </c>
      <c r="P471" s="265" t="s">
        <v>22</v>
      </c>
      <c r="Q471" s="265" t="s">
        <v>660</v>
      </c>
      <c r="R471" s="265" t="str">
        <f>VLOOKUP('MIS Working 1'!$G471,Master!$H$3:$I$8,2,0)</f>
        <v>Raw Material</v>
      </c>
      <c r="S471" s="265" t="str">
        <f>VLOOKUP('MIS Working 1'!$H471,Master!B:C,2,0)</f>
        <v>RM-Mech. Accessories</v>
      </c>
      <c r="T471" s="265" t="str">
        <f>VLOOKUP('MIS Working 1'!$S471,Master!E:F,2,0)</f>
        <v>Raw Material</v>
      </c>
      <c r="U471" s="268">
        <f>'MIS Working 1'!$N471-'MIS Working 1'!$AF471</f>
        <v>21500</v>
      </c>
      <c r="V471" s="269">
        <f>'MIS Working 1'!$U471/'MIS Working 1'!$N471</f>
        <v>1</v>
      </c>
      <c r="W471" s="265">
        <f>'MIS Working 1'!$N471/'MIS Working 1'!$L471</f>
        <v>0.43</v>
      </c>
      <c r="X471" s="270">
        <f>SUM('MIS Working 1'!$Y471:$AE471)</f>
        <v>0</v>
      </c>
      <c r="Y471" s="270">
        <f>SUMIFS('COGS Break up'!$E:$E,'COGS Break up'!$A:$A,'MIS Working 1'!$D471,'COGS Break up'!$D:$D,'MIS Working 1'!$Y$1)</f>
        <v>0</v>
      </c>
      <c r="Z471" s="270">
        <f>SUMIFS('COGS Break up'!$E:$E,'COGS Break up'!$A:$A,'MIS Working 1'!$D471,'COGS Break up'!$D:$D,'MIS Working 1'!$Z$1)</f>
        <v>0</v>
      </c>
      <c r="AA471" s="270">
        <f>SUMIFS('COGS Break up'!E:E,'COGS Break up'!A:A,'MIS Working 1'!$D:$D,'COGS Break up'!C:C,'MIS Working 1'!$AA$1)</f>
        <v>0</v>
      </c>
      <c r="AB471" s="270">
        <f>SUMIFS('COGS Break up'!E:E,'COGS Break up'!A:A,'MIS Working 1'!$D:$D,'COGS Break up'!C:C,$AB$1)</f>
        <v>0</v>
      </c>
      <c r="AC471" s="270">
        <f>SUMIFS('COGS Break up'!E:E,'COGS Break up'!A:A,'MIS Working 1'!$D:$D,'COGS Break up'!C:C,$AC$1)</f>
        <v>0</v>
      </c>
      <c r="AD471" s="270">
        <f>SUMIFS('COGS Break up'!$E:$E,'COGS Break up'!$A:$A,'MIS Working 1'!$D471,'COGS Break up'!$D:$D,'MIS Working 1'!$AD$1)</f>
        <v>0</v>
      </c>
      <c r="AE471" s="270">
        <f>SUMIFS('COGS Break up'!$E:$E,'COGS Break up'!$A:$A,'MIS Working 1'!$D471,'COGS Break up'!$D:$D,'MIS Working 1'!$AE$1)</f>
        <v>0</v>
      </c>
      <c r="AF471" s="271">
        <f>'MIS Working 1'!$AG471+'MIS Working 1'!$AH471+'MIS Working 1'!$AM471+'MIS Working 1'!$AL471</f>
        <v>0</v>
      </c>
      <c r="AG471" s="270">
        <f>'MIS Working 1'!$L471*'MIS Working 1'!$Y471</f>
        <v>0</v>
      </c>
      <c r="AH471" s="270">
        <f>'MIS Working 1'!$L471*'MIS Working 1'!$Z471</f>
        <v>0</v>
      </c>
      <c r="AI471" s="270">
        <f t="shared" si="21"/>
        <v>0</v>
      </c>
      <c r="AJ471" s="270">
        <f t="shared" si="22"/>
        <v>0</v>
      </c>
      <c r="AK471" s="270">
        <f t="shared" si="23"/>
        <v>0</v>
      </c>
      <c r="AL471" s="270">
        <f>'MIS Working 1'!$AD471*'MIS Working 1'!$L471</f>
        <v>0</v>
      </c>
      <c r="AM471" s="270">
        <f>'MIS Working 1'!$L471*'MIS Working 1'!$AE471+'MIS Working 1'!$AL471</f>
        <v>0</v>
      </c>
    </row>
    <row r="472" spans="1:39" x14ac:dyDescent="0.3">
      <c r="A472" s="284" t="s">
        <v>1374</v>
      </c>
      <c r="B472" s="285">
        <v>45962</v>
      </c>
      <c r="C472" s="68" t="s">
        <v>1886</v>
      </c>
      <c r="D472" s="68" t="s">
        <v>1528</v>
      </c>
      <c r="E472" s="68" t="s">
        <v>1529</v>
      </c>
      <c r="F472" s="68" t="s">
        <v>18</v>
      </c>
      <c r="G472" s="68" t="s">
        <v>48</v>
      </c>
      <c r="H472" s="68" t="s">
        <v>202</v>
      </c>
      <c r="I472" s="70">
        <v>30000</v>
      </c>
      <c r="J472" s="66">
        <v>1919351.16</v>
      </c>
      <c r="K472" s="70">
        <v>30000</v>
      </c>
      <c r="L472" s="70">
        <v>30000</v>
      </c>
      <c r="M472" s="285">
        <v>45962</v>
      </c>
      <c r="N472" s="66">
        <v>1960500</v>
      </c>
      <c r="O472" s="68" t="s">
        <v>21</v>
      </c>
      <c r="P472" s="68" t="s">
        <v>22</v>
      </c>
      <c r="Q472" s="68" t="s">
        <v>660</v>
      </c>
      <c r="R472" s="68" t="str">
        <f>VLOOKUP('MIS Working 1'!$G472,Master!$H$3:$I$8,2,0)</f>
        <v>Raw Material</v>
      </c>
      <c r="S472" s="68" t="str">
        <f>VLOOKUP('MIS Working 1'!$H472,Master!B:C,2,0)</f>
        <v>RM-Eletro-IC</v>
      </c>
      <c r="T472" s="68" t="str">
        <f>VLOOKUP('MIS Working 1'!$S472,Master!E:F,2,0)</f>
        <v>Raw Material</v>
      </c>
      <c r="U472" s="286">
        <f>'MIS Working 1'!$N472-'MIS Working 1'!$AF472</f>
        <v>1960500</v>
      </c>
      <c r="V472" s="287">
        <f>'MIS Working 1'!$U472/'MIS Working 1'!$N472</f>
        <v>1</v>
      </c>
      <c r="W472" s="68">
        <f>'MIS Working 1'!$N472/'MIS Working 1'!$L472</f>
        <v>65.349999999999994</v>
      </c>
      <c r="X472" s="288">
        <f>SUM('MIS Working 1'!$Y472:$AE472)</f>
        <v>0</v>
      </c>
      <c r="Y472" s="288">
        <f>SUMIFS('COGS Break up'!$E:$E,'COGS Break up'!$A:$A,'MIS Working 1'!$D472,'COGS Break up'!$D:$D,'MIS Working 1'!$Y$1)</f>
        <v>0</v>
      </c>
      <c r="Z472" s="288">
        <f>SUMIFS('COGS Break up'!$E:$E,'COGS Break up'!$A:$A,'MIS Working 1'!$D472,'COGS Break up'!$D:$D,'MIS Working 1'!$Z$1)</f>
        <v>0</v>
      </c>
      <c r="AA472" s="288">
        <f>SUMIFS('COGS Break up'!E:E,'COGS Break up'!A:A,'MIS Working 1'!$D:$D,'COGS Break up'!C:C,'MIS Working 1'!$AA$1)</f>
        <v>0</v>
      </c>
      <c r="AB472" s="288">
        <f>SUMIFS('COGS Break up'!E:E,'COGS Break up'!A:A,'MIS Working 1'!$D:$D,'COGS Break up'!C:C,$AB$1)</f>
        <v>0</v>
      </c>
      <c r="AC472" s="288">
        <f>SUMIFS('COGS Break up'!E:E,'COGS Break up'!A:A,'MIS Working 1'!$D:$D,'COGS Break up'!C:C,$AC$1)</f>
        <v>0</v>
      </c>
      <c r="AD472" s="288">
        <f>SUMIFS('COGS Break up'!$E:$E,'COGS Break up'!$A:$A,'MIS Working 1'!$D472,'COGS Break up'!$D:$D,'MIS Working 1'!$AD$1)</f>
        <v>0</v>
      </c>
      <c r="AE472" s="288">
        <f>SUMIFS('COGS Break up'!$E:$E,'COGS Break up'!$A:$A,'MIS Working 1'!$D472,'COGS Break up'!$D:$D,'MIS Working 1'!$AE$1)</f>
        <v>0</v>
      </c>
      <c r="AF472" s="289">
        <f>'MIS Working 1'!$AG472+'MIS Working 1'!$AH472+'MIS Working 1'!$AM472+'MIS Working 1'!$AL472</f>
        <v>0</v>
      </c>
      <c r="AG472" s="288">
        <f>'MIS Working 1'!$L472*'MIS Working 1'!$Y472</f>
        <v>0</v>
      </c>
      <c r="AH472" s="288">
        <f>'MIS Working 1'!$L472*'MIS Working 1'!$Z472</f>
        <v>0</v>
      </c>
      <c r="AI472" s="288">
        <f t="shared" si="21"/>
        <v>0</v>
      </c>
      <c r="AJ472" s="288">
        <f t="shared" si="22"/>
        <v>0</v>
      </c>
      <c r="AK472" s="288">
        <f t="shared" si="23"/>
        <v>0</v>
      </c>
      <c r="AL472" s="288">
        <f>'MIS Working 1'!$AD472*'MIS Working 1'!$L472</f>
        <v>0</v>
      </c>
      <c r="AM472" s="288">
        <f>'MIS Working 1'!$L472*'MIS Working 1'!$AE472+'MIS Working 1'!$AL472</f>
        <v>0</v>
      </c>
    </row>
  </sheetData>
  <autoFilter ref="A1:AM472" xr:uid="{0E0A3EB6-F3AB-4073-9422-46BDF3C5B419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EC3A-D2A7-481E-A66C-CB60EC50D8FB}">
  <dimension ref="A2:E1181"/>
  <sheetViews>
    <sheetView workbookViewId="0">
      <selection activeCell="A3" sqref="A3"/>
    </sheetView>
  </sheetViews>
  <sheetFormatPr defaultRowHeight="14.4" x14ac:dyDescent="0.3"/>
  <cols>
    <col min="1" max="1" width="10" bestFit="1" customWidth="1"/>
    <col min="2" max="2" width="47.5546875" bestFit="1" customWidth="1"/>
    <col min="3" max="3" width="18.44140625" bestFit="1" customWidth="1"/>
    <col min="4" max="4" width="22.21875" bestFit="1" customWidth="1"/>
    <col min="5" max="5" width="19.5546875" bestFit="1" customWidth="1"/>
    <col min="6" max="11" width="6.21875" customWidth="1"/>
  </cols>
  <sheetData>
    <row r="2" spans="1:5" x14ac:dyDescent="0.3">
      <c r="A2" s="172" t="s">
        <v>2</v>
      </c>
      <c r="B2" s="172" t="s">
        <v>349</v>
      </c>
      <c r="C2" s="172" t="s">
        <v>1532</v>
      </c>
      <c r="D2" s="172" t="s">
        <v>1577</v>
      </c>
      <c r="E2" s="173" t="s">
        <v>690</v>
      </c>
    </row>
    <row r="3" spans="1:5" x14ac:dyDescent="0.3">
      <c r="A3" s="174" t="s">
        <v>595</v>
      </c>
      <c r="B3" s="174" t="s">
        <v>596</v>
      </c>
      <c r="C3" s="1" t="s">
        <v>453</v>
      </c>
      <c r="D3" s="1" t="s">
        <v>453</v>
      </c>
      <c r="E3" s="10">
        <v>121.67999999999999</v>
      </c>
    </row>
    <row r="4" spans="1:5" s="124" customFormat="1" x14ac:dyDescent="0.3">
      <c r="A4" s="174" t="s">
        <v>595</v>
      </c>
      <c r="B4" s="174" t="s">
        <v>596</v>
      </c>
      <c r="C4" s="1" t="s">
        <v>350</v>
      </c>
      <c r="D4" s="1" t="s">
        <v>348</v>
      </c>
      <c r="E4" s="10">
        <v>1.5</v>
      </c>
    </row>
    <row r="5" spans="1:5" x14ac:dyDescent="0.3">
      <c r="A5" s="174" t="s">
        <v>595</v>
      </c>
      <c r="B5" s="174" t="s">
        <v>596</v>
      </c>
      <c r="C5" s="1" t="s">
        <v>351</v>
      </c>
      <c r="D5" s="1" t="s">
        <v>347</v>
      </c>
      <c r="E5" s="10">
        <v>1.5</v>
      </c>
    </row>
    <row r="6" spans="1:5" x14ac:dyDescent="0.3">
      <c r="A6" s="174" t="s">
        <v>595</v>
      </c>
      <c r="B6" s="174" t="s">
        <v>596</v>
      </c>
      <c r="C6" s="1" t="s">
        <v>352</v>
      </c>
      <c r="D6" s="1" t="s">
        <v>348</v>
      </c>
      <c r="E6" s="10">
        <v>0.4</v>
      </c>
    </row>
    <row r="7" spans="1:5" x14ac:dyDescent="0.3">
      <c r="A7" s="175" t="s">
        <v>595</v>
      </c>
      <c r="B7" s="174" t="s">
        <v>596</v>
      </c>
      <c r="C7" s="1" t="s">
        <v>353</v>
      </c>
      <c r="D7" s="1" t="s">
        <v>348</v>
      </c>
      <c r="E7" s="10">
        <v>0.05</v>
      </c>
    </row>
    <row r="8" spans="1:5" x14ac:dyDescent="0.3">
      <c r="A8" s="174" t="s">
        <v>597</v>
      </c>
      <c r="B8" s="174" t="s">
        <v>598</v>
      </c>
      <c r="C8" s="1" t="s">
        <v>453</v>
      </c>
      <c r="D8" s="1" t="s">
        <v>453</v>
      </c>
      <c r="E8" s="10">
        <v>105.02</v>
      </c>
    </row>
    <row r="9" spans="1:5" x14ac:dyDescent="0.3">
      <c r="A9" s="174" t="s">
        <v>597</v>
      </c>
      <c r="B9" s="174" t="s">
        <v>598</v>
      </c>
      <c r="C9" s="1" t="s">
        <v>350</v>
      </c>
      <c r="D9" s="1" t="s">
        <v>348</v>
      </c>
      <c r="E9" s="10">
        <v>1.5</v>
      </c>
    </row>
    <row r="10" spans="1:5" x14ac:dyDescent="0.3">
      <c r="A10" s="174" t="s">
        <v>597</v>
      </c>
      <c r="B10" s="174" t="s">
        <v>598</v>
      </c>
      <c r="C10" s="1" t="s">
        <v>351</v>
      </c>
      <c r="D10" s="1" t="s">
        <v>347</v>
      </c>
      <c r="E10" s="10">
        <v>1.5</v>
      </c>
    </row>
    <row r="11" spans="1:5" x14ac:dyDescent="0.3">
      <c r="A11" s="174" t="s">
        <v>597</v>
      </c>
      <c r="B11" s="174" t="s">
        <v>598</v>
      </c>
      <c r="C11" s="1" t="s">
        <v>352</v>
      </c>
      <c r="D11" s="1" t="s">
        <v>348</v>
      </c>
      <c r="E11" s="10">
        <v>0.4</v>
      </c>
    </row>
    <row r="12" spans="1:5" x14ac:dyDescent="0.3">
      <c r="A12" s="175" t="s">
        <v>597</v>
      </c>
      <c r="B12" s="174" t="s">
        <v>598</v>
      </c>
      <c r="C12" s="1" t="s">
        <v>353</v>
      </c>
      <c r="D12" s="1" t="s">
        <v>348</v>
      </c>
      <c r="E12" s="10">
        <v>0.05</v>
      </c>
    </row>
    <row r="13" spans="1:5" x14ac:dyDescent="0.3">
      <c r="A13" s="174" t="s">
        <v>599</v>
      </c>
      <c r="B13" s="174" t="s">
        <v>600</v>
      </c>
      <c r="C13" s="1" t="s">
        <v>453</v>
      </c>
      <c r="D13" s="1" t="s">
        <v>453</v>
      </c>
      <c r="E13" s="10">
        <v>173.62</v>
      </c>
    </row>
    <row r="14" spans="1:5" x14ac:dyDescent="0.3">
      <c r="A14" s="174" t="s">
        <v>599</v>
      </c>
      <c r="B14" s="174" t="s">
        <v>600</v>
      </c>
      <c r="C14" s="1" t="s">
        <v>350</v>
      </c>
      <c r="D14" s="1" t="s">
        <v>348</v>
      </c>
      <c r="E14" s="10">
        <v>1.5</v>
      </c>
    </row>
    <row r="15" spans="1:5" x14ac:dyDescent="0.3">
      <c r="A15" s="174" t="s">
        <v>599</v>
      </c>
      <c r="B15" s="174" t="s">
        <v>600</v>
      </c>
      <c r="C15" s="1" t="s">
        <v>351</v>
      </c>
      <c r="D15" s="1" t="s">
        <v>347</v>
      </c>
      <c r="E15" s="10">
        <v>1.63</v>
      </c>
    </row>
    <row r="16" spans="1:5" x14ac:dyDescent="0.3">
      <c r="A16" s="174" t="s">
        <v>599</v>
      </c>
      <c r="B16" s="174" t="s">
        <v>600</v>
      </c>
      <c r="C16" s="1" t="s">
        <v>352</v>
      </c>
      <c r="D16" s="1" t="s">
        <v>348</v>
      </c>
      <c r="E16" s="10">
        <v>0.37</v>
      </c>
    </row>
    <row r="17" spans="1:5" x14ac:dyDescent="0.3">
      <c r="A17" s="175" t="s">
        <v>599</v>
      </c>
      <c r="B17" s="174" t="s">
        <v>600</v>
      </c>
      <c r="C17" s="1" t="s">
        <v>353</v>
      </c>
      <c r="D17" s="1" t="s">
        <v>348</v>
      </c>
      <c r="E17" s="10">
        <v>0.04</v>
      </c>
    </row>
    <row r="18" spans="1:5" x14ac:dyDescent="0.3">
      <c r="A18" s="174" t="s">
        <v>705</v>
      </c>
      <c r="B18" s="174" t="s">
        <v>706</v>
      </c>
      <c r="C18" s="1" t="s">
        <v>453</v>
      </c>
      <c r="D18" s="1" t="s">
        <v>453</v>
      </c>
      <c r="E18" s="10">
        <v>44.63</v>
      </c>
    </row>
    <row r="19" spans="1:5" x14ac:dyDescent="0.3">
      <c r="A19" s="174" t="s">
        <v>705</v>
      </c>
      <c r="B19" s="174" t="s">
        <v>706</v>
      </c>
      <c r="C19" s="1" t="s">
        <v>350</v>
      </c>
      <c r="D19" s="1" t="s">
        <v>348</v>
      </c>
      <c r="E19" s="10">
        <v>1.5</v>
      </c>
    </row>
    <row r="20" spans="1:5" x14ac:dyDescent="0.3">
      <c r="A20" s="174" t="s">
        <v>705</v>
      </c>
      <c r="B20" s="174" t="s">
        <v>706</v>
      </c>
      <c r="C20" s="1" t="s">
        <v>351</v>
      </c>
      <c r="D20" s="1" t="s">
        <v>347</v>
      </c>
      <c r="E20" s="10">
        <v>1.5</v>
      </c>
    </row>
    <row r="21" spans="1:5" x14ac:dyDescent="0.3">
      <c r="A21" s="174" t="s">
        <v>705</v>
      </c>
      <c r="B21" s="174" t="s">
        <v>706</v>
      </c>
      <c r="C21" s="1" t="s">
        <v>352</v>
      </c>
      <c r="D21" s="1" t="s">
        <v>348</v>
      </c>
      <c r="E21" s="10">
        <v>0.4</v>
      </c>
    </row>
    <row r="22" spans="1:5" x14ac:dyDescent="0.3">
      <c r="A22" s="175" t="s">
        <v>705</v>
      </c>
      <c r="B22" s="174" t="s">
        <v>706</v>
      </c>
      <c r="C22" s="1" t="s">
        <v>353</v>
      </c>
      <c r="D22" s="1" t="s">
        <v>348</v>
      </c>
      <c r="E22" s="10">
        <v>0.05</v>
      </c>
    </row>
    <row r="23" spans="1:5" x14ac:dyDescent="0.3">
      <c r="A23" s="174" t="s">
        <v>601</v>
      </c>
      <c r="B23" s="174" t="s">
        <v>602</v>
      </c>
      <c r="C23" s="1" t="s">
        <v>453</v>
      </c>
      <c r="D23" s="1" t="s">
        <v>453</v>
      </c>
      <c r="E23" s="10">
        <v>143.72</v>
      </c>
    </row>
    <row r="24" spans="1:5" x14ac:dyDescent="0.3">
      <c r="A24" s="174" t="s">
        <v>601</v>
      </c>
      <c r="B24" s="174" t="s">
        <v>602</v>
      </c>
      <c r="C24" s="1" t="s">
        <v>350</v>
      </c>
      <c r="D24" s="1" t="s">
        <v>348</v>
      </c>
      <c r="E24" s="10">
        <v>1.5</v>
      </c>
    </row>
    <row r="25" spans="1:5" x14ac:dyDescent="0.3">
      <c r="A25" s="174" t="s">
        <v>601</v>
      </c>
      <c r="B25" s="174" t="s">
        <v>602</v>
      </c>
      <c r="C25" s="1" t="s">
        <v>351</v>
      </c>
      <c r="D25" s="1" t="s">
        <v>347</v>
      </c>
      <c r="E25" s="10">
        <v>1.5</v>
      </c>
    </row>
    <row r="26" spans="1:5" x14ac:dyDescent="0.3">
      <c r="A26" s="174" t="s">
        <v>601</v>
      </c>
      <c r="B26" s="174" t="s">
        <v>602</v>
      </c>
      <c r="C26" s="1" t="s">
        <v>352</v>
      </c>
      <c r="D26" s="1" t="s">
        <v>348</v>
      </c>
      <c r="E26" s="10">
        <v>0.28999999999999998</v>
      </c>
    </row>
    <row r="27" spans="1:5" x14ac:dyDescent="0.3">
      <c r="A27" s="175" t="s">
        <v>601</v>
      </c>
      <c r="B27" s="174" t="s">
        <v>602</v>
      </c>
      <c r="C27" s="1" t="s">
        <v>353</v>
      </c>
      <c r="D27" s="1" t="s">
        <v>348</v>
      </c>
      <c r="E27" s="10">
        <v>0.03</v>
      </c>
    </row>
    <row r="28" spans="1:5" x14ac:dyDescent="0.3">
      <c r="A28" s="174" t="s">
        <v>707</v>
      </c>
      <c r="B28" s="174" t="s">
        <v>708</v>
      </c>
      <c r="C28" s="1" t="s">
        <v>453</v>
      </c>
      <c r="D28" s="1" t="s">
        <v>453</v>
      </c>
      <c r="E28" s="10">
        <v>145.93</v>
      </c>
    </row>
    <row r="29" spans="1:5" x14ac:dyDescent="0.3">
      <c r="A29" s="174" t="s">
        <v>707</v>
      </c>
      <c r="B29" s="174" t="s">
        <v>708</v>
      </c>
      <c r="C29" s="1" t="s">
        <v>350</v>
      </c>
      <c r="D29" s="1" t="s">
        <v>348</v>
      </c>
      <c r="E29" s="10">
        <v>3</v>
      </c>
    </row>
    <row r="30" spans="1:5" x14ac:dyDescent="0.3">
      <c r="A30" s="174" t="s">
        <v>707</v>
      </c>
      <c r="B30" s="174" t="s">
        <v>708</v>
      </c>
      <c r="C30" s="1" t="s">
        <v>351</v>
      </c>
      <c r="D30" s="1" t="s">
        <v>347</v>
      </c>
      <c r="E30" s="10">
        <v>3</v>
      </c>
    </row>
    <row r="31" spans="1:5" x14ac:dyDescent="0.3">
      <c r="A31" s="174" t="s">
        <v>707</v>
      </c>
      <c r="B31" s="174" t="s">
        <v>708</v>
      </c>
      <c r="C31" s="1" t="s">
        <v>352</v>
      </c>
      <c r="D31" s="1" t="s">
        <v>348</v>
      </c>
      <c r="E31" s="10">
        <v>0.8</v>
      </c>
    </row>
    <row r="32" spans="1:5" x14ac:dyDescent="0.3">
      <c r="A32" s="175" t="s">
        <v>707</v>
      </c>
      <c r="B32" s="174" t="s">
        <v>708</v>
      </c>
      <c r="C32" s="1" t="s">
        <v>353</v>
      </c>
      <c r="D32" s="1" t="s">
        <v>348</v>
      </c>
      <c r="E32" s="10">
        <v>0.1</v>
      </c>
    </row>
    <row r="33" spans="1:5" x14ac:dyDescent="0.3">
      <c r="A33" s="175" t="s">
        <v>431</v>
      </c>
      <c r="B33" s="174" t="s">
        <v>432</v>
      </c>
      <c r="C33" s="1" t="s">
        <v>453</v>
      </c>
      <c r="D33" s="1" t="s">
        <v>453</v>
      </c>
      <c r="E33" s="10">
        <v>2.33</v>
      </c>
    </row>
    <row r="34" spans="1:5" x14ac:dyDescent="0.3">
      <c r="A34" s="174" t="s">
        <v>603</v>
      </c>
      <c r="B34" s="174" t="s">
        <v>604</v>
      </c>
      <c r="C34" s="1" t="s">
        <v>453</v>
      </c>
      <c r="D34" s="1" t="s">
        <v>453</v>
      </c>
      <c r="E34" s="10">
        <v>188.70000000000002</v>
      </c>
    </row>
    <row r="35" spans="1:5" x14ac:dyDescent="0.3">
      <c r="A35" s="174" t="s">
        <v>603</v>
      </c>
      <c r="B35" s="174" t="s">
        <v>604</v>
      </c>
      <c r="C35" s="1" t="s">
        <v>350</v>
      </c>
      <c r="D35" s="1" t="s">
        <v>348</v>
      </c>
      <c r="E35" s="10">
        <v>3</v>
      </c>
    </row>
    <row r="36" spans="1:5" x14ac:dyDescent="0.3">
      <c r="A36" s="174" t="s">
        <v>603</v>
      </c>
      <c r="B36" s="174" t="s">
        <v>604</v>
      </c>
      <c r="C36" s="1" t="s">
        <v>351</v>
      </c>
      <c r="D36" s="1" t="s">
        <v>347</v>
      </c>
      <c r="E36" s="10">
        <v>3</v>
      </c>
    </row>
    <row r="37" spans="1:5" x14ac:dyDescent="0.3">
      <c r="A37" s="174" t="s">
        <v>603</v>
      </c>
      <c r="B37" s="174" t="s">
        <v>604</v>
      </c>
      <c r="C37" s="1" t="s">
        <v>352</v>
      </c>
      <c r="D37" s="1" t="s">
        <v>348</v>
      </c>
      <c r="E37" s="10">
        <v>0.8</v>
      </c>
    </row>
    <row r="38" spans="1:5" x14ac:dyDescent="0.3">
      <c r="A38" s="175" t="s">
        <v>603</v>
      </c>
      <c r="B38" s="174" t="s">
        <v>604</v>
      </c>
      <c r="C38" s="1" t="s">
        <v>353</v>
      </c>
      <c r="D38" s="1" t="s">
        <v>348</v>
      </c>
      <c r="E38" s="10">
        <v>0.1</v>
      </c>
    </row>
    <row r="39" spans="1:5" x14ac:dyDescent="0.3">
      <c r="A39" s="174" t="s">
        <v>709</v>
      </c>
      <c r="B39" s="174" t="s">
        <v>710</v>
      </c>
      <c r="C39" s="1" t="s">
        <v>453</v>
      </c>
      <c r="D39" s="1" t="s">
        <v>453</v>
      </c>
      <c r="E39" s="10">
        <v>58.19</v>
      </c>
    </row>
    <row r="40" spans="1:5" x14ac:dyDescent="0.3">
      <c r="A40" s="174" t="s">
        <v>709</v>
      </c>
      <c r="B40" s="174" t="s">
        <v>710</v>
      </c>
      <c r="C40" s="1" t="s">
        <v>350</v>
      </c>
      <c r="D40" s="1" t="s">
        <v>348</v>
      </c>
      <c r="E40" s="10">
        <v>1.5</v>
      </c>
    </row>
    <row r="41" spans="1:5" x14ac:dyDescent="0.3">
      <c r="A41" s="174" t="s">
        <v>709</v>
      </c>
      <c r="B41" s="174" t="s">
        <v>710</v>
      </c>
      <c r="C41" s="1" t="s">
        <v>351</v>
      </c>
      <c r="D41" s="1" t="s">
        <v>347</v>
      </c>
      <c r="E41" s="10">
        <v>1.5</v>
      </c>
    </row>
    <row r="42" spans="1:5" x14ac:dyDescent="0.3">
      <c r="A42" s="174" t="s">
        <v>709</v>
      </c>
      <c r="B42" s="174" t="s">
        <v>710</v>
      </c>
      <c r="C42" s="1" t="s">
        <v>352</v>
      </c>
      <c r="D42" s="1" t="s">
        <v>348</v>
      </c>
      <c r="E42" s="10">
        <v>0.4</v>
      </c>
    </row>
    <row r="43" spans="1:5" x14ac:dyDescent="0.3">
      <c r="A43" s="175" t="s">
        <v>709</v>
      </c>
      <c r="B43" s="174" t="s">
        <v>710</v>
      </c>
      <c r="C43" s="1" t="s">
        <v>353</v>
      </c>
      <c r="D43" s="1" t="s">
        <v>348</v>
      </c>
      <c r="E43" s="10">
        <v>0.05</v>
      </c>
    </row>
    <row r="44" spans="1:5" x14ac:dyDescent="0.3">
      <c r="A44" s="174" t="s">
        <v>711</v>
      </c>
      <c r="B44" s="174" t="s">
        <v>712</v>
      </c>
      <c r="C44" s="1" t="s">
        <v>453</v>
      </c>
      <c r="D44" s="1" t="s">
        <v>453</v>
      </c>
      <c r="E44" s="10">
        <v>115.92999999999999</v>
      </c>
    </row>
    <row r="45" spans="1:5" x14ac:dyDescent="0.3">
      <c r="A45" s="174" t="s">
        <v>711</v>
      </c>
      <c r="B45" s="174" t="s">
        <v>712</v>
      </c>
      <c r="C45" s="1" t="s">
        <v>350</v>
      </c>
      <c r="D45" s="1" t="s">
        <v>348</v>
      </c>
      <c r="E45" s="10">
        <v>1.5</v>
      </c>
    </row>
    <row r="46" spans="1:5" x14ac:dyDescent="0.3">
      <c r="A46" s="174" t="s">
        <v>711</v>
      </c>
      <c r="B46" s="174" t="s">
        <v>712</v>
      </c>
      <c r="C46" s="1" t="s">
        <v>351</v>
      </c>
      <c r="D46" s="1" t="s">
        <v>347</v>
      </c>
      <c r="E46" s="10">
        <v>1.5</v>
      </c>
    </row>
    <row r="47" spans="1:5" x14ac:dyDescent="0.3">
      <c r="A47" s="174" t="s">
        <v>711</v>
      </c>
      <c r="B47" s="174" t="s">
        <v>712</v>
      </c>
      <c r="C47" s="1" t="s">
        <v>352</v>
      </c>
      <c r="D47" s="1" t="s">
        <v>348</v>
      </c>
      <c r="E47" s="10">
        <v>0.4</v>
      </c>
    </row>
    <row r="48" spans="1:5" x14ac:dyDescent="0.3">
      <c r="A48" s="175" t="s">
        <v>711</v>
      </c>
      <c r="B48" s="174" t="s">
        <v>712</v>
      </c>
      <c r="C48" s="1" t="s">
        <v>353</v>
      </c>
      <c r="D48" s="1" t="s">
        <v>348</v>
      </c>
      <c r="E48" s="10">
        <v>0.05</v>
      </c>
    </row>
    <row r="49" spans="1:5" x14ac:dyDescent="0.3">
      <c r="A49" s="174" t="s">
        <v>605</v>
      </c>
      <c r="B49" s="174" t="s">
        <v>606</v>
      </c>
      <c r="C49" s="1" t="s">
        <v>453</v>
      </c>
      <c r="D49" s="1" t="s">
        <v>453</v>
      </c>
      <c r="E49" s="10">
        <v>8.3000000000000007</v>
      </c>
    </row>
    <row r="50" spans="1:5" x14ac:dyDescent="0.3">
      <c r="A50" s="174" t="s">
        <v>605</v>
      </c>
      <c r="B50" s="174" t="s">
        <v>606</v>
      </c>
      <c r="C50" s="1" t="s">
        <v>350</v>
      </c>
      <c r="D50" s="1" t="s">
        <v>348</v>
      </c>
      <c r="E50" s="10">
        <v>1.5</v>
      </c>
    </row>
    <row r="51" spans="1:5" x14ac:dyDescent="0.3">
      <c r="A51" s="174" t="s">
        <v>605</v>
      </c>
      <c r="B51" s="174" t="s">
        <v>606</v>
      </c>
      <c r="C51" s="1" t="s">
        <v>351</v>
      </c>
      <c r="D51" s="1" t="s">
        <v>347</v>
      </c>
      <c r="E51" s="10">
        <v>1.5</v>
      </c>
    </row>
    <row r="52" spans="1:5" x14ac:dyDescent="0.3">
      <c r="A52" s="174" t="s">
        <v>605</v>
      </c>
      <c r="B52" s="174" t="s">
        <v>606</v>
      </c>
      <c r="C52" s="1" t="s">
        <v>352</v>
      </c>
      <c r="D52" s="1" t="s">
        <v>348</v>
      </c>
      <c r="E52" s="10">
        <v>0.28999999999999998</v>
      </c>
    </row>
    <row r="53" spans="1:5" x14ac:dyDescent="0.3">
      <c r="A53" s="175" t="s">
        <v>605</v>
      </c>
      <c r="B53" s="174" t="s">
        <v>606</v>
      </c>
      <c r="C53" s="1" t="s">
        <v>353</v>
      </c>
      <c r="D53" s="1" t="s">
        <v>348</v>
      </c>
      <c r="E53" s="10">
        <v>0.03</v>
      </c>
    </row>
    <row r="54" spans="1:5" x14ac:dyDescent="0.3">
      <c r="A54" s="175" t="s">
        <v>433</v>
      </c>
      <c r="B54" s="174" t="s">
        <v>434</v>
      </c>
      <c r="C54" s="1" t="s">
        <v>453</v>
      </c>
      <c r="D54" s="1" t="s">
        <v>453</v>
      </c>
      <c r="E54" s="10">
        <v>17.82</v>
      </c>
    </row>
    <row r="55" spans="1:5" x14ac:dyDescent="0.3">
      <c r="A55" s="175" t="s">
        <v>1186</v>
      </c>
      <c r="B55" s="174" t="s">
        <v>1187</v>
      </c>
      <c r="C55" s="1" t="s">
        <v>453</v>
      </c>
      <c r="D55" s="1" t="s">
        <v>453</v>
      </c>
      <c r="E55" s="10">
        <v>12.11</v>
      </c>
    </row>
    <row r="56" spans="1:5" x14ac:dyDescent="0.3">
      <c r="A56" s="174" t="s">
        <v>607</v>
      </c>
      <c r="B56" s="174" t="s">
        <v>608</v>
      </c>
      <c r="C56" s="1" t="s">
        <v>453</v>
      </c>
      <c r="D56" s="1" t="s">
        <v>453</v>
      </c>
      <c r="E56" s="10">
        <v>148.70000000000002</v>
      </c>
    </row>
    <row r="57" spans="1:5" x14ac:dyDescent="0.3">
      <c r="A57" s="174" t="s">
        <v>607</v>
      </c>
      <c r="B57" s="174" t="s">
        <v>608</v>
      </c>
      <c r="C57" s="1" t="s">
        <v>350</v>
      </c>
      <c r="D57" s="1" t="s">
        <v>348</v>
      </c>
      <c r="E57" s="10">
        <v>1.5</v>
      </c>
    </row>
    <row r="58" spans="1:5" x14ac:dyDescent="0.3">
      <c r="A58" s="174" t="s">
        <v>607</v>
      </c>
      <c r="B58" s="174" t="s">
        <v>608</v>
      </c>
      <c r="C58" s="1" t="s">
        <v>351</v>
      </c>
      <c r="D58" s="1" t="s">
        <v>347</v>
      </c>
      <c r="E58" s="10">
        <v>1.5</v>
      </c>
    </row>
    <row r="59" spans="1:5" x14ac:dyDescent="0.3">
      <c r="A59" s="174" t="s">
        <v>607</v>
      </c>
      <c r="B59" s="174" t="s">
        <v>608</v>
      </c>
      <c r="C59" s="1" t="s">
        <v>352</v>
      </c>
      <c r="D59" s="1" t="s">
        <v>348</v>
      </c>
      <c r="E59" s="10">
        <v>0.4</v>
      </c>
    </row>
    <row r="60" spans="1:5" x14ac:dyDescent="0.3">
      <c r="A60" s="175" t="s">
        <v>607</v>
      </c>
      <c r="B60" s="174" t="s">
        <v>608</v>
      </c>
      <c r="C60" s="1" t="s">
        <v>353</v>
      </c>
      <c r="D60" s="1" t="s">
        <v>348</v>
      </c>
      <c r="E60" s="10">
        <v>0.05</v>
      </c>
    </row>
    <row r="61" spans="1:5" x14ac:dyDescent="0.3">
      <c r="A61" s="174" t="s">
        <v>609</v>
      </c>
      <c r="B61" s="174" t="s">
        <v>610</v>
      </c>
      <c r="C61" s="1" t="s">
        <v>453</v>
      </c>
      <c r="D61" s="1" t="s">
        <v>453</v>
      </c>
      <c r="E61" s="10">
        <v>163.07000000000002</v>
      </c>
    </row>
    <row r="62" spans="1:5" x14ac:dyDescent="0.3">
      <c r="A62" s="174" t="s">
        <v>609</v>
      </c>
      <c r="B62" s="174" t="s">
        <v>610</v>
      </c>
      <c r="C62" s="1" t="s">
        <v>350</v>
      </c>
      <c r="D62" s="1" t="s">
        <v>348</v>
      </c>
      <c r="E62" s="10">
        <v>0</v>
      </c>
    </row>
    <row r="63" spans="1:5" x14ac:dyDescent="0.3">
      <c r="A63" s="174" t="s">
        <v>609</v>
      </c>
      <c r="B63" s="174" t="s">
        <v>610</v>
      </c>
      <c r="C63" s="1" t="s">
        <v>1476</v>
      </c>
      <c r="D63" s="1" t="s">
        <v>1293</v>
      </c>
      <c r="E63" s="10">
        <v>0.31000000000000005</v>
      </c>
    </row>
    <row r="64" spans="1:5" x14ac:dyDescent="0.3">
      <c r="A64" s="174" t="s">
        <v>609</v>
      </c>
      <c r="B64" s="174" t="s">
        <v>610</v>
      </c>
      <c r="C64" s="1" t="s">
        <v>351</v>
      </c>
      <c r="D64" s="1" t="s">
        <v>347</v>
      </c>
      <c r="E64" s="10">
        <v>6.4700000000000006</v>
      </c>
    </row>
    <row r="65" spans="1:5" x14ac:dyDescent="0.3">
      <c r="A65" s="174" t="s">
        <v>609</v>
      </c>
      <c r="B65" s="174" t="s">
        <v>610</v>
      </c>
      <c r="C65" s="1" t="s">
        <v>352</v>
      </c>
      <c r="D65" s="1" t="s">
        <v>348</v>
      </c>
      <c r="E65" s="10">
        <v>0</v>
      </c>
    </row>
    <row r="66" spans="1:5" x14ac:dyDescent="0.3">
      <c r="A66" s="175" t="s">
        <v>609</v>
      </c>
      <c r="B66" s="174" t="s">
        <v>610</v>
      </c>
      <c r="C66" s="1" t="s">
        <v>353</v>
      </c>
      <c r="D66" s="1" t="s">
        <v>348</v>
      </c>
      <c r="E66" s="10">
        <v>0.53</v>
      </c>
    </row>
    <row r="67" spans="1:5" x14ac:dyDescent="0.3">
      <c r="A67" s="174" t="s">
        <v>611</v>
      </c>
      <c r="B67" s="174" t="s">
        <v>612</v>
      </c>
      <c r="C67" s="1" t="s">
        <v>453</v>
      </c>
      <c r="D67" s="1" t="s">
        <v>453</v>
      </c>
      <c r="E67" s="10">
        <v>208.27</v>
      </c>
    </row>
    <row r="68" spans="1:5" x14ac:dyDescent="0.3">
      <c r="A68" s="174" t="s">
        <v>611</v>
      </c>
      <c r="B68" s="174" t="s">
        <v>612</v>
      </c>
      <c r="C68" s="1" t="s">
        <v>350</v>
      </c>
      <c r="D68" s="1" t="s">
        <v>348</v>
      </c>
      <c r="E68" s="10">
        <v>0</v>
      </c>
    </row>
    <row r="69" spans="1:5" x14ac:dyDescent="0.3">
      <c r="A69" s="174" t="s">
        <v>611</v>
      </c>
      <c r="B69" s="174" t="s">
        <v>612</v>
      </c>
      <c r="C69" s="1" t="s">
        <v>1476</v>
      </c>
      <c r="D69" s="1" t="s">
        <v>1293</v>
      </c>
      <c r="E69" s="10">
        <v>0.37</v>
      </c>
    </row>
    <row r="70" spans="1:5" x14ac:dyDescent="0.3">
      <c r="A70" s="174" t="s">
        <v>611</v>
      </c>
      <c r="B70" s="174" t="s">
        <v>612</v>
      </c>
      <c r="C70" s="1" t="s">
        <v>351</v>
      </c>
      <c r="D70" s="1" t="s">
        <v>347</v>
      </c>
      <c r="E70" s="10">
        <v>6.4700000000000006</v>
      </c>
    </row>
    <row r="71" spans="1:5" x14ac:dyDescent="0.3">
      <c r="A71" s="174" t="s">
        <v>611</v>
      </c>
      <c r="B71" s="174" t="s">
        <v>612</v>
      </c>
      <c r="C71" s="1" t="s">
        <v>352</v>
      </c>
      <c r="D71" s="1" t="s">
        <v>348</v>
      </c>
      <c r="E71" s="10">
        <v>0</v>
      </c>
    </row>
    <row r="72" spans="1:5" x14ac:dyDescent="0.3">
      <c r="A72" s="175" t="s">
        <v>611</v>
      </c>
      <c r="B72" s="174" t="s">
        <v>612</v>
      </c>
      <c r="C72" s="1" t="s">
        <v>353</v>
      </c>
      <c r="D72" s="1" t="s">
        <v>348</v>
      </c>
      <c r="E72" s="10">
        <v>0.53</v>
      </c>
    </row>
    <row r="73" spans="1:5" x14ac:dyDescent="0.3">
      <c r="A73" s="174" t="s">
        <v>1477</v>
      </c>
      <c r="B73" s="174" t="s">
        <v>1478</v>
      </c>
      <c r="C73" s="1" t="s">
        <v>350</v>
      </c>
      <c r="D73" s="1" t="s">
        <v>348</v>
      </c>
      <c r="E73" s="10">
        <v>1.5</v>
      </c>
    </row>
    <row r="74" spans="1:5" x14ac:dyDescent="0.3">
      <c r="A74" s="174" t="s">
        <v>1477</v>
      </c>
      <c r="B74" s="174" t="s">
        <v>1478</v>
      </c>
      <c r="C74" s="1" t="s">
        <v>351</v>
      </c>
      <c r="D74" s="1" t="s">
        <v>347</v>
      </c>
      <c r="E74" s="10">
        <v>1.5</v>
      </c>
    </row>
    <row r="75" spans="1:5" x14ac:dyDescent="0.3">
      <c r="A75" s="174" t="s">
        <v>1477</v>
      </c>
      <c r="B75" s="174" t="s">
        <v>1478</v>
      </c>
      <c r="C75" s="1" t="s">
        <v>352</v>
      </c>
      <c r="D75" s="1" t="s">
        <v>348</v>
      </c>
      <c r="E75" s="10">
        <v>0.28999999999999998</v>
      </c>
    </row>
    <row r="76" spans="1:5" x14ac:dyDescent="0.3">
      <c r="A76" s="175" t="s">
        <v>1477</v>
      </c>
      <c r="B76" s="174" t="s">
        <v>1478</v>
      </c>
      <c r="C76" s="1" t="s">
        <v>353</v>
      </c>
      <c r="D76" s="1" t="s">
        <v>348</v>
      </c>
      <c r="E76" s="10">
        <v>0.03</v>
      </c>
    </row>
    <row r="77" spans="1:5" x14ac:dyDescent="0.3">
      <c r="A77" s="174" t="s">
        <v>1479</v>
      </c>
      <c r="B77" s="174" t="s">
        <v>1480</v>
      </c>
      <c r="C77" s="1" t="s">
        <v>350</v>
      </c>
      <c r="D77" s="1" t="s">
        <v>348</v>
      </c>
      <c r="E77" s="10">
        <v>1.5</v>
      </c>
    </row>
    <row r="78" spans="1:5" x14ac:dyDescent="0.3">
      <c r="A78" s="174" t="s">
        <v>1479</v>
      </c>
      <c r="B78" s="174" t="s">
        <v>1480</v>
      </c>
      <c r="C78" s="1" t="s">
        <v>351</v>
      </c>
      <c r="D78" s="1" t="s">
        <v>347</v>
      </c>
      <c r="E78" s="10">
        <v>1.5</v>
      </c>
    </row>
    <row r="79" spans="1:5" x14ac:dyDescent="0.3">
      <c r="A79" s="174" t="s">
        <v>1479</v>
      </c>
      <c r="B79" s="174" t="s">
        <v>1480</v>
      </c>
      <c r="C79" s="1" t="s">
        <v>352</v>
      </c>
      <c r="D79" s="1" t="s">
        <v>348</v>
      </c>
      <c r="E79" s="10">
        <v>0.28999999999999998</v>
      </c>
    </row>
    <row r="80" spans="1:5" x14ac:dyDescent="0.3">
      <c r="A80" s="175" t="s">
        <v>1479</v>
      </c>
      <c r="B80" s="174" t="s">
        <v>1480</v>
      </c>
      <c r="C80" s="1" t="s">
        <v>353</v>
      </c>
      <c r="D80" s="1" t="s">
        <v>348</v>
      </c>
      <c r="E80" s="10">
        <v>0.03</v>
      </c>
    </row>
    <row r="81" spans="1:5" x14ac:dyDescent="0.3">
      <c r="A81" s="174" t="s">
        <v>713</v>
      </c>
      <c r="B81" s="174" t="s">
        <v>714</v>
      </c>
      <c r="C81" s="1" t="s">
        <v>453</v>
      </c>
      <c r="D81" s="1" t="s">
        <v>453</v>
      </c>
      <c r="E81" s="10">
        <v>96.490000000000009</v>
      </c>
    </row>
    <row r="82" spans="1:5" x14ac:dyDescent="0.3">
      <c r="A82" s="174" t="s">
        <v>713</v>
      </c>
      <c r="B82" s="174" t="s">
        <v>714</v>
      </c>
      <c r="C82" s="1" t="s">
        <v>350</v>
      </c>
      <c r="D82" s="1" t="s">
        <v>348</v>
      </c>
      <c r="E82" s="10">
        <v>1.5</v>
      </c>
    </row>
    <row r="83" spans="1:5" x14ac:dyDescent="0.3">
      <c r="A83" s="174" t="s">
        <v>713</v>
      </c>
      <c r="B83" s="174" t="s">
        <v>714</v>
      </c>
      <c r="C83" s="1" t="s">
        <v>351</v>
      </c>
      <c r="D83" s="1" t="s">
        <v>347</v>
      </c>
      <c r="E83" s="10">
        <v>1.63</v>
      </c>
    </row>
    <row r="84" spans="1:5" x14ac:dyDescent="0.3">
      <c r="A84" s="174" t="s">
        <v>713</v>
      </c>
      <c r="B84" s="174" t="s">
        <v>714</v>
      </c>
      <c r="C84" s="1" t="s">
        <v>352</v>
      </c>
      <c r="D84" s="1" t="s">
        <v>348</v>
      </c>
      <c r="E84" s="10">
        <v>0.37</v>
      </c>
    </row>
    <row r="85" spans="1:5" x14ac:dyDescent="0.3">
      <c r="A85" s="175" t="s">
        <v>713</v>
      </c>
      <c r="B85" s="174" t="s">
        <v>714</v>
      </c>
      <c r="C85" s="1" t="s">
        <v>353</v>
      </c>
      <c r="D85" s="1" t="s">
        <v>348</v>
      </c>
      <c r="E85" s="10">
        <v>0.04</v>
      </c>
    </row>
    <row r="86" spans="1:5" x14ac:dyDescent="0.3">
      <c r="A86" s="174" t="s">
        <v>1481</v>
      </c>
      <c r="B86" s="174" t="s">
        <v>1482</v>
      </c>
      <c r="C86" s="1" t="s">
        <v>350</v>
      </c>
      <c r="D86" s="1" t="s">
        <v>348</v>
      </c>
      <c r="E86" s="10">
        <v>1.5</v>
      </c>
    </row>
    <row r="87" spans="1:5" x14ac:dyDescent="0.3">
      <c r="A87" s="174" t="s">
        <v>1481</v>
      </c>
      <c r="B87" s="174" t="s">
        <v>1482</v>
      </c>
      <c r="C87" s="1" t="s">
        <v>351</v>
      </c>
      <c r="D87" s="1" t="s">
        <v>347</v>
      </c>
      <c r="E87" s="10">
        <v>1.5</v>
      </c>
    </row>
    <row r="88" spans="1:5" x14ac:dyDescent="0.3">
      <c r="A88" s="174" t="s">
        <v>1481</v>
      </c>
      <c r="B88" s="174" t="s">
        <v>1482</v>
      </c>
      <c r="C88" s="1" t="s">
        <v>352</v>
      </c>
      <c r="D88" s="1" t="s">
        <v>348</v>
      </c>
      <c r="E88" s="10">
        <v>0.28999999999999998</v>
      </c>
    </row>
    <row r="89" spans="1:5" x14ac:dyDescent="0.3">
      <c r="A89" s="175" t="s">
        <v>1481</v>
      </c>
      <c r="B89" s="174" t="s">
        <v>1482</v>
      </c>
      <c r="C89" s="1" t="s">
        <v>353</v>
      </c>
      <c r="D89" s="1" t="s">
        <v>348</v>
      </c>
      <c r="E89" s="10">
        <v>0.03</v>
      </c>
    </row>
    <row r="90" spans="1:5" x14ac:dyDescent="0.3">
      <c r="A90" s="174" t="s">
        <v>1483</v>
      </c>
      <c r="B90" s="174" t="s">
        <v>1484</v>
      </c>
      <c r="C90" s="1" t="s">
        <v>350</v>
      </c>
      <c r="D90" s="1" t="s">
        <v>348</v>
      </c>
      <c r="E90" s="10">
        <v>1.5</v>
      </c>
    </row>
    <row r="91" spans="1:5" x14ac:dyDescent="0.3">
      <c r="A91" s="174" t="s">
        <v>1483</v>
      </c>
      <c r="B91" s="174" t="s">
        <v>1484</v>
      </c>
      <c r="C91" s="1" t="s">
        <v>351</v>
      </c>
      <c r="D91" s="1" t="s">
        <v>347</v>
      </c>
      <c r="E91" s="10">
        <v>1.5</v>
      </c>
    </row>
    <row r="92" spans="1:5" x14ac:dyDescent="0.3">
      <c r="A92" s="174" t="s">
        <v>1483</v>
      </c>
      <c r="B92" s="174" t="s">
        <v>1484</v>
      </c>
      <c r="C92" s="1" t="s">
        <v>352</v>
      </c>
      <c r="D92" s="1" t="s">
        <v>348</v>
      </c>
      <c r="E92" s="10">
        <v>0.28999999999999998</v>
      </c>
    </row>
    <row r="93" spans="1:5" x14ac:dyDescent="0.3">
      <c r="A93" s="175" t="s">
        <v>1483</v>
      </c>
      <c r="B93" s="174" t="s">
        <v>1484</v>
      </c>
      <c r="C93" s="1" t="s">
        <v>353</v>
      </c>
      <c r="D93" s="1" t="s">
        <v>348</v>
      </c>
      <c r="E93" s="10">
        <v>0.03</v>
      </c>
    </row>
    <row r="94" spans="1:5" x14ac:dyDescent="0.3">
      <c r="A94" s="174" t="s">
        <v>1485</v>
      </c>
      <c r="B94" s="174" t="s">
        <v>1486</v>
      </c>
      <c r="C94" s="1" t="s">
        <v>350</v>
      </c>
      <c r="D94" s="1" t="s">
        <v>348</v>
      </c>
      <c r="E94" s="10">
        <v>1.5</v>
      </c>
    </row>
    <row r="95" spans="1:5" x14ac:dyDescent="0.3">
      <c r="A95" s="174" t="s">
        <v>1485</v>
      </c>
      <c r="B95" s="174" t="s">
        <v>1486</v>
      </c>
      <c r="C95" s="1" t="s">
        <v>351</v>
      </c>
      <c r="D95" s="1" t="s">
        <v>347</v>
      </c>
      <c r="E95" s="10">
        <v>1.5</v>
      </c>
    </row>
    <row r="96" spans="1:5" x14ac:dyDescent="0.3">
      <c r="A96" s="174" t="s">
        <v>1485</v>
      </c>
      <c r="B96" s="174" t="s">
        <v>1486</v>
      </c>
      <c r="C96" s="1" t="s">
        <v>352</v>
      </c>
      <c r="D96" s="1" t="s">
        <v>348</v>
      </c>
      <c r="E96" s="10">
        <v>0.28999999999999998</v>
      </c>
    </row>
    <row r="97" spans="1:5" x14ac:dyDescent="0.3">
      <c r="A97" s="175" t="s">
        <v>1485</v>
      </c>
      <c r="B97" s="174" t="s">
        <v>1486</v>
      </c>
      <c r="C97" s="1" t="s">
        <v>353</v>
      </c>
      <c r="D97" s="1" t="s">
        <v>348</v>
      </c>
      <c r="E97" s="10">
        <v>0.03</v>
      </c>
    </row>
    <row r="98" spans="1:5" x14ac:dyDescent="0.3">
      <c r="A98" s="174" t="s">
        <v>1487</v>
      </c>
      <c r="B98" s="174" t="s">
        <v>1488</v>
      </c>
      <c r="C98" s="1" t="s">
        <v>350</v>
      </c>
      <c r="D98" s="1" t="s">
        <v>348</v>
      </c>
      <c r="E98" s="10">
        <v>1.5</v>
      </c>
    </row>
    <row r="99" spans="1:5" x14ac:dyDescent="0.3">
      <c r="A99" s="174" t="s">
        <v>1487</v>
      </c>
      <c r="B99" s="174" t="s">
        <v>1488</v>
      </c>
      <c r="C99" s="1" t="s">
        <v>351</v>
      </c>
      <c r="D99" s="1" t="s">
        <v>347</v>
      </c>
      <c r="E99" s="10">
        <v>1.5</v>
      </c>
    </row>
    <row r="100" spans="1:5" x14ac:dyDescent="0.3">
      <c r="A100" s="174" t="s">
        <v>1487</v>
      </c>
      <c r="B100" s="174" t="s">
        <v>1488</v>
      </c>
      <c r="C100" s="1" t="s">
        <v>352</v>
      </c>
      <c r="D100" s="1" t="s">
        <v>348</v>
      </c>
      <c r="E100" s="10">
        <v>0.28999999999999998</v>
      </c>
    </row>
    <row r="101" spans="1:5" x14ac:dyDescent="0.3">
      <c r="A101" s="175" t="s">
        <v>1487</v>
      </c>
      <c r="B101" s="174" t="s">
        <v>1488</v>
      </c>
      <c r="C101" s="1" t="s">
        <v>353</v>
      </c>
      <c r="D101" s="1" t="s">
        <v>348</v>
      </c>
      <c r="E101" s="10">
        <v>0.03</v>
      </c>
    </row>
    <row r="102" spans="1:5" x14ac:dyDescent="0.3">
      <c r="A102" s="174" t="s">
        <v>1489</v>
      </c>
      <c r="B102" s="174" t="s">
        <v>1490</v>
      </c>
      <c r="C102" s="1" t="s">
        <v>350</v>
      </c>
      <c r="D102" s="1" t="s">
        <v>348</v>
      </c>
      <c r="E102" s="10">
        <v>1.5</v>
      </c>
    </row>
    <row r="103" spans="1:5" x14ac:dyDescent="0.3">
      <c r="A103" s="174" t="s">
        <v>1489</v>
      </c>
      <c r="B103" s="174" t="s">
        <v>1490</v>
      </c>
      <c r="C103" s="1" t="s">
        <v>351</v>
      </c>
      <c r="D103" s="1" t="s">
        <v>347</v>
      </c>
      <c r="E103" s="10">
        <v>1.5</v>
      </c>
    </row>
    <row r="104" spans="1:5" x14ac:dyDescent="0.3">
      <c r="A104" s="174" t="s">
        <v>1489</v>
      </c>
      <c r="B104" s="174" t="s">
        <v>1490</v>
      </c>
      <c r="C104" s="1" t="s">
        <v>352</v>
      </c>
      <c r="D104" s="1" t="s">
        <v>348</v>
      </c>
      <c r="E104" s="10">
        <v>0.28999999999999998</v>
      </c>
    </row>
    <row r="105" spans="1:5" x14ac:dyDescent="0.3">
      <c r="A105" s="175" t="s">
        <v>1489</v>
      </c>
      <c r="B105" s="174" t="s">
        <v>1490</v>
      </c>
      <c r="C105" s="1" t="s">
        <v>353</v>
      </c>
      <c r="D105" s="1" t="s">
        <v>348</v>
      </c>
      <c r="E105" s="10">
        <v>0.03</v>
      </c>
    </row>
    <row r="106" spans="1:5" x14ac:dyDescent="0.3">
      <c r="A106" s="175" t="s">
        <v>1533</v>
      </c>
      <c r="B106" s="174" t="s">
        <v>1534</v>
      </c>
      <c r="C106" s="1" t="s">
        <v>453</v>
      </c>
      <c r="D106" s="1" t="s">
        <v>453</v>
      </c>
      <c r="E106" s="10">
        <v>0.64</v>
      </c>
    </row>
    <row r="107" spans="1:5" x14ac:dyDescent="0.3">
      <c r="A107" s="174" t="s">
        <v>40</v>
      </c>
      <c r="B107" s="174" t="s">
        <v>41</v>
      </c>
      <c r="C107" s="1" t="s">
        <v>453</v>
      </c>
      <c r="D107" s="1" t="s">
        <v>453</v>
      </c>
      <c r="E107" s="10">
        <v>144.21999999999997</v>
      </c>
    </row>
    <row r="108" spans="1:5" x14ac:dyDescent="0.3">
      <c r="A108" s="174" t="s">
        <v>40</v>
      </c>
      <c r="B108" s="174" t="s">
        <v>41</v>
      </c>
      <c r="C108" s="1" t="s">
        <v>350</v>
      </c>
      <c r="D108" s="1" t="s">
        <v>348</v>
      </c>
      <c r="E108" s="10">
        <v>1.5</v>
      </c>
    </row>
    <row r="109" spans="1:5" x14ac:dyDescent="0.3">
      <c r="A109" s="174" t="s">
        <v>40</v>
      </c>
      <c r="B109" s="174" t="s">
        <v>41</v>
      </c>
      <c r="C109" s="1" t="s">
        <v>351</v>
      </c>
      <c r="D109" s="1" t="s">
        <v>347</v>
      </c>
      <c r="E109" s="10">
        <v>1.5</v>
      </c>
    </row>
    <row r="110" spans="1:5" x14ac:dyDescent="0.3">
      <c r="A110" s="174" t="s">
        <v>40</v>
      </c>
      <c r="B110" s="174" t="s">
        <v>41</v>
      </c>
      <c r="C110" s="1" t="s">
        <v>352</v>
      </c>
      <c r="D110" s="1" t="s">
        <v>348</v>
      </c>
      <c r="E110" s="10">
        <v>0.4</v>
      </c>
    </row>
    <row r="111" spans="1:5" x14ac:dyDescent="0.3">
      <c r="A111" s="175" t="s">
        <v>40</v>
      </c>
      <c r="B111" s="174" t="s">
        <v>41</v>
      </c>
      <c r="C111" s="1" t="s">
        <v>353</v>
      </c>
      <c r="D111" s="1" t="s">
        <v>348</v>
      </c>
      <c r="E111" s="10">
        <v>0.05</v>
      </c>
    </row>
    <row r="112" spans="1:5" x14ac:dyDescent="0.3">
      <c r="A112" s="175" t="s">
        <v>1535</v>
      </c>
      <c r="B112" s="174" t="s">
        <v>1536</v>
      </c>
      <c r="C112" s="1" t="s">
        <v>453</v>
      </c>
      <c r="D112" s="1" t="s">
        <v>453</v>
      </c>
      <c r="E112" s="10">
        <v>415.7</v>
      </c>
    </row>
    <row r="113" spans="1:5" x14ac:dyDescent="0.3">
      <c r="A113" s="174" t="s">
        <v>1530</v>
      </c>
      <c r="B113" s="174" t="s">
        <v>1531</v>
      </c>
      <c r="C113" s="1" t="s">
        <v>453</v>
      </c>
      <c r="D113" s="1" t="s">
        <v>453</v>
      </c>
      <c r="E113" s="10">
        <v>93.490000000000009</v>
      </c>
    </row>
    <row r="114" spans="1:5" x14ac:dyDescent="0.3">
      <c r="A114" s="174" t="s">
        <v>1530</v>
      </c>
      <c r="B114" s="174" t="s">
        <v>1531</v>
      </c>
      <c r="C114" s="1" t="s">
        <v>350</v>
      </c>
      <c r="D114" s="1" t="s">
        <v>348</v>
      </c>
      <c r="E114" s="10">
        <v>1.5</v>
      </c>
    </row>
    <row r="115" spans="1:5" x14ac:dyDescent="0.3">
      <c r="A115" s="174" t="s">
        <v>1530</v>
      </c>
      <c r="B115" s="174" t="s">
        <v>1531</v>
      </c>
      <c r="C115" s="1" t="s">
        <v>351</v>
      </c>
      <c r="D115" s="1" t="s">
        <v>347</v>
      </c>
      <c r="E115" s="10">
        <v>1.63</v>
      </c>
    </row>
    <row r="116" spans="1:5" x14ac:dyDescent="0.3">
      <c r="A116" s="174" t="s">
        <v>1530</v>
      </c>
      <c r="B116" s="174" t="s">
        <v>1531</v>
      </c>
      <c r="C116" s="1" t="s">
        <v>352</v>
      </c>
      <c r="D116" s="1" t="s">
        <v>348</v>
      </c>
      <c r="E116" s="10">
        <v>0.37</v>
      </c>
    </row>
    <row r="117" spans="1:5" x14ac:dyDescent="0.3">
      <c r="A117" s="175" t="s">
        <v>1530</v>
      </c>
      <c r="B117" s="174" t="s">
        <v>1531</v>
      </c>
      <c r="C117" s="1" t="s">
        <v>353</v>
      </c>
      <c r="D117" s="1" t="s">
        <v>348</v>
      </c>
      <c r="E117" s="10">
        <v>0.04</v>
      </c>
    </row>
    <row r="118" spans="1:5" x14ac:dyDescent="0.3">
      <c r="A118" s="175" t="s">
        <v>496</v>
      </c>
      <c r="B118" s="174" t="s">
        <v>497</v>
      </c>
      <c r="C118" s="1" t="s">
        <v>453</v>
      </c>
      <c r="D118" s="1" t="s">
        <v>453</v>
      </c>
      <c r="E118" s="10">
        <v>65.14</v>
      </c>
    </row>
    <row r="119" spans="1:5" x14ac:dyDescent="0.3">
      <c r="A119" s="175" t="s">
        <v>435</v>
      </c>
      <c r="B119" s="174" t="s">
        <v>436</v>
      </c>
      <c r="C119" s="1" t="s">
        <v>453</v>
      </c>
      <c r="D119" s="1" t="s">
        <v>453</v>
      </c>
      <c r="E119" s="10">
        <v>12.38</v>
      </c>
    </row>
    <row r="120" spans="1:5" x14ac:dyDescent="0.3">
      <c r="A120" s="174" t="s">
        <v>1491</v>
      </c>
      <c r="B120" s="174" t="s">
        <v>1492</v>
      </c>
      <c r="C120" s="1" t="s">
        <v>350</v>
      </c>
      <c r="D120" s="1" t="s">
        <v>348</v>
      </c>
      <c r="E120" s="10">
        <v>1.5</v>
      </c>
    </row>
    <row r="121" spans="1:5" x14ac:dyDescent="0.3">
      <c r="A121" s="174" t="s">
        <v>1491</v>
      </c>
      <c r="B121" s="174" t="s">
        <v>1492</v>
      </c>
      <c r="C121" s="1" t="s">
        <v>351</v>
      </c>
      <c r="D121" s="1" t="s">
        <v>347</v>
      </c>
      <c r="E121" s="10">
        <v>1.5</v>
      </c>
    </row>
    <row r="122" spans="1:5" x14ac:dyDescent="0.3">
      <c r="A122" s="174" t="s">
        <v>1491</v>
      </c>
      <c r="B122" s="174" t="s">
        <v>1492</v>
      </c>
      <c r="C122" s="1" t="s">
        <v>352</v>
      </c>
      <c r="D122" s="1" t="s">
        <v>348</v>
      </c>
      <c r="E122" s="10">
        <v>0.28999999999999998</v>
      </c>
    </row>
    <row r="123" spans="1:5" x14ac:dyDescent="0.3">
      <c r="A123" s="175" t="s">
        <v>1491</v>
      </c>
      <c r="B123" s="174" t="s">
        <v>1492</v>
      </c>
      <c r="C123" s="1" t="s">
        <v>353</v>
      </c>
      <c r="D123" s="1" t="s">
        <v>348</v>
      </c>
      <c r="E123" s="10">
        <v>0.03</v>
      </c>
    </row>
    <row r="124" spans="1:5" x14ac:dyDescent="0.3">
      <c r="A124" s="174" t="s">
        <v>1493</v>
      </c>
      <c r="B124" s="174" t="s">
        <v>1494</v>
      </c>
      <c r="C124" s="1" t="s">
        <v>350</v>
      </c>
      <c r="D124" s="1" t="s">
        <v>348</v>
      </c>
      <c r="E124" s="10">
        <v>1.5</v>
      </c>
    </row>
    <row r="125" spans="1:5" x14ac:dyDescent="0.3">
      <c r="A125" s="174" t="s">
        <v>1493</v>
      </c>
      <c r="B125" s="174" t="s">
        <v>1494</v>
      </c>
      <c r="C125" s="1" t="s">
        <v>351</v>
      </c>
      <c r="D125" s="1" t="s">
        <v>347</v>
      </c>
      <c r="E125" s="10">
        <v>1.5</v>
      </c>
    </row>
    <row r="126" spans="1:5" x14ac:dyDescent="0.3">
      <c r="A126" s="174" t="s">
        <v>1493</v>
      </c>
      <c r="B126" s="174" t="s">
        <v>1494</v>
      </c>
      <c r="C126" s="1" t="s">
        <v>352</v>
      </c>
      <c r="D126" s="1" t="s">
        <v>348</v>
      </c>
      <c r="E126" s="10">
        <v>0.28999999999999998</v>
      </c>
    </row>
    <row r="127" spans="1:5" x14ac:dyDescent="0.3">
      <c r="A127" s="175" t="s">
        <v>1493</v>
      </c>
      <c r="B127" s="174" t="s">
        <v>1494</v>
      </c>
      <c r="C127" s="1" t="s">
        <v>353</v>
      </c>
      <c r="D127" s="1" t="s">
        <v>348</v>
      </c>
      <c r="E127" s="10">
        <v>0.03</v>
      </c>
    </row>
    <row r="128" spans="1:5" x14ac:dyDescent="0.3">
      <c r="A128" s="174" t="s">
        <v>537</v>
      </c>
      <c r="B128" s="174" t="s">
        <v>538</v>
      </c>
      <c r="C128" s="1" t="s">
        <v>453</v>
      </c>
      <c r="D128" s="1" t="s">
        <v>453</v>
      </c>
      <c r="E128" s="10">
        <v>92.19</v>
      </c>
    </row>
    <row r="129" spans="1:5" x14ac:dyDescent="0.3">
      <c r="A129" s="174" t="s">
        <v>537</v>
      </c>
      <c r="B129" s="174" t="s">
        <v>538</v>
      </c>
      <c r="C129" s="1" t="s">
        <v>350</v>
      </c>
      <c r="D129" s="1" t="s">
        <v>348</v>
      </c>
      <c r="E129" s="10">
        <v>1.5</v>
      </c>
    </row>
    <row r="130" spans="1:5" x14ac:dyDescent="0.3">
      <c r="A130" s="174" t="s">
        <v>537</v>
      </c>
      <c r="B130" s="174" t="s">
        <v>538</v>
      </c>
      <c r="C130" s="1" t="s">
        <v>351</v>
      </c>
      <c r="D130" s="1" t="s">
        <v>347</v>
      </c>
      <c r="E130" s="10">
        <v>1.5</v>
      </c>
    </row>
    <row r="131" spans="1:5" x14ac:dyDescent="0.3">
      <c r="A131" s="174" t="s">
        <v>537</v>
      </c>
      <c r="B131" s="174" t="s">
        <v>538</v>
      </c>
      <c r="C131" s="1" t="s">
        <v>352</v>
      </c>
      <c r="D131" s="1" t="s">
        <v>348</v>
      </c>
      <c r="E131" s="10">
        <v>0.4</v>
      </c>
    </row>
    <row r="132" spans="1:5" x14ac:dyDescent="0.3">
      <c r="A132" s="175" t="s">
        <v>537</v>
      </c>
      <c r="B132" s="174" t="s">
        <v>538</v>
      </c>
      <c r="C132" s="1" t="s">
        <v>353</v>
      </c>
      <c r="D132" s="1" t="s">
        <v>348</v>
      </c>
      <c r="E132" s="10">
        <v>0.05</v>
      </c>
    </row>
    <row r="133" spans="1:5" x14ac:dyDescent="0.3">
      <c r="A133" s="174" t="s">
        <v>715</v>
      </c>
      <c r="B133" s="174" t="s">
        <v>716</v>
      </c>
      <c r="C133" s="1" t="s">
        <v>453</v>
      </c>
      <c r="D133" s="1" t="s">
        <v>453</v>
      </c>
      <c r="E133" s="10">
        <v>46.93</v>
      </c>
    </row>
    <row r="134" spans="1:5" x14ac:dyDescent="0.3">
      <c r="A134" s="174" t="s">
        <v>715</v>
      </c>
      <c r="B134" s="174" t="s">
        <v>716</v>
      </c>
      <c r="C134" s="1" t="s">
        <v>350</v>
      </c>
      <c r="D134" s="1" t="s">
        <v>348</v>
      </c>
      <c r="E134" s="10">
        <v>1.5</v>
      </c>
    </row>
    <row r="135" spans="1:5" x14ac:dyDescent="0.3">
      <c r="A135" s="174" t="s">
        <v>715</v>
      </c>
      <c r="B135" s="174" t="s">
        <v>716</v>
      </c>
      <c r="C135" s="1" t="s">
        <v>351</v>
      </c>
      <c r="D135" s="1" t="s">
        <v>347</v>
      </c>
      <c r="E135" s="10">
        <v>1.63</v>
      </c>
    </row>
    <row r="136" spans="1:5" x14ac:dyDescent="0.3">
      <c r="A136" s="174" t="s">
        <v>715</v>
      </c>
      <c r="B136" s="174" t="s">
        <v>716</v>
      </c>
      <c r="C136" s="1" t="s">
        <v>352</v>
      </c>
      <c r="D136" s="1" t="s">
        <v>348</v>
      </c>
      <c r="E136" s="10">
        <v>0.37</v>
      </c>
    </row>
    <row r="137" spans="1:5" x14ac:dyDescent="0.3">
      <c r="A137" s="175" t="s">
        <v>715</v>
      </c>
      <c r="B137" s="174" t="s">
        <v>716</v>
      </c>
      <c r="C137" s="1" t="s">
        <v>353</v>
      </c>
      <c r="D137" s="1" t="s">
        <v>348</v>
      </c>
      <c r="E137" s="10">
        <v>0.04</v>
      </c>
    </row>
    <row r="138" spans="1:5" x14ac:dyDescent="0.3">
      <c r="A138" s="174" t="s">
        <v>1495</v>
      </c>
      <c r="B138" s="174" t="s">
        <v>1496</v>
      </c>
      <c r="C138" s="1" t="s">
        <v>350</v>
      </c>
      <c r="D138" s="1" t="s">
        <v>348</v>
      </c>
      <c r="E138" s="10">
        <v>1.5</v>
      </c>
    </row>
    <row r="139" spans="1:5" x14ac:dyDescent="0.3">
      <c r="A139" s="174" t="s">
        <v>1495</v>
      </c>
      <c r="B139" s="174" t="s">
        <v>1496</v>
      </c>
      <c r="C139" s="1" t="s">
        <v>351</v>
      </c>
      <c r="D139" s="1" t="s">
        <v>347</v>
      </c>
      <c r="E139" s="10">
        <v>1.5</v>
      </c>
    </row>
    <row r="140" spans="1:5" x14ac:dyDescent="0.3">
      <c r="A140" s="174" t="s">
        <v>1495</v>
      </c>
      <c r="B140" s="174" t="s">
        <v>1496</v>
      </c>
      <c r="C140" s="1" t="s">
        <v>352</v>
      </c>
      <c r="D140" s="1" t="s">
        <v>348</v>
      </c>
      <c r="E140" s="10">
        <v>0.28999999999999998</v>
      </c>
    </row>
    <row r="141" spans="1:5" x14ac:dyDescent="0.3">
      <c r="A141" s="175" t="s">
        <v>1495</v>
      </c>
      <c r="B141" s="174" t="s">
        <v>1496</v>
      </c>
      <c r="C141" s="1" t="s">
        <v>353</v>
      </c>
      <c r="D141" s="1" t="s">
        <v>348</v>
      </c>
      <c r="E141" s="10">
        <v>0.03</v>
      </c>
    </row>
    <row r="142" spans="1:5" x14ac:dyDescent="0.3">
      <c r="A142" s="174" t="s">
        <v>717</v>
      </c>
      <c r="B142" s="174" t="s">
        <v>718</v>
      </c>
      <c r="C142" s="1" t="s">
        <v>453</v>
      </c>
      <c r="D142" s="1" t="s">
        <v>453</v>
      </c>
      <c r="E142" s="10">
        <v>511.76</v>
      </c>
    </row>
    <row r="143" spans="1:5" x14ac:dyDescent="0.3">
      <c r="A143" s="174" t="s">
        <v>717</v>
      </c>
      <c r="B143" s="174" t="s">
        <v>718</v>
      </c>
      <c r="C143" s="1" t="s">
        <v>350</v>
      </c>
      <c r="D143" s="1" t="s">
        <v>348</v>
      </c>
      <c r="E143" s="10">
        <v>11.31</v>
      </c>
    </row>
    <row r="144" spans="1:5" x14ac:dyDescent="0.3">
      <c r="A144" s="174" t="s">
        <v>717</v>
      </c>
      <c r="B144" s="174" t="s">
        <v>718</v>
      </c>
      <c r="C144" s="1" t="s">
        <v>1476</v>
      </c>
      <c r="D144" s="1" t="s">
        <v>1293</v>
      </c>
      <c r="E144" s="10">
        <v>0.17</v>
      </c>
    </row>
    <row r="145" spans="1:5" x14ac:dyDescent="0.3">
      <c r="A145" s="174" t="s">
        <v>717</v>
      </c>
      <c r="B145" s="174" t="s">
        <v>718</v>
      </c>
      <c r="C145" s="1" t="s">
        <v>351</v>
      </c>
      <c r="D145" s="1" t="s">
        <v>347</v>
      </c>
      <c r="E145" s="10">
        <v>33.14</v>
      </c>
    </row>
    <row r="146" spans="1:5" x14ac:dyDescent="0.3">
      <c r="A146" s="174" t="s">
        <v>717</v>
      </c>
      <c r="B146" s="174" t="s">
        <v>718</v>
      </c>
      <c r="C146" s="1" t="s">
        <v>352</v>
      </c>
      <c r="D146" s="1" t="s">
        <v>348</v>
      </c>
      <c r="E146" s="10">
        <v>22.46</v>
      </c>
    </row>
    <row r="147" spans="1:5" x14ac:dyDescent="0.3">
      <c r="A147" s="175" t="s">
        <v>717</v>
      </c>
      <c r="B147" s="174" t="s">
        <v>718</v>
      </c>
      <c r="C147" s="1" t="s">
        <v>353</v>
      </c>
      <c r="D147" s="1" t="s">
        <v>348</v>
      </c>
      <c r="E147" s="10">
        <v>2.5300000000000002</v>
      </c>
    </row>
    <row r="148" spans="1:5" x14ac:dyDescent="0.3">
      <c r="A148" s="174" t="s">
        <v>1497</v>
      </c>
      <c r="B148" s="174" t="s">
        <v>1498</v>
      </c>
      <c r="C148" s="1" t="s">
        <v>350</v>
      </c>
      <c r="D148" s="1" t="s">
        <v>348</v>
      </c>
      <c r="E148" s="10">
        <v>1.5</v>
      </c>
    </row>
    <row r="149" spans="1:5" x14ac:dyDescent="0.3">
      <c r="A149" s="174" t="s">
        <v>1497</v>
      </c>
      <c r="B149" s="174" t="s">
        <v>1498</v>
      </c>
      <c r="C149" s="1" t="s">
        <v>351</v>
      </c>
      <c r="D149" s="1" t="s">
        <v>347</v>
      </c>
      <c r="E149" s="10">
        <v>1.5</v>
      </c>
    </row>
    <row r="150" spans="1:5" x14ac:dyDescent="0.3">
      <c r="A150" s="174" t="s">
        <v>1497</v>
      </c>
      <c r="B150" s="174" t="s">
        <v>1498</v>
      </c>
      <c r="C150" s="1" t="s">
        <v>352</v>
      </c>
      <c r="D150" s="1" t="s">
        <v>348</v>
      </c>
      <c r="E150" s="10">
        <v>0.28999999999999998</v>
      </c>
    </row>
    <row r="151" spans="1:5" x14ac:dyDescent="0.3">
      <c r="A151" s="175" t="s">
        <v>1497</v>
      </c>
      <c r="B151" s="174" t="s">
        <v>1498</v>
      </c>
      <c r="C151" s="1" t="s">
        <v>353</v>
      </c>
      <c r="D151" s="1" t="s">
        <v>348</v>
      </c>
      <c r="E151" s="10">
        <v>0.03</v>
      </c>
    </row>
    <row r="152" spans="1:5" x14ac:dyDescent="0.3">
      <c r="A152" s="174" t="s">
        <v>719</v>
      </c>
      <c r="B152" s="174" t="s">
        <v>720</v>
      </c>
      <c r="C152" s="1" t="s">
        <v>453</v>
      </c>
      <c r="D152" s="1" t="s">
        <v>453</v>
      </c>
      <c r="E152" s="10">
        <v>529.37</v>
      </c>
    </row>
    <row r="153" spans="1:5" x14ac:dyDescent="0.3">
      <c r="A153" s="174" t="s">
        <v>719</v>
      </c>
      <c r="B153" s="174" t="s">
        <v>720</v>
      </c>
      <c r="C153" s="1" t="s">
        <v>350</v>
      </c>
      <c r="D153" s="1" t="s">
        <v>348</v>
      </c>
      <c r="E153" s="10">
        <v>12.81</v>
      </c>
    </row>
    <row r="154" spans="1:5" x14ac:dyDescent="0.3">
      <c r="A154" s="174" t="s">
        <v>719</v>
      </c>
      <c r="B154" s="174" t="s">
        <v>720</v>
      </c>
      <c r="C154" s="1" t="s">
        <v>1476</v>
      </c>
      <c r="D154" s="1" t="s">
        <v>1293</v>
      </c>
      <c r="E154" s="10">
        <v>0.17</v>
      </c>
    </row>
    <row r="155" spans="1:5" x14ac:dyDescent="0.3">
      <c r="A155" s="174" t="s">
        <v>719</v>
      </c>
      <c r="B155" s="174" t="s">
        <v>720</v>
      </c>
      <c r="C155" s="1" t="s">
        <v>351</v>
      </c>
      <c r="D155" s="1" t="s">
        <v>347</v>
      </c>
      <c r="E155" s="10">
        <v>34.770000000000003</v>
      </c>
    </row>
    <row r="156" spans="1:5" x14ac:dyDescent="0.3">
      <c r="A156" s="174" t="s">
        <v>719</v>
      </c>
      <c r="B156" s="174" t="s">
        <v>720</v>
      </c>
      <c r="C156" s="1" t="s">
        <v>352</v>
      </c>
      <c r="D156" s="1" t="s">
        <v>348</v>
      </c>
      <c r="E156" s="10">
        <v>22.83</v>
      </c>
    </row>
    <row r="157" spans="1:5" x14ac:dyDescent="0.3">
      <c r="A157" s="175" t="s">
        <v>719</v>
      </c>
      <c r="B157" s="174" t="s">
        <v>720</v>
      </c>
      <c r="C157" s="1" t="s">
        <v>353</v>
      </c>
      <c r="D157" s="1" t="s">
        <v>348</v>
      </c>
      <c r="E157" s="10">
        <v>2.5700000000000003</v>
      </c>
    </row>
    <row r="158" spans="1:5" x14ac:dyDescent="0.3">
      <c r="A158" s="174" t="s">
        <v>721</v>
      </c>
      <c r="B158" s="174" t="s">
        <v>722</v>
      </c>
      <c r="C158" s="1" t="s">
        <v>453</v>
      </c>
      <c r="D158" s="1" t="s">
        <v>453</v>
      </c>
      <c r="E158" s="10">
        <v>629.33000000000015</v>
      </c>
    </row>
    <row r="159" spans="1:5" x14ac:dyDescent="0.3">
      <c r="A159" s="174" t="s">
        <v>721</v>
      </c>
      <c r="B159" s="174" t="s">
        <v>722</v>
      </c>
      <c r="C159" s="1" t="s">
        <v>350</v>
      </c>
      <c r="D159" s="1" t="s">
        <v>348</v>
      </c>
      <c r="E159" s="10">
        <v>15.81</v>
      </c>
    </row>
    <row r="160" spans="1:5" x14ac:dyDescent="0.3">
      <c r="A160" s="174" t="s">
        <v>721</v>
      </c>
      <c r="B160" s="174" t="s">
        <v>722</v>
      </c>
      <c r="C160" s="1" t="s">
        <v>1476</v>
      </c>
      <c r="D160" s="1" t="s">
        <v>1293</v>
      </c>
      <c r="E160" s="10">
        <v>0.17</v>
      </c>
    </row>
    <row r="161" spans="1:5" x14ac:dyDescent="0.3">
      <c r="A161" s="174" t="s">
        <v>721</v>
      </c>
      <c r="B161" s="174" t="s">
        <v>722</v>
      </c>
      <c r="C161" s="1" t="s">
        <v>351</v>
      </c>
      <c r="D161" s="1" t="s">
        <v>347</v>
      </c>
      <c r="E161" s="10">
        <v>38.030000000000008</v>
      </c>
    </row>
    <row r="162" spans="1:5" x14ac:dyDescent="0.3">
      <c r="A162" s="174" t="s">
        <v>721</v>
      </c>
      <c r="B162" s="174" t="s">
        <v>722</v>
      </c>
      <c r="C162" s="1" t="s">
        <v>352</v>
      </c>
      <c r="D162" s="1" t="s">
        <v>348</v>
      </c>
      <c r="E162" s="10">
        <v>23.57</v>
      </c>
    </row>
    <row r="163" spans="1:5" x14ac:dyDescent="0.3">
      <c r="A163" s="175" t="s">
        <v>721</v>
      </c>
      <c r="B163" s="174" t="s">
        <v>722</v>
      </c>
      <c r="C163" s="1" t="s">
        <v>353</v>
      </c>
      <c r="D163" s="1" t="s">
        <v>348</v>
      </c>
      <c r="E163" s="10">
        <v>2.6500000000000004</v>
      </c>
    </row>
    <row r="164" spans="1:5" x14ac:dyDescent="0.3">
      <c r="A164" s="174" t="s">
        <v>613</v>
      </c>
      <c r="B164" s="174" t="s">
        <v>614</v>
      </c>
      <c r="C164" s="1" t="s">
        <v>453</v>
      </c>
      <c r="D164" s="1" t="s">
        <v>453</v>
      </c>
      <c r="E164" s="10">
        <v>161.96</v>
      </c>
    </row>
    <row r="165" spans="1:5" x14ac:dyDescent="0.3">
      <c r="A165" s="174" t="s">
        <v>613</v>
      </c>
      <c r="B165" s="174" t="s">
        <v>614</v>
      </c>
      <c r="C165" s="1" t="s">
        <v>350</v>
      </c>
      <c r="D165" s="1" t="s">
        <v>348</v>
      </c>
      <c r="E165" s="10">
        <v>0</v>
      </c>
    </row>
    <row r="166" spans="1:5" x14ac:dyDescent="0.3">
      <c r="A166" s="174" t="s">
        <v>613</v>
      </c>
      <c r="B166" s="174" t="s">
        <v>614</v>
      </c>
      <c r="C166" s="1" t="s">
        <v>1476</v>
      </c>
      <c r="D166" s="1" t="s">
        <v>1293</v>
      </c>
      <c r="E166" s="10">
        <v>0.31000000000000005</v>
      </c>
    </row>
    <row r="167" spans="1:5" x14ac:dyDescent="0.3">
      <c r="A167" s="174" t="s">
        <v>613</v>
      </c>
      <c r="B167" s="174" t="s">
        <v>614</v>
      </c>
      <c r="C167" s="1" t="s">
        <v>351</v>
      </c>
      <c r="D167" s="1" t="s">
        <v>347</v>
      </c>
      <c r="E167" s="10">
        <v>6.4700000000000006</v>
      </c>
    </row>
    <row r="168" spans="1:5" x14ac:dyDescent="0.3">
      <c r="A168" s="174" t="s">
        <v>613</v>
      </c>
      <c r="B168" s="174" t="s">
        <v>614</v>
      </c>
      <c r="C168" s="1" t="s">
        <v>352</v>
      </c>
      <c r="D168" s="1" t="s">
        <v>348</v>
      </c>
      <c r="E168" s="10">
        <v>0</v>
      </c>
    </row>
    <row r="169" spans="1:5" x14ac:dyDescent="0.3">
      <c r="A169" s="175" t="s">
        <v>613</v>
      </c>
      <c r="B169" s="174" t="s">
        <v>614</v>
      </c>
      <c r="C169" s="1" t="s">
        <v>353</v>
      </c>
      <c r="D169" s="1" t="s">
        <v>348</v>
      </c>
      <c r="E169" s="10">
        <v>0.53</v>
      </c>
    </row>
    <row r="170" spans="1:5" x14ac:dyDescent="0.3">
      <c r="A170" s="174" t="s">
        <v>615</v>
      </c>
      <c r="B170" s="174" t="s">
        <v>616</v>
      </c>
      <c r="C170" s="1" t="s">
        <v>453</v>
      </c>
      <c r="D170" s="1" t="s">
        <v>453</v>
      </c>
      <c r="E170" s="10">
        <v>201.94</v>
      </c>
    </row>
    <row r="171" spans="1:5" x14ac:dyDescent="0.3">
      <c r="A171" s="174" t="s">
        <v>615</v>
      </c>
      <c r="B171" s="174" t="s">
        <v>616</v>
      </c>
      <c r="C171" s="1" t="s">
        <v>350</v>
      </c>
      <c r="D171" s="1" t="s">
        <v>348</v>
      </c>
      <c r="E171" s="10">
        <v>0</v>
      </c>
    </row>
    <row r="172" spans="1:5" x14ac:dyDescent="0.3">
      <c r="A172" s="174" t="s">
        <v>615</v>
      </c>
      <c r="B172" s="174" t="s">
        <v>616</v>
      </c>
      <c r="C172" s="1" t="s">
        <v>1476</v>
      </c>
      <c r="D172" s="1" t="s">
        <v>1293</v>
      </c>
      <c r="E172" s="10">
        <v>0.37</v>
      </c>
    </row>
    <row r="173" spans="1:5" x14ac:dyDescent="0.3">
      <c r="A173" s="174" t="s">
        <v>615</v>
      </c>
      <c r="B173" s="174" t="s">
        <v>616</v>
      </c>
      <c r="C173" s="1" t="s">
        <v>351</v>
      </c>
      <c r="D173" s="1" t="s">
        <v>347</v>
      </c>
      <c r="E173" s="10">
        <v>6.4700000000000006</v>
      </c>
    </row>
    <row r="174" spans="1:5" x14ac:dyDescent="0.3">
      <c r="A174" s="174" t="s">
        <v>615</v>
      </c>
      <c r="B174" s="174" t="s">
        <v>616</v>
      </c>
      <c r="C174" s="1" t="s">
        <v>352</v>
      </c>
      <c r="D174" s="1" t="s">
        <v>348</v>
      </c>
      <c r="E174" s="10">
        <v>0</v>
      </c>
    </row>
    <row r="175" spans="1:5" x14ac:dyDescent="0.3">
      <c r="A175" s="175" t="s">
        <v>615</v>
      </c>
      <c r="B175" s="174" t="s">
        <v>616</v>
      </c>
      <c r="C175" s="1" t="s">
        <v>353</v>
      </c>
      <c r="D175" s="1" t="s">
        <v>348</v>
      </c>
      <c r="E175" s="10">
        <v>0.53</v>
      </c>
    </row>
    <row r="176" spans="1:5" x14ac:dyDescent="0.3">
      <c r="A176" s="174" t="s">
        <v>535</v>
      </c>
      <c r="B176" s="174" t="s">
        <v>536</v>
      </c>
      <c r="C176" s="1" t="s">
        <v>453</v>
      </c>
      <c r="D176" s="1" t="s">
        <v>453</v>
      </c>
      <c r="E176" s="10">
        <v>86.73</v>
      </c>
    </row>
    <row r="177" spans="1:5" x14ac:dyDescent="0.3">
      <c r="A177" s="174" t="s">
        <v>535</v>
      </c>
      <c r="B177" s="174" t="s">
        <v>536</v>
      </c>
      <c r="C177" s="1" t="s">
        <v>350</v>
      </c>
      <c r="D177" s="1" t="s">
        <v>348</v>
      </c>
      <c r="E177" s="10">
        <v>1.5</v>
      </c>
    </row>
    <row r="178" spans="1:5" x14ac:dyDescent="0.3">
      <c r="A178" s="174" t="s">
        <v>535</v>
      </c>
      <c r="B178" s="174" t="s">
        <v>536</v>
      </c>
      <c r="C178" s="1" t="s">
        <v>351</v>
      </c>
      <c r="D178" s="1" t="s">
        <v>347</v>
      </c>
      <c r="E178" s="10">
        <v>1.5</v>
      </c>
    </row>
    <row r="179" spans="1:5" x14ac:dyDescent="0.3">
      <c r="A179" s="174" t="s">
        <v>535</v>
      </c>
      <c r="B179" s="174" t="s">
        <v>536</v>
      </c>
      <c r="C179" s="1" t="s">
        <v>352</v>
      </c>
      <c r="D179" s="1" t="s">
        <v>348</v>
      </c>
      <c r="E179" s="10">
        <v>0.4</v>
      </c>
    </row>
    <row r="180" spans="1:5" x14ac:dyDescent="0.3">
      <c r="A180" s="175" t="s">
        <v>535</v>
      </c>
      <c r="B180" s="174" t="s">
        <v>536</v>
      </c>
      <c r="C180" s="1" t="s">
        <v>353</v>
      </c>
      <c r="D180" s="1" t="s">
        <v>348</v>
      </c>
      <c r="E180" s="10">
        <v>0.05</v>
      </c>
    </row>
    <row r="181" spans="1:5" x14ac:dyDescent="0.3">
      <c r="A181" s="174" t="s">
        <v>531</v>
      </c>
      <c r="B181" s="174" t="s">
        <v>532</v>
      </c>
      <c r="C181" s="1" t="s">
        <v>453</v>
      </c>
      <c r="D181" s="1" t="s">
        <v>453</v>
      </c>
      <c r="E181" s="10">
        <v>263.36</v>
      </c>
    </row>
    <row r="182" spans="1:5" x14ac:dyDescent="0.3">
      <c r="A182" s="174" t="s">
        <v>531</v>
      </c>
      <c r="B182" s="174" t="s">
        <v>532</v>
      </c>
      <c r="C182" s="1" t="s">
        <v>350</v>
      </c>
      <c r="D182" s="1" t="s">
        <v>348</v>
      </c>
      <c r="E182" s="10">
        <v>1.5</v>
      </c>
    </row>
    <row r="183" spans="1:5" x14ac:dyDescent="0.3">
      <c r="A183" s="174" t="s">
        <v>531</v>
      </c>
      <c r="B183" s="174" t="s">
        <v>532</v>
      </c>
      <c r="C183" s="1" t="s">
        <v>351</v>
      </c>
      <c r="D183" s="1" t="s">
        <v>347</v>
      </c>
      <c r="E183" s="10">
        <v>1.5</v>
      </c>
    </row>
    <row r="184" spans="1:5" x14ac:dyDescent="0.3">
      <c r="A184" s="174" t="s">
        <v>531</v>
      </c>
      <c r="B184" s="174" t="s">
        <v>532</v>
      </c>
      <c r="C184" s="1" t="s">
        <v>352</v>
      </c>
      <c r="D184" s="1" t="s">
        <v>348</v>
      </c>
      <c r="E184" s="10">
        <v>0.4</v>
      </c>
    </row>
    <row r="185" spans="1:5" x14ac:dyDescent="0.3">
      <c r="A185" s="175" t="s">
        <v>531</v>
      </c>
      <c r="B185" s="174" t="s">
        <v>532</v>
      </c>
      <c r="C185" s="1" t="s">
        <v>353</v>
      </c>
      <c r="D185" s="1" t="s">
        <v>348</v>
      </c>
      <c r="E185" s="10">
        <v>0.05</v>
      </c>
    </row>
    <row r="186" spans="1:5" x14ac:dyDescent="0.3">
      <c r="A186" s="174" t="s">
        <v>533</v>
      </c>
      <c r="B186" s="174" t="s">
        <v>534</v>
      </c>
      <c r="C186" s="1" t="s">
        <v>453</v>
      </c>
      <c r="D186" s="1" t="s">
        <v>453</v>
      </c>
      <c r="E186" s="10">
        <v>528.46</v>
      </c>
    </row>
    <row r="187" spans="1:5" x14ac:dyDescent="0.3">
      <c r="A187" s="174" t="s">
        <v>533</v>
      </c>
      <c r="B187" s="174" t="s">
        <v>534</v>
      </c>
      <c r="C187" s="1" t="s">
        <v>350</v>
      </c>
      <c r="D187" s="1" t="s">
        <v>348</v>
      </c>
      <c r="E187" s="10">
        <v>1.5</v>
      </c>
    </row>
    <row r="188" spans="1:5" x14ac:dyDescent="0.3">
      <c r="A188" s="174" t="s">
        <v>533</v>
      </c>
      <c r="B188" s="174" t="s">
        <v>534</v>
      </c>
      <c r="C188" s="1" t="s">
        <v>351</v>
      </c>
      <c r="D188" s="1" t="s">
        <v>347</v>
      </c>
      <c r="E188" s="10">
        <v>1.5</v>
      </c>
    </row>
    <row r="189" spans="1:5" x14ac:dyDescent="0.3">
      <c r="A189" s="174" t="s">
        <v>533</v>
      </c>
      <c r="B189" s="174" t="s">
        <v>534</v>
      </c>
      <c r="C189" s="1" t="s">
        <v>352</v>
      </c>
      <c r="D189" s="1" t="s">
        <v>348</v>
      </c>
      <c r="E189" s="10">
        <v>0.4</v>
      </c>
    </row>
    <row r="190" spans="1:5" x14ac:dyDescent="0.3">
      <c r="A190" s="175" t="s">
        <v>533</v>
      </c>
      <c r="B190" s="174" t="s">
        <v>534</v>
      </c>
      <c r="C190" s="1" t="s">
        <v>353</v>
      </c>
      <c r="D190" s="1" t="s">
        <v>348</v>
      </c>
      <c r="E190" s="10">
        <v>0.05</v>
      </c>
    </row>
    <row r="191" spans="1:5" x14ac:dyDescent="0.3">
      <c r="A191" s="174" t="s">
        <v>32</v>
      </c>
      <c r="B191" s="174" t="s">
        <v>33</v>
      </c>
      <c r="C191" s="1" t="s">
        <v>453</v>
      </c>
      <c r="D191" s="1" t="s">
        <v>453</v>
      </c>
      <c r="E191" s="10">
        <v>187.51999999999998</v>
      </c>
    </row>
    <row r="192" spans="1:5" x14ac:dyDescent="0.3">
      <c r="A192" s="174" t="s">
        <v>32</v>
      </c>
      <c r="B192" s="174" t="s">
        <v>33</v>
      </c>
      <c r="C192" s="1" t="s">
        <v>350</v>
      </c>
      <c r="D192" s="1" t="s">
        <v>348</v>
      </c>
      <c r="E192" s="10">
        <v>1.5</v>
      </c>
    </row>
    <row r="193" spans="1:5" x14ac:dyDescent="0.3">
      <c r="A193" s="174" t="s">
        <v>32</v>
      </c>
      <c r="B193" s="174" t="s">
        <v>33</v>
      </c>
      <c r="C193" s="1" t="s">
        <v>351</v>
      </c>
      <c r="D193" s="1" t="s">
        <v>347</v>
      </c>
      <c r="E193" s="10">
        <v>1.5</v>
      </c>
    </row>
    <row r="194" spans="1:5" x14ac:dyDescent="0.3">
      <c r="A194" s="174" t="s">
        <v>32</v>
      </c>
      <c r="B194" s="174" t="s">
        <v>33</v>
      </c>
      <c r="C194" s="1" t="s">
        <v>352</v>
      </c>
      <c r="D194" s="1" t="s">
        <v>348</v>
      </c>
      <c r="E194" s="10">
        <v>0.4</v>
      </c>
    </row>
    <row r="195" spans="1:5" x14ac:dyDescent="0.3">
      <c r="A195" s="175" t="s">
        <v>32</v>
      </c>
      <c r="B195" s="174" t="s">
        <v>33</v>
      </c>
      <c r="C195" s="1" t="s">
        <v>353</v>
      </c>
      <c r="D195" s="1" t="s">
        <v>348</v>
      </c>
      <c r="E195" s="10">
        <v>0.05</v>
      </c>
    </row>
    <row r="196" spans="1:5" x14ac:dyDescent="0.3">
      <c r="A196" s="174" t="s">
        <v>554</v>
      </c>
      <c r="B196" s="174" t="s">
        <v>555</v>
      </c>
      <c r="C196" s="1" t="s">
        <v>453</v>
      </c>
      <c r="D196" s="1" t="s">
        <v>453</v>
      </c>
      <c r="E196" s="10">
        <v>261.41000000000003</v>
      </c>
    </row>
    <row r="197" spans="1:5" x14ac:dyDescent="0.3">
      <c r="A197" s="174" t="s">
        <v>554</v>
      </c>
      <c r="B197" s="174" t="s">
        <v>555</v>
      </c>
      <c r="C197" s="1" t="s">
        <v>350</v>
      </c>
      <c r="D197" s="1" t="s">
        <v>348</v>
      </c>
      <c r="E197" s="10">
        <v>1.5</v>
      </c>
    </row>
    <row r="198" spans="1:5" x14ac:dyDescent="0.3">
      <c r="A198" s="174" t="s">
        <v>554</v>
      </c>
      <c r="B198" s="174" t="s">
        <v>555</v>
      </c>
      <c r="C198" s="1" t="s">
        <v>351</v>
      </c>
      <c r="D198" s="1" t="s">
        <v>347</v>
      </c>
      <c r="E198" s="10">
        <v>1.5</v>
      </c>
    </row>
    <row r="199" spans="1:5" x14ac:dyDescent="0.3">
      <c r="A199" s="174" t="s">
        <v>554</v>
      </c>
      <c r="B199" s="174" t="s">
        <v>555</v>
      </c>
      <c r="C199" s="1" t="s">
        <v>352</v>
      </c>
      <c r="D199" s="1" t="s">
        <v>348</v>
      </c>
      <c r="E199" s="10">
        <v>0.4</v>
      </c>
    </row>
    <row r="200" spans="1:5" x14ac:dyDescent="0.3">
      <c r="A200" s="175" t="s">
        <v>554</v>
      </c>
      <c r="B200" s="174" t="s">
        <v>555</v>
      </c>
      <c r="C200" s="1" t="s">
        <v>353</v>
      </c>
      <c r="D200" s="1" t="s">
        <v>348</v>
      </c>
      <c r="E200" s="10">
        <v>0.05</v>
      </c>
    </row>
    <row r="201" spans="1:5" x14ac:dyDescent="0.3">
      <c r="A201" s="174" t="s">
        <v>556</v>
      </c>
      <c r="B201" s="174" t="s">
        <v>557</v>
      </c>
      <c r="C201" s="1" t="s">
        <v>453</v>
      </c>
      <c r="D201" s="1" t="s">
        <v>453</v>
      </c>
      <c r="E201" s="10">
        <v>528.46</v>
      </c>
    </row>
    <row r="202" spans="1:5" x14ac:dyDescent="0.3">
      <c r="A202" s="174" t="s">
        <v>556</v>
      </c>
      <c r="B202" s="174" t="s">
        <v>557</v>
      </c>
      <c r="C202" s="1" t="s">
        <v>350</v>
      </c>
      <c r="D202" s="1" t="s">
        <v>348</v>
      </c>
      <c r="E202" s="10">
        <v>1.5</v>
      </c>
    </row>
    <row r="203" spans="1:5" x14ac:dyDescent="0.3">
      <c r="A203" s="174" t="s">
        <v>556</v>
      </c>
      <c r="B203" s="174" t="s">
        <v>557</v>
      </c>
      <c r="C203" s="1" t="s">
        <v>351</v>
      </c>
      <c r="D203" s="1" t="s">
        <v>347</v>
      </c>
      <c r="E203" s="10">
        <v>1.5</v>
      </c>
    </row>
    <row r="204" spans="1:5" x14ac:dyDescent="0.3">
      <c r="A204" s="174" t="s">
        <v>556</v>
      </c>
      <c r="B204" s="174" t="s">
        <v>557</v>
      </c>
      <c r="C204" s="1" t="s">
        <v>352</v>
      </c>
      <c r="D204" s="1" t="s">
        <v>348</v>
      </c>
      <c r="E204" s="10">
        <v>0.4</v>
      </c>
    </row>
    <row r="205" spans="1:5" x14ac:dyDescent="0.3">
      <c r="A205" s="175" t="s">
        <v>556</v>
      </c>
      <c r="B205" s="174" t="s">
        <v>557</v>
      </c>
      <c r="C205" s="1" t="s">
        <v>353</v>
      </c>
      <c r="D205" s="1" t="s">
        <v>348</v>
      </c>
      <c r="E205" s="10">
        <v>0.05</v>
      </c>
    </row>
    <row r="206" spans="1:5" x14ac:dyDescent="0.3">
      <c r="A206" s="174" t="s">
        <v>617</v>
      </c>
      <c r="B206" s="174" t="s">
        <v>618</v>
      </c>
      <c r="C206" s="1" t="s">
        <v>453</v>
      </c>
      <c r="D206" s="1" t="s">
        <v>453</v>
      </c>
      <c r="E206" s="10">
        <v>163.41</v>
      </c>
    </row>
    <row r="207" spans="1:5" x14ac:dyDescent="0.3">
      <c r="A207" s="174" t="s">
        <v>617</v>
      </c>
      <c r="B207" s="174" t="s">
        <v>618</v>
      </c>
      <c r="C207" s="1" t="s">
        <v>350</v>
      </c>
      <c r="D207" s="1" t="s">
        <v>348</v>
      </c>
      <c r="E207" s="10">
        <v>0</v>
      </c>
    </row>
    <row r="208" spans="1:5" x14ac:dyDescent="0.3">
      <c r="A208" s="174" t="s">
        <v>617</v>
      </c>
      <c r="B208" s="174" t="s">
        <v>618</v>
      </c>
      <c r="C208" s="1" t="s">
        <v>1476</v>
      </c>
      <c r="D208" s="1" t="s">
        <v>1293</v>
      </c>
      <c r="E208" s="10">
        <v>0.31000000000000005</v>
      </c>
    </row>
    <row r="209" spans="1:5" x14ac:dyDescent="0.3">
      <c r="A209" s="174" t="s">
        <v>617</v>
      </c>
      <c r="B209" s="174" t="s">
        <v>618</v>
      </c>
      <c r="C209" s="1" t="s">
        <v>351</v>
      </c>
      <c r="D209" s="1" t="s">
        <v>347</v>
      </c>
      <c r="E209" s="10">
        <v>6.4700000000000006</v>
      </c>
    </row>
    <row r="210" spans="1:5" x14ac:dyDescent="0.3">
      <c r="A210" s="174" t="s">
        <v>617</v>
      </c>
      <c r="B210" s="174" t="s">
        <v>618</v>
      </c>
      <c r="C210" s="1" t="s">
        <v>352</v>
      </c>
      <c r="D210" s="1" t="s">
        <v>348</v>
      </c>
      <c r="E210" s="10">
        <v>0</v>
      </c>
    </row>
    <row r="211" spans="1:5" x14ac:dyDescent="0.3">
      <c r="A211" s="175" t="s">
        <v>617</v>
      </c>
      <c r="B211" s="174" t="s">
        <v>618</v>
      </c>
      <c r="C211" s="1" t="s">
        <v>353</v>
      </c>
      <c r="D211" s="1" t="s">
        <v>348</v>
      </c>
      <c r="E211" s="10">
        <v>0.53</v>
      </c>
    </row>
    <row r="212" spans="1:5" x14ac:dyDescent="0.3">
      <c r="A212" s="174" t="s">
        <v>619</v>
      </c>
      <c r="B212" s="174" t="s">
        <v>620</v>
      </c>
      <c r="C212" s="1" t="s">
        <v>453</v>
      </c>
      <c r="D212" s="1" t="s">
        <v>453</v>
      </c>
      <c r="E212" s="10">
        <v>208.27</v>
      </c>
    </row>
    <row r="213" spans="1:5" x14ac:dyDescent="0.3">
      <c r="A213" s="174" t="s">
        <v>619</v>
      </c>
      <c r="B213" s="174" t="s">
        <v>620</v>
      </c>
      <c r="C213" s="1" t="s">
        <v>350</v>
      </c>
      <c r="D213" s="1" t="s">
        <v>348</v>
      </c>
      <c r="E213" s="10">
        <v>0</v>
      </c>
    </row>
    <row r="214" spans="1:5" x14ac:dyDescent="0.3">
      <c r="A214" s="174" t="s">
        <v>619</v>
      </c>
      <c r="B214" s="174" t="s">
        <v>620</v>
      </c>
      <c r="C214" s="1" t="s">
        <v>1476</v>
      </c>
      <c r="D214" s="1" t="s">
        <v>1293</v>
      </c>
      <c r="E214" s="10">
        <v>0.37</v>
      </c>
    </row>
    <row r="215" spans="1:5" x14ac:dyDescent="0.3">
      <c r="A215" s="174" t="s">
        <v>619</v>
      </c>
      <c r="B215" s="174" t="s">
        <v>620</v>
      </c>
      <c r="C215" s="1" t="s">
        <v>351</v>
      </c>
      <c r="D215" s="1" t="s">
        <v>347</v>
      </c>
      <c r="E215" s="10">
        <v>6.4700000000000006</v>
      </c>
    </row>
    <row r="216" spans="1:5" x14ac:dyDescent="0.3">
      <c r="A216" s="174" t="s">
        <v>619</v>
      </c>
      <c r="B216" s="174" t="s">
        <v>620</v>
      </c>
      <c r="C216" s="1" t="s">
        <v>352</v>
      </c>
      <c r="D216" s="1" t="s">
        <v>348</v>
      </c>
      <c r="E216" s="10">
        <v>0</v>
      </c>
    </row>
    <row r="217" spans="1:5" x14ac:dyDescent="0.3">
      <c r="A217" s="175" t="s">
        <v>619</v>
      </c>
      <c r="B217" s="174" t="s">
        <v>620</v>
      </c>
      <c r="C217" s="1" t="s">
        <v>353</v>
      </c>
      <c r="D217" s="1" t="s">
        <v>348</v>
      </c>
      <c r="E217" s="10">
        <v>0.53</v>
      </c>
    </row>
    <row r="218" spans="1:5" x14ac:dyDescent="0.3">
      <c r="A218" s="174" t="s">
        <v>1499</v>
      </c>
      <c r="B218" s="174" t="s">
        <v>1500</v>
      </c>
      <c r="C218" s="1" t="s">
        <v>453</v>
      </c>
      <c r="D218" s="1" t="s">
        <v>453</v>
      </c>
      <c r="E218" s="10">
        <v>150.96</v>
      </c>
    </row>
    <row r="219" spans="1:5" x14ac:dyDescent="0.3">
      <c r="A219" s="174" t="s">
        <v>1499</v>
      </c>
      <c r="B219" s="174" t="s">
        <v>1500</v>
      </c>
      <c r="C219" s="1" t="s">
        <v>350</v>
      </c>
      <c r="D219" s="1" t="s">
        <v>348</v>
      </c>
      <c r="E219" s="10">
        <v>1.5</v>
      </c>
    </row>
    <row r="220" spans="1:5" x14ac:dyDescent="0.3">
      <c r="A220" s="174" t="s">
        <v>1499</v>
      </c>
      <c r="B220" s="174" t="s">
        <v>1500</v>
      </c>
      <c r="C220" s="1" t="s">
        <v>351</v>
      </c>
      <c r="D220" s="1" t="s">
        <v>347</v>
      </c>
      <c r="E220" s="10">
        <v>1.5</v>
      </c>
    </row>
    <row r="221" spans="1:5" x14ac:dyDescent="0.3">
      <c r="A221" s="174" t="s">
        <v>1499</v>
      </c>
      <c r="B221" s="174" t="s">
        <v>1500</v>
      </c>
      <c r="C221" s="1" t="s">
        <v>352</v>
      </c>
      <c r="D221" s="1" t="s">
        <v>348</v>
      </c>
      <c r="E221" s="10">
        <v>0.28999999999999998</v>
      </c>
    </row>
    <row r="222" spans="1:5" x14ac:dyDescent="0.3">
      <c r="A222" s="175" t="s">
        <v>1499</v>
      </c>
      <c r="B222" s="174" t="s">
        <v>1500</v>
      </c>
      <c r="C222" s="1" t="s">
        <v>353</v>
      </c>
      <c r="D222" s="1" t="s">
        <v>348</v>
      </c>
      <c r="E222" s="10">
        <v>0.03</v>
      </c>
    </row>
    <row r="223" spans="1:5" x14ac:dyDescent="0.3">
      <c r="A223" s="174" t="s">
        <v>1537</v>
      </c>
      <c r="B223" s="174" t="s">
        <v>1538</v>
      </c>
      <c r="C223" s="1" t="s">
        <v>453</v>
      </c>
      <c r="D223" s="1" t="s">
        <v>453</v>
      </c>
      <c r="E223" s="10">
        <v>231.53</v>
      </c>
    </row>
    <row r="224" spans="1:5" x14ac:dyDescent="0.3">
      <c r="A224" s="174" t="s">
        <v>1537</v>
      </c>
      <c r="B224" s="174" t="s">
        <v>1538</v>
      </c>
      <c r="C224" s="1" t="s">
        <v>350</v>
      </c>
      <c r="D224" s="1" t="s">
        <v>348</v>
      </c>
      <c r="E224" s="10">
        <v>3</v>
      </c>
    </row>
    <row r="225" spans="1:5" x14ac:dyDescent="0.3">
      <c r="A225" s="174" t="s">
        <v>1537</v>
      </c>
      <c r="B225" s="174" t="s">
        <v>1538</v>
      </c>
      <c r="C225" s="1" t="s">
        <v>351</v>
      </c>
      <c r="D225" s="1" t="s">
        <v>347</v>
      </c>
      <c r="E225" s="10">
        <v>3.26</v>
      </c>
    </row>
    <row r="226" spans="1:5" x14ac:dyDescent="0.3">
      <c r="A226" s="174" t="s">
        <v>1537</v>
      </c>
      <c r="B226" s="174" t="s">
        <v>1538</v>
      </c>
      <c r="C226" s="1" t="s">
        <v>352</v>
      </c>
      <c r="D226" s="1" t="s">
        <v>348</v>
      </c>
      <c r="E226" s="10">
        <v>0.74</v>
      </c>
    </row>
    <row r="227" spans="1:5" x14ac:dyDescent="0.3">
      <c r="A227" s="175" t="s">
        <v>1537</v>
      </c>
      <c r="B227" s="174" t="s">
        <v>1538</v>
      </c>
      <c r="C227" s="1" t="s">
        <v>353</v>
      </c>
      <c r="D227" s="1" t="s">
        <v>348</v>
      </c>
      <c r="E227" s="10">
        <v>0.08</v>
      </c>
    </row>
    <row r="228" spans="1:5" x14ac:dyDescent="0.3">
      <c r="A228" s="174" t="s">
        <v>1539</v>
      </c>
      <c r="B228" s="174" t="s">
        <v>1540</v>
      </c>
      <c r="C228" s="1" t="s">
        <v>453</v>
      </c>
      <c r="D228" s="1" t="s">
        <v>453</v>
      </c>
      <c r="E228" s="10">
        <v>224.73000000000002</v>
      </c>
    </row>
    <row r="229" spans="1:5" x14ac:dyDescent="0.3">
      <c r="A229" s="174" t="s">
        <v>1539</v>
      </c>
      <c r="B229" s="174" t="s">
        <v>1540</v>
      </c>
      <c r="C229" s="1" t="s">
        <v>350</v>
      </c>
      <c r="D229" s="1" t="s">
        <v>348</v>
      </c>
      <c r="E229" s="10">
        <v>1.5</v>
      </c>
    </row>
    <row r="230" spans="1:5" x14ac:dyDescent="0.3">
      <c r="A230" s="174" t="s">
        <v>1539</v>
      </c>
      <c r="B230" s="174" t="s">
        <v>1540</v>
      </c>
      <c r="C230" s="1" t="s">
        <v>351</v>
      </c>
      <c r="D230" s="1" t="s">
        <v>347</v>
      </c>
      <c r="E230" s="10">
        <v>1.63</v>
      </c>
    </row>
    <row r="231" spans="1:5" x14ac:dyDescent="0.3">
      <c r="A231" s="174" t="s">
        <v>1539</v>
      </c>
      <c r="B231" s="174" t="s">
        <v>1540</v>
      </c>
      <c r="C231" s="1" t="s">
        <v>352</v>
      </c>
      <c r="D231" s="1" t="s">
        <v>348</v>
      </c>
      <c r="E231" s="10">
        <v>0.37</v>
      </c>
    </row>
    <row r="232" spans="1:5" x14ac:dyDescent="0.3">
      <c r="A232" s="175" t="s">
        <v>1539</v>
      </c>
      <c r="B232" s="174" t="s">
        <v>1540</v>
      </c>
      <c r="C232" s="1" t="s">
        <v>353</v>
      </c>
      <c r="D232" s="1" t="s">
        <v>348</v>
      </c>
      <c r="E232" s="10">
        <v>0.04</v>
      </c>
    </row>
    <row r="233" spans="1:5" x14ac:dyDescent="0.3">
      <c r="A233" s="174" t="s">
        <v>1541</v>
      </c>
      <c r="B233" s="174" t="s">
        <v>1542</v>
      </c>
      <c r="C233" s="1" t="s">
        <v>453</v>
      </c>
      <c r="D233" s="1" t="s">
        <v>453</v>
      </c>
      <c r="E233" s="10">
        <v>84.990000000000009</v>
      </c>
    </row>
    <row r="234" spans="1:5" x14ac:dyDescent="0.3">
      <c r="A234" s="174" t="s">
        <v>1541</v>
      </c>
      <c r="B234" s="174" t="s">
        <v>1542</v>
      </c>
      <c r="C234" s="1" t="s">
        <v>350</v>
      </c>
      <c r="D234" s="1" t="s">
        <v>348</v>
      </c>
      <c r="E234" s="10">
        <v>1.5</v>
      </c>
    </row>
    <row r="235" spans="1:5" x14ac:dyDescent="0.3">
      <c r="A235" s="174" t="s">
        <v>1541</v>
      </c>
      <c r="B235" s="174" t="s">
        <v>1542</v>
      </c>
      <c r="C235" s="1" t="s">
        <v>351</v>
      </c>
      <c r="D235" s="1" t="s">
        <v>347</v>
      </c>
      <c r="E235" s="10">
        <v>1.63</v>
      </c>
    </row>
    <row r="236" spans="1:5" x14ac:dyDescent="0.3">
      <c r="A236" s="174" t="s">
        <v>1541</v>
      </c>
      <c r="B236" s="174" t="s">
        <v>1542</v>
      </c>
      <c r="C236" s="1" t="s">
        <v>352</v>
      </c>
      <c r="D236" s="1" t="s">
        <v>348</v>
      </c>
      <c r="E236" s="10">
        <v>0.37</v>
      </c>
    </row>
    <row r="237" spans="1:5" x14ac:dyDescent="0.3">
      <c r="A237" s="175" t="s">
        <v>1541</v>
      </c>
      <c r="B237" s="174" t="s">
        <v>1542</v>
      </c>
      <c r="C237" s="1" t="s">
        <v>353</v>
      </c>
      <c r="D237" s="1" t="s">
        <v>348</v>
      </c>
      <c r="E237" s="10">
        <v>0.04</v>
      </c>
    </row>
    <row r="238" spans="1:5" x14ac:dyDescent="0.3">
      <c r="A238" s="174" t="s">
        <v>1543</v>
      </c>
      <c r="B238" s="174" t="s">
        <v>1544</v>
      </c>
      <c r="C238" s="1" t="s">
        <v>453</v>
      </c>
      <c r="D238" s="1" t="s">
        <v>453</v>
      </c>
      <c r="E238" s="10">
        <v>485.02999999999992</v>
      </c>
    </row>
    <row r="239" spans="1:5" x14ac:dyDescent="0.3">
      <c r="A239" s="174" t="s">
        <v>1543</v>
      </c>
      <c r="B239" s="174" t="s">
        <v>1544</v>
      </c>
      <c r="C239" s="1" t="s">
        <v>350</v>
      </c>
      <c r="D239" s="1" t="s">
        <v>348</v>
      </c>
      <c r="E239" s="10">
        <v>7.5</v>
      </c>
    </row>
    <row r="240" spans="1:5" x14ac:dyDescent="0.3">
      <c r="A240" s="174" t="s">
        <v>1543</v>
      </c>
      <c r="B240" s="174" t="s">
        <v>1544</v>
      </c>
      <c r="C240" s="1" t="s">
        <v>351</v>
      </c>
      <c r="D240" s="1" t="s">
        <v>347</v>
      </c>
      <c r="E240" s="10">
        <v>8.1499999999999986</v>
      </c>
    </row>
    <row r="241" spans="1:5" x14ac:dyDescent="0.3">
      <c r="A241" s="174" t="s">
        <v>1543</v>
      </c>
      <c r="B241" s="174" t="s">
        <v>1544</v>
      </c>
      <c r="C241" s="1" t="s">
        <v>352</v>
      </c>
      <c r="D241" s="1" t="s">
        <v>348</v>
      </c>
      <c r="E241" s="10">
        <v>1.85</v>
      </c>
    </row>
    <row r="242" spans="1:5" x14ac:dyDescent="0.3">
      <c r="A242" s="175" t="s">
        <v>1543</v>
      </c>
      <c r="B242" s="174" t="s">
        <v>1544</v>
      </c>
      <c r="C242" s="1" t="s">
        <v>353</v>
      </c>
      <c r="D242" s="1" t="s">
        <v>348</v>
      </c>
      <c r="E242" s="10">
        <v>0.2</v>
      </c>
    </row>
    <row r="243" spans="1:5" x14ac:dyDescent="0.3">
      <c r="A243" s="174" t="s">
        <v>1545</v>
      </c>
      <c r="B243" s="174" t="s">
        <v>1546</v>
      </c>
      <c r="C243" s="1" t="s">
        <v>453</v>
      </c>
      <c r="D243" s="1" t="s">
        <v>453</v>
      </c>
      <c r="E243" s="10">
        <v>133.83000000000001</v>
      </c>
    </row>
    <row r="244" spans="1:5" x14ac:dyDescent="0.3">
      <c r="A244" s="174" t="s">
        <v>1545</v>
      </c>
      <c r="B244" s="174" t="s">
        <v>1546</v>
      </c>
      <c r="C244" s="1" t="s">
        <v>350</v>
      </c>
      <c r="D244" s="1" t="s">
        <v>348</v>
      </c>
      <c r="E244" s="10">
        <v>3</v>
      </c>
    </row>
    <row r="245" spans="1:5" x14ac:dyDescent="0.3">
      <c r="A245" s="174" t="s">
        <v>1545</v>
      </c>
      <c r="B245" s="174" t="s">
        <v>1546</v>
      </c>
      <c r="C245" s="1" t="s">
        <v>351</v>
      </c>
      <c r="D245" s="1" t="s">
        <v>347</v>
      </c>
      <c r="E245" s="10">
        <v>3.26</v>
      </c>
    </row>
    <row r="246" spans="1:5" x14ac:dyDescent="0.3">
      <c r="A246" s="174" t="s">
        <v>1545</v>
      </c>
      <c r="B246" s="174" t="s">
        <v>1546</v>
      </c>
      <c r="C246" s="1" t="s">
        <v>352</v>
      </c>
      <c r="D246" s="1" t="s">
        <v>348</v>
      </c>
      <c r="E246" s="10">
        <v>0.74</v>
      </c>
    </row>
    <row r="247" spans="1:5" x14ac:dyDescent="0.3">
      <c r="A247" s="175" t="s">
        <v>1545</v>
      </c>
      <c r="B247" s="174" t="s">
        <v>1546</v>
      </c>
      <c r="C247" s="1" t="s">
        <v>353</v>
      </c>
      <c r="D247" s="1" t="s">
        <v>348</v>
      </c>
      <c r="E247" s="10">
        <v>0.08</v>
      </c>
    </row>
    <row r="248" spans="1:5" x14ac:dyDescent="0.3">
      <c r="A248" s="174" t="s">
        <v>621</v>
      </c>
      <c r="B248" s="174" t="s">
        <v>622</v>
      </c>
      <c r="C248" s="1" t="s">
        <v>453</v>
      </c>
      <c r="D248" s="1" t="s">
        <v>453</v>
      </c>
      <c r="E248" s="10">
        <v>161.96</v>
      </c>
    </row>
    <row r="249" spans="1:5" x14ac:dyDescent="0.3">
      <c r="A249" s="174" t="s">
        <v>621</v>
      </c>
      <c r="B249" s="174" t="s">
        <v>622</v>
      </c>
      <c r="C249" s="1" t="s">
        <v>350</v>
      </c>
      <c r="D249" s="1" t="s">
        <v>348</v>
      </c>
      <c r="E249" s="10">
        <v>0</v>
      </c>
    </row>
    <row r="250" spans="1:5" x14ac:dyDescent="0.3">
      <c r="A250" s="174" t="s">
        <v>621</v>
      </c>
      <c r="B250" s="174" t="s">
        <v>622</v>
      </c>
      <c r="C250" s="1" t="s">
        <v>1476</v>
      </c>
      <c r="D250" s="1" t="s">
        <v>1293</v>
      </c>
      <c r="E250" s="10">
        <v>0.31000000000000005</v>
      </c>
    </row>
    <row r="251" spans="1:5" x14ac:dyDescent="0.3">
      <c r="A251" s="174" t="s">
        <v>621</v>
      </c>
      <c r="B251" s="174" t="s">
        <v>622</v>
      </c>
      <c r="C251" s="1" t="s">
        <v>351</v>
      </c>
      <c r="D251" s="1" t="s">
        <v>347</v>
      </c>
      <c r="E251" s="10">
        <v>6.4700000000000006</v>
      </c>
    </row>
    <row r="252" spans="1:5" x14ac:dyDescent="0.3">
      <c r="A252" s="174" t="s">
        <v>621</v>
      </c>
      <c r="B252" s="174" t="s">
        <v>622</v>
      </c>
      <c r="C252" s="1" t="s">
        <v>352</v>
      </c>
      <c r="D252" s="1" t="s">
        <v>348</v>
      </c>
      <c r="E252" s="10">
        <v>0</v>
      </c>
    </row>
    <row r="253" spans="1:5" x14ac:dyDescent="0.3">
      <c r="A253" s="175" t="s">
        <v>621</v>
      </c>
      <c r="B253" s="174" t="s">
        <v>622</v>
      </c>
      <c r="C253" s="1" t="s">
        <v>353</v>
      </c>
      <c r="D253" s="1" t="s">
        <v>348</v>
      </c>
      <c r="E253" s="10">
        <v>0.53</v>
      </c>
    </row>
    <row r="254" spans="1:5" x14ac:dyDescent="0.3">
      <c r="A254" s="174" t="s">
        <v>623</v>
      </c>
      <c r="B254" s="174" t="s">
        <v>624</v>
      </c>
      <c r="C254" s="1" t="s">
        <v>453</v>
      </c>
      <c r="D254" s="1" t="s">
        <v>453</v>
      </c>
      <c r="E254" s="10">
        <v>187.11999999999998</v>
      </c>
    </row>
    <row r="255" spans="1:5" x14ac:dyDescent="0.3">
      <c r="A255" s="174" t="s">
        <v>623</v>
      </c>
      <c r="B255" s="174" t="s">
        <v>624</v>
      </c>
      <c r="C255" s="1" t="s">
        <v>350</v>
      </c>
      <c r="D255" s="1" t="s">
        <v>348</v>
      </c>
      <c r="E255" s="10">
        <v>0</v>
      </c>
    </row>
    <row r="256" spans="1:5" x14ac:dyDescent="0.3">
      <c r="A256" s="174" t="s">
        <v>623</v>
      </c>
      <c r="B256" s="174" t="s">
        <v>624</v>
      </c>
      <c r="C256" s="1" t="s">
        <v>1476</v>
      </c>
      <c r="D256" s="1" t="s">
        <v>1293</v>
      </c>
      <c r="E256" s="10">
        <v>0.35</v>
      </c>
    </row>
    <row r="257" spans="1:5" x14ac:dyDescent="0.3">
      <c r="A257" s="174" t="s">
        <v>623</v>
      </c>
      <c r="B257" s="174" t="s">
        <v>624</v>
      </c>
      <c r="C257" s="1" t="s">
        <v>351</v>
      </c>
      <c r="D257" s="1" t="s">
        <v>347</v>
      </c>
      <c r="E257" s="10">
        <v>6.4700000000000006</v>
      </c>
    </row>
    <row r="258" spans="1:5" x14ac:dyDescent="0.3">
      <c r="A258" s="174" t="s">
        <v>623</v>
      </c>
      <c r="B258" s="174" t="s">
        <v>624</v>
      </c>
      <c r="C258" s="1" t="s">
        <v>352</v>
      </c>
      <c r="D258" s="1" t="s">
        <v>348</v>
      </c>
      <c r="E258" s="10">
        <v>0</v>
      </c>
    </row>
    <row r="259" spans="1:5" x14ac:dyDescent="0.3">
      <c r="A259" s="175" t="s">
        <v>623</v>
      </c>
      <c r="B259" s="174" t="s">
        <v>624</v>
      </c>
      <c r="C259" s="1" t="s">
        <v>353</v>
      </c>
      <c r="D259" s="1" t="s">
        <v>348</v>
      </c>
      <c r="E259" s="10">
        <v>0.53</v>
      </c>
    </row>
    <row r="260" spans="1:5" x14ac:dyDescent="0.3">
      <c r="A260" s="174" t="s">
        <v>625</v>
      </c>
      <c r="B260" s="174" t="s">
        <v>626</v>
      </c>
      <c r="C260" s="1" t="s">
        <v>453</v>
      </c>
      <c r="D260" s="1" t="s">
        <v>453</v>
      </c>
      <c r="E260" s="10">
        <v>163.07000000000002</v>
      </c>
    </row>
    <row r="261" spans="1:5" x14ac:dyDescent="0.3">
      <c r="A261" s="174" t="s">
        <v>625</v>
      </c>
      <c r="B261" s="174" t="s">
        <v>626</v>
      </c>
      <c r="C261" s="1" t="s">
        <v>350</v>
      </c>
      <c r="D261" s="1" t="s">
        <v>348</v>
      </c>
      <c r="E261" s="10">
        <v>0</v>
      </c>
    </row>
    <row r="262" spans="1:5" x14ac:dyDescent="0.3">
      <c r="A262" s="174" t="s">
        <v>625</v>
      </c>
      <c r="B262" s="174" t="s">
        <v>626</v>
      </c>
      <c r="C262" s="1" t="s">
        <v>1476</v>
      </c>
      <c r="D262" s="1" t="s">
        <v>1293</v>
      </c>
      <c r="E262" s="10">
        <v>0.31000000000000005</v>
      </c>
    </row>
    <row r="263" spans="1:5" x14ac:dyDescent="0.3">
      <c r="A263" s="174" t="s">
        <v>625</v>
      </c>
      <c r="B263" s="174" t="s">
        <v>626</v>
      </c>
      <c r="C263" s="1" t="s">
        <v>351</v>
      </c>
      <c r="D263" s="1" t="s">
        <v>347</v>
      </c>
      <c r="E263" s="10">
        <v>6.4700000000000006</v>
      </c>
    </row>
    <row r="264" spans="1:5" x14ac:dyDescent="0.3">
      <c r="A264" s="174" t="s">
        <v>625</v>
      </c>
      <c r="B264" s="174" t="s">
        <v>626</v>
      </c>
      <c r="C264" s="1" t="s">
        <v>352</v>
      </c>
      <c r="D264" s="1" t="s">
        <v>348</v>
      </c>
      <c r="E264" s="10">
        <v>0</v>
      </c>
    </row>
    <row r="265" spans="1:5" x14ac:dyDescent="0.3">
      <c r="A265" s="175" t="s">
        <v>625</v>
      </c>
      <c r="B265" s="174" t="s">
        <v>626</v>
      </c>
      <c r="C265" s="1" t="s">
        <v>353</v>
      </c>
      <c r="D265" s="1" t="s">
        <v>348</v>
      </c>
      <c r="E265" s="10">
        <v>0.53</v>
      </c>
    </row>
    <row r="266" spans="1:5" x14ac:dyDescent="0.3">
      <c r="A266" s="174" t="s">
        <v>1459</v>
      </c>
      <c r="B266" s="174" t="s">
        <v>1460</v>
      </c>
      <c r="C266" s="1" t="s">
        <v>453</v>
      </c>
      <c r="D266" s="1" t="s">
        <v>453</v>
      </c>
      <c r="E266" s="10">
        <v>141.07999999999998</v>
      </c>
    </row>
    <row r="267" spans="1:5" x14ac:dyDescent="0.3">
      <c r="A267" s="174" t="s">
        <v>1459</v>
      </c>
      <c r="B267" s="174" t="s">
        <v>1460</v>
      </c>
      <c r="C267" s="1" t="s">
        <v>350</v>
      </c>
      <c r="D267" s="1" t="s">
        <v>348</v>
      </c>
      <c r="E267" s="10">
        <v>1.5</v>
      </c>
    </row>
    <row r="268" spans="1:5" x14ac:dyDescent="0.3">
      <c r="A268" s="174" t="s">
        <v>1459</v>
      </c>
      <c r="B268" s="174" t="s">
        <v>1460</v>
      </c>
      <c r="C268" s="1" t="s">
        <v>351</v>
      </c>
      <c r="D268" s="1" t="s">
        <v>347</v>
      </c>
      <c r="E268" s="10">
        <v>1.63</v>
      </c>
    </row>
    <row r="269" spans="1:5" x14ac:dyDescent="0.3">
      <c r="A269" s="174" t="s">
        <v>1459</v>
      </c>
      <c r="B269" s="174" t="s">
        <v>1460</v>
      </c>
      <c r="C269" s="1" t="s">
        <v>352</v>
      </c>
      <c r="D269" s="1" t="s">
        <v>348</v>
      </c>
      <c r="E269" s="10">
        <v>0.37</v>
      </c>
    </row>
    <row r="270" spans="1:5" x14ac:dyDescent="0.3">
      <c r="A270" s="175" t="s">
        <v>1459</v>
      </c>
      <c r="B270" s="174" t="s">
        <v>1460</v>
      </c>
      <c r="C270" s="1" t="s">
        <v>353</v>
      </c>
      <c r="D270" s="1" t="s">
        <v>348</v>
      </c>
      <c r="E270" s="10">
        <v>0.04</v>
      </c>
    </row>
    <row r="271" spans="1:5" x14ac:dyDescent="0.3">
      <c r="A271" s="174" t="s">
        <v>1547</v>
      </c>
      <c r="B271" s="174" t="s">
        <v>1548</v>
      </c>
      <c r="C271" s="1" t="s">
        <v>453</v>
      </c>
      <c r="D271" s="1" t="s">
        <v>453</v>
      </c>
      <c r="E271" s="10">
        <v>133.82999999999998</v>
      </c>
    </row>
    <row r="272" spans="1:5" x14ac:dyDescent="0.3">
      <c r="A272" s="174" t="s">
        <v>1547</v>
      </c>
      <c r="B272" s="174" t="s">
        <v>1548</v>
      </c>
      <c r="C272" s="1" t="s">
        <v>350</v>
      </c>
      <c r="D272" s="1" t="s">
        <v>348</v>
      </c>
      <c r="E272" s="10">
        <v>3</v>
      </c>
    </row>
    <row r="273" spans="1:5" x14ac:dyDescent="0.3">
      <c r="A273" s="174" t="s">
        <v>1547</v>
      </c>
      <c r="B273" s="174" t="s">
        <v>1548</v>
      </c>
      <c r="C273" s="1" t="s">
        <v>351</v>
      </c>
      <c r="D273" s="1" t="s">
        <v>347</v>
      </c>
      <c r="E273" s="10">
        <v>3.26</v>
      </c>
    </row>
    <row r="274" spans="1:5" x14ac:dyDescent="0.3">
      <c r="A274" s="174" t="s">
        <v>1547</v>
      </c>
      <c r="B274" s="174" t="s">
        <v>1548</v>
      </c>
      <c r="C274" s="1" t="s">
        <v>352</v>
      </c>
      <c r="D274" s="1" t="s">
        <v>348</v>
      </c>
      <c r="E274" s="10">
        <v>0.74</v>
      </c>
    </row>
    <row r="275" spans="1:5" x14ac:dyDescent="0.3">
      <c r="A275" s="175" t="s">
        <v>1547</v>
      </c>
      <c r="B275" s="174" t="s">
        <v>1548</v>
      </c>
      <c r="C275" s="1" t="s">
        <v>353</v>
      </c>
      <c r="D275" s="1" t="s">
        <v>348</v>
      </c>
      <c r="E275" s="10">
        <v>0.08</v>
      </c>
    </row>
    <row r="276" spans="1:5" x14ac:dyDescent="0.3">
      <c r="A276" s="175" t="s">
        <v>723</v>
      </c>
      <c r="B276" s="174" t="s">
        <v>724</v>
      </c>
      <c r="C276" s="1" t="s">
        <v>453</v>
      </c>
      <c r="D276" s="1" t="s">
        <v>453</v>
      </c>
      <c r="E276" s="10">
        <v>0.52</v>
      </c>
    </row>
    <row r="277" spans="1:5" x14ac:dyDescent="0.3">
      <c r="A277" s="175" t="s">
        <v>437</v>
      </c>
      <c r="B277" s="174" t="s">
        <v>438</v>
      </c>
      <c r="C277" s="1" t="s">
        <v>453</v>
      </c>
      <c r="D277" s="1" t="s">
        <v>453</v>
      </c>
      <c r="E277" s="10">
        <v>24.65</v>
      </c>
    </row>
    <row r="278" spans="1:5" x14ac:dyDescent="0.3">
      <c r="A278" s="175" t="s">
        <v>439</v>
      </c>
      <c r="B278" s="174" t="s">
        <v>440</v>
      </c>
      <c r="C278" s="1" t="s">
        <v>453</v>
      </c>
      <c r="D278" s="1" t="s">
        <v>453</v>
      </c>
      <c r="E278" s="10">
        <v>43.88</v>
      </c>
    </row>
    <row r="279" spans="1:5" x14ac:dyDescent="0.3">
      <c r="A279" s="175" t="s">
        <v>441</v>
      </c>
      <c r="B279" s="174" t="s">
        <v>442</v>
      </c>
      <c r="C279" s="1" t="s">
        <v>453</v>
      </c>
      <c r="D279" s="1" t="s">
        <v>453</v>
      </c>
      <c r="E279" s="10">
        <v>30.74</v>
      </c>
    </row>
    <row r="280" spans="1:5" x14ac:dyDescent="0.3">
      <c r="A280" s="175" t="s">
        <v>443</v>
      </c>
      <c r="B280" s="174" t="s">
        <v>444</v>
      </c>
      <c r="C280" s="1" t="s">
        <v>453</v>
      </c>
      <c r="D280" s="1" t="s">
        <v>453</v>
      </c>
      <c r="E280" s="10">
        <v>8.94</v>
      </c>
    </row>
    <row r="281" spans="1:5" x14ac:dyDescent="0.3">
      <c r="A281" s="175" t="s">
        <v>445</v>
      </c>
      <c r="B281" s="174" t="s">
        <v>446</v>
      </c>
      <c r="C281" s="1" t="s">
        <v>453</v>
      </c>
      <c r="D281" s="1" t="s">
        <v>453</v>
      </c>
      <c r="E281" s="10">
        <v>0.68</v>
      </c>
    </row>
    <row r="282" spans="1:5" x14ac:dyDescent="0.3">
      <c r="A282" s="175" t="s">
        <v>447</v>
      </c>
      <c r="B282" s="174" t="s">
        <v>448</v>
      </c>
      <c r="C282" s="1" t="s">
        <v>453</v>
      </c>
      <c r="D282" s="1" t="s">
        <v>453</v>
      </c>
      <c r="E282" s="10">
        <v>1.66</v>
      </c>
    </row>
    <row r="283" spans="1:5" x14ac:dyDescent="0.3">
      <c r="A283" s="175" t="s">
        <v>449</v>
      </c>
      <c r="B283" s="174" t="s">
        <v>450</v>
      </c>
      <c r="C283" s="1" t="s">
        <v>453</v>
      </c>
      <c r="D283" s="1" t="s">
        <v>453</v>
      </c>
      <c r="E283" s="10">
        <v>0.2</v>
      </c>
    </row>
    <row r="284" spans="1:5" x14ac:dyDescent="0.3">
      <c r="A284" s="175" t="s">
        <v>451</v>
      </c>
      <c r="B284" s="174" t="s">
        <v>452</v>
      </c>
      <c r="C284" s="1" t="s">
        <v>453</v>
      </c>
      <c r="D284" s="1" t="s">
        <v>453</v>
      </c>
      <c r="E284" s="10">
        <v>4.1500000000000004</v>
      </c>
    </row>
    <row r="285" spans="1:5" x14ac:dyDescent="0.3">
      <c r="A285" s="175" t="s">
        <v>725</v>
      </c>
      <c r="B285" s="174" t="s">
        <v>1501</v>
      </c>
      <c r="C285" s="1" t="s">
        <v>453</v>
      </c>
      <c r="D285" s="1" t="s">
        <v>453</v>
      </c>
      <c r="E285" s="10">
        <v>60.34</v>
      </c>
    </row>
    <row r="286" spans="1:5" x14ac:dyDescent="0.3">
      <c r="A286" s="174" t="s">
        <v>36</v>
      </c>
      <c r="B286" s="174" t="s">
        <v>37</v>
      </c>
      <c r="C286" s="1" t="s">
        <v>453</v>
      </c>
      <c r="D286" s="1" t="s">
        <v>453</v>
      </c>
      <c r="E286" s="10">
        <v>401.59000000000003</v>
      </c>
    </row>
    <row r="287" spans="1:5" x14ac:dyDescent="0.3">
      <c r="A287" s="174" t="s">
        <v>36</v>
      </c>
      <c r="B287" s="174" t="s">
        <v>37</v>
      </c>
      <c r="C287" s="1" t="s">
        <v>350</v>
      </c>
      <c r="D287" s="1" t="s">
        <v>348</v>
      </c>
      <c r="E287" s="10">
        <v>8.31</v>
      </c>
    </row>
    <row r="288" spans="1:5" x14ac:dyDescent="0.3">
      <c r="A288" s="174" t="s">
        <v>36</v>
      </c>
      <c r="B288" s="174" t="s">
        <v>37</v>
      </c>
      <c r="C288" s="1" t="s">
        <v>1476</v>
      </c>
      <c r="D288" s="1" t="s">
        <v>1293</v>
      </c>
      <c r="E288" s="10">
        <v>0.24</v>
      </c>
    </row>
    <row r="289" spans="1:5" x14ac:dyDescent="0.3">
      <c r="A289" s="174" t="s">
        <v>36</v>
      </c>
      <c r="B289" s="174" t="s">
        <v>37</v>
      </c>
      <c r="C289" s="1" t="s">
        <v>351</v>
      </c>
      <c r="D289" s="1" t="s">
        <v>347</v>
      </c>
      <c r="E289" s="10">
        <v>28.32</v>
      </c>
    </row>
    <row r="290" spans="1:5" x14ac:dyDescent="0.3">
      <c r="A290" s="174" t="s">
        <v>36</v>
      </c>
      <c r="B290" s="174" t="s">
        <v>37</v>
      </c>
      <c r="C290" s="1" t="s">
        <v>352</v>
      </c>
      <c r="D290" s="1" t="s">
        <v>348</v>
      </c>
      <c r="E290" s="10">
        <v>20.59</v>
      </c>
    </row>
    <row r="291" spans="1:5" x14ac:dyDescent="0.3">
      <c r="A291" s="175" t="s">
        <v>36</v>
      </c>
      <c r="B291" s="174" t="s">
        <v>37</v>
      </c>
      <c r="C291" s="1" t="s">
        <v>353</v>
      </c>
      <c r="D291" s="1" t="s">
        <v>348</v>
      </c>
      <c r="E291" s="10">
        <v>2.3199999999999998</v>
      </c>
    </row>
    <row r="292" spans="1:5" x14ac:dyDescent="0.3">
      <c r="A292" s="174" t="s">
        <v>16</v>
      </c>
      <c r="B292" s="174" t="s">
        <v>17</v>
      </c>
      <c r="C292" s="1" t="s">
        <v>453</v>
      </c>
      <c r="D292" s="1" t="s">
        <v>453</v>
      </c>
      <c r="E292" s="10">
        <v>401.59000000000003</v>
      </c>
    </row>
    <row r="293" spans="1:5" x14ac:dyDescent="0.3">
      <c r="A293" s="174" t="s">
        <v>16</v>
      </c>
      <c r="B293" s="174" t="s">
        <v>17</v>
      </c>
      <c r="C293" s="1" t="s">
        <v>350</v>
      </c>
      <c r="D293" s="1" t="s">
        <v>348</v>
      </c>
      <c r="E293" s="10">
        <v>8.31</v>
      </c>
    </row>
    <row r="294" spans="1:5" x14ac:dyDescent="0.3">
      <c r="A294" s="174" t="s">
        <v>16</v>
      </c>
      <c r="B294" s="174" t="s">
        <v>17</v>
      </c>
      <c r="C294" s="1" t="s">
        <v>1476</v>
      </c>
      <c r="D294" s="1" t="s">
        <v>1293</v>
      </c>
      <c r="E294" s="10">
        <v>0.24</v>
      </c>
    </row>
    <row r="295" spans="1:5" x14ac:dyDescent="0.3">
      <c r="A295" s="174" t="s">
        <v>16</v>
      </c>
      <c r="B295" s="174" t="s">
        <v>17</v>
      </c>
      <c r="C295" s="1" t="s">
        <v>351</v>
      </c>
      <c r="D295" s="1" t="s">
        <v>347</v>
      </c>
      <c r="E295" s="10">
        <v>39.349999999999994</v>
      </c>
    </row>
    <row r="296" spans="1:5" x14ac:dyDescent="0.3">
      <c r="A296" s="174" t="s">
        <v>16</v>
      </c>
      <c r="B296" s="174" t="s">
        <v>17</v>
      </c>
      <c r="C296" s="1" t="s">
        <v>352</v>
      </c>
      <c r="D296" s="1" t="s">
        <v>348</v>
      </c>
      <c r="E296" s="10">
        <v>28.6</v>
      </c>
    </row>
    <row r="297" spans="1:5" x14ac:dyDescent="0.3">
      <c r="A297" s="175" t="s">
        <v>16</v>
      </c>
      <c r="B297" s="174" t="s">
        <v>17</v>
      </c>
      <c r="C297" s="1" t="s">
        <v>353</v>
      </c>
      <c r="D297" s="1" t="s">
        <v>348</v>
      </c>
      <c r="E297" s="10">
        <v>3.2199999999999998</v>
      </c>
    </row>
    <row r="298" spans="1:5" x14ac:dyDescent="0.3">
      <c r="A298" s="174" t="s">
        <v>354</v>
      </c>
      <c r="B298" s="174" t="s">
        <v>355</v>
      </c>
      <c r="C298" s="1" t="s">
        <v>453</v>
      </c>
      <c r="D298" s="1" t="s">
        <v>453</v>
      </c>
      <c r="E298" s="10">
        <v>401.59000000000003</v>
      </c>
    </row>
    <row r="299" spans="1:5" x14ac:dyDescent="0.3">
      <c r="A299" s="174" t="s">
        <v>354</v>
      </c>
      <c r="B299" s="174" t="s">
        <v>355</v>
      </c>
      <c r="C299" s="1" t="s">
        <v>350</v>
      </c>
      <c r="D299" s="1" t="s">
        <v>348</v>
      </c>
      <c r="E299" s="10">
        <v>8.31</v>
      </c>
    </row>
    <row r="300" spans="1:5" x14ac:dyDescent="0.3">
      <c r="A300" s="174" t="s">
        <v>354</v>
      </c>
      <c r="B300" s="174" t="s">
        <v>355</v>
      </c>
      <c r="C300" s="1" t="s">
        <v>1476</v>
      </c>
      <c r="D300" s="1" t="s">
        <v>1293</v>
      </c>
      <c r="E300" s="10">
        <v>0.24</v>
      </c>
    </row>
    <row r="301" spans="1:5" x14ac:dyDescent="0.3">
      <c r="A301" s="174" t="s">
        <v>354</v>
      </c>
      <c r="B301" s="174" t="s">
        <v>355</v>
      </c>
      <c r="C301" s="1" t="s">
        <v>351</v>
      </c>
      <c r="D301" s="1" t="s">
        <v>347</v>
      </c>
      <c r="E301" s="10">
        <v>42.09</v>
      </c>
    </row>
    <row r="302" spans="1:5" x14ac:dyDescent="0.3">
      <c r="A302" s="174" t="s">
        <v>354</v>
      </c>
      <c r="B302" s="174" t="s">
        <v>355</v>
      </c>
      <c r="C302" s="1" t="s">
        <v>352</v>
      </c>
      <c r="D302" s="1" t="s">
        <v>348</v>
      </c>
      <c r="E302" s="10">
        <v>30.58</v>
      </c>
    </row>
    <row r="303" spans="1:5" x14ac:dyDescent="0.3">
      <c r="A303" s="175" t="s">
        <v>354</v>
      </c>
      <c r="B303" s="174" t="s">
        <v>355</v>
      </c>
      <c r="C303" s="1" t="s">
        <v>353</v>
      </c>
      <c r="D303" s="1" t="s">
        <v>348</v>
      </c>
      <c r="E303" s="10">
        <v>3.4400000000000004</v>
      </c>
    </row>
    <row r="304" spans="1:5" x14ac:dyDescent="0.3">
      <c r="A304" s="174" t="s">
        <v>356</v>
      </c>
      <c r="B304" s="174" t="s">
        <v>357</v>
      </c>
      <c r="C304" s="1" t="s">
        <v>453</v>
      </c>
      <c r="D304" s="1" t="s">
        <v>453</v>
      </c>
      <c r="E304" s="10">
        <v>405.11</v>
      </c>
    </row>
    <row r="305" spans="1:5" x14ac:dyDescent="0.3">
      <c r="A305" s="174" t="s">
        <v>356</v>
      </c>
      <c r="B305" s="174" t="s">
        <v>357</v>
      </c>
      <c r="C305" s="1" t="s">
        <v>350</v>
      </c>
      <c r="D305" s="1" t="s">
        <v>348</v>
      </c>
      <c r="E305" s="10">
        <v>8.31</v>
      </c>
    </row>
    <row r="306" spans="1:5" x14ac:dyDescent="0.3">
      <c r="A306" s="174" t="s">
        <v>356</v>
      </c>
      <c r="B306" s="174" t="s">
        <v>357</v>
      </c>
      <c r="C306" s="1" t="s">
        <v>1476</v>
      </c>
      <c r="D306" s="1" t="s">
        <v>1293</v>
      </c>
      <c r="E306" s="10">
        <v>0.24</v>
      </c>
    </row>
    <row r="307" spans="1:5" x14ac:dyDescent="0.3">
      <c r="A307" s="174" t="s">
        <v>356</v>
      </c>
      <c r="B307" s="174" t="s">
        <v>357</v>
      </c>
      <c r="C307" s="1" t="s">
        <v>351</v>
      </c>
      <c r="D307" s="1" t="s">
        <v>347</v>
      </c>
      <c r="E307" s="10">
        <v>42.09</v>
      </c>
    </row>
    <row r="308" spans="1:5" x14ac:dyDescent="0.3">
      <c r="A308" s="174" t="s">
        <v>356</v>
      </c>
      <c r="B308" s="174" t="s">
        <v>357</v>
      </c>
      <c r="C308" s="1" t="s">
        <v>352</v>
      </c>
      <c r="D308" s="1" t="s">
        <v>348</v>
      </c>
      <c r="E308" s="10">
        <v>30.58</v>
      </c>
    </row>
    <row r="309" spans="1:5" x14ac:dyDescent="0.3">
      <c r="A309" s="175" t="s">
        <v>356</v>
      </c>
      <c r="B309" s="174" t="s">
        <v>357</v>
      </c>
      <c r="C309" s="1" t="s">
        <v>353</v>
      </c>
      <c r="D309" s="1" t="s">
        <v>348</v>
      </c>
      <c r="E309" s="10">
        <v>3.4400000000000004</v>
      </c>
    </row>
    <row r="310" spans="1:5" x14ac:dyDescent="0.3">
      <c r="A310" s="174" t="s">
        <v>727</v>
      </c>
      <c r="B310" s="174" t="s">
        <v>728</v>
      </c>
      <c r="C310" s="1" t="s">
        <v>350</v>
      </c>
      <c r="D310" s="1" t="s">
        <v>348</v>
      </c>
      <c r="E310" s="10">
        <v>1.5</v>
      </c>
    </row>
    <row r="311" spans="1:5" x14ac:dyDescent="0.3">
      <c r="A311" s="174" t="s">
        <v>727</v>
      </c>
      <c r="B311" s="174" t="s">
        <v>728</v>
      </c>
      <c r="C311" s="1" t="s">
        <v>351</v>
      </c>
      <c r="D311" s="1" t="s">
        <v>347</v>
      </c>
      <c r="E311" s="10">
        <v>1.63</v>
      </c>
    </row>
    <row r="312" spans="1:5" x14ac:dyDescent="0.3">
      <c r="A312" s="174" t="s">
        <v>727</v>
      </c>
      <c r="B312" s="174" t="s">
        <v>728</v>
      </c>
      <c r="C312" s="1" t="s">
        <v>352</v>
      </c>
      <c r="D312" s="1" t="s">
        <v>348</v>
      </c>
      <c r="E312" s="10">
        <v>0.37</v>
      </c>
    </row>
    <row r="313" spans="1:5" x14ac:dyDescent="0.3">
      <c r="A313" s="175" t="s">
        <v>727</v>
      </c>
      <c r="B313" s="174" t="s">
        <v>728</v>
      </c>
      <c r="C313" s="1" t="s">
        <v>353</v>
      </c>
      <c r="D313" s="1" t="s">
        <v>348</v>
      </c>
      <c r="E313" s="10">
        <v>0.04</v>
      </c>
    </row>
    <row r="314" spans="1:5" x14ac:dyDescent="0.3">
      <c r="A314" s="174" t="s">
        <v>729</v>
      </c>
      <c r="B314" s="174" t="s">
        <v>730</v>
      </c>
      <c r="C314" s="1" t="s">
        <v>453</v>
      </c>
      <c r="D314" s="1" t="s">
        <v>453</v>
      </c>
      <c r="E314" s="10">
        <v>707.45</v>
      </c>
    </row>
    <row r="315" spans="1:5" x14ac:dyDescent="0.3">
      <c r="A315" s="174" t="s">
        <v>729</v>
      </c>
      <c r="B315" s="174" t="s">
        <v>730</v>
      </c>
      <c r="C315" s="1" t="s">
        <v>350</v>
      </c>
      <c r="D315" s="1" t="s">
        <v>348</v>
      </c>
      <c r="E315" s="10">
        <v>17.310000000000002</v>
      </c>
    </row>
    <row r="316" spans="1:5" x14ac:dyDescent="0.3">
      <c r="A316" s="174" t="s">
        <v>729</v>
      </c>
      <c r="B316" s="174" t="s">
        <v>730</v>
      </c>
      <c r="C316" s="1" t="s">
        <v>1476</v>
      </c>
      <c r="D316" s="1" t="s">
        <v>1293</v>
      </c>
      <c r="E316" s="10">
        <v>0.17</v>
      </c>
    </row>
    <row r="317" spans="1:5" x14ac:dyDescent="0.3">
      <c r="A317" s="174" t="s">
        <v>729</v>
      </c>
      <c r="B317" s="174" t="s">
        <v>730</v>
      </c>
      <c r="C317" s="1" t="s">
        <v>351</v>
      </c>
      <c r="D317" s="1" t="s">
        <v>347</v>
      </c>
      <c r="E317" s="10">
        <v>39.660000000000004</v>
      </c>
    </row>
    <row r="318" spans="1:5" x14ac:dyDescent="0.3">
      <c r="A318" s="174" t="s">
        <v>729</v>
      </c>
      <c r="B318" s="174" t="s">
        <v>730</v>
      </c>
      <c r="C318" s="1" t="s">
        <v>352</v>
      </c>
      <c r="D318" s="1" t="s">
        <v>348</v>
      </c>
      <c r="E318" s="10">
        <v>23.94</v>
      </c>
    </row>
    <row r="319" spans="1:5" x14ac:dyDescent="0.3">
      <c r="A319" s="175" t="s">
        <v>729</v>
      </c>
      <c r="B319" s="174" t="s">
        <v>730</v>
      </c>
      <c r="C319" s="1" t="s">
        <v>353</v>
      </c>
      <c r="D319" s="1" t="s">
        <v>348</v>
      </c>
      <c r="E319" s="10">
        <v>2.6900000000000004</v>
      </c>
    </row>
    <row r="320" spans="1:5" x14ac:dyDescent="0.3">
      <c r="A320" s="174" t="s">
        <v>731</v>
      </c>
      <c r="B320" s="174" t="s">
        <v>732</v>
      </c>
      <c r="C320" s="1" t="s">
        <v>350</v>
      </c>
      <c r="D320" s="1" t="s">
        <v>348</v>
      </c>
      <c r="E320" s="10">
        <v>1.5</v>
      </c>
    </row>
    <row r="321" spans="1:5" x14ac:dyDescent="0.3">
      <c r="A321" s="174" t="s">
        <v>731</v>
      </c>
      <c r="B321" s="174" t="s">
        <v>732</v>
      </c>
      <c r="C321" s="1" t="s">
        <v>351</v>
      </c>
      <c r="D321" s="1" t="s">
        <v>347</v>
      </c>
      <c r="E321" s="10">
        <v>1.63</v>
      </c>
    </row>
    <row r="322" spans="1:5" x14ac:dyDescent="0.3">
      <c r="A322" s="174" t="s">
        <v>731</v>
      </c>
      <c r="B322" s="174" t="s">
        <v>732</v>
      </c>
      <c r="C322" s="1" t="s">
        <v>352</v>
      </c>
      <c r="D322" s="1" t="s">
        <v>348</v>
      </c>
      <c r="E322" s="10">
        <v>0.37</v>
      </c>
    </row>
    <row r="323" spans="1:5" x14ac:dyDescent="0.3">
      <c r="A323" s="175" t="s">
        <v>731</v>
      </c>
      <c r="B323" s="174" t="s">
        <v>732</v>
      </c>
      <c r="C323" s="1" t="s">
        <v>353</v>
      </c>
      <c r="D323" s="1" t="s">
        <v>348</v>
      </c>
      <c r="E323" s="10">
        <v>0.04</v>
      </c>
    </row>
    <row r="324" spans="1:5" x14ac:dyDescent="0.3">
      <c r="A324" s="174" t="s">
        <v>733</v>
      </c>
      <c r="B324" s="174" t="s">
        <v>734</v>
      </c>
      <c r="C324" s="1" t="s">
        <v>350</v>
      </c>
      <c r="D324" s="1" t="s">
        <v>348</v>
      </c>
      <c r="E324" s="10">
        <v>1.5</v>
      </c>
    </row>
    <row r="325" spans="1:5" x14ac:dyDescent="0.3">
      <c r="A325" s="174" t="s">
        <v>733</v>
      </c>
      <c r="B325" s="174" t="s">
        <v>734</v>
      </c>
      <c r="C325" s="1" t="s">
        <v>351</v>
      </c>
      <c r="D325" s="1" t="s">
        <v>347</v>
      </c>
      <c r="E325" s="10">
        <v>1.63</v>
      </c>
    </row>
    <row r="326" spans="1:5" x14ac:dyDescent="0.3">
      <c r="A326" s="174" t="s">
        <v>733</v>
      </c>
      <c r="B326" s="174" t="s">
        <v>734</v>
      </c>
      <c r="C326" s="1" t="s">
        <v>352</v>
      </c>
      <c r="D326" s="1" t="s">
        <v>348</v>
      </c>
      <c r="E326" s="10">
        <v>0.37</v>
      </c>
    </row>
    <row r="327" spans="1:5" x14ac:dyDescent="0.3">
      <c r="A327" s="175" t="s">
        <v>733</v>
      </c>
      <c r="B327" s="174" t="s">
        <v>734</v>
      </c>
      <c r="C327" s="1" t="s">
        <v>353</v>
      </c>
      <c r="D327" s="1" t="s">
        <v>348</v>
      </c>
      <c r="E327" s="10">
        <v>0.04</v>
      </c>
    </row>
    <row r="328" spans="1:5" x14ac:dyDescent="0.3">
      <c r="A328" s="174" t="s">
        <v>735</v>
      </c>
      <c r="B328" s="174" t="s">
        <v>736</v>
      </c>
      <c r="C328" s="1" t="s">
        <v>453</v>
      </c>
      <c r="D328" s="1" t="s">
        <v>453</v>
      </c>
      <c r="E328" s="10">
        <v>614.53999999999974</v>
      </c>
    </row>
    <row r="329" spans="1:5" x14ac:dyDescent="0.3">
      <c r="A329" s="174" t="s">
        <v>735</v>
      </c>
      <c r="B329" s="174" t="s">
        <v>736</v>
      </c>
      <c r="C329" s="1" t="s">
        <v>350</v>
      </c>
      <c r="D329" s="1" t="s">
        <v>348</v>
      </c>
      <c r="E329" s="10">
        <v>6</v>
      </c>
    </row>
    <row r="330" spans="1:5" x14ac:dyDescent="0.3">
      <c r="A330" s="174" t="s">
        <v>735</v>
      </c>
      <c r="B330" s="174" t="s">
        <v>736</v>
      </c>
      <c r="C330" s="1" t="s">
        <v>1476</v>
      </c>
      <c r="D330" s="1" t="s">
        <v>1293</v>
      </c>
      <c r="E330" s="10">
        <v>0.37</v>
      </c>
    </row>
    <row r="331" spans="1:5" x14ac:dyDescent="0.3">
      <c r="A331" s="174" t="s">
        <v>735</v>
      </c>
      <c r="B331" s="174" t="s">
        <v>736</v>
      </c>
      <c r="C331" s="1" t="s">
        <v>351</v>
      </c>
      <c r="D331" s="1" t="s">
        <v>347</v>
      </c>
      <c r="E331" s="10">
        <v>12.47</v>
      </c>
    </row>
    <row r="332" spans="1:5" x14ac:dyDescent="0.3">
      <c r="A332" s="174" t="s">
        <v>735</v>
      </c>
      <c r="B332" s="174" t="s">
        <v>736</v>
      </c>
      <c r="C332" s="1" t="s">
        <v>352</v>
      </c>
      <c r="D332" s="1" t="s">
        <v>348</v>
      </c>
      <c r="E332" s="10">
        <v>1.6</v>
      </c>
    </row>
    <row r="333" spans="1:5" x14ac:dyDescent="0.3">
      <c r="A333" s="175" t="s">
        <v>735</v>
      </c>
      <c r="B333" s="174" t="s">
        <v>736</v>
      </c>
      <c r="C333" s="1" t="s">
        <v>353</v>
      </c>
      <c r="D333" s="1" t="s">
        <v>348</v>
      </c>
      <c r="E333" s="10">
        <v>0.73</v>
      </c>
    </row>
    <row r="334" spans="1:5" x14ac:dyDescent="0.3">
      <c r="A334" s="174" t="s">
        <v>737</v>
      </c>
      <c r="B334" s="174" t="s">
        <v>738</v>
      </c>
      <c r="C334" s="1" t="s">
        <v>453</v>
      </c>
      <c r="D334" s="1" t="s">
        <v>453</v>
      </c>
      <c r="E334" s="10">
        <v>479.69000000000011</v>
      </c>
    </row>
    <row r="335" spans="1:5" x14ac:dyDescent="0.3">
      <c r="A335" s="174" t="s">
        <v>737</v>
      </c>
      <c r="B335" s="174" t="s">
        <v>738</v>
      </c>
      <c r="C335" s="1" t="s">
        <v>350</v>
      </c>
      <c r="D335" s="1" t="s">
        <v>348</v>
      </c>
      <c r="E335" s="10">
        <v>6</v>
      </c>
    </row>
    <row r="336" spans="1:5" x14ac:dyDescent="0.3">
      <c r="A336" s="174" t="s">
        <v>737</v>
      </c>
      <c r="B336" s="174" t="s">
        <v>738</v>
      </c>
      <c r="C336" s="1" t="s">
        <v>1476</v>
      </c>
      <c r="D336" s="1" t="s">
        <v>1293</v>
      </c>
      <c r="E336" s="10">
        <v>0.31000000000000005</v>
      </c>
    </row>
    <row r="337" spans="1:5" x14ac:dyDescent="0.3">
      <c r="A337" s="174" t="s">
        <v>737</v>
      </c>
      <c r="B337" s="174" t="s">
        <v>738</v>
      </c>
      <c r="C337" s="1" t="s">
        <v>351</v>
      </c>
      <c r="D337" s="1" t="s">
        <v>347</v>
      </c>
      <c r="E337" s="10">
        <v>12.47</v>
      </c>
    </row>
    <row r="338" spans="1:5" x14ac:dyDescent="0.3">
      <c r="A338" s="174" t="s">
        <v>737</v>
      </c>
      <c r="B338" s="174" t="s">
        <v>738</v>
      </c>
      <c r="C338" s="1" t="s">
        <v>352</v>
      </c>
      <c r="D338" s="1" t="s">
        <v>348</v>
      </c>
      <c r="E338" s="10">
        <v>1.6</v>
      </c>
    </row>
    <row r="339" spans="1:5" x14ac:dyDescent="0.3">
      <c r="A339" s="175" t="s">
        <v>737</v>
      </c>
      <c r="B339" s="174" t="s">
        <v>738</v>
      </c>
      <c r="C339" s="1" t="s">
        <v>353</v>
      </c>
      <c r="D339" s="1" t="s">
        <v>348</v>
      </c>
      <c r="E339" s="10">
        <v>0.73</v>
      </c>
    </row>
    <row r="340" spans="1:5" x14ac:dyDescent="0.3">
      <c r="A340" s="174" t="s">
        <v>739</v>
      </c>
      <c r="B340" s="174" t="s">
        <v>740</v>
      </c>
      <c r="C340" s="1" t="s">
        <v>453</v>
      </c>
      <c r="D340" s="1" t="s">
        <v>453</v>
      </c>
      <c r="E340" s="10">
        <v>485.69000000000011</v>
      </c>
    </row>
    <row r="341" spans="1:5" x14ac:dyDescent="0.3">
      <c r="A341" s="174" t="s">
        <v>739</v>
      </c>
      <c r="B341" s="174" t="s">
        <v>740</v>
      </c>
      <c r="C341" s="1" t="s">
        <v>350</v>
      </c>
      <c r="D341" s="1" t="s">
        <v>348</v>
      </c>
      <c r="E341" s="10">
        <v>6</v>
      </c>
    </row>
    <row r="342" spans="1:5" x14ac:dyDescent="0.3">
      <c r="A342" s="174" t="s">
        <v>739</v>
      </c>
      <c r="B342" s="174" t="s">
        <v>740</v>
      </c>
      <c r="C342" s="1" t="s">
        <v>1476</v>
      </c>
      <c r="D342" s="1" t="s">
        <v>1293</v>
      </c>
      <c r="E342" s="10">
        <v>0.31000000000000005</v>
      </c>
    </row>
    <row r="343" spans="1:5" x14ac:dyDescent="0.3">
      <c r="A343" s="174" t="s">
        <v>739</v>
      </c>
      <c r="B343" s="174" t="s">
        <v>740</v>
      </c>
      <c r="C343" s="1" t="s">
        <v>351</v>
      </c>
      <c r="D343" s="1" t="s">
        <v>347</v>
      </c>
      <c r="E343" s="10">
        <v>12.47</v>
      </c>
    </row>
    <row r="344" spans="1:5" x14ac:dyDescent="0.3">
      <c r="A344" s="174" t="s">
        <v>739</v>
      </c>
      <c r="B344" s="174" t="s">
        <v>740</v>
      </c>
      <c r="C344" s="1" t="s">
        <v>352</v>
      </c>
      <c r="D344" s="1" t="s">
        <v>348</v>
      </c>
      <c r="E344" s="10">
        <v>1.6</v>
      </c>
    </row>
    <row r="345" spans="1:5" x14ac:dyDescent="0.3">
      <c r="A345" s="175" t="s">
        <v>739</v>
      </c>
      <c r="B345" s="174" t="s">
        <v>740</v>
      </c>
      <c r="C345" s="1" t="s">
        <v>353</v>
      </c>
      <c r="D345" s="1" t="s">
        <v>348</v>
      </c>
      <c r="E345" s="10">
        <v>0.73</v>
      </c>
    </row>
    <row r="346" spans="1:5" x14ac:dyDescent="0.3">
      <c r="A346" s="174" t="s">
        <v>591</v>
      </c>
      <c r="B346" s="174" t="s">
        <v>592</v>
      </c>
      <c r="C346" s="1" t="s">
        <v>453</v>
      </c>
      <c r="D346" s="1" t="s">
        <v>453</v>
      </c>
      <c r="E346" s="10">
        <v>614.21</v>
      </c>
    </row>
    <row r="347" spans="1:5" x14ac:dyDescent="0.3">
      <c r="A347" s="174" t="s">
        <v>591</v>
      </c>
      <c r="B347" s="174" t="s">
        <v>592</v>
      </c>
      <c r="C347" s="1" t="s">
        <v>350</v>
      </c>
      <c r="D347" s="1" t="s">
        <v>348</v>
      </c>
      <c r="E347" s="10">
        <v>6</v>
      </c>
    </row>
    <row r="348" spans="1:5" x14ac:dyDescent="0.3">
      <c r="A348" s="174" t="s">
        <v>591</v>
      </c>
      <c r="B348" s="174" t="s">
        <v>592</v>
      </c>
      <c r="C348" s="1" t="s">
        <v>1476</v>
      </c>
      <c r="D348" s="1" t="s">
        <v>1293</v>
      </c>
      <c r="E348" s="10">
        <v>0.37</v>
      </c>
    </row>
    <row r="349" spans="1:5" x14ac:dyDescent="0.3">
      <c r="A349" s="174" t="s">
        <v>591</v>
      </c>
      <c r="B349" s="174" t="s">
        <v>592</v>
      </c>
      <c r="C349" s="1" t="s">
        <v>351</v>
      </c>
      <c r="D349" s="1" t="s">
        <v>347</v>
      </c>
      <c r="E349" s="10">
        <v>12.47</v>
      </c>
    </row>
    <row r="350" spans="1:5" x14ac:dyDescent="0.3">
      <c r="A350" s="174" t="s">
        <v>591</v>
      </c>
      <c r="B350" s="174" t="s">
        <v>592</v>
      </c>
      <c r="C350" s="1" t="s">
        <v>352</v>
      </c>
      <c r="D350" s="1" t="s">
        <v>348</v>
      </c>
      <c r="E350" s="10">
        <v>1.6</v>
      </c>
    </row>
    <row r="351" spans="1:5" x14ac:dyDescent="0.3">
      <c r="A351" s="175" t="s">
        <v>591</v>
      </c>
      <c r="B351" s="174" t="s">
        <v>592</v>
      </c>
      <c r="C351" s="1" t="s">
        <v>353</v>
      </c>
      <c r="D351" s="1" t="s">
        <v>348</v>
      </c>
      <c r="E351" s="10">
        <v>0.73000000000000009</v>
      </c>
    </row>
    <row r="352" spans="1:5" x14ac:dyDescent="0.3">
      <c r="A352" s="174" t="s">
        <v>741</v>
      </c>
      <c r="B352" s="174" t="s">
        <v>742</v>
      </c>
      <c r="C352" s="1" t="s">
        <v>453</v>
      </c>
      <c r="D352" s="1" t="s">
        <v>453</v>
      </c>
      <c r="E352" s="10">
        <v>454.8300000000001</v>
      </c>
    </row>
    <row r="353" spans="1:5" x14ac:dyDescent="0.3">
      <c r="A353" s="174" t="s">
        <v>741</v>
      </c>
      <c r="B353" s="174" t="s">
        <v>742</v>
      </c>
      <c r="C353" s="1" t="s">
        <v>350</v>
      </c>
      <c r="D353" s="1" t="s">
        <v>348</v>
      </c>
      <c r="E353" s="10">
        <v>6</v>
      </c>
    </row>
    <row r="354" spans="1:5" x14ac:dyDescent="0.3">
      <c r="A354" s="174" t="s">
        <v>741</v>
      </c>
      <c r="B354" s="174" t="s">
        <v>742</v>
      </c>
      <c r="C354" s="1" t="s">
        <v>1476</v>
      </c>
      <c r="D354" s="1" t="s">
        <v>1293</v>
      </c>
      <c r="E354" s="10">
        <v>0.31000000000000005</v>
      </c>
    </row>
    <row r="355" spans="1:5" x14ac:dyDescent="0.3">
      <c r="A355" s="174" t="s">
        <v>741</v>
      </c>
      <c r="B355" s="174" t="s">
        <v>742</v>
      </c>
      <c r="C355" s="1" t="s">
        <v>351</v>
      </c>
      <c r="D355" s="1" t="s">
        <v>347</v>
      </c>
      <c r="E355" s="10">
        <v>12.47</v>
      </c>
    </row>
    <row r="356" spans="1:5" x14ac:dyDescent="0.3">
      <c r="A356" s="174" t="s">
        <v>741</v>
      </c>
      <c r="B356" s="174" t="s">
        <v>742</v>
      </c>
      <c r="C356" s="1" t="s">
        <v>352</v>
      </c>
      <c r="D356" s="1" t="s">
        <v>348</v>
      </c>
      <c r="E356" s="10">
        <v>1.6</v>
      </c>
    </row>
    <row r="357" spans="1:5" x14ac:dyDescent="0.3">
      <c r="A357" s="175" t="s">
        <v>741</v>
      </c>
      <c r="B357" s="174" t="s">
        <v>742</v>
      </c>
      <c r="C357" s="1" t="s">
        <v>353</v>
      </c>
      <c r="D357" s="1" t="s">
        <v>348</v>
      </c>
      <c r="E357" s="10">
        <v>0.73</v>
      </c>
    </row>
    <row r="358" spans="1:5" x14ac:dyDescent="0.3">
      <c r="A358" s="174" t="s">
        <v>743</v>
      </c>
      <c r="B358" s="174" t="s">
        <v>744</v>
      </c>
      <c r="C358" s="1" t="s">
        <v>453</v>
      </c>
      <c r="D358" s="1" t="s">
        <v>453</v>
      </c>
      <c r="E358" s="10">
        <v>456.23999999999978</v>
      </c>
    </row>
    <row r="359" spans="1:5" x14ac:dyDescent="0.3">
      <c r="A359" s="174" t="s">
        <v>743</v>
      </c>
      <c r="B359" s="174" t="s">
        <v>744</v>
      </c>
      <c r="C359" s="1" t="s">
        <v>350</v>
      </c>
      <c r="D359" s="1" t="s">
        <v>348</v>
      </c>
      <c r="E359" s="10">
        <v>6</v>
      </c>
    </row>
    <row r="360" spans="1:5" x14ac:dyDescent="0.3">
      <c r="A360" s="174" t="s">
        <v>743</v>
      </c>
      <c r="B360" s="174" t="s">
        <v>744</v>
      </c>
      <c r="C360" s="1" t="s">
        <v>1476</v>
      </c>
      <c r="D360" s="1" t="s">
        <v>1293</v>
      </c>
      <c r="E360" s="10">
        <v>0.31000000000000005</v>
      </c>
    </row>
    <row r="361" spans="1:5" x14ac:dyDescent="0.3">
      <c r="A361" s="174" t="s">
        <v>743</v>
      </c>
      <c r="B361" s="174" t="s">
        <v>744</v>
      </c>
      <c r="C361" s="1" t="s">
        <v>351</v>
      </c>
      <c r="D361" s="1" t="s">
        <v>347</v>
      </c>
      <c r="E361" s="10">
        <v>12.47</v>
      </c>
    </row>
    <row r="362" spans="1:5" x14ac:dyDescent="0.3">
      <c r="A362" s="174" t="s">
        <v>743</v>
      </c>
      <c r="B362" s="174" t="s">
        <v>744</v>
      </c>
      <c r="C362" s="1" t="s">
        <v>352</v>
      </c>
      <c r="D362" s="1" t="s">
        <v>348</v>
      </c>
      <c r="E362" s="10">
        <v>1.6</v>
      </c>
    </row>
    <row r="363" spans="1:5" x14ac:dyDescent="0.3">
      <c r="A363" s="175" t="s">
        <v>743</v>
      </c>
      <c r="B363" s="174" t="s">
        <v>744</v>
      </c>
      <c r="C363" s="1" t="s">
        <v>353</v>
      </c>
      <c r="D363" s="1" t="s">
        <v>348</v>
      </c>
      <c r="E363" s="10">
        <v>0.73</v>
      </c>
    </row>
    <row r="364" spans="1:5" x14ac:dyDescent="0.3">
      <c r="A364" s="174" t="s">
        <v>745</v>
      </c>
      <c r="B364" s="174" t="s">
        <v>746</v>
      </c>
      <c r="C364" s="1" t="s">
        <v>453</v>
      </c>
      <c r="D364" s="1" t="s">
        <v>453</v>
      </c>
      <c r="E364" s="10">
        <v>608.37999999999977</v>
      </c>
    </row>
    <row r="365" spans="1:5" x14ac:dyDescent="0.3">
      <c r="A365" s="174" t="s">
        <v>745</v>
      </c>
      <c r="B365" s="174" t="s">
        <v>746</v>
      </c>
      <c r="C365" s="1" t="s">
        <v>350</v>
      </c>
      <c r="D365" s="1" t="s">
        <v>348</v>
      </c>
      <c r="E365" s="10">
        <v>6</v>
      </c>
    </row>
    <row r="366" spans="1:5" x14ac:dyDescent="0.3">
      <c r="A366" s="174" t="s">
        <v>745</v>
      </c>
      <c r="B366" s="174" t="s">
        <v>746</v>
      </c>
      <c r="C366" s="1" t="s">
        <v>1476</v>
      </c>
      <c r="D366" s="1" t="s">
        <v>1293</v>
      </c>
      <c r="E366" s="10">
        <v>0.37</v>
      </c>
    </row>
    <row r="367" spans="1:5" x14ac:dyDescent="0.3">
      <c r="A367" s="174" t="s">
        <v>745</v>
      </c>
      <c r="B367" s="174" t="s">
        <v>746</v>
      </c>
      <c r="C367" s="1" t="s">
        <v>351</v>
      </c>
      <c r="D367" s="1" t="s">
        <v>347</v>
      </c>
      <c r="E367" s="10">
        <v>12.47</v>
      </c>
    </row>
    <row r="368" spans="1:5" x14ac:dyDescent="0.3">
      <c r="A368" s="174" t="s">
        <v>745</v>
      </c>
      <c r="B368" s="174" t="s">
        <v>746</v>
      </c>
      <c r="C368" s="1" t="s">
        <v>352</v>
      </c>
      <c r="D368" s="1" t="s">
        <v>348</v>
      </c>
      <c r="E368" s="10">
        <v>1.6</v>
      </c>
    </row>
    <row r="369" spans="1:5" x14ac:dyDescent="0.3">
      <c r="A369" s="175" t="s">
        <v>745</v>
      </c>
      <c r="B369" s="174" t="s">
        <v>746</v>
      </c>
      <c r="C369" s="1" t="s">
        <v>353</v>
      </c>
      <c r="D369" s="1" t="s">
        <v>348</v>
      </c>
      <c r="E369" s="10">
        <v>0.73</v>
      </c>
    </row>
    <row r="370" spans="1:5" x14ac:dyDescent="0.3">
      <c r="A370" s="174" t="s">
        <v>747</v>
      </c>
      <c r="B370" s="174" t="s">
        <v>748</v>
      </c>
      <c r="C370" s="1" t="s">
        <v>453</v>
      </c>
      <c r="D370" s="1" t="s">
        <v>453</v>
      </c>
      <c r="E370" s="10">
        <v>424.97999999999985</v>
      </c>
    </row>
    <row r="371" spans="1:5" x14ac:dyDescent="0.3">
      <c r="A371" s="174" t="s">
        <v>747</v>
      </c>
      <c r="B371" s="174" t="s">
        <v>748</v>
      </c>
      <c r="C371" s="1" t="s">
        <v>350</v>
      </c>
      <c r="D371" s="1" t="s">
        <v>348</v>
      </c>
      <c r="E371" s="10">
        <v>4.5</v>
      </c>
    </row>
    <row r="372" spans="1:5" x14ac:dyDescent="0.3">
      <c r="A372" s="174" t="s">
        <v>747</v>
      </c>
      <c r="B372" s="174" t="s">
        <v>748</v>
      </c>
      <c r="C372" s="1" t="s">
        <v>1476</v>
      </c>
      <c r="D372" s="1" t="s">
        <v>1293</v>
      </c>
      <c r="E372" s="10">
        <v>0.31000000000000005</v>
      </c>
    </row>
    <row r="373" spans="1:5" x14ac:dyDescent="0.3">
      <c r="A373" s="174" t="s">
        <v>747</v>
      </c>
      <c r="B373" s="174" t="s">
        <v>748</v>
      </c>
      <c r="C373" s="1" t="s">
        <v>351</v>
      </c>
      <c r="D373" s="1" t="s">
        <v>347</v>
      </c>
      <c r="E373" s="10">
        <v>10.97</v>
      </c>
    </row>
    <row r="374" spans="1:5" x14ac:dyDescent="0.3">
      <c r="A374" s="174" t="s">
        <v>747</v>
      </c>
      <c r="B374" s="174" t="s">
        <v>748</v>
      </c>
      <c r="C374" s="1" t="s">
        <v>352</v>
      </c>
      <c r="D374" s="1" t="s">
        <v>348</v>
      </c>
      <c r="E374" s="10">
        <v>1.2000000000000002</v>
      </c>
    </row>
    <row r="375" spans="1:5" x14ac:dyDescent="0.3">
      <c r="A375" s="175" t="s">
        <v>747</v>
      </c>
      <c r="B375" s="174" t="s">
        <v>748</v>
      </c>
      <c r="C375" s="1" t="s">
        <v>353</v>
      </c>
      <c r="D375" s="1" t="s">
        <v>348</v>
      </c>
      <c r="E375" s="10">
        <v>0.67999999999999994</v>
      </c>
    </row>
    <row r="376" spans="1:5" x14ac:dyDescent="0.3">
      <c r="A376" s="174" t="s">
        <v>694</v>
      </c>
      <c r="B376" s="174" t="s">
        <v>695</v>
      </c>
      <c r="C376" s="1" t="s">
        <v>453</v>
      </c>
      <c r="D376" s="1" t="s">
        <v>453</v>
      </c>
      <c r="E376" s="10">
        <v>405.11000000000007</v>
      </c>
    </row>
    <row r="377" spans="1:5" x14ac:dyDescent="0.3">
      <c r="A377" s="174" t="s">
        <v>694</v>
      </c>
      <c r="B377" s="174" t="s">
        <v>695</v>
      </c>
      <c r="C377" s="1" t="s">
        <v>350</v>
      </c>
      <c r="D377" s="1" t="s">
        <v>348</v>
      </c>
      <c r="E377" s="10">
        <v>8.31</v>
      </c>
    </row>
    <row r="378" spans="1:5" x14ac:dyDescent="0.3">
      <c r="A378" s="174" t="s">
        <v>694</v>
      </c>
      <c r="B378" s="174" t="s">
        <v>695</v>
      </c>
      <c r="C378" s="1" t="s">
        <v>1476</v>
      </c>
      <c r="D378" s="1" t="s">
        <v>1293</v>
      </c>
      <c r="E378" s="10">
        <v>0.24</v>
      </c>
    </row>
    <row r="379" spans="1:5" x14ac:dyDescent="0.3">
      <c r="A379" s="174" t="s">
        <v>694</v>
      </c>
      <c r="B379" s="174" t="s">
        <v>695</v>
      </c>
      <c r="C379" s="1" t="s">
        <v>351</v>
      </c>
      <c r="D379" s="1" t="s">
        <v>347</v>
      </c>
      <c r="E379" s="10">
        <v>28.32</v>
      </c>
    </row>
    <row r="380" spans="1:5" x14ac:dyDescent="0.3">
      <c r="A380" s="174" t="s">
        <v>694</v>
      </c>
      <c r="B380" s="174" t="s">
        <v>695</v>
      </c>
      <c r="C380" s="1" t="s">
        <v>352</v>
      </c>
      <c r="D380" s="1" t="s">
        <v>348</v>
      </c>
      <c r="E380" s="10">
        <v>20.59</v>
      </c>
    </row>
    <row r="381" spans="1:5" x14ac:dyDescent="0.3">
      <c r="A381" s="175" t="s">
        <v>694</v>
      </c>
      <c r="B381" s="174" t="s">
        <v>695</v>
      </c>
      <c r="C381" s="1" t="s">
        <v>353</v>
      </c>
      <c r="D381" s="1" t="s">
        <v>348</v>
      </c>
      <c r="E381" s="10">
        <v>2.3199999999999998</v>
      </c>
    </row>
    <row r="382" spans="1:5" x14ac:dyDescent="0.3">
      <c r="A382" s="174" t="s">
        <v>1188</v>
      </c>
      <c r="B382" s="174" t="s">
        <v>1189</v>
      </c>
      <c r="C382" s="1" t="s">
        <v>453</v>
      </c>
      <c r="D382" s="1" t="s">
        <v>453</v>
      </c>
      <c r="E382" s="10">
        <v>402.87999999999988</v>
      </c>
    </row>
    <row r="383" spans="1:5" x14ac:dyDescent="0.3">
      <c r="A383" s="174" t="s">
        <v>1188</v>
      </c>
      <c r="B383" s="174" t="s">
        <v>1189</v>
      </c>
      <c r="C383" s="1" t="s">
        <v>350</v>
      </c>
      <c r="D383" s="1" t="s">
        <v>348</v>
      </c>
      <c r="E383" s="10">
        <v>8.31</v>
      </c>
    </row>
    <row r="384" spans="1:5" x14ac:dyDescent="0.3">
      <c r="A384" s="174" t="s">
        <v>1188</v>
      </c>
      <c r="B384" s="174" t="s">
        <v>1189</v>
      </c>
      <c r="C384" s="1" t="s">
        <v>1476</v>
      </c>
      <c r="D384" s="1" t="s">
        <v>1293</v>
      </c>
      <c r="E384" s="10">
        <v>0.24</v>
      </c>
    </row>
    <row r="385" spans="1:5" x14ac:dyDescent="0.3">
      <c r="A385" s="174" t="s">
        <v>1188</v>
      </c>
      <c r="B385" s="174" t="s">
        <v>1189</v>
      </c>
      <c r="C385" s="1" t="s">
        <v>351</v>
      </c>
      <c r="D385" s="1" t="s">
        <v>347</v>
      </c>
      <c r="E385" s="10">
        <v>39.369999999999997</v>
      </c>
    </row>
    <row r="386" spans="1:5" x14ac:dyDescent="0.3">
      <c r="A386" s="174" t="s">
        <v>1188</v>
      </c>
      <c r="B386" s="174" t="s">
        <v>1189</v>
      </c>
      <c r="C386" s="1" t="s">
        <v>352</v>
      </c>
      <c r="D386" s="1" t="s">
        <v>348</v>
      </c>
      <c r="E386" s="10">
        <v>28.62</v>
      </c>
    </row>
    <row r="387" spans="1:5" x14ac:dyDescent="0.3">
      <c r="A387" s="175" t="s">
        <v>1188</v>
      </c>
      <c r="B387" s="174" t="s">
        <v>1189</v>
      </c>
      <c r="C387" s="1" t="s">
        <v>353</v>
      </c>
      <c r="D387" s="1" t="s">
        <v>348</v>
      </c>
      <c r="E387" s="10">
        <v>3.2199999999999998</v>
      </c>
    </row>
    <row r="388" spans="1:5" x14ac:dyDescent="0.3">
      <c r="A388" s="174" t="s">
        <v>38</v>
      </c>
      <c r="B388" s="174" t="s">
        <v>39</v>
      </c>
      <c r="C388" s="1" t="s">
        <v>453</v>
      </c>
      <c r="D388" s="1" t="s">
        <v>453</v>
      </c>
      <c r="E388" s="10">
        <v>278.14</v>
      </c>
    </row>
    <row r="389" spans="1:5" x14ac:dyDescent="0.3">
      <c r="A389" s="174" t="s">
        <v>38</v>
      </c>
      <c r="B389" s="174" t="s">
        <v>39</v>
      </c>
      <c r="C389" s="1" t="s">
        <v>350</v>
      </c>
      <c r="D389" s="1" t="s">
        <v>348</v>
      </c>
      <c r="E389" s="10">
        <v>8.31</v>
      </c>
    </row>
    <row r="390" spans="1:5" x14ac:dyDescent="0.3">
      <c r="A390" s="174" t="s">
        <v>38</v>
      </c>
      <c r="B390" s="174" t="s">
        <v>39</v>
      </c>
      <c r="C390" s="1" t="s">
        <v>1476</v>
      </c>
      <c r="D390" s="1" t="s">
        <v>1293</v>
      </c>
      <c r="E390" s="10">
        <v>0.17</v>
      </c>
    </row>
    <row r="391" spans="1:5" x14ac:dyDescent="0.3">
      <c r="A391" s="174" t="s">
        <v>38</v>
      </c>
      <c r="B391" s="174" t="s">
        <v>39</v>
      </c>
      <c r="C391" s="1" t="s">
        <v>351</v>
      </c>
      <c r="D391" s="1" t="s">
        <v>347</v>
      </c>
      <c r="E391" s="10">
        <v>22.400000000000002</v>
      </c>
    </row>
    <row r="392" spans="1:5" x14ac:dyDescent="0.3">
      <c r="A392" s="174" t="s">
        <v>38</v>
      </c>
      <c r="B392" s="174" t="s">
        <v>39</v>
      </c>
      <c r="C392" s="1" t="s">
        <v>352</v>
      </c>
      <c r="D392" s="1" t="s">
        <v>348</v>
      </c>
      <c r="E392" s="10">
        <v>16.28</v>
      </c>
    </row>
    <row r="393" spans="1:5" x14ac:dyDescent="0.3">
      <c r="A393" s="175" t="s">
        <v>38</v>
      </c>
      <c r="B393" s="174" t="s">
        <v>39</v>
      </c>
      <c r="C393" s="1" t="s">
        <v>353</v>
      </c>
      <c r="D393" s="1" t="s">
        <v>348</v>
      </c>
      <c r="E393" s="10">
        <v>1.8299999999999998</v>
      </c>
    </row>
    <row r="394" spans="1:5" x14ac:dyDescent="0.3">
      <c r="A394" s="174" t="s">
        <v>358</v>
      </c>
      <c r="B394" s="174" t="s">
        <v>359</v>
      </c>
      <c r="C394" s="1" t="s">
        <v>453</v>
      </c>
      <c r="D394" s="1" t="s">
        <v>453</v>
      </c>
      <c r="E394" s="10">
        <v>19.989999999999998</v>
      </c>
    </row>
    <row r="395" spans="1:5" x14ac:dyDescent="0.3">
      <c r="A395" s="174" t="s">
        <v>358</v>
      </c>
      <c r="B395" s="174" t="s">
        <v>359</v>
      </c>
      <c r="C395" s="1" t="s">
        <v>350</v>
      </c>
      <c r="D395" s="1" t="s">
        <v>348</v>
      </c>
      <c r="E395" s="10">
        <v>0</v>
      </c>
    </row>
    <row r="396" spans="1:5" x14ac:dyDescent="0.3">
      <c r="A396" s="174" t="s">
        <v>358</v>
      </c>
      <c r="B396" s="174" t="s">
        <v>359</v>
      </c>
      <c r="C396" s="1" t="s">
        <v>1476</v>
      </c>
      <c r="D396" s="1" t="s">
        <v>1293</v>
      </c>
      <c r="E396" s="10">
        <v>0.01</v>
      </c>
    </row>
    <row r="397" spans="1:5" x14ac:dyDescent="0.3">
      <c r="A397" s="174" t="s">
        <v>358</v>
      </c>
      <c r="B397" s="174" t="s">
        <v>359</v>
      </c>
      <c r="C397" s="1" t="s">
        <v>351</v>
      </c>
      <c r="D397" s="1" t="s">
        <v>347</v>
      </c>
      <c r="E397" s="10">
        <v>6.21</v>
      </c>
    </row>
    <row r="398" spans="1:5" x14ac:dyDescent="0.3">
      <c r="A398" s="174" t="s">
        <v>358</v>
      </c>
      <c r="B398" s="174" t="s">
        <v>359</v>
      </c>
      <c r="C398" s="1" t="s">
        <v>352</v>
      </c>
      <c r="D398" s="1" t="s">
        <v>348</v>
      </c>
      <c r="E398" s="10">
        <v>0</v>
      </c>
    </row>
    <row r="399" spans="1:5" x14ac:dyDescent="0.3">
      <c r="A399" s="175" t="s">
        <v>358</v>
      </c>
      <c r="B399" s="174" t="s">
        <v>359</v>
      </c>
      <c r="C399" s="1" t="s">
        <v>353</v>
      </c>
      <c r="D399" s="1" t="s">
        <v>348</v>
      </c>
      <c r="E399" s="10">
        <v>0</v>
      </c>
    </row>
    <row r="400" spans="1:5" x14ac:dyDescent="0.3">
      <c r="A400" s="174" t="s">
        <v>25</v>
      </c>
      <c r="B400" s="174" t="s">
        <v>26</v>
      </c>
      <c r="C400" s="1" t="s">
        <v>453</v>
      </c>
      <c r="D400" s="1" t="s">
        <v>453</v>
      </c>
      <c r="E400" s="10">
        <v>282.76</v>
      </c>
    </row>
    <row r="401" spans="1:5" x14ac:dyDescent="0.3">
      <c r="A401" s="174" t="s">
        <v>25</v>
      </c>
      <c r="B401" s="174" t="s">
        <v>26</v>
      </c>
      <c r="C401" s="1" t="s">
        <v>350</v>
      </c>
      <c r="D401" s="1" t="s">
        <v>348</v>
      </c>
      <c r="E401" s="10">
        <v>8.31</v>
      </c>
    </row>
    <row r="402" spans="1:5" x14ac:dyDescent="0.3">
      <c r="A402" s="174" t="s">
        <v>25</v>
      </c>
      <c r="B402" s="174" t="s">
        <v>26</v>
      </c>
      <c r="C402" s="1" t="s">
        <v>1476</v>
      </c>
      <c r="D402" s="1" t="s">
        <v>1293</v>
      </c>
      <c r="E402" s="10">
        <v>0.18</v>
      </c>
    </row>
    <row r="403" spans="1:5" x14ac:dyDescent="0.3">
      <c r="A403" s="174" t="s">
        <v>25</v>
      </c>
      <c r="B403" s="174" t="s">
        <v>26</v>
      </c>
      <c r="C403" s="1" t="s">
        <v>351</v>
      </c>
      <c r="D403" s="1" t="s">
        <v>347</v>
      </c>
      <c r="E403" s="10">
        <v>27.900000000000002</v>
      </c>
    </row>
    <row r="404" spans="1:5" x14ac:dyDescent="0.3">
      <c r="A404" s="174" t="s">
        <v>25</v>
      </c>
      <c r="B404" s="174" t="s">
        <v>26</v>
      </c>
      <c r="C404" s="1" t="s">
        <v>352</v>
      </c>
      <c r="D404" s="1" t="s">
        <v>348</v>
      </c>
      <c r="E404" s="10">
        <v>20.28</v>
      </c>
    </row>
    <row r="405" spans="1:5" x14ac:dyDescent="0.3">
      <c r="A405" s="175" t="s">
        <v>25</v>
      </c>
      <c r="B405" s="174" t="s">
        <v>26</v>
      </c>
      <c r="C405" s="1" t="s">
        <v>353</v>
      </c>
      <c r="D405" s="1" t="s">
        <v>348</v>
      </c>
      <c r="E405" s="10">
        <v>2.2800000000000002</v>
      </c>
    </row>
    <row r="406" spans="1:5" x14ac:dyDescent="0.3">
      <c r="A406" s="174" t="s">
        <v>28</v>
      </c>
      <c r="B406" s="174" t="s">
        <v>29</v>
      </c>
      <c r="C406" s="1" t="s">
        <v>453</v>
      </c>
      <c r="D406" s="1" t="s">
        <v>453</v>
      </c>
      <c r="E406" s="10">
        <v>275.87999999999994</v>
      </c>
    </row>
    <row r="407" spans="1:5" x14ac:dyDescent="0.3">
      <c r="A407" s="174" t="s">
        <v>28</v>
      </c>
      <c r="B407" s="174" t="s">
        <v>29</v>
      </c>
      <c r="C407" s="1" t="s">
        <v>350</v>
      </c>
      <c r="D407" s="1" t="s">
        <v>348</v>
      </c>
      <c r="E407" s="10">
        <v>8.31</v>
      </c>
    </row>
    <row r="408" spans="1:5" x14ac:dyDescent="0.3">
      <c r="A408" s="174" t="s">
        <v>28</v>
      </c>
      <c r="B408" s="174" t="s">
        <v>29</v>
      </c>
      <c r="C408" s="1" t="s">
        <v>1476</v>
      </c>
      <c r="D408" s="1" t="s">
        <v>1293</v>
      </c>
      <c r="E408" s="10">
        <v>0.17</v>
      </c>
    </row>
    <row r="409" spans="1:5" x14ac:dyDescent="0.3">
      <c r="A409" s="174" t="s">
        <v>28</v>
      </c>
      <c r="B409" s="174" t="s">
        <v>29</v>
      </c>
      <c r="C409" s="1" t="s">
        <v>351</v>
      </c>
      <c r="D409" s="1" t="s">
        <v>347</v>
      </c>
      <c r="E409" s="10">
        <v>31.84</v>
      </c>
    </row>
    <row r="410" spans="1:5" x14ac:dyDescent="0.3">
      <c r="A410" s="174" t="s">
        <v>28</v>
      </c>
      <c r="B410" s="174" t="s">
        <v>29</v>
      </c>
      <c r="C410" s="1" t="s">
        <v>352</v>
      </c>
      <c r="D410" s="1" t="s">
        <v>348</v>
      </c>
      <c r="E410" s="10">
        <v>23.14</v>
      </c>
    </row>
    <row r="411" spans="1:5" x14ac:dyDescent="0.3">
      <c r="A411" s="175" t="s">
        <v>28</v>
      </c>
      <c r="B411" s="174" t="s">
        <v>29</v>
      </c>
      <c r="C411" s="1" t="s">
        <v>353</v>
      </c>
      <c r="D411" s="1" t="s">
        <v>348</v>
      </c>
      <c r="E411" s="10">
        <v>2.6</v>
      </c>
    </row>
    <row r="412" spans="1:5" x14ac:dyDescent="0.3">
      <c r="A412" s="174" t="s">
        <v>360</v>
      </c>
      <c r="B412" s="174" t="s">
        <v>361</v>
      </c>
      <c r="C412" s="1" t="s">
        <v>453</v>
      </c>
      <c r="D412" s="1" t="s">
        <v>453</v>
      </c>
      <c r="E412" s="10">
        <v>17.52</v>
      </c>
    </row>
    <row r="413" spans="1:5" x14ac:dyDescent="0.3">
      <c r="A413" s="174" t="s">
        <v>360</v>
      </c>
      <c r="B413" s="174" t="s">
        <v>361</v>
      </c>
      <c r="C413" s="1" t="s">
        <v>350</v>
      </c>
      <c r="D413" s="1" t="s">
        <v>348</v>
      </c>
      <c r="E413" s="10">
        <v>0</v>
      </c>
    </row>
    <row r="414" spans="1:5" x14ac:dyDescent="0.3">
      <c r="A414" s="174" t="s">
        <v>360</v>
      </c>
      <c r="B414" s="174" t="s">
        <v>361</v>
      </c>
      <c r="C414" s="1" t="s">
        <v>1476</v>
      </c>
      <c r="D414" s="1" t="s">
        <v>1293</v>
      </c>
      <c r="E414" s="10">
        <v>0.01</v>
      </c>
    </row>
    <row r="415" spans="1:5" x14ac:dyDescent="0.3">
      <c r="A415" s="174" t="s">
        <v>360</v>
      </c>
      <c r="B415" s="174" t="s">
        <v>361</v>
      </c>
      <c r="C415" s="1" t="s">
        <v>351</v>
      </c>
      <c r="D415" s="1" t="s">
        <v>347</v>
      </c>
      <c r="E415" s="10">
        <v>13.38</v>
      </c>
    </row>
    <row r="416" spans="1:5" x14ac:dyDescent="0.3">
      <c r="A416" s="174" t="s">
        <v>360</v>
      </c>
      <c r="B416" s="174" t="s">
        <v>361</v>
      </c>
      <c r="C416" s="1" t="s">
        <v>352</v>
      </c>
      <c r="D416" s="1" t="s">
        <v>348</v>
      </c>
      <c r="E416" s="10">
        <v>0</v>
      </c>
    </row>
    <row r="417" spans="1:5" x14ac:dyDescent="0.3">
      <c r="A417" s="175" t="s">
        <v>360</v>
      </c>
      <c r="B417" s="174" t="s">
        <v>361</v>
      </c>
      <c r="C417" s="1" t="s">
        <v>353</v>
      </c>
      <c r="D417" s="1" t="s">
        <v>348</v>
      </c>
      <c r="E417" s="10">
        <v>0</v>
      </c>
    </row>
    <row r="418" spans="1:5" x14ac:dyDescent="0.3">
      <c r="A418" s="174" t="s">
        <v>362</v>
      </c>
      <c r="B418" s="174" t="s">
        <v>363</v>
      </c>
      <c r="C418" s="1" t="s">
        <v>453</v>
      </c>
      <c r="D418" s="1" t="s">
        <v>453</v>
      </c>
      <c r="E418" s="10">
        <v>623.88999999999965</v>
      </c>
    </row>
    <row r="419" spans="1:5" x14ac:dyDescent="0.3">
      <c r="A419" s="174" t="s">
        <v>362</v>
      </c>
      <c r="B419" s="174" t="s">
        <v>363</v>
      </c>
      <c r="C419" s="1" t="s">
        <v>350</v>
      </c>
      <c r="D419" s="1" t="s">
        <v>348</v>
      </c>
      <c r="E419" s="10">
        <v>20.27</v>
      </c>
    </row>
    <row r="420" spans="1:5" x14ac:dyDescent="0.3">
      <c r="A420" s="174" t="s">
        <v>362</v>
      </c>
      <c r="B420" s="174" t="s">
        <v>363</v>
      </c>
      <c r="C420" s="1" t="s">
        <v>1476</v>
      </c>
      <c r="D420" s="1" t="s">
        <v>1293</v>
      </c>
      <c r="E420" s="10">
        <v>0.36</v>
      </c>
    </row>
    <row r="421" spans="1:5" x14ac:dyDescent="0.3">
      <c r="A421" s="174" t="s">
        <v>362</v>
      </c>
      <c r="B421" s="174" t="s">
        <v>363</v>
      </c>
      <c r="C421" s="1" t="s">
        <v>351</v>
      </c>
      <c r="D421" s="1" t="s">
        <v>347</v>
      </c>
      <c r="E421" s="10">
        <v>28.97</v>
      </c>
    </row>
    <row r="422" spans="1:5" x14ac:dyDescent="0.3">
      <c r="A422" s="174" t="s">
        <v>362</v>
      </c>
      <c r="B422" s="174" t="s">
        <v>363</v>
      </c>
      <c r="C422" s="1" t="s">
        <v>352</v>
      </c>
      <c r="D422" s="1" t="s">
        <v>348</v>
      </c>
      <c r="E422" s="10">
        <v>21.06</v>
      </c>
    </row>
    <row r="423" spans="1:5" x14ac:dyDescent="0.3">
      <c r="A423" s="175" t="s">
        <v>362</v>
      </c>
      <c r="B423" s="174" t="s">
        <v>363</v>
      </c>
      <c r="C423" s="1" t="s">
        <v>353</v>
      </c>
      <c r="D423" s="1" t="s">
        <v>348</v>
      </c>
      <c r="E423" s="10">
        <v>2.37</v>
      </c>
    </row>
    <row r="424" spans="1:5" x14ac:dyDescent="0.3">
      <c r="A424" s="174" t="s">
        <v>364</v>
      </c>
      <c r="B424" s="174" t="s">
        <v>365</v>
      </c>
      <c r="C424" s="1" t="s">
        <v>453</v>
      </c>
      <c r="D424" s="1" t="s">
        <v>453</v>
      </c>
      <c r="E424" s="10">
        <v>72.890000000000015</v>
      </c>
    </row>
    <row r="425" spans="1:5" x14ac:dyDescent="0.3">
      <c r="A425" s="174" t="s">
        <v>364</v>
      </c>
      <c r="B425" s="174" t="s">
        <v>365</v>
      </c>
      <c r="C425" s="1" t="s">
        <v>350</v>
      </c>
      <c r="D425" s="1" t="s">
        <v>348</v>
      </c>
      <c r="E425" s="10">
        <v>0</v>
      </c>
    </row>
    <row r="426" spans="1:5" x14ac:dyDescent="0.3">
      <c r="A426" s="174" t="s">
        <v>364</v>
      </c>
      <c r="B426" s="174" t="s">
        <v>365</v>
      </c>
      <c r="C426" s="1" t="s">
        <v>1476</v>
      </c>
      <c r="D426" s="1" t="s">
        <v>1293</v>
      </c>
      <c r="E426" s="10">
        <v>0.04</v>
      </c>
    </row>
    <row r="427" spans="1:5" x14ac:dyDescent="0.3">
      <c r="A427" s="174" t="s">
        <v>364</v>
      </c>
      <c r="B427" s="174" t="s">
        <v>365</v>
      </c>
      <c r="C427" s="1" t="s">
        <v>351</v>
      </c>
      <c r="D427" s="1" t="s">
        <v>347</v>
      </c>
      <c r="E427" s="10">
        <v>13.05</v>
      </c>
    </row>
    <row r="428" spans="1:5" x14ac:dyDescent="0.3">
      <c r="A428" s="174" t="s">
        <v>364</v>
      </c>
      <c r="B428" s="174" t="s">
        <v>365</v>
      </c>
      <c r="C428" s="1" t="s">
        <v>352</v>
      </c>
      <c r="D428" s="1" t="s">
        <v>348</v>
      </c>
      <c r="E428" s="10">
        <v>0</v>
      </c>
    </row>
    <row r="429" spans="1:5" x14ac:dyDescent="0.3">
      <c r="A429" s="175" t="s">
        <v>364</v>
      </c>
      <c r="B429" s="174" t="s">
        <v>365</v>
      </c>
      <c r="C429" s="1" t="s">
        <v>353</v>
      </c>
      <c r="D429" s="1" t="s">
        <v>348</v>
      </c>
      <c r="E429" s="10">
        <v>0</v>
      </c>
    </row>
    <row r="430" spans="1:5" x14ac:dyDescent="0.3">
      <c r="A430" s="174" t="s">
        <v>1190</v>
      </c>
      <c r="B430" s="174" t="s">
        <v>1191</v>
      </c>
      <c r="C430" s="1" t="s">
        <v>453</v>
      </c>
      <c r="D430" s="1" t="s">
        <v>453</v>
      </c>
      <c r="E430" s="10">
        <v>235.38000000000005</v>
      </c>
    </row>
    <row r="431" spans="1:5" x14ac:dyDescent="0.3">
      <c r="A431" s="174" t="s">
        <v>1190</v>
      </c>
      <c r="B431" s="174" t="s">
        <v>1191</v>
      </c>
      <c r="C431" s="1" t="s">
        <v>350</v>
      </c>
      <c r="D431" s="1" t="s">
        <v>348</v>
      </c>
      <c r="E431" s="10">
        <v>7.89</v>
      </c>
    </row>
    <row r="432" spans="1:5" x14ac:dyDescent="0.3">
      <c r="A432" s="174" t="s">
        <v>1190</v>
      </c>
      <c r="B432" s="174" t="s">
        <v>1191</v>
      </c>
      <c r="C432" s="1" t="s">
        <v>1476</v>
      </c>
      <c r="D432" s="1" t="s">
        <v>1293</v>
      </c>
      <c r="E432" s="10">
        <v>0.13</v>
      </c>
    </row>
    <row r="433" spans="1:5" x14ac:dyDescent="0.3">
      <c r="A433" s="174" t="s">
        <v>1190</v>
      </c>
      <c r="B433" s="174" t="s">
        <v>1191</v>
      </c>
      <c r="C433" s="1" t="s">
        <v>351</v>
      </c>
      <c r="D433" s="1" t="s">
        <v>347</v>
      </c>
      <c r="E433" s="10">
        <v>4.5200000000000005</v>
      </c>
    </row>
    <row r="434" spans="1:5" x14ac:dyDescent="0.3">
      <c r="A434" s="174" t="s">
        <v>1190</v>
      </c>
      <c r="B434" s="174" t="s">
        <v>1191</v>
      </c>
      <c r="C434" s="1" t="s">
        <v>352</v>
      </c>
      <c r="D434" s="1" t="s">
        <v>348</v>
      </c>
      <c r="E434" s="10">
        <v>2.8200000000000003</v>
      </c>
    </row>
    <row r="435" spans="1:5" x14ac:dyDescent="0.3">
      <c r="A435" s="175" t="s">
        <v>1190</v>
      </c>
      <c r="B435" s="174" t="s">
        <v>1191</v>
      </c>
      <c r="C435" s="1" t="s">
        <v>353</v>
      </c>
      <c r="D435" s="1" t="s">
        <v>348</v>
      </c>
      <c r="E435" s="10">
        <v>0.28000000000000003</v>
      </c>
    </row>
    <row r="436" spans="1:5" x14ac:dyDescent="0.3">
      <c r="A436" s="174" t="s">
        <v>366</v>
      </c>
      <c r="B436" s="174" t="s">
        <v>367</v>
      </c>
      <c r="C436" s="1" t="s">
        <v>453</v>
      </c>
      <c r="D436" s="1" t="s">
        <v>453</v>
      </c>
      <c r="E436" s="10">
        <v>236.08000000000004</v>
      </c>
    </row>
    <row r="437" spans="1:5" x14ac:dyDescent="0.3">
      <c r="A437" s="174" t="s">
        <v>366</v>
      </c>
      <c r="B437" s="174" t="s">
        <v>367</v>
      </c>
      <c r="C437" s="1" t="s">
        <v>350</v>
      </c>
      <c r="D437" s="1" t="s">
        <v>348</v>
      </c>
      <c r="E437" s="10">
        <v>20.27</v>
      </c>
    </row>
    <row r="438" spans="1:5" x14ac:dyDescent="0.3">
      <c r="A438" s="174" t="s">
        <v>366</v>
      </c>
      <c r="B438" s="174" t="s">
        <v>367</v>
      </c>
      <c r="C438" s="1" t="s">
        <v>1476</v>
      </c>
      <c r="D438" s="1" t="s">
        <v>1293</v>
      </c>
      <c r="E438" s="10">
        <v>0.13</v>
      </c>
    </row>
    <row r="439" spans="1:5" x14ac:dyDescent="0.3">
      <c r="A439" s="174" t="s">
        <v>366</v>
      </c>
      <c r="B439" s="174" t="s">
        <v>367</v>
      </c>
      <c r="C439" s="1" t="s">
        <v>351</v>
      </c>
      <c r="D439" s="1" t="s">
        <v>347</v>
      </c>
      <c r="E439" s="10">
        <v>27.35</v>
      </c>
    </row>
    <row r="440" spans="1:5" x14ac:dyDescent="0.3">
      <c r="A440" s="174" t="s">
        <v>366</v>
      </c>
      <c r="B440" s="174" t="s">
        <v>367</v>
      </c>
      <c r="C440" s="1" t="s">
        <v>352</v>
      </c>
      <c r="D440" s="1" t="s">
        <v>348</v>
      </c>
      <c r="E440" s="10">
        <v>19.88</v>
      </c>
    </row>
    <row r="441" spans="1:5" x14ac:dyDescent="0.3">
      <c r="A441" s="175" t="s">
        <v>366</v>
      </c>
      <c r="B441" s="174" t="s">
        <v>367</v>
      </c>
      <c r="C441" s="1" t="s">
        <v>353</v>
      </c>
      <c r="D441" s="1" t="s">
        <v>348</v>
      </c>
      <c r="E441" s="10">
        <v>2.2400000000000002</v>
      </c>
    </row>
    <row r="442" spans="1:5" x14ac:dyDescent="0.3">
      <c r="A442" s="174" t="s">
        <v>368</v>
      </c>
      <c r="B442" s="174" t="s">
        <v>369</v>
      </c>
      <c r="C442" s="1" t="s">
        <v>453</v>
      </c>
      <c r="D442" s="1" t="s">
        <v>453</v>
      </c>
      <c r="E442" s="10">
        <v>232.98000000000008</v>
      </c>
    </row>
    <row r="443" spans="1:5" x14ac:dyDescent="0.3">
      <c r="A443" s="174" t="s">
        <v>368</v>
      </c>
      <c r="B443" s="174" t="s">
        <v>369</v>
      </c>
      <c r="C443" s="1" t="s">
        <v>350</v>
      </c>
      <c r="D443" s="1" t="s">
        <v>348</v>
      </c>
      <c r="E443" s="10">
        <v>20.27</v>
      </c>
    </row>
    <row r="444" spans="1:5" x14ac:dyDescent="0.3">
      <c r="A444" s="174" t="s">
        <v>368</v>
      </c>
      <c r="B444" s="174" t="s">
        <v>369</v>
      </c>
      <c r="C444" s="1" t="s">
        <v>1476</v>
      </c>
      <c r="D444" s="1" t="s">
        <v>1293</v>
      </c>
      <c r="E444" s="10">
        <v>0.13</v>
      </c>
    </row>
    <row r="445" spans="1:5" x14ac:dyDescent="0.3">
      <c r="A445" s="174" t="s">
        <v>368</v>
      </c>
      <c r="B445" s="174" t="s">
        <v>369</v>
      </c>
      <c r="C445" s="1" t="s">
        <v>351</v>
      </c>
      <c r="D445" s="1" t="s">
        <v>347</v>
      </c>
      <c r="E445" s="10">
        <v>58.8</v>
      </c>
    </row>
    <row r="446" spans="1:5" x14ac:dyDescent="0.3">
      <c r="A446" s="174" t="s">
        <v>368</v>
      </c>
      <c r="B446" s="174" t="s">
        <v>369</v>
      </c>
      <c r="C446" s="1" t="s">
        <v>352</v>
      </c>
      <c r="D446" s="1" t="s">
        <v>348</v>
      </c>
      <c r="E446" s="10">
        <v>42.739999999999995</v>
      </c>
    </row>
    <row r="447" spans="1:5" x14ac:dyDescent="0.3">
      <c r="A447" s="175" t="s">
        <v>368</v>
      </c>
      <c r="B447" s="174" t="s">
        <v>369</v>
      </c>
      <c r="C447" s="1" t="s">
        <v>353</v>
      </c>
      <c r="D447" s="1" t="s">
        <v>348</v>
      </c>
      <c r="E447" s="10">
        <v>4.8099999999999996</v>
      </c>
    </row>
    <row r="448" spans="1:5" x14ac:dyDescent="0.3">
      <c r="A448" s="174" t="s">
        <v>370</v>
      </c>
      <c r="B448" s="174" t="s">
        <v>371</v>
      </c>
      <c r="C448" s="1" t="s">
        <v>453</v>
      </c>
      <c r="D448" s="1" t="s">
        <v>453</v>
      </c>
      <c r="E448" s="10">
        <v>19.899999999999999</v>
      </c>
    </row>
    <row r="449" spans="1:5" x14ac:dyDescent="0.3">
      <c r="A449" s="174" t="s">
        <v>370</v>
      </c>
      <c r="B449" s="174" t="s">
        <v>371</v>
      </c>
      <c r="C449" s="1" t="s">
        <v>350</v>
      </c>
      <c r="D449" s="1" t="s">
        <v>348</v>
      </c>
      <c r="E449" s="10">
        <v>0</v>
      </c>
    </row>
    <row r="450" spans="1:5" x14ac:dyDescent="0.3">
      <c r="A450" s="174" t="s">
        <v>370</v>
      </c>
      <c r="B450" s="174" t="s">
        <v>371</v>
      </c>
      <c r="C450" s="1" t="s">
        <v>1476</v>
      </c>
      <c r="D450" s="1" t="s">
        <v>1293</v>
      </c>
      <c r="E450" s="10">
        <v>0.01</v>
      </c>
    </row>
    <row r="451" spans="1:5" x14ac:dyDescent="0.3">
      <c r="A451" s="174" t="s">
        <v>370</v>
      </c>
      <c r="B451" s="174" t="s">
        <v>371</v>
      </c>
      <c r="C451" s="1" t="s">
        <v>351</v>
      </c>
      <c r="D451" s="1" t="s">
        <v>347</v>
      </c>
      <c r="E451" s="10">
        <v>13.38</v>
      </c>
    </row>
    <row r="452" spans="1:5" x14ac:dyDescent="0.3">
      <c r="A452" s="174" t="s">
        <v>370</v>
      </c>
      <c r="B452" s="174" t="s">
        <v>371</v>
      </c>
      <c r="C452" s="1" t="s">
        <v>352</v>
      </c>
      <c r="D452" s="1" t="s">
        <v>348</v>
      </c>
      <c r="E452" s="10">
        <v>0</v>
      </c>
    </row>
    <row r="453" spans="1:5" x14ac:dyDescent="0.3">
      <c r="A453" s="175" t="s">
        <v>370</v>
      </c>
      <c r="B453" s="174" t="s">
        <v>371</v>
      </c>
      <c r="C453" s="1" t="s">
        <v>353</v>
      </c>
      <c r="D453" s="1" t="s">
        <v>348</v>
      </c>
      <c r="E453" s="10">
        <v>0</v>
      </c>
    </row>
    <row r="454" spans="1:5" x14ac:dyDescent="0.3">
      <c r="A454" s="174" t="s">
        <v>565</v>
      </c>
      <c r="B454" s="174" t="s">
        <v>566</v>
      </c>
      <c r="C454" s="1" t="s">
        <v>453</v>
      </c>
      <c r="D454" s="1" t="s">
        <v>453</v>
      </c>
      <c r="E454" s="10">
        <v>147.26000000000002</v>
      </c>
    </row>
    <row r="455" spans="1:5" x14ac:dyDescent="0.3">
      <c r="A455" s="174" t="s">
        <v>565</v>
      </c>
      <c r="B455" s="174" t="s">
        <v>566</v>
      </c>
      <c r="C455" s="1" t="s">
        <v>350</v>
      </c>
      <c r="D455" s="1" t="s">
        <v>348</v>
      </c>
      <c r="E455" s="10">
        <v>8.31</v>
      </c>
    </row>
    <row r="456" spans="1:5" x14ac:dyDescent="0.3">
      <c r="A456" s="174" t="s">
        <v>565</v>
      </c>
      <c r="B456" s="174" t="s">
        <v>566</v>
      </c>
      <c r="C456" s="1" t="s">
        <v>1476</v>
      </c>
      <c r="D456" s="1" t="s">
        <v>1293</v>
      </c>
      <c r="E456" s="10">
        <v>0.13</v>
      </c>
    </row>
    <row r="457" spans="1:5" x14ac:dyDescent="0.3">
      <c r="A457" s="174" t="s">
        <v>565</v>
      </c>
      <c r="B457" s="174" t="s">
        <v>566</v>
      </c>
      <c r="C457" s="1" t="s">
        <v>351</v>
      </c>
      <c r="D457" s="1" t="s">
        <v>347</v>
      </c>
      <c r="E457" s="10">
        <v>11.239999999999998</v>
      </c>
    </row>
    <row r="458" spans="1:5" x14ac:dyDescent="0.3">
      <c r="A458" s="174" t="s">
        <v>565</v>
      </c>
      <c r="B458" s="174" t="s">
        <v>566</v>
      </c>
      <c r="C458" s="1" t="s">
        <v>352</v>
      </c>
      <c r="D458" s="1" t="s">
        <v>348</v>
      </c>
      <c r="E458" s="10">
        <v>8.17</v>
      </c>
    </row>
    <row r="459" spans="1:5" x14ac:dyDescent="0.3">
      <c r="A459" s="175" t="s">
        <v>565</v>
      </c>
      <c r="B459" s="174" t="s">
        <v>566</v>
      </c>
      <c r="C459" s="1" t="s">
        <v>353</v>
      </c>
      <c r="D459" s="1" t="s">
        <v>348</v>
      </c>
      <c r="E459" s="10">
        <v>0.91999999999999993</v>
      </c>
    </row>
    <row r="460" spans="1:5" x14ac:dyDescent="0.3">
      <c r="A460" s="174" t="s">
        <v>627</v>
      </c>
      <c r="B460" s="174" t="s">
        <v>628</v>
      </c>
      <c r="C460" s="1" t="s">
        <v>453</v>
      </c>
      <c r="D460" s="1" t="s">
        <v>453</v>
      </c>
      <c r="E460" s="10">
        <v>109.66000000000001</v>
      </c>
    </row>
    <row r="461" spans="1:5" x14ac:dyDescent="0.3">
      <c r="A461" s="174" t="s">
        <v>627</v>
      </c>
      <c r="B461" s="174" t="s">
        <v>628</v>
      </c>
      <c r="C461" s="1" t="s">
        <v>350</v>
      </c>
      <c r="D461" s="1" t="s">
        <v>348</v>
      </c>
      <c r="E461" s="10">
        <v>8.31</v>
      </c>
    </row>
    <row r="462" spans="1:5" x14ac:dyDescent="0.3">
      <c r="A462" s="174" t="s">
        <v>627</v>
      </c>
      <c r="B462" s="174" t="s">
        <v>628</v>
      </c>
      <c r="C462" s="1" t="s">
        <v>1476</v>
      </c>
      <c r="D462" s="1" t="s">
        <v>1293</v>
      </c>
      <c r="E462" s="10">
        <v>0.1</v>
      </c>
    </row>
    <row r="463" spans="1:5" x14ac:dyDescent="0.3">
      <c r="A463" s="174" t="s">
        <v>627</v>
      </c>
      <c r="B463" s="174" t="s">
        <v>628</v>
      </c>
      <c r="C463" s="1" t="s">
        <v>351</v>
      </c>
      <c r="D463" s="1" t="s">
        <v>347</v>
      </c>
      <c r="E463" s="10">
        <v>12.05</v>
      </c>
    </row>
    <row r="464" spans="1:5" x14ac:dyDescent="0.3">
      <c r="A464" s="174" t="s">
        <v>627</v>
      </c>
      <c r="B464" s="174" t="s">
        <v>628</v>
      </c>
      <c r="C464" s="1" t="s">
        <v>352</v>
      </c>
      <c r="D464" s="1" t="s">
        <v>348</v>
      </c>
      <c r="E464" s="10">
        <v>8.76</v>
      </c>
    </row>
    <row r="465" spans="1:5" x14ac:dyDescent="0.3">
      <c r="A465" s="175" t="s">
        <v>627</v>
      </c>
      <c r="B465" s="174" t="s">
        <v>628</v>
      </c>
      <c r="C465" s="1" t="s">
        <v>353</v>
      </c>
      <c r="D465" s="1" t="s">
        <v>348</v>
      </c>
      <c r="E465" s="10">
        <v>0.99</v>
      </c>
    </row>
    <row r="466" spans="1:5" x14ac:dyDescent="0.3">
      <c r="A466" s="174" t="s">
        <v>629</v>
      </c>
      <c r="B466" s="174" t="s">
        <v>630</v>
      </c>
      <c r="C466" s="1" t="s">
        <v>453</v>
      </c>
      <c r="D466" s="1" t="s">
        <v>453</v>
      </c>
      <c r="E466" s="10">
        <v>170.50999999999996</v>
      </c>
    </row>
    <row r="467" spans="1:5" x14ac:dyDescent="0.3">
      <c r="A467" s="174" t="s">
        <v>629</v>
      </c>
      <c r="B467" s="174" t="s">
        <v>630</v>
      </c>
      <c r="C467" s="1" t="s">
        <v>350</v>
      </c>
      <c r="D467" s="1" t="s">
        <v>348</v>
      </c>
      <c r="E467" s="10">
        <v>8.31</v>
      </c>
    </row>
    <row r="468" spans="1:5" x14ac:dyDescent="0.3">
      <c r="A468" s="174" t="s">
        <v>629</v>
      </c>
      <c r="B468" s="174" t="s">
        <v>630</v>
      </c>
      <c r="C468" s="1" t="s">
        <v>1476</v>
      </c>
      <c r="D468" s="1" t="s">
        <v>1293</v>
      </c>
      <c r="E468" s="10">
        <v>0.04</v>
      </c>
    </row>
    <row r="469" spans="1:5" x14ac:dyDescent="0.3">
      <c r="A469" s="174" t="s">
        <v>629</v>
      </c>
      <c r="B469" s="174" t="s">
        <v>630</v>
      </c>
      <c r="C469" s="1" t="s">
        <v>351</v>
      </c>
      <c r="D469" s="1" t="s">
        <v>347</v>
      </c>
      <c r="E469" s="10">
        <v>18.18</v>
      </c>
    </row>
    <row r="470" spans="1:5" x14ac:dyDescent="0.3">
      <c r="A470" s="174" t="s">
        <v>629</v>
      </c>
      <c r="B470" s="174" t="s">
        <v>630</v>
      </c>
      <c r="C470" s="1" t="s">
        <v>352</v>
      </c>
      <c r="D470" s="1" t="s">
        <v>348</v>
      </c>
      <c r="E470" s="10">
        <v>13.21</v>
      </c>
    </row>
    <row r="471" spans="1:5" x14ac:dyDescent="0.3">
      <c r="A471" s="175" t="s">
        <v>629</v>
      </c>
      <c r="B471" s="174" t="s">
        <v>630</v>
      </c>
      <c r="C471" s="1" t="s">
        <v>353</v>
      </c>
      <c r="D471" s="1" t="s">
        <v>348</v>
      </c>
      <c r="E471" s="10">
        <v>1.48</v>
      </c>
    </row>
    <row r="472" spans="1:5" x14ac:dyDescent="0.3">
      <c r="A472" s="174" t="s">
        <v>631</v>
      </c>
      <c r="B472" s="174" t="s">
        <v>632</v>
      </c>
      <c r="C472" s="1" t="s">
        <v>453</v>
      </c>
      <c r="D472" s="1" t="s">
        <v>453</v>
      </c>
      <c r="E472" s="10">
        <v>161.87000000000003</v>
      </c>
    </row>
    <row r="473" spans="1:5" x14ac:dyDescent="0.3">
      <c r="A473" s="174" t="s">
        <v>631</v>
      </c>
      <c r="B473" s="174" t="s">
        <v>632</v>
      </c>
      <c r="C473" s="1" t="s">
        <v>350</v>
      </c>
      <c r="D473" s="1" t="s">
        <v>348</v>
      </c>
      <c r="E473" s="10">
        <v>8.31</v>
      </c>
    </row>
    <row r="474" spans="1:5" x14ac:dyDescent="0.3">
      <c r="A474" s="174" t="s">
        <v>631</v>
      </c>
      <c r="B474" s="174" t="s">
        <v>632</v>
      </c>
      <c r="C474" s="1" t="s">
        <v>1476</v>
      </c>
      <c r="D474" s="1" t="s">
        <v>1293</v>
      </c>
      <c r="E474" s="10">
        <v>0.15</v>
      </c>
    </row>
    <row r="475" spans="1:5" x14ac:dyDescent="0.3">
      <c r="A475" s="174" t="s">
        <v>631</v>
      </c>
      <c r="B475" s="174" t="s">
        <v>632</v>
      </c>
      <c r="C475" s="1" t="s">
        <v>351</v>
      </c>
      <c r="D475" s="1" t="s">
        <v>347</v>
      </c>
      <c r="E475" s="10">
        <v>8.89</v>
      </c>
    </row>
    <row r="476" spans="1:5" x14ac:dyDescent="0.3">
      <c r="A476" s="174" t="s">
        <v>631</v>
      </c>
      <c r="B476" s="174" t="s">
        <v>632</v>
      </c>
      <c r="C476" s="1" t="s">
        <v>352</v>
      </c>
      <c r="D476" s="1" t="s">
        <v>348</v>
      </c>
      <c r="E476" s="10">
        <v>6.4600000000000009</v>
      </c>
    </row>
    <row r="477" spans="1:5" x14ac:dyDescent="0.3">
      <c r="A477" s="175" t="s">
        <v>631</v>
      </c>
      <c r="B477" s="174" t="s">
        <v>632</v>
      </c>
      <c r="C477" s="1" t="s">
        <v>353</v>
      </c>
      <c r="D477" s="1" t="s">
        <v>348</v>
      </c>
      <c r="E477" s="10">
        <v>0.72</v>
      </c>
    </row>
    <row r="478" spans="1:5" x14ac:dyDescent="0.3">
      <c r="A478" s="174" t="s">
        <v>44</v>
      </c>
      <c r="B478" s="174" t="s">
        <v>45</v>
      </c>
      <c r="C478" s="1" t="s">
        <v>453</v>
      </c>
      <c r="D478" s="1" t="s">
        <v>453</v>
      </c>
      <c r="E478" s="10">
        <v>275.85000000000002</v>
      </c>
    </row>
    <row r="479" spans="1:5" x14ac:dyDescent="0.3">
      <c r="A479" s="174" t="s">
        <v>44</v>
      </c>
      <c r="B479" s="174" t="s">
        <v>45</v>
      </c>
      <c r="C479" s="1" t="s">
        <v>350</v>
      </c>
      <c r="D479" s="1" t="s">
        <v>348</v>
      </c>
      <c r="E479" s="10">
        <v>8.31</v>
      </c>
    </row>
    <row r="480" spans="1:5" x14ac:dyDescent="0.3">
      <c r="A480" s="174" t="s">
        <v>44</v>
      </c>
      <c r="B480" s="174" t="s">
        <v>45</v>
      </c>
      <c r="C480" s="1" t="s">
        <v>1476</v>
      </c>
      <c r="D480" s="1" t="s">
        <v>1293</v>
      </c>
      <c r="E480" s="10">
        <v>0.17</v>
      </c>
    </row>
    <row r="481" spans="1:5" x14ac:dyDescent="0.3">
      <c r="A481" s="174" t="s">
        <v>44</v>
      </c>
      <c r="B481" s="174" t="s">
        <v>45</v>
      </c>
      <c r="C481" s="1" t="s">
        <v>351</v>
      </c>
      <c r="D481" s="1" t="s">
        <v>347</v>
      </c>
      <c r="E481" s="10">
        <v>23.720000000000002</v>
      </c>
    </row>
    <row r="482" spans="1:5" x14ac:dyDescent="0.3">
      <c r="A482" s="174" t="s">
        <v>44</v>
      </c>
      <c r="B482" s="174" t="s">
        <v>45</v>
      </c>
      <c r="C482" s="1" t="s">
        <v>352</v>
      </c>
      <c r="D482" s="1" t="s">
        <v>348</v>
      </c>
      <c r="E482" s="10">
        <v>17.239999999999998</v>
      </c>
    </row>
    <row r="483" spans="1:5" x14ac:dyDescent="0.3">
      <c r="A483" s="175" t="s">
        <v>44</v>
      </c>
      <c r="B483" s="174" t="s">
        <v>45</v>
      </c>
      <c r="C483" s="1" t="s">
        <v>353</v>
      </c>
      <c r="D483" s="1" t="s">
        <v>348</v>
      </c>
      <c r="E483" s="10">
        <v>1.94</v>
      </c>
    </row>
    <row r="484" spans="1:5" x14ac:dyDescent="0.3">
      <c r="A484" s="174" t="s">
        <v>633</v>
      </c>
      <c r="B484" s="174" t="s">
        <v>634</v>
      </c>
      <c r="C484" s="1" t="s">
        <v>453</v>
      </c>
      <c r="D484" s="1" t="s">
        <v>453</v>
      </c>
      <c r="E484" s="10">
        <v>278.1099999999999</v>
      </c>
    </row>
    <row r="485" spans="1:5" x14ac:dyDescent="0.3">
      <c r="A485" s="174" t="s">
        <v>633</v>
      </c>
      <c r="B485" s="174" t="s">
        <v>634</v>
      </c>
      <c r="C485" s="1" t="s">
        <v>350</v>
      </c>
      <c r="D485" s="1" t="s">
        <v>348</v>
      </c>
      <c r="E485" s="10">
        <v>8.31</v>
      </c>
    </row>
    <row r="486" spans="1:5" x14ac:dyDescent="0.3">
      <c r="A486" s="174" t="s">
        <v>633</v>
      </c>
      <c r="B486" s="174" t="s">
        <v>634</v>
      </c>
      <c r="C486" s="1" t="s">
        <v>1476</v>
      </c>
      <c r="D486" s="1" t="s">
        <v>1293</v>
      </c>
      <c r="E486" s="10">
        <v>0.17</v>
      </c>
    </row>
    <row r="487" spans="1:5" x14ac:dyDescent="0.3">
      <c r="A487" s="174" t="s">
        <v>633</v>
      </c>
      <c r="B487" s="174" t="s">
        <v>634</v>
      </c>
      <c r="C487" s="1" t="s">
        <v>351</v>
      </c>
      <c r="D487" s="1" t="s">
        <v>347</v>
      </c>
      <c r="E487" s="10">
        <v>22.400000000000002</v>
      </c>
    </row>
    <row r="488" spans="1:5" x14ac:dyDescent="0.3">
      <c r="A488" s="174" t="s">
        <v>633</v>
      </c>
      <c r="B488" s="174" t="s">
        <v>634</v>
      </c>
      <c r="C488" s="1" t="s">
        <v>352</v>
      </c>
      <c r="D488" s="1" t="s">
        <v>348</v>
      </c>
      <c r="E488" s="10">
        <v>16.28</v>
      </c>
    </row>
    <row r="489" spans="1:5" x14ac:dyDescent="0.3">
      <c r="A489" s="175" t="s">
        <v>633</v>
      </c>
      <c r="B489" s="174" t="s">
        <v>634</v>
      </c>
      <c r="C489" s="1" t="s">
        <v>353</v>
      </c>
      <c r="D489" s="1" t="s">
        <v>348</v>
      </c>
      <c r="E489" s="10">
        <v>1.8299999999999998</v>
      </c>
    </row>
    <row r="490" spans="1:5" x14ac:dyDescent="0.3">
      <c r="A490" s="174" t="s">
        <v>46</v>
      </c>
      <c r="B490" s="174" t="s">
        <v>47</v>
      </c>
      <c r="C490" s="1" t="s">
        <v>453</v>
      </c>
      <c r="D490" s="1" t="s">
        <v>453</v>
      </c>
      <c r="E490" s="10">
        <v>278.1099999999999</v>
      </c>
    </row>
    <row r="491" spans="1:5" x14ac:dyDescent="0.3">
      <c r="A491" s="174" t="s">
        <v>46</v>
      </c>
      <c r="B491" s="174" t="s">
        <v>47</v>
      </c>
      <c r="C491" s="1" t="s">
        <v>350</v>
      </c>
      <c r="D491" s="1" t="s">
        <v>348</v>
      </c>
      <c r="E491" s="10">
        <v>8.31</v>
      </c>
    </row>
    <row r="492" spans="1:5" x14ac:dyDescent="0.3">
      <c r="A492" s="174" t="s">
        <v>46</v>
      </c>
      <c r="B492" s="174" t="s">
        <v>47</v>
      </c>
      <c r="C492" s="1" t="s">
        <v>1476</v>
      </c>
      <c r="D492" s="1" t="s">
        <v>1293</v>
      </c>
      <c r="E492" s="10">
        <v>0.17</v>
      </c>
    </row>
    <row r="493" spans="1:5" x14ac:dyDescent="0.3">
      <c r="A493" s="174" t="s">
        <v>46</v>
      </c>
      <c r="B493" s="174" t="s">
        <v>47</v>
      </c>
      <c r="C493" s="1" t="s">
        <v>351</v>
      </c>
      <c r="D493" s="1" t="s">
        <v>347</v>
      </c>
      <c r="E493" s="10">
        <v>22.400000000000002</v>
      </c>
    </row>
    <row r="494" spans="1:5" x14ac:dyDescent="0.3">
      <c r="A494" s="174" t="s">
        <v>46</v>
      </c>
      <c r="B494" s="174" t="s">
        <v>47</v>
      </c>
      <c r="C494" s="1" t="s">
        <v>352</v>
      </c>
      <c r="D494" s="1" t="s">
        <v>348</v>
      </c>
      <c r="E494" s="10">
        <v>16.28</v>
      </c>
    </row>
    <row r="495" spans="1:5" x14ac:dyDescent="0.3">
      <c r="A495" s="175" t="s">
        <v>46</v>
      </c>
      <c r="B495" s="174" t="s">
        <v>47</v>
      </c>
      <c r="C495" s="1" t="s">
        <v>353</v>
      </c>
      <c r="D495" s="1" t="s">
        <v>348</v>
      </c>
      <c r="E495" s="10">
        <v>1.8299999999999998</v>
      </c>
    </row>
    <row r="496" spans="1:5" x14ac:dyDescent="0.3">
      <c r="A496" s="174" t="s">
        <v>30</v>
      </c>
      <c r="B496" s="174" t="s">
        <v>31</v>
      </c>
      <c r="C496" s="1" t="s">
        <v>453</v>
      </c>
      <c r="D496" s="1" t="s">
        <v>453</v>
      </c>
      <c r="E496" s="10">
        <v>278.11000000000007</v>
      </c>
    </row>
    <row r="497" spans="1:5" x14ac:dyDescent="0.3">
      <c r="A497" s="174" t="s">
        <v>30</v>
      </c>
      <c r="B497" s="174" t="s">
        <v>31</v>
      </c>
      <c r="C497" s="1" t="s">
        <v>350</v>
      </c>
      <c r="D497" s="1" t="s">
        <v>348</v>
      </c>
      <c r="E497" s="10">
        <v>8.31</v>
      </c>
    </row>
    <row r="498" spans="1:5" x14ac:dyDescent="0.3">
      <c r="A498" s="174" t="s">
        <v>30</v>
      </c>
      <c r="B498" s="174" t="s">
        <v>31</v>
      </c>
      <c r="C498" s="1" t="s">
        <v>1476</v>
      </c>
      <c r="D498" s="1" t="s">
        <v>1293</v>
      </c>
      <c r="E498" s="10">
        <v>0.17</v>
      </c>
    </row>
    <row r="499" spans="1:5" x14ac:dyDescent="0.3">
      <c r="A499" s="174" t="s">
        <v>30</v>
      </c>
      <c r="B499" s="174" t="s">
        <v>31</v>
      </c>
      <c r="C499" s="1" t="s">
        <v>351</v>
      </c>
      <c r="D499" s="1" t="s">
        <v>347</v>
      </c>
      <c r="E499" s="10">
        <v>22.400000000000002</v>
      </c>
    </row>
    <row r="500" spans="1:5" x14ac:dyDescent="0.3">
      <c r="A500" s="174" t="s">
        <v>30</v>
      </c>
      <c r="B500" s="174" t="s">
        <v>31</v>
      </c>
      <c r="C500" s="1" t="s">
        <v>352</v>
      </c>
      <c r="D500" s="1" t="s">
        <v>348</v>
      </c>
      <c r="E500" s="10">
        <v>16.28</v>
      </c>
    </row>
    <row r="501" spans="1:5" x14ac:dyDescent="0.3">
      <c r="A501" s="175" t="s">
        <v>30</v>
      </c>
      <c r="B501" s="174" t="s">
        <v>31</v>
      </c>
      <c r="C501" s="1" t="s">
        <v>353</v>
      </c>
      <c r="D501" s="1" t="s">
        <v>348</v>
      </c>
      <c r="E501" s="10">
        <v>1.8299999999999998</v>
      </c>
    </row>
    <row r="502" spans="1:5" x14ac:dyDescent="0.3">
      <c r="A502" s="174" t="s">
        <v>749</v>
      </c>
      <c r="B502" s="174" t="s">
        <v>750</v>
      </c>
      <c r="C502" s="1" t="s">
        <v>453</v>
      </c>
      <c r="D502" s="1" t="s">
        <v>453</v>
      </c>
      <c r="E502" s="10">
        <v>261.20999999999998</v>
      </c>
    </row>
    <row r="503" spans="1:5" x14ac:dyDescent="0.3">
      <c r="A503" s="174" t="s">
        <v>749</v>
      </c>
      <c r="B503" s="174" t="s">
        <v>750</v>
      </c>
      <c r="C503" s="1" t="s">
        <v>350</v>
      </c>
      <c r="D503" s="1" t="s">
        <v>348</v>
      </c>
      <c r="E503" s="10">
        <v>7.89</v>
      </c>
    </row>
    <row r="504" spans="1:5" x14ac:dyDescent="0.3">
      <c r="A504" s="174" t="s">
        <v>749</v>
      </c>
      <c r="B504" s="174" t="s">
        <v>750</v>
      </c>
      <c r="C504" s="1" t="s">
        <v>1476</v>
      </c>
      <c r="D504" s="1" t="s">
        <v>1293</v>
      </c>
      <c r="E504" s="10">
        <v>0.24</v>
      </c>
    </row>
    <row r="505" spans="1:5" x14ac:dyDescent="0.3">
      <c r="A505" s="174" t="s">
        <v>749</v>
      </c>
      <c r="B505" s="174" t="s">
        <v>750</v>
      </c>
      <c r="C505" s="1" t="s">
        <v>351</v>
      </c>
      <c r="D505" s="1" t="s">
        <v>347</v>
      </c>
      <c r="E505" s="10">
        <v>27.200000000000003</v>
      </c>
    </row>
    <row r="506" spans="1:5" x14ac:dyDescent="0.3">
      <c r="A506" s="174" t="s">
        <v>749</v>
      </c>
      <c r="B506" s="174" t="s">
        <v>750</v>
      </c>
      <c r="C506" s="1" t="s">
        <v>352</v>
      </c>
      <c r="D506" s="1" t="s">
        <v>348</v>
      </c>
      <c r="E506" s="10">
        <v>16.97</v>
      </c>
    </row>
    <row r="507" spans="1:5" x14ac:dyDescent="0.3">
      <c r="A507" s="175" t="s">
        <v>749</v>
      </c>
      <c r="B507" s="174" t="s">
        <v>750</v>
      </c>
      <c r="C507" s="1" t="s">
        <v>353</v>
      </c>
      <c r="D507" s="1" t="s">
        <v>348</v>
      </c>
      <c r="E507" s="10">
        <v>1.65</v>
      </c>
    </row>
    <row r="508" spans="1:5" x14ac:dyDescent="0.3">
      <c r="A508" s="174" t="s">
        <v>569</v>
      </c>
      <c r="B508" s="174" t="s">
        <v>570</v>
      </c>
      <c r="C508" s="1" t="s">
        <v>453</v>
      </c>
      <c r="D508" s="1" t="s">
        <v>453</v>
      </c>
      <c r="E508" s="10">
        <v>283.98</v>
      </c>
    </row>
    <row r="509" spans="1:5" x14ac:dyDescent="0.3">
      <c r="A509" s="174" t="s">
        <v>569</v>
      </c>
      <c r="B509" s="174" t="s">
        <v>570</v>
      </c>
      <c r="C509" s="1" t="s">
        <v>350</v>
      </c>
      <c r="D509" s="1" t="s">
        <v>348</v>
      </c>
      <c r="E509" s="10">
        <v>8.31</v>
      </c>
    </row>
    <row r="510" spans="1:5" x14ac:dyDescent="0.3">
      <c r="A510" s="174" t="s">
        <v>569</v>
      </c>
      <c r="B510" s="174" t="s">
        <v>570</v>
      </c>
      <c r="C510" s="1" t="s">
        <v>1476</v>
      </c>
      <c r="D510" s="1" t="s">
        <v>1293</v>
      </c>
      <c r="E510" s="10">
        <v>0.17</v>
      </c>
    </row>
    <row r="511" spans="1:5" x14ac:dyDescent="0.3">
      <c r="A511" s="174" t="s">
        <v>569</v>
      </c>
      <c r="B511" s="174" t="s">
        <v>570</v>
      </c>
      <c r="C511" s="1" t="s">
        <v>351</v>
      </c>
      <c r="D511" s="1" t="s">
        <v>347</v>
      </c>
      <c r="E511" s="10">
        <v>35.550000000000004</v>
      </c>
    </row>
    <row r="512" spans="1:5" x14ac:dyDescent="0.3">
      <c r="A512" s="174" t="s">
        <v>569</v>
      </c>
      <c r="B512" s="174" t="s">
        <v>570</v>
      </c>
      <c r="C512" s="1" t="s">
        <v>352</v>
      </c>
      <c r="D512" s="1" t="s">
        <v>348</v>
      </c>
      <c r="E512" s="10">
        <v>25.840000000000003</v>
      </c>
    </row>
    <row r="513" spans="1:5" x14ac:dyDescent="0.3">
      <c r="A513" s="175" t="s">
        <v>569</v>
      </c>
      <c r="B513" s="174" t="s">
        <v>570</v>
      </c>
      <c r="C513" s="1" t="s">
        <v>353</v>
      </c>
      <c r="D513" s="1" t="s">
        <v>348</v>
      </c>
      <c r="E513" s="10">
        <v>2.91</v>
      </c>
    </row>
    <row r="514" spans="1:5" x14ac:dyDescent="0.3">
      <c r="A514" s="174" t="s">
        <v>51</v>
      </c>
      <c r="B514" s="174" t="s">
        <v>52</v>
      </c>
      <c r="C514" s="1" t="s">
        <v>453</v>
      </c>
      <c r="D514" s="1" t="s">
        <v>453</v>
      </c>
      <c r="E514" s="10">
        <v>282.76</v>
      </c>
    </row>
    <row r="515" spans="1:5" x14ac:dyDescent="0.3">
      <c r="A515" s="174" t="s">
        <v>51</v>
      </c>
      <c r="B515" s="174" t="s">
        <v>52</v>
      </c>
      <c r="C515" s="1" t="s">
        <v>350</v>
      </c>
      <c r="D515" s="1" t="s">
        <v>348</v>
      </c>
      <c r="E515" s="10">
        <v>8.31</v>
      </c>
    </row>
    <row r="516" spans="1:5" x14ac:dyDescent="0.3">
      <c r="A516" s="174" t="s">
        <v>51</v>
      </c>
      <c r="B516" s="174" t="s">
        <v>52</v>
      </c>
      <c r="C516" s="1" t="s">
        <v>1476</v>
      </c>
      <c r="D516" s="1" t="s">
        <v>1293</v>
      </c>
      <c r="E516" s="10">
        <v>0.18</v>
      </c>
    </row>
    <row r="517" spans="1:5" x14ac:dyDescent="0.3">
      <c r="A517" s="174" t="s">
        <v>51</v>
      </c>
      <c r="B517" s="174" t="s">
        <v>52</v>
      </c>
      <c r="C517" s="1" t="s">
        <v>351</v>
      </c>
      <c r="D517" s="1" t="s">
        <v>347</v>
      </c>
      <c r="E517" s="10">
        <v>27.900000000000002</v>
      </c>
    </row>
    <row r="518" spans="1:5" x14ac:dyDescent="0.3">
      <c r="A518" s="174" t="s">
        <v>51</v>
      </c>
      <c r="B518" s="174" t="s">
        <v>52</v>
      </c>
      <c r="C518" s="1" t="s">
        <v>352</v>
      </c>
      <c r="D518" s="1" t="s">
        <v>348</v>
      </c>
      <c r="E518" s="10">
        <v>20.28</v>
      </c>
    </row>
    <row r="519" spans="1:5" x14ac:dyDescent="0.3">
      <c r="A519" s="175" t="s">
        <v>51</v>
      </c>
      <c r="B519" s="174" t="s">
        <v>52</v>
      </c>
      <c r="C519" s="1" t="s">
        <v>353</v>
      </c>
      <c r="D519" s="1" t="s">
        <v>348</v>
      </c>
      <c r="E519" s="10">
        <v>2.2800000000000002</v>
      </c>
    </row>
    <row r="520" spans="1:5" x14ac:dyDescent="0.3">
      <c r="A520" s="174" t="s">
        <v>23</v>
      </c>
      <c r="B520" s="174" t="s">
        <v>24</v>
      </c>
      <c r="C520" s="1" t="s">
        <v>453</v>
      </c>
      <c r="D520" s="1" t="s">
        <v>453</v>
      </c>
      <c r="E520" s="10">
        <v>373.04999999999984</v>
      </c>
    </row>
    <row r="521" spans="1:5" x14ac:dyDescent="0.3">
      <c r="A521" s="174" t="s">
        <v>23</v>
      </c>
      <c r="B521" s="174" t="s">
        <v>24</v>
      </c>
      <c r="C521" s="1" t="s">
        <v>350</v>
      </c>
      <c r="D521" s="1" t="s">
        <v>348</v>
      </c>
      <c r="E521" s="10">
        <v>8.31</v>
      </c>
    </row>
    <row r="522" spans="1:5" x14ac:dyDescent="0.3">
      <c r="A522" s="174" t="s">
        <v>23</v>
      </c>
      <c r="B522" s="174" t="s">
        <v>24</v>
      </c>
      <c r="C522" s="1" t="s">
        <v>1476</v>
      </c>
      <c r="D522" s="1" t="s">
        <v>1293</v>
      </c>
      <c r="E522" s="10">
        <v>0.26</v>
      </c>
    </row>
    <row r="523" spans="1:5" x14ac:dyDescent="0.3">
      <c r="A523" s="174" t="s">
        <v>23</v>
      </c>
      <c r="B523" s="174" t="s">
        <v>24</v>
      </c>
      <c r="C523" s="1" t="s">
        <v>351</v>
      </c>
      <c r="D523" s="1" t="s">
        <v>347</v>
      </c>
      <c r="E523" s="10">
        <v>22</v>
      </c>
    </row>
    <row r="524" spans="1:5" x14ac:dyDescent="0.3">
      <c r="A524" s="174" t="s">
        <v>23</v>
      </c>
      <c r="B524" s="174" t="s">
        <v>24</v>
      </c>
      <c r="C524" s="1" t="s">
        <v>352</v>
      </c>
      <c r="D524" s="1" t="s">
        <v>348</v>
      </c>
      <c r="E524" s="10">
        <v>15.99</v>
      </c>
    </row>
    <row r="525" spans="1:5" x14ac:dyDescent="0.3">
      <c r="A525" s="175" t="s">
        <v>23</v>
      </c>
      <c r="B525" s="174" t="s">
        <v>24</v>
      </c>
      <c r="C525" s="1" t="s">
        <v>353</v>
      </c>
      <c r="D525" s="1" t="s">
        <v>348</v>
      </c>
      <c r="E525" s="10">
        <v>1.8</v>
      </c>
    </row>
    <row r="526" spans="1:5" x14ac:dyDescent="0.3">
      <c r="A526" s="174" t="s">
        <v>42</v>
      </c>
      <c r="B526" s="174" t="s">
        <v>43</v>
      </c>
      <c r="C526" s="1" t="s">
        <v>453</v>
      </c>
      <c r="D526" s="1" t="s">
        <v>453</v>
      </c>
      <c r="E526" s="10">
        <v>278.14000000000004</v>
      </c>
    </row>
    <row r="527" spans="1:5" x14ac:dyDescent="0.3">
      <c r="A527" s="174" t="s">
        <v>42</v>
      </c>
      <c r="B527" s="174" t="s">
        <v>43</v>
      </c>
      <c r="C527" s="1" t="s">
        <v>350</v>
      </c>
      <c r="D527" s="1" t="s">
        <v>348</v>
      </c>
      <c r="E527" s="10">
        <v>8.31</v>
      </c>
    </row>
    <row r="528" spans="1:5" x14ac:dyDescent="0.3">
      <c r="A528" s="174" t="s">
        <v>42</v>
      </c>
      <c r="B528" s="174" t="s">
        <v>43</v>
      </c>
      <c r="C528" s="1" t="s">
        <v>1476</v>
      </c>
      <c r="D528" s="1" t="s">
        <v>1293</v>
      </c>
      <c r="E528" s="10">
        <v>0.17</v>
      </c>
    </row>
    <row r="529" spans="1:5" x14ac:dyDescent="0.3">
      <c r="A529" s="174" t="s">
        <v>42</v>
      </c>
      <c r="B529" s="174" t="s">
        <v>43</v>
      </c>
      <c r="C529" s="1" t="s">
        <v>351</v>
      </c>
      <c r="D529" s="1" t="s">
        <v>347</v>
      </c>
      <c r="E529" s="10">
        <v>22.400000000000002</v>
      </c>
    </row>
    <row r="530" spans="1:5" x14ac:dyDescent="0.3">
      <c r="A530" s="174" t="s">
        <v>42</v>
      </c>
      <c r="B530" s="174" t="s">
        <v>43</v>
      </c>
      <c r="C530" s="1" t="s">
        <v>352</v>
      </c>
      <c r="D530" s="1" t="s">
        <v>348</v>
      </c>
      <c r="E530" s="10">
        <v>16.28</v>
      </c>
    </row>
    <row r="531" spans="1:5" x14ac:dyDescent="0.3">
      <c r="A531" s="175" t="s">
        <v>42</v>
      </c>
      <c r="B531" s="174" t="s">
        <v>43</v>
      </c>
      <c r="C531" s="1" t="s">
        <v>353</v>
      </c>
      <c r="D531" s="1" t="s">
        <v>348</v>
      </c>
      <c r="E531" s="10">
        <v>1.8299999999999998</v>
      </c>
    </row>
    <row r="532" spans="1:5" x14ac:dyDescent="0.3">
      <c r="A532" s="174" t="s">
        <v>571</v>
      </c>
      <c r="B532" s="174" t="s">
        <v>572</v>
      </c>
      <c r="C532" s="1" t="s">
        <v>453</v>
      </c>
      <c r="D532" s="1" t="s">
        <v>453</v>
      </c>
      <c r="E532" s="10">
        <v>75.740000000000009</v>
      </c>
    </row>
    <row r="533" spans="1:5" x14ac:dyDescent="0.3">
      <c r="A533" s="174" t="s">
        <v>571</v>
      </c>
      <c r="B533" s="174" t="s">
        <v>572</v>
      </c>
      <c r="C533" s="1" t="s">
        <v>350</v>
      </c>
      <c r="D533" s="1" t="s">
        <v>348</v>
      </c>
      <c r="E533" s="10">
        <v>8.31</v>
      </c>
    </row>
    <row r="534" spans="1:5" x14ac:dyDescent="0.3">
      <c r="A534" s="174" t="s">
        <v>571</v>
      </c>
      <c r="B534" s="174" t="s">
        <v>572</v>
      </c>
      <c r="C534" s="1" t="s">
        <v>1476</v>
      </c>
      <c r="D534" s="1" t="s">
        <v>1293</v>
      </c>
      <c r="E534" s="10">
        <v>0.04</v>
      </c>
    </row>
    <row r="535" spans="1:5" x14ac:dyDescent="0.3">
      <c r="A535" s="174" t="s">
        <v>571</v>
      </c>
      <c r="B535" s="174" t="s">
        <v>572</v>
      </c>
      <c r="C535" s="1" t="s">
        <v>351</v>
      </c>
      <c r="D535" s="1" t="s">
        <v>347</v>
      </c>
      <c r="E535" s="10">
        <v>29.55</v>
      </c>
    </row>
    <row r="536" spans="1:5" x14ac:dyDescent="0.3">
      <c r="A536" s="174" t="s">
        <v>571</v>
      </c>
      <c r="B536" s="174" t="s">
        <v>572</v>
      </c>
      <c r="C536" s="1" t="s">
        <v>352</v>
      </c>
      <c r="D536" s="1" t="s">
        <v>348</v>
      </c>
      <c r="E536" s="10">
        <v>21.49</v>
      </c>
    </row>
    <row r="537" spans="1:5" x14ac:dyDescent="0.3">
      <c r="A537" s="175" t="s">
        <v>571</v>
      </c>
      <c r="B537" s="174" t="s">
        <v>572</v>
      </c>
      <c r="C537" s="1" t="s">
        <v>353</v>
      </c>
      <c r="D537" s="1" t="s">
        <v>348</v>
      </c>
      <c r="E537" s="10">
        <v>2.42</v>
      </c>
    </row>
    <row r="538" spans="1:5" x14ac:dyDescent="0.3">
      <c r="A538" s="174" t="s">
        <v>573</v>
      </c>
      <c r="B538" s="174" t="s">
        <v>574</v>
      </c>
      <c r="C538" s="1" t="s">
        <v>453</v>
      </c>
      <c r="D538" s="1" t="s">
        <v>453</v>
      </c>
      <c r="E538" s="10">
        <v>200.89999999999998</v>
      </c>
    </row>
    <row r="539" spans="1:5" x14ac:dyDescent="0.3">
      <c r="A539" s="174" t="s">
        <v>573</v>
      </c>
      <c r="B539" s="174" t="s">
        <v>574</v>
      </c>
      <c r="C539" s="1" t="s">
        <v>350</v>
      </c>
      <c r="D539" s="1" t="s">
        <v>348</v>
      </c>
      <c r="E539" s="10">
        <v>8.31</v>
      </c>
    </row>
    <row r="540" spans="1:5" x14ac:dyDescent="0.3">
      <c r="A540" s="174" t="s">
        <v>573</v>
      </c>
      <c r="B540" s="174" t="s">
        <v>574</v>
      </c>
      <c r="C540" s="1" t="s">
        <v>1476</v>
      </c>
      <c r="D540" s="1" t="s">
        <v>1293</v>
      </c>
      <c r="E540" s="10">
        <v>0.17</v>
      </c>
    </row>
    <row r="541" spans="1:5" x14ac:dyDescent="0.3">
      <c r="A541" s="174" t="s">
        <v>573</v>
      </c>
      <c r="B541" s="174" t="s">
        <v>574</v>
      </c>
      <c r="C541" s="1" t="s">
        <v>351</v>
      </c>
      <c r="D541" s="1" t="s">
        <v>347</v>
      </c>
      <c r="E541" s="10">
        <v>29.88</v>
      </c>
    </row>
    <row r="542" spans="1:5" x14ac:dyDescent="0.3">
      <c r="A542" s="174" t="s">
        <v>573</v>
      </c>
      <c r="B542" s="174" t="s">
        <v>574</v>
      </c>
      <c r="C542" s="1" t="s">
        <v>352</v>
      </c>
      <c r="D542" s="1" t="s">
        <v>348</v>
      </c>
      <c r="E542" s="10">
        <v>21.72</v>
      </c>
    </row>
    <row r="543" spans="1:5" x14ac:dyDescent="0.3">
      <c r="A543" s="175" t="s">
        <v>573</v>
      </c>
      <c r="B543" s="174" t="s">
        <v>574</v>
      </c>
      <c r="C543" s="1" t="s">
        <v>353</v>
      </c>
      <c r="D543" s="1" t="s">
        <v>348</v>
      </c>
      <c r="E543" s="10">
        <v>2.4500000000000002</v>
      </c>
    </row>
    <row r="544" spans="1:5" x14ac:dyDescent="0.3">
      <c r="A544" s="174" t="s">
        <v>372</v>
      </c>
      <c r="B544" s="174" t="s">
        <v>373</v>
      </c>
      <c r="C544" s="1" t="s">
        <v>453</v>
      </c>
      <c r="D544" s="1" t="s">
        <v>453</v>
      </c>
      <c r="E544" s="10">
        <v>163.07000000000002</v>
      </c>
    </row>
    <row r="545" spans="1:5" x14ac:dyDescent="0.3">
      <c r="A545" s="174" t="s">
        <v>372</v>
      </c>
      <c r="B545" s="174" t="s">
        <v>373</v>
      </c>
      <c r="C545" s="1" t="s">
        <v>350</v>
      </c>
      <c r="D545" s="1" t="s">
        <v>348</v>
      </c>
      <c r="E545" s="10">
        <v>0</v>
      </c>
    </row>
    <row r="546" spans="1:5" x14ac:dyDescent="0.3">
      <c r="A546" s="174" t="s">
        <v>372</v>
      </c>
      <c r="B546" s="174" t="s">
        <v>373</v>
      </c>
      <c r="C546" s="1" t="s">
        <v>1476</v>
      </c>
      <c r="D546" s="1" t="s">
        <v>1293</v>
      </c>
      <c r="E546" s="10">
        <v>0.14000000000000001</v>
      </c>
    </row>
    <row r="547" spans="1:5" x14ac:dyDescent="0.3">
      <c r="A547" s="174" t="s">
        <v>372</v>
      </c>
      <c r="B547" s="174" t="s">
        <v>373</v>
      </c>
      <c r="C547" s="1" t="s">
        <v>351</v>
      </c>
      <c r="D547" s="1" t="s">
        <v>347</v>
      </c>
      <c r="E547" s="10">
        <v>6.4700000000000006</v>
      </c>
    </row>
    <row r="548" spans="1:5" x14ac:dyDescent="0.3">
      <c r="A548" s="174" t="s">
        <v>372</v>
      </c>
      <c r="B548" s="174" t="s">
        <v>373</v>
      </c>
      <c r="C548" s="1" t="s">
        <v>352</v>
      </c>
      <c r="D548" s="1" t="s">
        <v>348</v>
      </c>
      <c r="E548" s="10">
        <v>0</v>
      </c>
    </row>
    <row r="549" spans="1:5" x14ac:dyDescent="0.3">
      <c r="A549" s="175" t="s">
        <v>372</v>
      </c>
      <c r="B549" s="174" t="s">
        <v>373</v>
      </c>
      <c r="C549" s="1" t="s">
        <v>353</v>
      </c>
      <c r="D549" s="1" t="s">
        <v>348</v>
      </c>
      <c r="E549" s="10">
        <v>0.53</v>
      </c>
    </row>
    <row r="550" spans="1:5" x14ac:dyDescent="0.3">
      <c r="A550" s="174" t="s">
        <v>374</v>
      </c>
      <c r="B550" s="174" t="s">
        <v>375</v>
      </c>
      <c r="C550" s="1" t="s">
        <v>453</v>
      </c>
      <c r="D550" s="1" t="s">
        <v>453</v>
      </c>
      <c r="E550" s="10">
        <v>208.27</v>
      </c>
    </row>
    <row r="551" spans="1:5" x14ac:dyDescent="0.3">
      <c r="A551" s="174" t="s">
        <v>374</v>
      </c>
      <c r="B551" s="174" t="s">
        <v>375</v>
      </c>
      <c r="C551" s="1" t="s">
        <v>350</v>
      </c>
      <c r="D551" s="1" t="s">
        <v>348</v>
      </c>
      <c r="E551" s="10">
        <v>0</v>
      </c>
    </row>
    <row r="552" spans="1:5" x14ac:dyDescent="0.3">
      <c r="A552" s="174" t="s">
        <v>374</v>
      </c>
      <c r="B552" s="174" t="s">
        <v>375</v>
      </c>
      <c r="C552" s="1" t="s">
        <v>1476</v>
      </c>
      <c r="D552" s="1" t="s">
        <v>1293</v>
      </c>
      <c r="E552" s="10">
        <v>0.16</v>
      </c>
    </row>
    <row r="553" spans="1:5" x14ac:dyDescent="0.3">
      <c r="A553" s="174" t="s">
        <v>374</v>
      </c>
      <c r="B553" s="174" t="s">
        <v>375</v>
      </c>
      <c r="C553" s="1" t="s">
        <v>351</v>
      </c>
      <c r="D553" s="1" t="s">
        <v>347</v>
      </c>
      <c r="E553" s="10">
        <v>6.4700000000000006</v>
      </c>
    </row>
    <row r="554" spans="1:5" x14ac:dyDescent="0.3">
      <c r="A554" s="174" t="s">
        <v>374</v>
      </c>
      <c r="B554" s="174" t="s">
        <v>375</v>
      </c>
      <c r="C554" s="1" t="s">
        <v>352</v>
      </c>
      <c r="D554" s="1" t="s">
        <v>348</v>
      </c>
      <c r="E554" s="10">
        <v>0</v>
      </c>
    </row>
    <row r="555" spans="1:5" x14ac:dyDescent="0.3">
      <c r="A555" s="175" t="s">
        <v>374</v>
      </c>
      <c r="B555" s="174" t="s">
        <v>375</v>
      </c>
      <c r="C555" s="1" t="s">
        <v>353</v>
      </c>
      <c r="D555" s="1" t="s">
        <v>348</v>
      </c>
      <c r="E555" s="10">
        <v>0.53</v>
      </c>
    </row>
    <row r="556" spans="1:5" x14ac:dyDescent="0.3">
      <c r="A556" s="174" t="s">
        <v>376</v>
      </c>
      <c r="B556" s="174" t="s">
        <v>377</v>
      </c>
      <c r="C556" s="1" t="s">
        <v>453</v>
      </c>
      <c r="D556" s="1" t="s">
        <v>453</v>
      </c>
      <c r="E556" s="10">
        <v>244.43000000000006</v>
      </c>
    </row>
    <row r="557" spans="1:5" x14ac:dyDescent="0.3">
      <c r="A557" s="174" t="s">
        <v>376</v>
      </c>
      <c r="B557" s="174" t="s">
        <v>377</v>
      </c>
      <c r="C557" s="1" t="s">
        <v>350</v>
      </c>
      <c r="D557" s="1" t="s">
        <v>348</v>
      </c>
      <c r="E557" s="10">
        <v>20.27</v>
      </c>
    </row>
    <row r="558" spans="1:5" x14ac:dyDescent="0.3">
      <c r="A558" s="174" t="s">
        <v>376</v>
      </c>
      <c r="B558" s="174" t="s">
        <v>377</v>
      </c>
      <c r="C558" s="1" t="s">
        <v>1476</v>
      </c>
      <c r="D558" s="1" t="s">
        <v>1293</v>
      </c>
      <c r="E558" s="10">
        <v>0.13</v>
      </c>
    </row>
    <row r="559" spans="1:5" x14ac:dyDescent="0.3">
      <c r="A559" s="174" t="s">
        <v>376</v>
      </c>
      <c r="B559" s="174" t="s">
        <v>377</v>
      </c>
      <c r="C559" s="1" t="s">
        <v>351</v>
      </c>
      <c r="D559" s="1" t="s">
        <v>347</v>
      </c>
      <c r="E559" s="10">
        <v>58.8</v>
      </c>
    </row>
    <row r="560" spans="1:5" x14ac:dyDescent="0.3">
      <c r="A560" s="174" t="s">
        <v>376</v>
      </c>
      <c r="B560" s="174" t="s">
        <v>377</v>
      </c>
      <c r="C560" s="1" t="s">
        <v>352</v>
      </c>
      <c r="D560" s="1" t="s">
        <v>348</v>
      </c>
      <c r="E560" s="10">
        <v>42.739999999999995</v>
      </c>
    </row>
    <row r="561" spans="1:5" x14ac:dyDescent="0.3">
      <c r="A561" s="175" t="s">
        <v>376</v>
      </c>
      <c r="B561" s="174" t="s">
        <v>377</v>
      </c>
      <c r="C561" s="1" t="s">
        <v>353</v>
      </c>
      <c r="D561" s="1" t="s">
        <v>348</v>
      </c>
      <c r="E561" s="10">
        <v>4.8099999999999996</v>
      </c>
    </row>
    <row r="562" spans="1:5" x14ac:dyDescent="0.3">
      <c r="A562" s="174" t="s">
        <v>635</v>
      </c>
      <c r="B562" s="174" t="s">
        <v>636</v>
      </c>
      <c r="C562" s="1" t="s">
        <v>453</v>
      </c>
      <c r="D562" s="1" t="s">
        <v>453</v>
      </c>
      <c r="E562" s="10">
        <v>636.04</v>
      </c>
    </row>
    <row r="563" spans="1:5" x14ac:dyDescent="0.3">
      <c r="A563" s="174" t="s">
        <v>635</v>
      </c>
      <c r="B563" s="174" t="s">
        <v>636</v>
      </c>
      <c r="C563" s="1" t="s">
        <v>350</v>
      </c>
      <c r="D563" s="1" t="s">
        <v>348</v>
      </c>
      <c r="E563" s="10">
        <v>7.89</v>
      </c>
    </row>
    <row r="564" spans="1:5" x14ac:dyDescent="0.3">
      <c r="A564" s="174" t="s">
        <v>635</v>
      </c>
      <c r="B564" s="174" t="s">
        <v>636</v>
      </c>
      <c r="C564" s="1" t="s">
        <v>1476</v>
      </c>
      <c r="D564" s="1" t="s">
        <v>1293</v>
      </c>
      <c r="E564" s="10">
        <v>0.38</v>
      </c>
    </row>
    <row r="565" spans="1:5" x14ac:dyDescent="0.3">
      <c r="A565" s="174" t="s">
        <v>635</v>
      </c>
      <c r="B565" s="174" t="s">
        <v>636</v>
      </c>
      <c r="C565" s="1" t="s">
        <v>351</v>
      </c>
      <c r="D565" s="1" t="s">
        <v>347</v>
      </c>
      <c r="E565" s="10">
        <v>36.239999999999995</v>
      </c>
    </row>
    <row r="566" spans="1:5" x14ac:dyDescent="0.3">
      <c r="A566" s="174" t="s">
        <v>635</v>
      </c>
      <c r="B566" s="174" t="s">
        <v>636</v>
      </c>
      <c r="C566" s="1" t="s">
        <v>352</v>
      </c>
      <c r="D566" s="1" t="s">
        <v>348</v>
      </c>
      <c r="E566" s="10">
        <v>22.6</v>
      </c>
    </row>
    <row r="567" spans="1:5" x14ac:dyDescent="0.3">
      <c r="A567" s="175" t="s">
        <v>635</v>
      </c>
      <c r="B567" s="174" t="s">
        <v>636</v>
      </c>
      <c r="C567" s="1" t="s">
        <v>353</v>
      </c>
      <c r="D567" s="1" t="s">
        <v>348</v>
      </c>
      <c r="E567" s="10">
        <v>2.21</v>
      </c>
    </row>
    <row r="568" spans="1:5" x14ac:dyDescent="0.3">
      <c r="A568" s="174" t="s">
        <v>637</v>
      </c>
      <c r="B568" s="174" t="s">
        <v>638</v>
      </c>
      <c r="C568" s="1" t="s">
        <v>453</v>
      </c>
      <c r="D568" s="1" t="s">
        <v>453</v>
      </c>
      <c r="E568" s="10">
        <v>271.52999999999997</v>
      </c>
    </row>
    <row r="569" spans="1:5" x14ac:dyDescent="0.3">
      <c r="A569" s="174" t="s">
        <v>637</v>
      </c>
      <c r="B569" s="174" t="s">
        <v>638</v>
      </c>
      <c r="C569" s="1" t="s">
        <v>350</v>
      </c>
      <c r="D569" s="1" t="s">
        <v>348</v>
      </c>
      <c r="E569" s="10">
        <v>16.62</v>
      </c>
    </row>
    <row r="570" spans="1:5" x14ac:dyDescent="0.3">
      <c r="A570" s="174" t="s">
        <v>637</v>
      </c>
      <c r="B570" s="174" t="s">
        <v>638</v>
      </c>
      <c r="C570" s="1" t="s">
        <v>1476</v>
      </c>
      <c r="D570" s="1" t="s">
        <v>1293</v>
      </c>
      <c r="E570" s="10">
        <v>0.25</v>
      </c>
    </row>
    <row r="571" spans="1:5" x14ac:dyDescent="0.3">
      <c r="A571" s="174" t="s">
        <v>637</v>
      </c>
      <c r="B571" s="174" t="s">
        <v>638</v>
      </c>
      <c r="C571" s="1" t="s">
        <v>351</v>
      </c>
      <c r="D571" s="1" t="s">
        <v>347</v>
      </c>
      <c r="E571" s="10">
        <v>20.94</v>
      </c>
    </row>
    <row r="572" spans="1:5" x14ac:dyDescent="0.3">
      <c r="A572" s="174" t="s">
        <v>637</v>
      </c>
      <c r="B572" s="174" t="s">
        <v>638</v>
      </c>
      <c r="C572" s="1" t="s">
        <v>352</v>
      </c>
      <c r="D572" s="1" t="s">
        <v>348</v>
      </c>
      <c r="E572" s="10">
        <v>15.22</v>
      </c>
    </row>
    <row r="573" spans="1:5" x14ac:dyDescent="0.3">
      <c r="A573" s="175" t="s">
        <v>637</v>
      </c>
      <c r="B573" s="174" t="s">
        <v>638</v>
      </c>
      <c r="C573" s="1" t="s">
        <v>353</v>
      </c>
      <c r="D573" s="1" t="s">
        <v>348</v>
      </c>
      <c r="E573" s="10">
        <v>1.7100000000000002</v>
      </c>
    </row>
    <row r="574" spans="1:5" x14ac:dyDescent="0.3">
      <c r="A574" s="174" t="s">
        <v>378</v>
      </c>
      <c r="B574" s="174" t="s">
        <v>379</v>
      </c>
      <c r="C574" s="1" t="s">
        <v>453</v>
      </c>
      <c r="D574" s="1" t="s">
        <v>453</v>
      </c>
      <c r="E574" s="10">
        <v>271.52999999999997</v>
      </c>
    </row>
    <row r="575" spans="1:5" x14ac:dyDescent="0.3">
      <c r="A575" s="174" t="s">
        <v>378</v>
      </c>
      <c r="B575" s="174" t="s">
        <v>379</v>
      </c>
      <c r="C575" s="1" t="s">
        <v>350</v>
      </c>
      <c r="D575" s="1" t="s">
        <v>348</v>
      </c>
      <c r="E575" s="10">
        <v>10.29</v>
      </c>
    </row>
    <row r="576" spans="1:5" x14ac:dyDescent="0.3">
      <c r="A576" s="174" t="s">
        <v>378</v>
      </c>
      <c r="B576" s="174" t="s">
        <v>379</v>
      </c>
      <c r="C576" s="1" t="s">
        <v>1476</v>
      </c>
      <c r="D576" s="1" t="s">
        <v>1293</v>
      </c>
      <c r="E576" s="10">
        <v>0.26</v>
      </c>
    </row>
    <row r="577" spans="1:5" x14ac:dyDescent="0.3">
      <c r="A577" s="174" t="s">
        <v>378</v>
      </c>
      <c r="B577" s="174" t="s">
        <v>379</v>
      </c>
      <c r="C577" s="1" t="s">
        <v>351</v>
      </c>
      <c r="D577" s="1" t="s">
        <v>347</v>
      </c>
      <c r="E577" s="10">
        <v>23.84</v>
      </c>
    </row>
    <row r="578" spans="1:5" x14ac:dyDescent="0.3">
      <c r="A578" s="174" t="s">
        <v>378</v>
      </c>
      <c r="B578" s="174" t="s">
        <v>379</v>
      </c>
      <c r="C578" s="1" t="s">
        <v>352</v>
      </c>
      <c r="D578" s="1" t="s">
        <v>348</v>
      </c>
      <c r="E578" s="10">
        <v>17.329999999999998</v>
      </c>
    </row>
    <row r="579" spans="1:5" x14ac:dyDescent="0.3">
      <c r="A579" s="175" t="s">
        <v>378</v>
      </c>
      <c r="B579" s="174" t="s">
        <v>379</v>
      </c>
      <c r="C579" s="1" t="s">
        <v>353</v>
      </c>
      <c r="D579" s="1" t="s">
        <v>348</v>
      </c>
      <c r="E579" s="10">
        <v>1.9500000000000002</v>
      </c>
    </row>
    <row r="580" spans="1:5" x14ac:dyDescent="0.3">
      <c r="A580" s="174" t="s">
        <v>568</v>
      </c>
      <c r="B580" s="174" t="s">
        <v>594</v>
      </c>
      <c r="C580" s="1" t="s">
        <v>453</v>
      </c>
      <c r="D580" s="1" t="s">
        <v>453</v>
      </c>
      <c r="E580" s="10">
        <v>8.3800000000000008</v>
      </c>
    </row>
    <row r="581" spans="1:5" x14ac:dyDescent="0.3">
      <c r="A581" s="174" t="s">
        <v>568</v>
      </c>
      <c r="B581" s="174" t="s">
        <v>594</v>
      </c>
      <c r="C581" s="1" t="s">
        <v>350</v>
      </c>
      <c r="D581" s="1" t="s">
        <v>348</v>
      </c>
      <c r="E581" s="10">
        <v>0</v>
      </c>
    </row>
    <row r="582" spans="1:5" x14ac:dyDescent="0.3">
      <c r="A582" s="174" t="s">
        <v>568</v>
      </c>
      <c r="B582" s="174" t="s">
        <v>594</v>
      </c>
      <c r="C582" s="1" t="s">
        <v>351</v>
      </c>
      <c r="D582" s="1" t="s">
        <v>347</v>
      </c>
      <c r="E582" s="10">
        <v>11.49</v>
      </c>
    </row>
    <row r="583" spans="1:5" x14ac:dyDescent="0.3">
      <c r="A583" s="174" t="s">
        <v>568</v>
      </c>
      <c r="B583" s="174" t="s">
        <v>594</v>
      </c>
      <c r="C583" s="1" t="s">
        <v>352</v>
      </c>
      <c r="D583" s="1" t="s">
        <v>348</v>
      </c>
      <c r="E583" s="10">
        <v>0</v>
      </c>
    </row>
    <row r="584" spans="1:5" x14ac:dyDescent="0.3">
      <c r="A584" s="175" t="s">
        <v>568</v>
      </c>
      <c r="B584" s="174" t="s">
        <v>594</v>
      </c>
      <c r="C584" s="1" t="s">
        <v>353</v>
      </c>
      <c r="D584" s="1" t="s">
        <v>348</v>
      </c>
      <c r="E584" s="10">
        <v>0.94</v>
      </c>
    </row>
    <row r="585" spans="1:5" x14ac:dyDescent="0.3">
      <c r="A585" s="174" t="s">
        <v>380</v>
      </c>
      <c r="B585" s="174" t="s">
        <v>381</v>
      </c>
      <c r="C585" s="1" t="s">
        <v>453</v>
      </c>
      <c r="D585" s="1" t="s">
        <v>453</v>
      </c>
      <c r="E585" s="10">
        <v>174.98999999999995</v>
      </c>
    </row>
    <row r="586" spans="1:5" x14ac:dyDescent="0.3">
      <c r="A586" s="174" t="s">
        <v>380</v>
      </c>
      <c r="B586" s="174" t="s">
        <v>381</v>
      </c>
      <c r="C586" s="1" t="s">
        <v>350</v>
      </c>
      <c r="D586" s="1" t="s">
        <v>348</v>
      </c>
      <c r="E586" s="10">
        <v>8.31</v>
      </c>
    </row>
    <row r="587" spans="1:5" x14ac:dyDescent="0.3">
      <c r="A587" s="174" t="s">
        <v>380</v>
      </c>
      <c r="B587" s="174" t="s">
        <v>381</v>
      </c>
      <c r="C587" s="1" t="s">
        <v>1476</v>
      </c>
      <c r="D587" s="1" t="s">
        <v>1293</v>
      </c>
      <c r="E587" s="10">
        <v>0.04</v>
      </c>
    </row>
    <row r="588" spans="1:5" x14ac:dyDescent="0.3">
      <c r="A588" s="174" t="s">
        <v>380</v>
      </c>
      <c r="B588" s="174" t="s">
        <v>381</v>
      </c>
      <c r="C588" s="1" t="s">
        <v>351</v>
      </c>
      <c r="D588" s="1" t="s">
        <v>347</v>
      </c>
      <c r="E588" s="10">
        <v>18.389999999999997</v>
      </c>
    </row>
    <row r="589" spans="1:5" x14ac:dyDescent="0.3">
      <c r="A589" s="174" t="s">
        <v>380</v>
      </c>
      <c r="B589" s="174" t="s">
        <v>381</v>
      </c>
      <c r="C589" s="1" t="s">
        <v>352</v>
      </c>
      <c r="D589" s="1" t="s">
        <v>348</v>
      </c>
      <c r="E589" s="10">
        <v>13.37</v>
      </c>
    </row>
    <row r="590" spans="1:5" x14ac:dyDescent="0.3">
      <c r="A590" s="175" t="s">
        <v>380</v>
      </c>
      <c r="B590" s="174" t="s">
        <v>381</v>
      </c>
      <c r="C590" s="1" t="s">
        <v>353</v>
      </c>
      <c r="D590" s="1" t="s">
        <v>348</v>
      </c>
      <c r="E590" s="10">
        <v>1.5</v>
      </c>
    </row>
    <row r="591" spans="1:5" x14ac:dyDescent="0.3">
      <c r="A591" s="174" t="s">
        <v>382</v>
      </c>
      <c r="B591" s="174" t="s">
        <v>383</v>
      </c>
      <c r="C591" s="1" t="s">
        <v>453</v>
      </c>
      <c r="D591" s="1" t="s">
        <v>453</v>
      </c>
      <c r="E591" s="10">
        <v>161.87000000000003</v>
      </c>
    </row>
    <row r="592" spans="1:5" x14ac:dyDescent="0.3">
      <c r="A592" s="174" t="s">
        <v>382</v>
      </c>
      <c r="B592" s="174" t="s">
        <v>383</v>
      </c>
      <c r="C592" s="1" t="s">
        <v>350</v>
      </c>
      <c r="D592" s="1" t="s">
        <v>348</v>
      </c>
      <c r="E592" s="10">
        <v>8.31</v>
      </c>
    </row>
    <row r="593" spans="1:5" x14ac:dyDescent="0.3">
      <c r="A593" s="174" t="s">
        <v>382</v>
      </c>
      <c r="B593" s="174" t="s">
        <v>383</v>
      </c>
      <c r="C593" s="1" t="s">
        <v>1476</v>
      </c>
      <c r="D593" s="1" t="s">
        <v>1293</v>
      </c>
      <c r="E593" s="10">
        <v>0.15</v>
      </c>
    </row>
    <row r="594" spans="1:5" x14ac:dyDescent="0.3">
      <c r="A594" s="174" t="s">
        <v>382</v>
      </c>
      <c r="B594" s="174" t="s">
        <v>383</v>
      </c>
      <c r="C594" s="1" t="s">
        <v>351</v>
      </c>
      <c r="D594" s="1" t="s">
        <v>347</v>
      </c>
      <c r="E594" s="10">
        <v>8.89</v>
      </c>
    </row>
    <row r="595" spans="1:5" x14ac:dyDescent="0.3">
      <c r="A595" s="174" t="s">
        <v>382</v>
      </c>
      <c r="B595" s="174" t="s">
        <v>383</v>
      </c>
      <c r="C595" s="1" t="s">
        <v>352</v>
      </c>
      <c r="D595" s="1" t="s">
        <v>348</v>
      </c>
      <c r="E595" s="10">
        <v>6.4600000000000009</v>
      </c>
    </row>
    <row r="596" spans="1:5" x14ac:dyDescent="0.3">
      <c r="A596" s="175" t="s">
        <v>382</v>
      </c>
      <c r="B596" s="174" t="s">
        <v>383</v>
      </c>
      <c r="C596" s="1" t="s">
        <v>353</v>
      </c>
      <c r="D596" s="1" t="s">
        <v>348</v>
      </c>
      <c r="E596" s="10">
        <v>0.72</v>
      </c>
    </row>
    <row r="597" spans="1:5" x14ac:dyDescent="0.3">
      <c r="A597" s="174" t="s">
        <v>384</v>
      </c>
      <c r="B597" s="174" t="s">
        <v>385</v>
      </c>
      <c r="C597" s="1" t="s">
        <v>453</v>
      </c>
      <c r="D597" s="1" t="s">
        <v>453</v>
      </c>
      <c r="E597" s="10">
        <v>109.66000000000001</v>
      </c>
    </row>
    <row r="598" spans="1:5" x14ac:dyDescent="0.3">
      <c r="A598" s="174" t="s">
        <v>384</v>
      </c>
      <c r="B598" s="174" t="s">
        <v>385</v>
      </c>
      <c r="C598" s="1" t="s">
        <v>350</v>
      </c>
      <c r="D598" s="1" t="s">
        <v>348</v>
      </c>
      <c r="E598" s="10">
        <v>8.31</v>
      </c>
    </row>
    <row r="599" spans="1:5" x14ac:dyDescent="0.3">
      <c r="A599" s="174" t="s">
        <v>384</v>
      </c>
      <c r="B599" s="174" t="s">
        <v>385</v>
      </c>
      <c r="C599" s="1" t="s">
        <v>1476</v>
      </c>
      <c r="D599" s="1" t="s">
        <v>1293</v>
      </c>
      <c r="E599" s="10">
        <v>0.1</v>
      </c>
    </row>
    <row r="600" spans="1:5" x14ac:dyDescent="0.3">
      <c r="A600" s="174" t="s">
        <v>384</v>
      </c>
      <c r="B600" s="174" t="s">
        <v>385</v>
      </c>
      <c r="C600" s="1" t="s">
        <v>351</v>
      </c>
      <c r="D600" s="1" t="s">
        <v>347</v>
      </c>
      <c r="E600" s="10">
        <v>22.72</v>
      </c>
    </row>
    <row r="601" spans="1:5" x14ac:dyDescent="0.3">
      <c r="A601" s="174" t="s">
        <v>384</v>
      </c>
      <c r="B601" s="174" t="s">
        <v>385</v>
      </c>
      <c r="C601" s="1" t="s">
        <v>352</v>
      </c>
      <c r="D601" s="1" t="s">
        <v>348</v>
      </c>
      <c r="E601" s="10">
        <v>16.52</v>
      </c>
    </row>
    <row r="602" spans="1:5" x14ac:dyDescent="0.3">
      <c r="A602" s="175" t="s">
        <v>384</v>
      </c>
      <c r="B602" s="174" t="s">
        <v>385</v>
      </c>
      <c r="C602" s="1" t="s">
        <v>353</v>
      </c>
      <c r="D602" s="1" t="s">
        <v>348</v>
      </c>
      <c r="E602" s="10">
        <v>1.86</v>
      </c>
    </row>
    <row r="603" spans="1:5" x14ac:dyDescent="0.3">
      <c r="A603" s="174" t="s">
        <v>491</v>
      </c>
      <c r="B603" s="174" t="s">
        <v>492</v>
      </c>
      <c r="C603" s="1" t="s">
        <v>453</v>
      </c>
      <c r="D603" s="1" t="s">
        <v>453</v>
      </c>
      <c r="E603" s="10">
        <v>279.53999999999996</v>
      </c>
    </row>
    <row r="604" spans="1:5" x14ac:dyDescent="0.3">
      <c r="A604" s="174" t="s">
        <v>491</v>
      </c>
      <c r="B604" s="174" t="s">
        <v>492</v>
      </c>
      <c r="C604" s="1" t="s">
        <v>350</v>
      </c>
      <c r="D604" s="1" t="s">
        <v>348</v>
      </c>
      <c r="E604" s="10">
        <v>8.31</v>
      </c>
    </row>
    <row r="605" spans="1:5" x14ac:dyDescent="0.3">
      <c r="A605" s="174" t="s">
        <v>491</v>
      </c>
      <c r="B605" s="174" t="s">
        <v>492</v>
      </c>
      <c r="C605" s="1" t="s">
        <v>1476</v>
      </c>
      <c r="D605" s="1" t="s">
        <v>1293</v>
      </c>
      <c r="E605" s="10">
        <v>0.17</v>
      </c>
    </row>
    <row r="606" spans="1:5" x14ac:dyDescent="0.3">
      <c r="A606" s="174" t="s">
        <v>491</v>
      </c>
      <c r="B606" s="174" t="s">
        <v>492</v>
      </c>
      <c r="C606" s="1" t="s">
        <v>351</v>
      </c>
      <c r="D606" s="1" t="s">
        <v>347</v>
      </c>
      <c r="E606" s="10">
        <v>27.900000000000002</v>
      </c>
    </row>
    <row r="607" spans="1:5" x14ac:dyDescent="0.3">
      <c r="A607" s="174" t="s">
        <v>491</v>
      </c>
      <c r="B607" s="174" t="s">
        <v>492</v>
      </c>
      <c r="C607" s="1" t="s">
        <v>352</v>
      </c>
      <c r="D607" s="1" t="s">
        <v>348</v>
      </c>
      <c r="E607" s="10">
        <v>20.28</v>
      </c>
    </row>
    <row r="608" spans="1:5" x14ac:dyDescent="0.3">
      <c r="A608" s="175" t="s">
        <v>491</v>
      </c>
      <c r="B608" s="174" t="s">
        <v>492</v>
      </c>
      <c r="C608" s="1" t="s">
        <v>353</v>
      </c>
      <c r="D608" s="1" t="s">
        <v>348</v>
      </c>
      <c r="E608" s="10">
        <v>2.2800000000000002</v>
      </c>
    </row>
    <row r="609" spans="1:5" x14ac:dyDescent="0.3">
      <c r="A609" s="174" t="s">
        <v>493</v>
      </c>
      <c r="B609" s="174" t="s">
        <v>494</v>
      </c>
      <c r="C609" s="1" t="s">
        <v>453</v>
      </c>
      <c r="D609" s="1" t="s">
        <v>453</v>
      </c>
      <c r="E609" s="10">
        <v>275.87999999999994</v>
      </c>
    </row>
    <row r="610" spans="1:5" x14ac:dyDescent="0.3">
      <c r="A610" s="174" t="s">
        <v>493</v>
      </c>
      <c r="B610" s="174" t="s">
        <v>494</v>
      </c>
      <c r="C610" s="1" t="s">
        <v>350</v>
      </c>
      <c r="D610" s="1" t="s">
        <v>348</v>
      </c>
      <c r="E610" s="10">
        <v>8.31</v>
      </c>
    </row>
    <row r="611" spans="1:5" x14ac:dyDescent="0.3">
      <c r="A611" s="174" t="s">
        <v>493</v>
      </c>
      <c r="B611" s="174" t="s">
        <v>494</v>
      </c>
      <c r="C611" s="1" t="s">
        <v>1476</v>
      </c>
      <c r="D611" s="1" t="s">
        <v>1293</v>
      </c>
      <c r="E611" s="10">
        <v>0.17</v>
      </c>
    </row>
    <row r="612" spans="1:5" x14ac:dyDescent="0.3">
      <c r="A612" s="174" t="s">
        <v>493</v>
      </c>
      <c r="B612" s="174" t="s">
        <v>494</v>
      </c>
      <c r="C612" s="1" t="s">
        <v>351</v>
      </c>
      <c r="D612" s="1" t="s">
        <v>347</v>
      </c>
      <c r="E612" s="10">
        <v>23.720000000000002</v>
      </c>
    </row>
    <row r="613" spans="1:5" x14ac:dyDescent="0.3">
      <c r="A613" s="174" t="s">
        <v>493</v>
      </c>
      <c r="B613" s="174" t="s">
        <v>494</v>
      </c>
      <c r="C613" s="1" t="s">
        <v>352</v>
      </c>
      <c r="D613" s="1" t="s">
        <v>348</v>
      </c>
      <c r="E613" s="10">
        <v>17.239999999999998</v>
      </c>
    </row>
    <row r="614" spans="1:5" x14ac:dyDescent="0.3">
      <c r="A614" s="175" t="s">
        <v>493</v>
      </c>
      <c r="B614" s="174" t="s">
        <v>494</v>
      </c>
      <c r="C614" s="1" t="s">
        <v>353</v>
      </c>
      <c r="D614" s="1" t="s">
        <v>348</v>
      </c>
      <c r="E614" s="10">
        <v>1.94</v>
      </c>
    </row>
    <row r="615" spans="1:5" x14ac:dyDescent="0.3">
      <c r="A615" s="174" t="s">
        <v>639</v>
      </c>
      <c r="B615" s="174" t="s">
        <v>640</v>
      </c>
      <c r="C615" s="1" t="s">
        <v>453</v>
      </c>
      <c r="D615" s="1" t="s">
        <v>453</v>
      </c>
      <c r="E615" s="10">
        <v>582.23999999999967</v>
      </c>
    </row>
    <row r="616" spans="1:5" x14ac:dyDescent="0.3">
      <c r="A616" s="174" t="s">
        <v>639</v>
      </c>
      <c r="B616" s="174" t="s">
        <v>640</v>
      </c>
      <c r="C616" s="1" t="s">
        <v>350</v>
      </c>
      <c r="D616" s="1" t="s">
        <v>348</v>
      </c>
      <c r="E616" s="10">
        <v>8.31</v>
      </c>
    </row>
    <row r="617" spans="1:5" x14ac:dyDescent="0.3">
      <c r="A617" s="174" t="s">
        <v>639</v>
      </c>
      <c r="B617" s="174" t="s">
        <v>640</v>
      </c>
      <c r="C617" s="1" t="s">
        <v>1476</v>
      </c>
      <c r="D617" s="1" t="s">
        <v>1293</v>
      </c>
      <c r="E617" s="10">
        <v>0.43</v>
      </c>
    </row>
    <row r="618" spans="1:5" x14ac:dyDescent="0.3">
      <c r="A618" s="174" t="s">
        <v>639</v>
      </c>
      <c r="B618" s="174" t="s">
        <v>640</v>
      </c>
      <c r="C618" s="1" t="s">
        <v>351</v>
      </c>
      <c r="D618" s="1" t="s">
        <v>347</v>
      </c>
      <c r="E618" s="10">
        <v>29.88</v>
      </c>
    </row>
    <row r="619" spans="1:5" x14ac:dyDescent="0.3">
      <c r="A619" s="174" t="s">
        <v>639</v>
      </c>
      <c r="B619" s="174" t="s">
        <v>640</v>
      </c>
      <c r="C619" s="1" t="s">
        <v>352</v>
      </c>
      <c r="D619" s="1" t="s">
        <v>348</v>
      </c>
      <c r="E619" s="10">
        <v>21.72</v>
      </c>
    </row>
    <row r="620" spans="1:5" x14ac:dyDescent="0.3">
      <c r="A620" s="175" t="s">
        <v>639</v>
      </c>
      <c r="B620" s="174" t="s">
        <v>640</v>
      </c>
      <c r="C620" s="1" t="s">
        <v>353</v>
      </c>
      <c r="D620" s="1" t="s">
        <v>348</v>
      </c>
      <c r="E620" s="10">
        <v>2.4500000000000002</v>
      </c>
    </row>
    <row r="621" spans="1:5" x14ac:dyDescent="0.3">
      <c r="A621" s="174" t="s">
        <v>751</v>
      </c>
      <c r="B621" s="174" t="s">
        <v>752</v>
      </c>
      <c r="C621" s="1" t="s">
        <v>453</v>
      </c>
      <c r="D621" s="1" t="s">
        <v>453</v>
      </c>
      <c r="E621" s="10">
        <v>2223.8399999999992</v>
      </c>
    </row>
    <row r="622" spans="1:5" x14ac:dyDescent="0.3">
      <c r="A622" s="174" t="s">
        <v>751</v>
      </c>
      <c r="B622" s="174" t="s">
        <v>752</v>
      </c>
      <c r="C622" s="1" t="s">
        <v>350</v>
      </c>
      <c r="D622" s="1" t="s">
        <v>348</v>
      </c>
      <c r="E622" s="10">
        <v>7.89</v>
      </c>
    </row>
    <row r="623" spans="1:5" x14ac:dyDescent="0.3">
      <c r="A623" s="174" t="s">
        <v>751</v>
      </c>
      <c r="B623" s="174" t="s">
        <v>752</v>
      </c>
      <c r="C623" s="1" t="s">
        <v>1476</v>
      </c>
      <c r="D623" s="1" t="s">
        <v>1293</v>
      </c>
      <c r="E623" s="10">
        <v>0.68</v>
      </c>
    </row>
    <row r="624" spans="1:5" x14ac:dyDescent="0.3">
      <c r="A624" s="174" t="s">
        <v>751</v>
      </c>
      <c r="B624" s="174" t="s">
        <v>752</v>
      </c>
      <c r="C624" s="1" t="s">
        <v>351</v>
      </c>
      <c r="D624" s="1" t="s">
        <v>347</v>
      </c>
      <c r="E624" s="10">
        <v>27.200000000000003</v>
      </c>
    </row>
    <row r="625" spans="1:5" x14ac:dyDescent="0.3">
      <c r="A625" s="174" t="s">
        <v>751</v>
      </c>
      <c r="B625" s="174" t="s">
        <v>752</v>
      </c>
      <c r="C625" s="1" t="s">
        <v>352</v>
      </c>
      <c r="D625" s="1" t="s">
        <v>348</v>
      </c>
      <c r="E625" s="10">
        <v>16.97</v>
      </c>
    </row>
    <row r="626" spans="1:5" x14ac:dyDescent="0.3">
      <c r="A626" s="175" t="s">
        <v>751</v>
      </c>
      <c r="B626" s="174" t="s">
        <v>752</v>
      </c>
      <c r="C626" s="1" t="s">
        <v>353</v>
      </c>
      <c r="D626" s="1" t="s">
        <v>348</v>
      </c>
      <c r="E626" s="10">
        <v>1.65</v>
      </c>
    </row>
    <row r="627" spans="1:5" x14ac:dyDescent="0.3">
      <c r="A627" s="174" t="s">
        <v>641</v>
      </c>
      <c r="B627" s="174" t="s">
        <v>642</v>
      </c>
      <c r="C627" s="1" t="s">
        <v>453</v>
      </c>
      <c r="D627" s="1" t="s">
        <v>453</v>
      </c>
      <c r="E627" s="10">
        <v>393.01999999999981</v>
      </c>
    </row>
    <row r="628" spans="1:5" x14ac:dyDescent="0.3">
      <c r="A628" s="174" t="s">
        <v>641</v>
      </c>
      <c r="B628" s="174" t="s">
        <v>642</v>
      </c>
      <c r="C628" s="1" t="s">
        <v>350</v>
      </c>
      <c r="D628" s="1" t="s">
        <v>348</v>
      </c>
      <c r="E628" s="10">
        <v>8.31</v>
      </c>
    </row>
    <row r="629" spans="1:5" x14ac:dyDescent="0.3">
      <c r="A629" s="174" t="s">
        <v>641</v>
      </c>
      <c r="B629" s="174" t="s">
        <v>642</v>
      </c>
      <c r="C629" s="1" t="s">
        <v>1476</v>
      </c>
      <c r="D629" s="1" t="s">
        <v>1293</v>
      </c>
      <c r="E629" s="10">
        <v>0.27</v>
      </c>
    </row>
    <row r="630" spans="1:5" x14ac:dyDescent="0.3">
      <c r="A630" s="174" t="s">
        <v>641</v>
      </c>
      <c r="B630" s="174" t="s">
        <v>642</v>
      </c>
      <c r="C630" s="1" t="s">
        <v>351</v>
      </c>
      <c r="D630" s="1" t="s">
        <v>347</v>
      </c>
      <c r="E630" s="10">
        <v>35.550000000000004</v>
      </c>
    </row>
    <row r="631" spans="1:5" x14ac:dyDescent="0.3">
      <c r="A631" s="174" t="s">
        <v>641</v>
      </c>
      <c r="B631" s="174" t="s">
        <v>642</v>
      </c>
      <c r="C631" s="1" t="s">
        <v>352</v>
      </c>
      <c r="D631" s="1" t="s">
        <v>348</v>
      </c>
      <c r="E631" s="10">
        <v>25.840000000000003</v>
      </c>
    </row>
    <row r="632" spans="1:5" x14ac:dyDescent="0.3">
      <c r="A632" s="175" t="s">
        <v>641</v>
      </c>
      <c r="B632" s="174" t="s">
        <v>642</v>
      </c>
      <c r="C632" s="1" t="s">
        <v>353</v>
      </c>
      <c r="D632" s="1" t="s">
        <v>348</v>
      </c>
      <c r="E632" s="10">
        <v>2.91</v>
      </c>
    </row>
    <row r="633" spans="1:5" x14ac:dyDescent="0.3">
      <c r="A633" s="174" t="s">
        <v>643</v>
      </c>
      <c r="B633" s="174" t="s">
        <v>644</v>
      </c>
      <c r="C633" s="1" t="s">
        <v>453</v>
      </c>
      <c r="D633" s="1" t="s">
        <v>453</v>
      </c>
      <c r="E633" s="10">
        <v>344.99999999999994</v>
      </c>
    </row>
    <row r="634" spans="1:5" x14ac:dyDescent="0.3">
      <c r="A634" s="174" t="s">
        <v>643</v>
      </c>
      <c r="B634" s="174" t="s">
        <v>644</v>
      </c>
      <c r="C634" s="1" t="s">
        <v>350</v>
      </c>
      <c r="D634" s="1" t="s">
        <v>348</v>
      </c>
      <c r="E634" s="10">
        <v>8.31</v>
      </c>
    </row>
    <row r="635" spans="1:5" x14ac:dyDescent="0.3">
      <c r="A635" s="174" t="s">
        <v>643</v>
      </c>
      <c r="B635" s="174" t="s">
        <v>644</v>
      </c>
      <c r="C635" s="1" t="s">
        <v>1476</v>
      </c>
      <c r="D635" s="1" t="s">
        <v>1293</v>
      </c>
      <c r="E635" s="10">
        <v>0.22</v>
      </c>
    </row>
    <row r="636" spans="1:5" x14ac:dyDescent="0.3">
      <c r="A636" s="174" t="s">
        <v>643</v>
      </c>
      <c r="B636" s="174" t="s">
        <v>644</v>
      </c>
      <c r="C636" s="1" t="s">
        <v>351</v>
      </c>
      <c r="D636" s="1" t="s">
        <v>347</v>
      </c>
      <c r="E636" s="10">
        <v>22.400000000000002</v>
      </c>
    </row>
    <row r="637" spans="1:5" x14ac:dyDescent="0.3">
      <c r="A637" s="174" t="s">
        <v>643</v>
      </c>
      <c r="B637" s="174" t="s">
        <v>644</v>
      </c>
      <c r="C637" s="1" t="s">
        <v>352</v>
      </c>
      <c r="D637" s="1" t="s">
        <v>348</v>
      </c>
      <c r="E637" s="10">
        <v>16.28</v>
      </c>
    </row>
    <row r="638" spans="1:5" x14ac:dyDescent="0.3">
      <c r="A638" s="175" t="s">
        <v>643</v>
      </c>
      <c r="B638" s="174" t="s">
        <v>644</v>
      </c>
      <c r="C638" s="1" t="s">
        <v>353</v>
      </c>
      <c r="D638" s="1" t="s">
        <v>348</v>
      </c>
      <c r="E638" s="10">
        <v>1.8299999999999998</v>
      </c>
    </row>
    <row r="639" spans="1:5" x14ac:dyDescent="0.3">
      <c r="A639" s="174" t="s">
        <v>696</v>
      </c>
      <c r="B639" s="174" t="s">
        <v>697</v>
      </c>
      <c r="C639" s="1" t="s">
        <v>453</v>
      </c>
      <c r="D639" s="1" t="s">
        <v>453</v>
      </c>
      <c r="E639" s="10">
        <v>616.00000000000011</v>
      </c>
    </row>
    <row r="640" spans="1:5" x14ac:dyDescent="0.3">
      <c r="A640" s="174" t="s">
        <v>696</v>
      </c>
      <c r="B640" s="174" t="s">
        <v>697</v>
      </c>
      <c r="C640" s="1" t="s">
        <v>350</v>
      </c>
      <c r="D640" s="1" t="s">
        <v>348</v>
      </c>
      <c r="E640" s="10">
        <v>1.98</v>
      </c>
    </row>
    <row r="641" spans="1:5" x14ac:dyDescent="0.3">
      <c r="A641" s="174" t="s">
        <v>696</v>
      </c>
      <c r="B641" s="174" t="s">
        <v>697</v>
      </c>
      <c r="C641" s="1" t="s">
        <v>1476</v>
      </c>
      <c r="D641" s="1" t="s">
        <v>1293</v>
      </c>
      <c r="E641" s="10">
        <v>0.6</v>
      </c>
    </row>
    <row r="642" spans="1:5" x14ac:dyDescent="0.3">
      <c r="A642" s="174" t="s">
        <v>696</v>
      </c>
      <c r="B642" s="174" t="s">
        <v>697</v>
      </c>
      <c r="C642" s="1" t="s">
        <v>351</v>
      </c>
      <c r="D642" s="1" t="s">
        <v>347</v>
      </c>
      <c r="E642" s="10">
        <v>14.51</v>
      </c>
    </row>
    <row r="643" spans="1:5" x14ac:dyDescent="0.3">
      <c r="A643" s="174" t="s">
        <v>696</v>
      </c>
      <c r="B643" s="174" t="s">
        <v>697</v>
      </c>
      <c r="C643" s="1" t="s">
        <v>352</v>
      </c>
      <c r="D643" s="1" t="s">
        <v>348</v>
      </c>
      <c r="E643" s="10">
        <v>2.2000000000000002</v>
      </c>
    </row>
    <row r="644" spans="1:5" x14ac:dyDescent="0.3">
      <c r="A644" s="175" t="s">
        <v>696</v>
      </c>
      <c r="B644" s="174" t="s">
        <v>697</v>
      </c>
      <c r="C644" s="1" t="s">
        <v>353</v>
      </c>
      <c r="D644" s="1" t="s">
        <v>348</v>
      </c>
      <c r="E644" s="10">
        <v>1.19</v>
      </c>
    </row>
    <row r="645" spans="1:5" x14ac:dyDescent="0.3">
      <c r="A645" s="174" t="s">
        <v>698</v>
      </c>
      <c r="B645" s="174" t="s">
        <v>699</v>
      </c>
      <c r="C645" s="1" t="s">
        <v>453</v>
      </c>
      <c r="D645" s="1" t="s">
        <v>453</v>
      </c>
      <c r="E645" s="10">
        <v>392.59000000000003</v>
      </c>
    </row>
    <row r="646" spans="1:5" x14ac:dyDescent="0.3">
      <c r="A646" s="174" t="s">
        <v>698</v>
      </c>
      <c r="B646" s="174" t="s">
        <v>699</v>
      </c>
      <c r="C646" s="1" t="s">
        <v>350</v>
      </c>
      <c r="D646" s="1" t="s">
        <v>348</v>
      </c>
      <c r="E646" s="10">
        <v>8.31</v>
      </c>
    </row>
    <row r="647" spans="1:5" x14ac:dyDescent="0.3">
      <c r="A647" s="174" t="s">
        <v>698</v>
      </c>
      <c r="B647" s="174" t="s">
        <v>699</v>
      </c>
      <c r="C647" s="1" t="s">
        <v>1476</v>
      </c>
      <c r="D647" s="1" t="s">
        <v>1293</v>
      </c>
      <c r="E647" s="10">
        <v>0.17</v>
      </c>
    </row>
    <row r="648" spans="1:5" x14ac:dyDescent="0.3">
      <c r="A648" s="174" t="s">
        <v>698</v>
      </c>
      <c r="B648" s="174" t="s">
        <v>699</v>
      </c>
      <c r="C648" s="1" t="s">
        <v>351</v>
      </c>
      <c r="D648" s="1" t="s">
        <v>347</v>
      </c>
      <c r="E648" s="10">
        <v>29.55</v>
      </c>
    </row>
    <row r="649" spans="1:5" x14ac:dyDescent="0.3">
      <c r="A649" s="174" t="s">
        <v>698</v>
      </c>
      <c r="B649" s="174" t="s">
        <v>699</v>
      </c>
      <c r="C649" s="1" t="s">
        <v>352</v>
      </c>
      <c r="D649" s="1" t="s">
        <v>348</v>
      </c>
      <c r="E649" s="10">
        <v>21.49</v>
      </c>
    </row>
    <row r="650" spans="1:5" x14ac:dyDescent="0.3">
      <c r="A650" s="175" t="s">
        <v>698</v>
      </c>
      <c r="B650" s="174" t="s">
        <v>699</v>
      </c>
      <c r="C650" s="1" t="s">
        <v>353</v>
      </c>
      <c r="D650" s="1" t="s">
        <v>348</v>
      </c>
      <c r="E650" s="10">
        <v>2.42</v>
      </c>
    </row>
    <row r="651" spans="1:5" x14ac:dyDescent="0.3">
      <c r="A651" s="174" t="s">
        <v>753</v>
      </c>
      <c r="B651" s="174" t="s">
        <v>754</v>
      </c>
      <c r="C651" s="1" t="s">
        <v>453</v>
      </c>
      <c r="D651" s="1" t="s">
        <v>453</v>
      </c>
      <c r="E651" s="10">
        <v>707.18</v>
      </c>
    </row>
    <row r="652" spans="1:5" x14ac:dyDescent="0.3">
      <c r="A652" s="174" t="s">
        <v>753</v>
      </c>
      <c r="B652" s="174" t="s">
        <v>754</v>
      </c>
      <c r="C652" s="1" t="s">
        <v>350</v>
      </c>
      <c r="D652" s="1" t="s">
        <v>348</v>
      </c>
      <c r="E652" s="10">
        <v>7.89</v>
      </c>
    </row>
    <row r="653" spans="1:5" x14ac:dyDescent="0.3">
      <c r="A653" s="174" t="s">
        <v>753</v>
      </c>
      <c r="B653" s="174" t="s">
        <v>754</v>
      </c>
      <c r="C653" s="1" t="s">
        <v>1476</v>
      </c>
      <c r="D653" s="1" t="s">
        <v>1293</v>
      </c>
      <c r="E653" s="10">
        <v>0.48</v>
      </c>
    </row>
    <row r="654" spans="1:5" x14ac:dyDescent="0.3">
      <c r="A654" s="174" t="s">
        <v>753</v>
      </c>
      <c r="B654" s="174" t="s">
        <v>754</v>
      </c>
      <c r="C654" s="1" t="s">
        <v>351</v>
      </c>
      <c r="D654" s="1" t="s">
        <v>347</v>
      </c>
      <c r="E654" s="10">
        <v>27.200000000000003</v>
      </c>
    </row>
    <row r="655" spans="1:5" x14ac:dyDescent="0.3">
      <c r="A655" s="174" t="s">
        <v>753</v>
      </c>
      <c r="B655" s="174" t="s">
        <v>754</v>
      </c>
      <c r="C655" s="1" t="s">
        <v>352</v>
      </c>
      <c r="D655" s="1" t="s">
        <v>348</v>
      </c>
      <c r="E655" s="10">
        <v>16.97</v>
      </c>
    </row>
    <row r="656" spans="1:5" x14ac:dyDescent="0.3">
      <c r="A656" s="175" t="s">
        <v>753</v>
      </c>
      <c r="B656" s="174" t="s">
        <v>754</v>
      </c>
      <c r="C656" s="1" t="s">
        <v>353</v>
      </c>
      <c r="D656" s="1" t="s">
        <v>348</v>
      </c>
      <c r="E656" s="10">
        <v>1.65</v>
      </c>
    </row>
    <row r="657" spans="1:5" x14ac:dyDescent="0.3">
      <c r="A657" s="174" t="s">
        <v>755</v>
      </c>
      <c r="B657" s="174" t="s">
        <v>756</v>
      </c>
      <c r="C657" s="1" t="s">
        <v>453</v>
      </c>
      <c r="D657" s="1" t="s">
        <v>453</v>
      </c>
      <c r="E657" s="10">
        <v>282.75</v>
      </c>
    </row>
    <row r="658" spans="1:5" x14ac:dyDescent="0.3">
      <c r="A658" s="174" t="s">
        <v>755</v>
      </c>
      <c r="B658" s="174" t="s">
        <v>756</v>
      </c>
      <c r="C658" s="1" t="s">
        <v>350</v>
      </c>
      <c r="D658" s="1" t="s">
        <v>348</v>
      </c>
      <c r="E658" s="10">
        <v>8.31</v>
      </c>
    </row>
    <row r="659" spans="1:5" x14ac:dyDescent="0.3">
      <c r="A659" s="174" t="s">
        <v>755</v>
      </c>
      <c r="B659" s="174" t="s">
        <v>756</v>
      </c>
      <c r="C659" s="1" t="s">
        <v>1476</v>
      </c>
      <c r="D659" s="1" t="s">
        <v>1293</v>
      </c>
      <c r="E659" s="10">
        <v>0.18</v>
      </c>
    </row>
    <row r="660" spans="1:5" x14ac:dyDescent="0.3">
      <c r="A660" s="174" t="s">
        <v>755</v>
      </c>
      <c r="B660" s="174" t="s">
        <v>756</v>
      </c>
      <c r="C660" s="1" t="s">
        <v>351</v>
      </c>
      <c r="D660" s="1" t="s">
        <v>347</v>
      </c>
      <c r="E660" s="10">
        <v>27.900000000000002</v>
      </c>
    </row>
    <row r="661" spans="1:5" x14ac:dyDescent="0.3">
      <c r="A661" s="174" t="s">
        <v>755</v>
      </c>
      <c r="B661" s="174" t="s">
        <v>756</v>
      </c>
      <c r="C661" s="1" t="s">
        <v>352</v>
      </c>
      <c r="D661" s="1" t="s">
        <v>348</v>
      </c>
      <c r="E661" s="10">
        <v>20.28</v>
      </c>
    </row>
    <row r="662" spans="1:5" x14ac:dyDescent="0.3">
      <c r="A662" s="175" t="s">
        <v>755</v>
      </c>
      <c r="B662" s="174" t="s">
        <v>756</v>
      </c>
      <c r="C662" s="1" t="s">
        <v>353</v>
      </c>
      <c r="D662" s="1" t="s">
        <v>348</v>
      </c>
      <c r="E662" s="10">
        <v>2.2800000000000002</v>
      </c>
    </row>
    <row r="663" spans="1:5" x14ac:dyDescent="0.3">
      <c r="A663" s="174" t="s">
        <v>1192</v>
      </c>
      <c r="B663" s="174" t="s">
        <v>1193</v>
      </c>
      <c r="C663" s="1" t="s">
        <v>453</v>
      </c>
      <c r="D663" s="1" t="s">
        <v>453</v>
      </c>
      <c r="E663" s="10">
        <v>276.51</v>
      </c>
    </row>
    <row r="664" spans="1:5" x14ac:dyDescent="0.3">
      <c r="A664" s="174" t="s">
        <v>1192</v>
      </c>
      <c r="B664" s="174" t="s">
        <v>1193</v>
      </c>
      <c r="C664" s="1" t="s">
        <v>350</v>
      </c>
      <c r="D664" s="1" t="s">
        <v>348</v>
      </c>
      <c r="E664" s="10">
        <v>7.89</v>
      </c>
    </row>
    <row r="665" spans="1:5" x14ac:dyDescent="0.3">
      <c r="A665" s="174" t="s">
        <v>1192</v>
      </c>
      <c r="B665" s="174" t="s">
        <v>1193</v>
      </c>
      <c r="C665" s="1" t="s">
        <v>1476</v>
      </c>
      <c r="D665" s="1" t="s">
        <v>1293</v>
      </c>
      <c r="E665" s="10">
        <v>0.26</v>
      </c>
    </row>
    <row r="666" spans="1:5" x14ac:dyDescent="0.3">
      <c r="A666" s="174" t="s">
        <v>1192</v>
      </c>
      <c r="B666" s="174" t="s">
        <v>1193</v>
      </c>
      <c r="C666" s="1" t="s">
        <v>351</v>
      </c>
      <c r="D666" s="1" t="s">
        <v>347</v>
      </c>
      <c r="E666" s="10">
        <v>25.68</v>
      </c>
    </row>
    <row r="667" spans="1:5" x14ac:dyDescent="0.3">
      <c r="A667" s="174" t="s">
        <v>1192</v>
      </c>
      <c r="B667" s="174" t="s">
        <v>1193</v>
      </c>
      <c r="C667" s="1" t="s">
        <v>352</v>
      </c>
      <c r="D667" s="1" t="s">
        <v>348</v>
      </c>
      <c r="E667" s="10">
        <v>1.26</v>
      </c>
    </row>
    <row r="668" spans="1:5" x14ac:dyDescent="0.3">
      <c r="A668" s="175" t="s">
        <v>1192</v>
      </c>
      <c r="B668" s="174" t="s">
        <v>1193</v>
      </c>
      <c r="C668" s="1" t="s">
        <v>353</v>
      </c>
      <c r="D668" s="1" t="s">
        <v>348</v>
      </c>
      <c r="E668" s="10">
        <v>0.12</v>
      </c>
    </row>
    <row r="669" spans="1:5" x14ac:dyDescent="0.3">
      <c r="A669" s="174" t="s">
        <v>1184</v>
      </c>
      <c r="B669" s="174" t="s">
        <v>1185</v>
      </c>
      <c r="C669" s="1" t="s">
        <v>453</v>
      </c>
      <c r="D669" s="1" t="s">
        <v>453</v>
      </c>
      <c r="E669" s="10">
        <v>373.01999999999981</v>
      </c>
    </row>
    <row r="670" spans="1:5" x14ac:dyDescent="0.3">
      <c r="A670" s="174" t="s">
        <v>1184</v>
      </c>
      <c r="B670" s="174" t="s">
        <v>1185</v>
      </c>
      <c r="C670" s="1" t="s">
        <v>350</v>
      </c>
      <c r="D670" s="1" t="s">
        <v>348</v>
      </c>
      <c r="E670" s="10">
        <v>8.31</v>
      </c>
    </row>
    <row r="671" spans="1:5" x14ac:dyDescent="0.3">
      <c r="A671" s="174" t="s">
        <v>1184</v>
      </c>
      <c r="B671" s="174" t="s">
        <v>1185</v>
      </c>
      <c r="C671" s="1" t="s">
        <v>1476</v>
      </c>
      <c r="D671" s="1" t="s">
        <v>1293</v>
      </c>
      <c r="E671" s="10">
        <v>0.26</v>
      </c>
    </row>
    <row r="672" spans="1:5" x14ac:dyDescent="0.3">
      <c r="A672" s="174" t="s">
        <v>1184</v>
      </c>
      <c r="B672" s="174" t="s">
        <v>1185</v>
      </c>
      <c r="C672" s="1" t="s">
        <v>351</v>
      </c>
      <c r="D672" s="1" t="s">
        <v>347</v>
      </c>
      <c r="E672" s="10">
        <v>22</v>
      </c>
    </row>
    <row r="673" spans="1:5" x14ac:dyDescent="0.3">
      <c r="A673" s="174" t="s">
        <v>1184</v>
      </c>
      <c r="B673" s="174" t="s">
        <v>1185</v>
      </c>
      <c r="C673" s="1" t="s">
        <v>352</v>
      </c>
      <c r="D673" s="1" t="s">
        <v>348</v>
      </c>
      <c r="E673" s="10">
        <v>15.99</v>
      </c>
    </row>
    <row r="674" spans="1:5" x14ac:dyDescent="0.3">
      <c r="A674" s="175" t="s">
        <v>1184</v>
      </c>
      <c r="B674" s="174" t="s">
        <v>1185</v>
      </c>
      <c r="C674" s="1" t="s">
        <v>353</v>
      </c>
      <c r="D674" s="1" t="s">
        <v>348</v>
      </c>
      <c r="E674" s="10">
        <v>1.8</v>
      </c>
    </row>
    <row r="675" spans="1:5" x14ac:dyDescent="0.3">
      <c r="A675" s="174" t="s">
        <v>1182</v>
      </c>
      <c r="B675" s="174" t="s">
        <v>1183</v>
      </c>
      <c r="C675" s="1" t="s">
        <v>453</v>
      </c>
      <c r="D675" s="1" t="s">
        <v>453</v>
      </c>
      <c r="E675" s="10">
        <v>373.01999999999981</v>
      </c>
    </row>
    <row r="676" spans="1:5" x14ac:dyDescent="0.3">
      <c r="A676" s="174" t="s">
        <v>1182</v>
      </c>
      <c r="B676" s="174" t="s">
        <v>1183</v>
      </c>
      <c r="C676" s="1" t="s">
        <v>350</v>
      </c>
      <c r="D676" s="1" t="s">
        <v>348</v>
      </c>
      <c r="E676" s="10">
        <v>8.31</v>
      </c>
    </row>
    <row r="677" spans="1:5" x14ac:dyDescent="0.3">
      <c r="A677" s="174" t="s">
        <v>1182</v>
      </c>
      <c r="B677" s="174" t="s">
        <v>1183</v>
      </c>
      <c r="C677" s="1" t="s">
        <v>1476</v>
      </c>
      <c r="D677" s="1" t="s">
        <v>1293</v>
      </c>
      <c r="E677" s="10">
        <v>0.26</v>
      </c>
    </row>
    <row r="678" spans="1:5" x14ac:dyDescent="0.3">
      <c r="A678" s="174" t="s">
        <v>1182</v>
      </c>
      <c r="B678" s="174" t="s">
        <v>1183</v>
      </c>
      <c r="C678" s="1" t="s">
        <v>351</v>
      </c>
      <c r="D678" s="1" t="s">
        <v>347</v>
      </c>
      <c r="E678" s="10">
        <v>22</v>
      </c>
    </row>
    <row r="679" spans="1:5" x14ac:dyDescent="0.3">
      <c r="A679" s="174" t="s">
        <v>1182</v>
      </c>
      <c r="B679" s="174" t="s">
        <v>1183</v>
      </c>
      <c r="C679" s="1" t="s">
        <v>352</v>
      </c>
      <c r="D679" s="1" t="s">
        <v>348</v>
      </c>
      <c r="E679" s="10">
        <v>15.99</v>
      </c>
    </row>
    <row r="680" spans="1:5" x14ac:dyDescent="0.3">
      <c r="A680" s="175" t="s">
        <v>1182</v>
      </c>
      <c r="B680" s="174" t="s">
        <v>1183</v>
      </c>
      <c r="C680" s="1" t="s">
        <v>353</v>
      </c>
      <c r="D680" s="1" t="s">
        <v>348</v>
      </c>
      <c r="E680" s="10">
        <v>1.8</v>
      </c>
    </row>
    <row r="681" spans="1:5" x14ac:dyDescent="0.3">
      <c r="A681" s="174" t="s">
        <v>1179</v>
      </c>
      <c r="B681" s="174" t="s">
        <v>1180</v>
      </c>
      <c r="C681" s="1" t="s">
        <v>453</v>
      </c>
      <c r="D681" s="1" t="s">
        <v>453</v>
      </c>
      <c r="E681" s="10">
        <v>373.01999999999981</v>
      </c>
    </row>
    <row r="682" spans="1:5" x14ac:dyDescent="0.3">
      <c r="A682" s="174" t="s">
        <v>1179</v>
      </c>
      <c r="B682" s="174" t="s">
        <v>1180</v>
      </c>
      <c r="C682" s="1" t="s">
        <v>350</v>
      </c>
      <c r="D682" s="1" t="s">
        <v>348</v>
      </c>
      <c r="E682" s="10">
        <v>8.31</v>
      </c>
    </row>
    <row r="683" spans="1:5" x14ac:dyDescent="0.3">
      <c r="A683" s="174" t="s">
        <v>1179</v>
      </c>
      <c r="B683" s="174" t="s">
        <v>1180</v>
      </c>
      <c r="C683" s="1" t="s">
        <v>1476</v>
      </c>
      <c r="D683" s="1" t="s">
        <v>1293</v>
      </c>
      <c r="E683" s="10">
        <v>0.26</v>
      </c>
    </row>
    <row r="684" spans="1:5" x14ac:dyDescent="0.3">
      <c r="A684" s="174" t="s">
        <v>1179</v>
      </c>
      <c r="B684" s="174" t="s">
        <v>1180</v>
      </c>
      <c r="C684" s="1" t="s">
        <v>351</v>
      </c>
      <c r="D684" s="1" t="s">
        <v>347</v>
      </c>
      <c r="E684" s="10">
        <v>22</v>
      </c>
    </row>
    <row r="685" spans="1:5" x14ac:dyDescent="0.3">
      <c r="A685" s="174" t="s">
        <v>1179</v>
      </c>
      <c r="B685" s="174" t="s">
        <v>1180</v>
      </c>
      <c r="C685" s="1" t="s">
        <v>352</v>
      </c>
      <c r="D685" s="1" t="s">
        <v>348</v>
      </c>
      <c r="E685" s="10">
        <v>15.99</v>
      </c>
    </row>
    <row r="686" spans="1:5" x14ac:dyDescent="0.3">
      <c r="A686" s="175" t="s">
        <v>1179</v>
      </c>
      <c r="B686" s="174" t="s">
        <v>1180</v>
      </c>
      <c r="C686" s="1" t="s">
        <v>353</v>
      </c>
      <c r="D686" s="1" t="s">
        <v>348</v>
      </c>
      <c r="E686" s="10">
        <v>1.8</v>
      </c>
    </row>
    <row r="687" spans="1:5" x14ac:dyDescent="0.3">
      <c r="A687" s="174" t="s">
        <v>1194</v>
      </c>
      <c r="B687" s="174" t="s">
        <v>1195</v>
      </c>
      <c r="C687" s="1" t="s">
        <v>453</v>
      </c>
      <c r="D687" s="1" t="s">
        <v>453</v>
      </c>
      <c r="E687" s="10">
        <v>109.66000000000001</v>
      </c>
    </row>
    <row r="688" spans="1:5" x14ac:dyDescent="0.3">
      <c r="A688" s="174" t="s">
        <v>1194</v>
      </c>
      <c r="B688" s="174" t="s">
        <v>1195</v>
      </c>
      <c r="C688" s="1" t="s">
        <v>350</v>
      </c>
      <c r="D688" s="1" t="s">
        <v>348</v>
      </c>
      <c r="E688" s="10">
        <v>8.31</v>
      </c>
    </row>
    <row r="689" spans="1:5" x14ac:dyDescent="0.3">
      <c r="A689" s="174" t="s">
        <v>1194</v>
      </c>
      <c r="B689" s="174" t="s">
        <v>1195</v>
      </c>
      <c r="C689" s="1" t="s">
        <v>1476</v>
      </c>
      <c r="D689" s="1" t="s">
        <v>1293</v>
      </c>
      <c r="E689" s="10">
        <v>0.1</v>
      </c>
    </row>
    <row r="690" spans="1:5" x14ac:dyDescent="0.3">
      <c r="A690" s="174" t="s">
        <v>1194</v>
      </c>
      <c r="B690" s="174" t="s">
        <v>1195</v>
      </c>
      <c r="C690" s="1" t="s">
        <v>351</v>
      </c>
      <c r="D690" s="1" t="s">
        <v>347</v>
      </c>
      <c r="E690" s="10">
        <v>22.72</v>
      </c>
    </row>
    <row r="691" spans="1:5" x14ac:dyDescent="0.3">
      <c r="A691" s="174" t="s">
        <v>1194</v>
      </c>
      <c r="B691" s="174" t="s">
        <v>1195</v>
      </c>
      <c r="C691" s="1" t="s">
        <v>352</v>
      </c>
      <c r="D691" s="1" t="s">
        <v>348</v>
      </c>
      <c r="E691" s="10">
        <v>16.52</v>
      </c>
    </row>
    <row r="692" spans="1:5" x14ac:dyDescent="0.3">
      <c r="A692" s="175" t="s">
        <v>1194</v>
      </c>
      <c r="B692" s="174" t="s">
        <v>1195</v>
      </c>
      <c r="C692" s="1" t="s">
        <v>353</v>
      </c>
      <c r="D692" s="1" t="s">
        <v>348</v>
      </c>
      <c r="E692" s="10">
        <v>1.86</v>
      </c>
    </row>
    <row r="693" spans="1:5" x14ac:dyDescent="0.3">
      <c r="A693" s="174" t="s">
        <v>1196</v>
      </c>
      <c r="B693" s="174" t="s">
        <v>1197</v>
      </c>
      <c r="C693" s="1" t="s">
        <v>453</v>
      </c>
      <c r="D693" s="1" t="s">
        <v>453</v>
      </c>
      <c r="E693" s="10">
        <v>271.52999999999997</v>
      </c>
    </row>
    <row r="694" spans="1:5" x14ac:dyDescent="0.3">
      <c r="A694" s="174" t="s">
        <v>1196</v>
      </c>
      <c r="B694" s="174" t="s">
        <v>1197</v>
      </c>
      <c r="C694" s="1" t="s">
        <v>350</v>
      </c>
      <c r="D694" s="1" t="s">
        <v>348</v>
      </c>
      <c r="E694" s="10">
        <v>10.290000000000001</v>
      </c>
    </row>
    <row r="695" spans="1:5" x14ac:dyDescent="0.3">
      <c r="A695" s="174" t="s">
        <v>1196</v>
      </c>
      <c r="B695" s="174" t="s">
        <v>1197</v>
      </c>
      <c r="C695" s="1" t="s">
        <v>1476</v>
      </c>
      <c r="D695" s="1" t="s">
        <v>1293</v>
      </c>
      <c r="E695" s="10">
        <v>0.26</v>
      </c>
    </row>
    <row r="696" spans="1:5" x14ac:dyDescent="0.3">
      <c r="A696" s="174" t="s">
        <v>1196</v>
      </c>
      <c r="B696" s="174" t="s">
        <v>1197</v>
      </c>
      <c r="C696" s="1" t="s">
        <v>351</v>
      </c>
      <c r="D696" s="1" t="s">
        <v>347</v>
      </c>
      <c r="E696" s="10">
        <v>23.84</v>
      </c>
    </row>
    <row r="697" spans="1:5" x14ac:dyDescent="0.3">
      <c r="A697" s="174" t="s">
        <v>1196</v>
      </c>
      <c r="B697" s="174" t="s">
        <v>1197</v>
      </c>
      <c r="C697" s="1" t="s">
        <v>352</v>
      </c>
      <c r="D697" s="1" t="s">
        <v>348</v>
      </c>
      <c r="E697" s="10">
        <v>17.329999999999998</v>
      </c>
    </row>
    <row r="698" spans="1:5" x14ac:dyDescent="0.3">
      <c r="A698" s="175" t="s">
        <v>1196</v>
      </c>
      <c r="B698" s="174" t="s">
        <v>1197</v>
      </c>
      <c r="C698" s="1" t="s">
        <v>353</v>
      </c>
      <c r="D698" s="1" t="s">
        <v>348</v>
      </c>
      <c r="E698" s="10">
        <v>1.9500000000000002</v>
      </c>
    </row>
    <row r="699" spans="1:5" x14ac:dyDescent="0.3">
      <c r="A699" s="174" t="s">
        <v>1461</v>
      </c>
      <c r="B699" s="174" t="s">
        <v>1462</v>
      </c>
      <c r="C699" s="1" t="s">
        <v>453</v>
      </c>
      <c r="D699" s="1" t="s">
        <v>453</v>
      </c>
      <c r="E699" s="10">
        <v>576.03999999999962</v>
      </c>
    </row>
    <row r="700" spans="1:5" x14ac:dyDescent="0.3">
      <c r="A700" s="174" t="s">
        <v>1461</v>
      </c>
      <c r="B700" s="174" t="s">
        <v>1462</v>
      </c>
      <c r="C700" s="1" t="s">
        <v>350</v>
      </c>
      <c r="D700" s="1" t="s">
        <v>348</v>
      </c>
      <c r="E700" s="10">
        <v>8.31</v>
      </c>
    </row>
    <row r="701" spans="1:5" x14ac:dyDescent="0.3">
      <c r="A701" s="174" t="s">
        <v>1461</v>
      </c>
      <c r="B701" s="174" t="s">
        <v>1462</v>
      </c>
      <c r="C701" s="1" t="s">
        <v>1476</v>
      </c>
      <c r="D701" s="1" t="s">
        <v>1293</v>
      </c>
      <c r="E701" s="10">
        <v>0.43</v>
      </c>
    </row>
    <row r="702" spans="1:5" x14ac:dyDescent="0.3">
      <c r="A702" s="174" t="s">
        <v>1461</v>
      </c>
      <c r="B702" s="174" t="s">
        <v>1462</v>
      </c>
      <c r="C702" s="1" t="s">
        <v>351</v>
      </c>
      <c r="D702" s="1" t="s">
        <v>347</v>
      </c>
      <c r="E702" s="10">
        <v>29.88</v>
      </c>
    </row>
    <row r="703" spans="1:5" x14ac:dyDescent="0.3">
      <c r="A703" s="174" t="s">
        <v>1461</v>
      </c>
      <c r="B703" s="174" t="s">
        <v>1462</v>
      </c>
      <c r="C703" s="1" t="s">
        <v>352</v>
      </c>
      <c r="D703" s="1" t="s">
        <v>348</v>
      </c>
      <c r="E703" s="10">
        <v>21.72</v>
      </c>
    </row>
    <row r="704" spans="1:5" x14ac:dyDescent="0.3">
      <c r="A704" s="175" t="s">
        <v>1461</v>
      </c>
      <c r="B704" s="174" t="s">
        <v>1462</v>
      </c>
      <c r="C704" s="1" t="s">
        <v>353</v>
      </c>
      <c r="D704" s="1" t="s">
        <v>348</v>
      </c>
      <c r="E704" s="10">
        <v>2.4500000000000002</v>
      </c>
    </row>
    <row r="705" spans="1:5" x14ac:dyDescent="0.3">
      <c r="A705" s="174" t="s">
        <v>1502</v>
      </c>
      <c r="B705" s="174" t="s">
        <v>1503</v>
      </c>
      <c r="C705" s="1" t="s">
        <v>453</v>
      </c>
      <c r="D705" s="1" t="s">
        <v>453</v>
      </c>
      <c r="E705" s="10">
        <v>109.66000000000001</v>
      </c>
    </row>
    <row r="706" spans="1:5" x14ac:dyDescent="0.3">
      <c r="A706" s="174" t="s">
        <v>1502</v>
      </c>
      <c r="B706" s="174" t="s">
        <v>1503</v>
      </c>
      <c r="C706" s="1" t="s">
        <v>350</v>
      </c>
      <c r="D706" s="1" t="s">
        <v>348</v>
      </c>
      <c r="E706" s="10">
        <v>8.31</v>
      </c>
    </row>
    <row r="707" spans="1:5" x14ac:dyDescent="0.3">
      <c r="A707" s="174" t="s">
        <v>1502</v>
      </c>
      <c r="B707" s="174" t="s">
        <v>1503</v>
      </c>
      <c r="C707" s="1" t="s">
        <v>1476</v>
      </c>
      <c r="D707" s="1" t="s">
        <v>1293</v>
      </c>
      <c r="E707" s="10">
        <v>0.1</v>
      </c>
    </row>
    <row r="708" spans="1:5" x14ac:dyDescent="0.3">
      <c r="A708" s="174" t="s">
        <v>1502</v>
      </c>
      <c r="B708" s="174" t="s">
        <v>1503</v>
      </c>
      <c r="C708" s="1" t="s">
        <v>351</v>
      </c>
      <c r="D708" s="1" t="s">
        <v>347</v>
      </c>
      <c r="E708" s="10">
        <v>12.05</v>
      </c>
    </row>
    <row r="709" spans="1:5" x14ac:dyDescent="0.3">
      <c r="A709" s="174" t="s">
        <v>1502</v>
      </c>
      <c r="B709" s="174" t="s">
        <v>1503</v>
      </c>
      <c r="C709" s="1" t="s">
        <v>352</v>
      </c>
      <c r="D709" s="1" t="s">
        <v>348</v>
      </c>
      <c r="E709" s="10">
        <v>8.76</v>
      </c>
    </row>
    <row r="710" spans="1:5" x14ac:dyDescent="0.3">
      <c r="A710" s="175" t="s">
        <v>1502</v>
      </c>
      <c r="B710" s="174" t="s">
        <v>1503</v>
      </c>
      <c r="C710" s="1" t="s">
        <v>353</v>
      </c>
      <c r="D710" s="1" t="s">
        <v>348</v>
      </c>
      <c r="E710" s="10">
        <v>0.99</v>
      </c>
    </row>
    <row r="711" spans="1:5" x14ac:dyDescent="0.3">
      <c r="A711" s="174" t="s">
        <v>1504</v>
      </c>
      <c r="B711" s="174" t="s">
        <v>1505</v>
      </c>
      <c r="C711" s="1" t="s">
        <v>453</v>
      </c>
      <c r="D711" s="1" t="s">
        <v>453</v>
      </c>
      <c r="E711" s="10">
        <v>411.40000000000003</v>
      </c>
    </row>
    <row r="712" spans="1:5" x14ac:dyDescent="0.3">
      <c r="A712" s="174" t="s">
        <v>1504</v>
      </c>
      <c r="B712" s="174" t="s">
        <v>1505</v>
      </c>
      <c r="C712" s="1" t="s">
        <v>350</v>
      </c>
      <c r="D712" s="1" t="s">
        <v>348</v>
      </c>
      <c r="E712" s="10">
        <v>10.290000000000001</v>
      </c>
    </row>
    <row r="713" spans="1:5" x14ac:dyDescent="0.3">
      <c r="A713" s="174" t="s">
        <v>1504</v>
      </c>
      <c r="B713" s="174" t="s">
        <v>1505</v>
      </c>
      <c r="C713" s="1" t="s">
        <v>1476</v>
      </c>
      <c r="D713" s="1" t="s">
        <v>1293</v>
      </c>
      <c r="E713" s="10">
        <v>0.26</v>
      </c>
    </row>
    <row r="714" spans="1:5" x14ac:dyDescent="0.3">
      <c r="A714" s="174" t="s">
        <v>1504</v>
      </c>
      <c r="B714" s="174" t="s">
        <v>1505</v>
      </c>
      <c r="C714" s="1" t="s">
        <v>351</v>
      </c>
      <c r="D714" s="1" t="s">
        <v>347</v>
      </c>
      <c r="E714" s="10">
        <v>13.170000000000002</v>
      </c>
    </row>
    <row r="715" spans="1:5" x14ac:dyDescent="0.3">
      <c r="A715" s="174" t="s">
        <v>1504</v>
      </c>
      <c r="B715" s="174" t="s">
        <v>1505</v>
      </c>
      <c r="C715" s="1" t="s">
        <v>352</v>
      </c>
      <c r="D715" s="1" t="s">
        <v>348</v>
      </c>
      <c r="E715" s="10">
        <v>9.57</v>
      </c>
    </row>
    <row r="716" spans="1:5" x14ac:dyDescent="0.3">
      <c r="A716" s="175" t="s">
        <v>1504</v>
      </c>
      <c r="B716" s="174" t="s">
        <v>1505</v>
      </c>
      <c r="C716" s="1" t="s">
        <v>353</v>
      </c>
      <c r="D716" s="1" t="s">
        <v>348</v>
      </c>
      <c r="E716" s="10">
        <v>1.08</v>
      </c>
    </row>
    <row r="717" spans="1:5" x14ac:dyDescent="0.3">
      <c r="A717" s="174" t="s">
        <v>1465</v>
      </c>
      <c r="B717" s="174" t="s">
        <v>1466</v>
      </c>
      <c r="C717" s="1" t="s">
        <v>453</v>
      </c>
      <c r="D717" s="1" t="s">
        <v>453</v>
      </c>
      <c r="E717" s="10">
        <v>109.66000000000001</v>
      </c>
    </row>
    <row r="718" spans="1:5" x14ac:dyDescent="0.3">
      <c r="A718" s="174" t="s">
        <v>1465</v>
      </c>
      <c r="B718" s="174" t="s">
        <v>1466</v>
      </c>
      <c r="C718" s="1" t="s">
        <v>350</v>
      </c>
      <c r="D718" s="1" t="s">
        <v>348</v>
      </c>
      <c r="E718" s="10">
        <v>8.31</v>
      </c>
    </row>
    <row r="719" spans="1:5" x14ac:dyDescent="0.3">
      <c r="A719" s="174" t="s">
        <v>1465</v>
      </c>
      <c r="B719" s="174" t="s">
        <v>1466</v>
      </c>
      <c r="C719" s="1" t="s">
        <v>1476</v>
      </c>
      <c r="D719" s="1" t="s">
        <v>1293</v>
      </c>
      <c r="E719" s="10">
        <v>0.1</v>
      </c>
    </row>
    <row r="720" spans="1:5" x14ac:dyDescent="0.3">
      <c r="A720" s="174" t="s">
        <v>1465</v>
      </c>
      <c r="B720" s="174" t="s">
        <v>1466</v>
      </c>
      <c r="C720" s="1" t="s">
        <v>351</v>
      </c>
      <c r="D720" s="1" t="s">
        <v>347</v>
      </c>
      <c r="E720" s="10">
        <v>12.05</v>
      </c>
    </row>
    <row r="721" spans="1:5" x14ac:dyDescent="0.3">
      <c r="A721" s="174" t="s">
        <v>1465</v>
      </c>
      <c r="B721" s="174" t="s">
        <v>1466</v>
      </c>
      <c r="C721" s="1" t="s">
        <v>352</v>
      </c>
      <c r="D721" s="1" t="s">
        <v>348</v>
      </c>
      <c r="E721" s="10">
        <v>8.76</v>
      </c>
    </row>
    <row r="722" spans="1:5" x14ac:dyDescent="0.3">
      <c r="A722" s="175" t="s">
        <v>1465</v>
      </c>
      <c r="B722" s="174" t="s">
        <v>1466</v>
      </c>
      <c r="C722" s="1" t="s">
        <v>353</v>
      </c>
      <c r="D722" s="1" t="s">
        <v>348</v>
      </c>
      <c r="E722" s="10">
        <v>0.99</v>
      </c>
    </row>
    <row r="723" spans="1:5" x14ac:dyDescent="0.3">
      <c r="A723" s="174" t="s">
        <v>1463</v>
      </c>
      <c r="B723" s="174" t="s">
        <v>1464</v>
      </c>
      <c r="C723" s="1" t="s">
        <v>453</v>
      </c>
      <c r="D723" s="1" t="s">
        <v>453</v>
      </c>
      <c r="E723" s="10">
        <v>597.79999999999961</v>
      </c>
    </row>
    <row r="724" spans="1:5" x14ac:dyDescent="0.3">
      <c r="A724" s="174" t="s">
        <v>1463</v>
      </c>
      <c r="B724" s="174" t="s">
        <v>1464</v>
      </c>
      <c r="C724" s="1" t="s">
        <v>350</v>
      </c>
      <c r="D724" s="1" t="s">
        <v>348</v>
      </c>
      <c r="E724" s="10">
        <v>16.62</v>
      </c>
    </row>
    <row r="725" spans="1:5" x14ac:dyDescent="0.3">
      <c r="A725" s="174" t="s">
        <v>1463</v>
      </c>
      <c r="B725" s="174" t="s">
        <v>1464</v>
      </c>
      <c r="C725" s="1" t="s">
        <v>1476</v>
      </c>
      <c r="D725" s="1" t="s">
        <v>1293</v>
      </c>
      <c r="E725" s="10">
        <v>0.25</v>
      </c>
    </row>
    <row r="726" spans="1:5" x14ac:dyDescent="0.3">
      <c r="A726" s="174" t="s">
        <v>1463</v>
      </c>
      <c r="B726" s="174" t="s">
        <v>1464</v>
      </c>
      <c r="C726" s="1" t="s">
        <v>351</v>
      </c>
      <c r="D726" s="1" t="s">
        <v>347</v>
      </c>
      <c r="E726" s="10">
        <v>20.94</v>
      </c>
    </row>
    <row r="727" spans="1:5" x14ac:dyDescent="0.3">
      <c r="A727" s="174" t="s">
        <v>1463</v>
      </c>
      <c r="B727" s="174" t="s">
        <v>1464</v>
      </c>
      <c r="C727" s="1" t="s">
        <v>352</v>
      </c>
      <c r="D727" s="1" t="s">
        <v>348</v>
      </c>
      <c r="E727" s="10">
        <v>15.22</v>
      </c>
    </row>
    <row r="728" spans="1:5" x14ac:dyDescent="0.3">
      <c r="A728" s="175" t="s">
        <v>1463</v>
      </c>
      <c r="B728" s="174" t="s">
        <v>1464</v>
      </c>
      <c r="C728" s="1" t="s">
        <v>353</v>
      </c>
      <c r="D728" s="1" t="s">
        <v>348</v>
      </c>
      <c r="E728" s="10">
        <v>1.7100000000000002</v>
      </c>
    </row>
    <row r="729" spans="1:5" x14ac:dyDescent="0.3">
      <c r="A729" s="174" t="s">
        <v>1506</v>
      </c>
      <c r="B729" s="174" t="s">
        <v>1507</v>
      </c>
      <c r="C729" s="1" t="s">
        <v>453</v>
      </c>
      <c r="D729" s="1" t="s">
        <v>453</v>
      </c>
      <c r="E729" s="10">
        <v>109.66000000000001</v>
      </c>
    </row>
    <row r="730" spans="1:5" x14ac:dyDescent="0.3">
      <c r="A730" s="174" t="s">
        <v>1506</v>
      </c>
      <c r="B730" s="174" t="s">
        <v>1507</v>
      </c>
      <c r="C730" s="1" t="s">
        <v>350</v>
      </c>
      <c r="D730" s="1" t="s">
        <v>348</v>
      </c>
      <c r="E730" s="10">
        <v>8.31</v>
      </c>
    </row>
    <row r="731" spans="1:5" x14ac:dyDescent="0.3">
      <c r="A731" s="174" t="s">
        <v>1506</v>
      </c>
      <c r="B731" s="174" t="s">
        <v>1507</v>
      </c>
      <c r="C731" s="1" t="s">
        <v>1476</v>
      </c>
      <c r="D731" s="1" t="s">
        <v>1293</v>
      </c>
      <c r="E731" s="10">
        <v>0.1</v>
      </c>
    </row>
    <row r="732" spans="1:5" x14ac:dyDescent="0.3">
      <c r="A732" s="174" t="s">
        <v>1506</v>
      </c>
      <c r="B732" s="174" t="s">
        <v>1507</v>
      </c>
      <c r="C732" s="1" t="s">
        <v>351</v>
      </c>
      <c r="D732" s="1" t="s">
        <v>347</v>
      </c>
      <c r="E732" s="10">
        <v>12.05</v>
      </c>
    </row>
    <row r="733" spans="1:5" x14ac:dyDescent="0.3">
      <c r="A733" s="174" t="s">
        <v>1506</v>
      </c>
      <c r="B733" s="174" t="s">
        <v>1507</v>
      </c>
      <c r="C733" s="1" t="s">
        <v>352</v>
      </c>
      <c r="D733" s="1" t="s">
        <v>348</v>
      </c>
      <c r="E733" s="10">
        <v>8.76</v>
      </c>
    </row>
    <row r="734" spans="1:5" x14ac:dyDescent="0.3">
      <c r="A734" s="175" t="s">
        <v>1506</v>
      </c>
      <c r="B734" s="174" t="s">
        <v>1507</v>
      </c>
      <c r="C734" s="1" t="s">
        <v>353</v>
      </c>
      <c r="D734" s="1" t="s">
        <v>348</v>
      </c>
      <c r="E734" s="10">
        <v>0.99</v>
      </c>
    </row>
    <row r="735" spans="1:5" x14ac:dyDescent="0.3">
      <c r="A735" s="174" t="s">
        <v>1508</v>
      </c>
      <c r="B735" s="174" t="s">
        <v>1509</v>
      </c>
      <c r="C735" s="1" t="s">
        <v>453</v>
      </c>
      <c r="D735" s="1" t="s">
        <v>453</v>
      </c>
      <c r="E735" s="10">
        <v>597.79999999999961</v>
      </c>
    </row>
    <row r="736" spans="1:5" x14ac:dyDescent="0.3">
      <c r="A736" s="174" t="s">
        <v>1508</v>
      </c>
      <c r="B736" s="174" t="s">
        <v>1509</v>
      </c>
      <c r="C736" s="1" t="s">
        <v>350</v>
      </c>
      <c r="D736" s="1" t="s">
        <v>348</v>
      </c>
      <c r="E736" s="10">
        <v>16.62</v>
      </c>
    </row>
    <row r="737" spans="1:5" x14ac:dyDescent="0.3">
      <c r="A737" s="174" t="s">
        <v>1508</v>
      </c>
      <c r="B737" s="174" t="s">
        <v>1509</v>
      </c>
      <c r="C737" s="1" t="s">
        <v>1476</v>
      </c>
      <c r="D737" s="1" t="s">
        <v>1293</v>
      </c>
      <c r="E737" s="10">
        <v>0.25</v>
      </c>
    </row>
    <row r="738" spans="1:5" x14ac:dyDescent="0.3">
      <c r="A738" s="174" t="s">
        <v>1508</v>
      </c>
      <c r="B738" s="174" t="s">
        <v>1509</v>
      </c>
      <c r="C738" s="1" t="s">
        <v>351</v>
      </c>
      <c r="D738" s="1" t="s">
        <v>347</v>
      </c>
      <c r="E738" s="10">
        <v>20.94</v>
      </c>
    </row>
    <row r="739" spans="1:5" x14ac:dyDescent="0.3">
      <c r="A739" s="174" t="s">
        <v>1508</v>
      </c>
      <c r="B739" s="174" t="s">
        <v>1509</v>
      </c>
      <c r="C739" s="1" t="s">
        <v>352</v>
      </c>
      <c r="D739" s="1" t="s">
        <v>348</v>
      </c>
      <c r="E739" s="10">
        <v>15.22</v>
      </c>
    </row>
    <row r="740" spans="1:5" x14ac:dyDescent="0.3">
      <c r="A740" s="175" t="s">
        <v>1508</v>
      </c>
      <c r="B740" s="174" t="s">
        <v>1509</v>
      </c>
      <c r="C740" s="1" t="s">
        <v>353</v>
      </c>
      <c r="D740" s="1" t="s">
        <v>348</v>
      </c>
      <c r="E740" s="10">
        <v>1.7100000000000002</v>
      </c>
    </row>
    <row r="741" spans="1:5" x14ac:dyDescent="0.3">
      <c r="A741" s="174" t="s">
        <v>1549</v>
      </c>
      <c r="B741" s="174" t="s">
        <v>1550</v>
      </c>
      <c r="C741" s="1" t="s">
        <v>453</v>
      </c>
      <c r="D741" s="1" t="s">
        <v>453</v>
      </c>
      <c r="E741" s="10">
        <v>47.650000000000013</v>
      </c>
    </row>
    <row r="742" spans="1:5" x14ac:dyDescent="0.3">
      <c r="A742" s="174" t="s">
        <v>1549</v>
      </c>
      <c r="B742" s="174" t="s">
        <v>1550</v>
      </c>
      <c r="C742" s="1" t="s">
        <v>350</v>
      </c>
      <c r="D742" s="1" t="s">
        <v>348</v>
      </c>
      <c r="E742" s="10">
        <v>0</v>
      </c>
    </row>
    <row r="743" spans="1:5" x14ac:dyDescent="0.3">
      <c r="A743" s="174" t="s">
        <v>1549</v>
      </c>
      <c r="B743" s="174" t="s">
        <v>1550</v>
      </c>
      <c r="C743" s="1" t="s">
        <v>1476</v>
      </c>
      <c r="D743" s="1" t="s">
        <v>1293</v>
      </c>
      <c r="E743" s="10">
        <v>0.03</v>
      </c>
    </row>
    <row r="744" spans="1:5" x14ac:dyDescent="0.3">
      <c r="A744" s="174" t="s">
        <v>1549</v>
      </c>
      <c r="B744" s="174" t="s">
        <v>1550</v>
      </c>
      <c r="C744" s="1" t="s">
        <v>351</v>
      </c>
      <c r="D744" s="1" t="s">
        <v>347</v>
      </c>
      <c r="E744" s="10">
        <v>36.96</v>
      </c>
    </row>
    <row r="745" spans="1:5" x14ac:dyDescent="0.3">
      <c r="A745" s="174" t="s">
        <v>1549</v>
      </c>
      <c r="B745" s="174" t="s">
        <v>1550</v>
      </c>
      <c r="C745" s="1" t="s">
        <v>352</v>
      </c>
      <c r="D745" s="1" t="s">
        <v>348</v>
      </c>
      <c r="E745" s="10">
        <v>0</v>
      </c>
    </row>
    <row r="746" spans="1:5" x14ac:dyDescent="0.3">
      <c r="A746" s="175" t="s">
        <v>1549</v>
      </c>
      <c r="B746" s="174" t="s">
        <v>1550</v>
      </c>
      <c r="C746" s="1" t="s">
        <v>353</v>
      </c>
      <c r="D746" s="1" t="s">
        <v>348</v>
      </c>
      <c r="E746" s="10">
        <v>3.02</v>
      </c>
    </row>
    <row r="747" spans="1:5" x14ac:dyDescent="0.3">
      <c r="A747" s="174" t="s">
        <v>1551</v>
      </c>
      <c r="B747" s="174" t="s">
        <v>1552</v>
      </c>
      <c r="C747" s="1" t="s">
        <v>453</v>
      </c>
      <c r="D747" s="1" t="s">
        <v>453</v>
      </c>
      <c r="E747" s="10">
        <v>62.83</v>
      </c>
    </row>
    <row r="748" spans="1:5" x14ac:dyDescent="0.3">
      <c r="A748" s="174" t="s">
        <v>1551</v>
      </c>
      <c r="B748" s="174" t="s">
        <v>1552</v>
      </c>
      <c r="C748" s="1" t="s">
        <v>350</v>
      </c>
      <c r="D748" s="1" t="s">
        <v>348</v>
      </c>
      <c r="E748" s="10">
        <v>0</v>
      </c>
    </row>
    <row r="749" spans="1:5" x14ac:dyDescent="0.3">
      <c r="A749" s="174" t="s">
        <v>1551</v>
      </c>
      <c r="B749" s="174" t="s">
        <v>1552</v>
      </c>
      <c r="C749" s="1" t="s">
        <v>1476</v>
      </c>
      <c r="D749" s="1" t="s">
        <v>1293</v>
      </c>
      <c r="E749" s="10">
        <v>0.04</v>
      </c>
    </row>
    <row r="750" spans="1:5" x14ac:dyDescent="0.3">
      <c r="A750" s="174" t="s">
        <v>1551</v>
      </c>
      <c r="B750" s="174" t="s">
        <v>1552</v>
      </c>
      <c r="C750" s="1" t="s">
        <v>351</v>
      </c>
      <c r="D750" s="1" t="s">
        <v>347</v>
      </c>
      <c r="E750" s="10">
        <v>36.96</v>
      </c>
    </row>
    <row r="751" spans="1:5" x14ac:dyDescent="0.3">
      <c r="A751" s="174" t="s">
        <v>1551</v>
      </c>
      <c r="B751" s="174" t="s">
        <v>1552</v>
      </c>
      <c r="C751" s="1" t="s">
        <v>352</v>
      </c>
      <c r="D751" s="1" t="s">
        <v>348</v>
      </c>
      <c r="E751" s="10">
        <v>0</v>
      </c>
    </row>
    <row r="752" spans="1:5" x14ac:dyDescent="0.3">
      <c r="A752" s="175" t="s">
        <v>1551</v>
      </c>
      <c r="B752" s="174" t="s">
        <v>1552</v>
      </c>
      <c r="C752" s="1" t="s">
        <v>353</v>
      </c>
      <c r="D752" s="1" t="s">
        <v>348</v>
      </c>
      <c r="E752" s="10">
        <v>3.02</v>
      </c>
    </row>
    <row r="753" spans="1:5" x14ac:dyDescent="0.3">
      <c r="A753" s="174" t="s">
        <v>1553</v>
      </c>
      <c r="B753" s="174" t="s">
        <v>1554</v>
      </c>
      <c r="C753" s="1" t="s">
        <v>453</v>
      </c>
      <c r="D753" s="1" t="s">
        <v>453</v>
      </c>
      <c r="E753" s="10">
        <v>240.83999999999997</v>
      </c>
    </row>
    <row r="754" spans="1:5" x14ac:dyDescent="0.3">
      <c r="A754" s="174" t="s">
        <v>1553</v>
      </c>
      <c r="B754" s="174" t="s">
        <v>1554</v>
      </c>
      <c r="C754" s="1" t="s">
        <v>350</v>
      </c>
      <c r="D754" s="1" t="s">
        <v>348</v>
      </c>
      <c r="E754" s="10">
        <v>20.27</v>
      </c>
    </row>
    <row r="755" spans="1:5" x14ac:dyDescent="0.3">
      <c r="A755" s="174" t="s">
        <v>1553</v>
      </c>
      <c r="B755" s="174" t="s">
        <v>1554</v>
      </c>
      <c r="C755" s="1" t="s">
        <v>1476</v>
      </c>
      <c r="D755" s="1" t="s">
        <v>1293</v>
      </c>
      <c r="E755" s="10">
        <v>0.13</v>
      </c>
    </row>
    <row r="756" spans="1:5" x14ac:dyDescent="0.3">
      <c r="A756" s="174" t="s">
        <v>1553</v>
      </c>
      <c r="B756" s="174" t="s">
        <v>1554</v>
      </c>
      <c r="C756" s="1" t="s">
        <v>351</v>
      </c>
      <c r="D756" s="1" t="s">
        <v>347</v>
      </c>
      <c r="E756" s="10">
        <v>45.19</v>
      </c>
    </row>
    <row r="757" spans="1:5" x14ac:dyDescent="0.3">
      <c r="A757" s="174" t="s">
        <v>1553</v>
      </c>
      <c r="B757" s="174" t="s">
        <v>1554</v>
      </c>
      <c r="C757" s="1" t="s">
        <v>352</v>
      </c>
      <c r="D757" s="1" t="s">
        <v>348</v>
      </c>
      <c r="E757" s="10">
        <v>32.85</v>
      </c>
    </row>
    <row r="758" spans="1:5" x14ac:dyDescent="0.3">
      <c r="A758" s="175" t="s">
        <v>1553</v>
      </c>
      <c r="B758" s="174" t="s">
        <v>1554</v>
      </c>
      <c r="C758" s="1" t="s">
        <v>353</v>
      </c>
      <c r="D758" s="1" t="s">
        <v>348</v>
      </c>
      <c r="E758" s="10">
        <v>3.69</v>
      </c>
    </row>
    <row r="759" spans="1:5" x14ac:dyDescent="0.3">
      <c r="A759" s="174" t="s">
        <v>1555</v>
      </c>
      <c r="B759" s="174" t="s">
        <v>1556</v>
      </c>
      <c r="C759" s="1" t="s">
        <v>453</v>
      </c>
      <c r="D759" s="1" t="s">
        <v>453</v>
      </c>
      <c r="E759" s="10">
        <v>282.74</v>
      </c>
    </row>
    <row r="760" spans="1:5" x14ac:dyDescent="0.3">
      <c r="A760" s="174" t="s">
        <v>1555</v>
      </c>
      <c r="B760" s="174" t="s">
        <v>1556</v>
      </c>
      <c r="C760" s="1" t="s">
        <v>350</v>
      </c>
      <c r="D760" s="1" t="s">
        <v>348</v>
      </c>
      <c r="E760" s="10">
        <v>8.31</v>
      </c>
    </row>
    <row r="761" spans="1:5" x14ac:dyDescent="0.3">
      <c r="A761" s="174" t="s">
        <v>1555</v>
      </c>
      <c r="B761" s="174" t="s">
        <v>1556</v>
      </c>
      <c r="C761" s="1" t="s">
        <v>1476</v>
      </c>
      <c r="D761" s="1" t="s">
        <v>1293</v>
      </c>
      <c r="E761" s="10">
        <v>0.18</v>
      </c>
    </row>
    <row r="762" spans="1:5" x14ac:dyDescent="0.3">
      <c r="A762" s="174" t="s">
        <v>1555</v>
      </c>
      <c r="B762" s="174" t="s">
        <v>1556</v>
      </c>
      <c r="C762" s="1" t="s">
        <v>351</v>
      </c>
      <c r="D762" s="1" t="s">
        <v>347</v>
      </c>
      <c r="E762" s="10">
        <v>22.400000000000002</v>
      </c>
    </row>
    <row r="763" spans="1:5" x14ac:dyDescent="0.3">
      <c r="A763" s="174" t="s">
        <v>1555</v>
      </c>
      <c r="B763" s="174" t="s">
        <v>1556</v>
      </c>
      <c r="C763" s="1" t="s">
        <v>352</v>
      </c>
      <c r="D763" s="1" t="s">
        <v>348</v>
      </c>
      <c r="E763" s="10">
        <v>16.28</v>
      </c>
    </row>
    <row r="764" spans="1:5" x14ac:dyDescent="0.3">
      <c r="A764" s="175" t="s">
        <v>1555</v>
      </c>
      <c r="B764" s="174" t="s">
        <v>1556</v>
      </c>
      <c r="C764" s="1" t="s">
        <v>353</v>
      </c>
      <c r="D764" s="1" t="s">
        <v>348</v>
      </c>
      <c r="E764" s="10">
        <v>1.8299999999999998</v>
      </c>
    </row>
    <row r="765" spans="1:5" x14ac:dyDescent="0.3">
      <c r="A765" s="174" t="s">
        <v>386</v>
      </c>
      <c r="B765" s="174" t="s">
        <v>387</v>
      </c>
      <c r="C765" s="1" t="s">
        <v>453</v>
      </c>
      <c r="D765" s="1" t="s">
        <v>453</v>
      </c>
      <c r="E765" s="10">
        <v>173.99000000000004</v>
      </c>
    </row>
    <row r="766" spans="1:5" x14ac:dyDescent="0.3">
      <c r="A766" s="174" t="s">
        <v>386</v>
      </c>
      <c r="B766" s="174" t="s">
        <v>387</v>
      </c>
      <c r="C766" s="1" t="s">
        <v>350</v>
      </c>
      <c r="D766" s="1" t="s">
        <v>348</v>
      </c>
      <c r="E766" s="10">
        <v>1.98</v>
      </c>
    </row>
    <row r="767" spans="1:5" x14ac:dyDescent="0.3">
      <c r="A767" s="174" t="s">
        <v>386</v>
      </c>
      <c r="B767" s="174" t="s">
        <v>387</v>
      </c>
      <c r="C767" s="1" t="s">
        <v>1476</v>
      </c>
      <c r="D767" s="1" t="s">
        <v>1293</v>
      </c>
      <c r="E767" s="10">
        <v>0.17</v>
      </c>
    </row>
    <row r="768" spans="1:5" x14ac:dyDescent="0.3">
      <c r="A768" s="174" t="s">
        <v>386</v>
      </c>
      <c r="B768" s="174" t="s">
        <v>387</v>
      </c>
      <c r="C768" s="1" t="s">
        <v>351</v>
      </c>
      <c r="D768" s="1" t="s">
        <v>347</v>
      </c>
      <c r="E768" s="10">
        <v>2.46</v>
      </c>
    </row>
    <row r="769" spans="1:5" x14ac:dyDescent="0.3">
      <c r="A769" s="174" t="s">
        <v>386</v>
      </c>
      <c r="B769" s="174" t="s">
        <v>387</v>
      </c>
      <c r="C769" s="1" t="s">
        <v>352</v>
      </c>
      <c r="D769" s="1" t="s">
        <v>348</v>
      </c>
      <c r="E769" s="10">
        <v>1.79</v>
      </c>
    </row>
    <row r="770" spans="1:5" x14ac:dyDescent="0.3">
      <c r="A770" s="175" t="s">
        <v>386</v>
      </c>
      <c r="B770" s="174" t="s">
        <v>387</v>
      </c>
      <c r="C770" s="1" t="s">
        <v>353</v>
      </c>
      <c r="D770" s="1" t="s">
        <v>348</v>
      </c>
      <c r="E770" s="10">
        <v>0.2</v>
      </c>
    </row>
    <row r="771" spans="1:5" x14ac:dyDescent="0.3">
      <c r="A771" s="174" t="s">
        <v>388</v>
      </c>
      <c r="B771" s="174" t="s">
        <v>389</v>
      </c>
      <c r="C771" s="1" t="s">
        <v>453</v>
      </c>
      <c r="D771" s="1" t="s">
        <v>453</v>
      </c>
      <c r="E771" s="10">
        <v>178.61000000000007</v>
      </c>
    </row>
    <row r="772" spans="1:5" x14ac:dyDescent="0.3">
      <c r="A772" s="174" t="s">
        <v>388</v>
      </c>
      <c r="B772" s="174" t="s">
        <v>389</v>
      </c>
      <c r="C772" s="1" t="s">
        <v>350</v>
      </c>
      <c r="D772" s="1" t="s">
        <v>348</v>
      </c>
      <c r="E772" s="10">
        <v>1.98</v>
      </c>
    </row>
    <row r="773" spans="1:5" x14ac:dyDescent="0.3">
      <c r="A773" s="174" t="s">
        <v>388</v>
      </c>
      <c r="B773" s="174" t="s">
        <v>389</v>
      </c>
      <c r="C773" s="1" t="s">
        <v>1476</v>
      </c>
      <c r="D773" s="1" t="s">
        <v>1293</v>
      </c>
      <c r="E773" s="10">
        <v>0.18</v>
      </c>
    </row>
    <row r="774" spans="1:5" x14ac:dyDescent="0.3">
      <c r="A774" s="174" t="s">
        <v>388</v>
      </c>
      <c r="B774" s="174" t="s">
        <v>389</v>
      </c>
      <c r="C774" s="1" t="s">
        <v>351</v>
      </c>
      <c r="D774" s="1" t="s">
        <v>347</v>
      </c>
      <c r="E774" s="10">
        <v>2.19</v>
      </c>
    </row>
    <row r="775" spans="1:5" x14ac:dyDescent="0.3">
      <c r="A775" s="174" t="s">
        <v>388</v>
      </c>
      <c r="B775" s="174" t="s">
        <v>389</v>
      </c>
      <c r="C775" s="1" t="s">
        <v>352</v>
      </c>
      <c r="D775" s="1" t="s">
        <v>348</v>
      </c>
      <c r="E775" s="10">
        <v>1.59</v>
      </c>
    </row>
    <row r="776" spans="1:5" x14ac:dyDescent="0.3">
      <c r="A776" s="175" t="s">
        <v>388</v>
      </c>
      <c r="B776" s="174" t="s">
        <v>389</v>
      </c>
      <c r="C776" s="1" t="s">
        <v>353</v>
      </c>
      <c r="D776" s="1" t="s">
        <v>348</v>
      </c>
      <c r="E776" s="10">
        <v>0.18</v>
      </c>
    </row>
    <row r="777" spans="1:5" x14ac:dyDescent="0.3">
      <c r="A777" s="174" t="s">
        <v>390</v>
      </c>
      <c r="B777" s="174" t="s">
        <v>391</v>
      </c>
      <c r="C777" s="1" t="s">
        <v>453</v>
      </c>
      <c r="D777" s="1" t="s">
        <v>453</v>
      </c>
      <c r="E777" s="10">
        <v>165.13000000000008</v>
      </c>
    </row>
    <row r="778" spans="1:5" x14ac:dyDescent="0.3">
      <c r="A778" s="174" t="s">
        <v>390</v>
      </c>
      <c r="B778" s="174" t="s">
        <v>391</v>
      </c>
      <c r="C778" s="1" t="s">
        <v>350</v>
      </c>
      <c r="D778" s="1" t="s">
        <v>348</v>
      </c>
      <c r="E778" s="10">
        <v>1.98</v>
      </c>
    </row>
    <row r="779" spans="1:5" x14ac:dyDescent="0.3">
      <c r="A779" s="174" t="s">
        <v>390</v>
      </c>
      <c r="B779" s="174" t="s">
        <v>391</v>
      </c>
      <c r="C779" s="1" t="s">
        <v>1476</v>
      </c>
      <c r="D779" s="1" t="s">
        <v>1293</v>
      </c>
      <c r="E779" s="10">
        <v>0.17</v>
      </c>
    </row>
    <row r="780" spans="1:5" x14ac:dyDescent="0.3">
      <c r="A780" s="174" t="s">
        <v>390</v>
      </c>
      <c r="B780" s="174" t="s">
        <v>391</v>
      </c>
      <c r="C780" s="1" t="s">
        <v>351</v>
      </c>
      <c r="D780" s="1" t="s">
        <v>347</v>
      </c>
      <c r="E780" s="10">
        <v>2.19</v>
      </c>
    </row>
    <row r="781" spans="1:5" x14ac:dyDescent="0.3">
      <c r="A781" s="174" t="s">
        <v>390</v>
      </c>
      <c r="B781" s="174" t="s">
        <v>391</v>
      </c>
      <c r="C781" s="1" t="s">
        <v>352</v>
      </c>
      <c r="D781" s="1" t="s">
        <v>348</v>
      </c>
      <c r="E781" s="10">
        <v>1.59</v>
      </c>
    </row>
    <row r="782" spans="1:5" x14ac:dyDescent="0.3">
      <c r="A782" s="175" t="s">
        <v>390</v>
      </c>
      <c r="B782" s="174" t="s">
        <v>391</v>
      </c>
      <c r="C782" s="1" t="s">
        <v>353</v>
      </c>
      <c r="D782" s="1" t="s">
        <v>348</v>
      </c>
      <c r="E782" s="10">
        <v>0.18</v>
      </c>
    </row>
    <row r="783" spans="1:5" x14ac:dyDescent="0.3">
      <c r="A783" s="174" t="s">
        <v>392</v>
      </c>
      <c r="B783" s="174" t="s">
        <v>393</v>
      </c>
      <c r="C783" s="1" t="s">
        <v>453</v>
      </c>
      <c r="D783" s="1" t="s">
        <v>453</v>
      </c>
      <c r="E783" s="10">
        <v>243.33</v>
      </c>
    </row>
    <row r="784" spans="1:5" x14ac:dyDescent="0.3">
      <c r="A784" s="174" t="s">
        <v>392</v>
      </c>
      <c r="B784" s="174" t="s">
        <v>393</v>
      </c>
      <c r="C784" s="1" t="s">
        <v>350</v>
      </c>
      <c r="D784" s="1" t="s">
        <v>348</v>
      </c>
      <c r="E784" s="10">
        <v>1.98</v>
      </c>
    </row>
    <row r="785" spans="1:5" x14ac:dyDescent="0.3">
      <c r="A785" s="174" t="s">
        <v>392</v>
      </c>
      <c r="B785" s="174" t="s">
        <v>393</v>
      </c>
      <c r="C785" s="1" t="s">
        <v>1476</v>
      </c>
      <c r="D785" s="1" t="s">
        <v>1293</v>
      </c>
      <c r="E785" s="10">
        <v>0.24</v>
      </c>
    </row>
    <row r="786" spans="1:5" x14ac:dyDescent="0.3">
      <c r="A786" s="174" t="s">
        <v>392</v>
      </c>
      <c r="B786" s="174" t="s">
        <v>393</v>
      </c>
      <c r="C786" s="1" t="s">
        <v>351</v>
      </c>
      <c r="D786" s="1" t="s">
        <v>347</v>
      </c>
      <c r="E786" s="10">
        <v>4.0999999999999996</v>
      </c>
    </row>
    <row r="787" spans="1:5" x14ac:dyDescent="0.3">
      <c r="A787" s="174" t="s">
        <v>392</v>
      </c>
      <c r="B787" s="174" t="s">
        <v>393</v>
      </c>
      <c r="C787" s="1" t="s">
        <v>352</v>
      </c>
      <c r="D787" s="1" t="s">
        <v>348</v>
      </c>
      <c r="E787" s="10">
        <v>2.98</v>
      </c>
    </row>
    <row r="788" spans="1:5" x14ac:dyDescent="0.3">
      <c r="A788" s="175" t="s">
        <v>392</v>
      </c>
      <c r="B788" s="174" t="s">
        <v>393</v>
      </c>
      <c r="C788" s="1" t="s">
        <v>353</v>
      </c>
      <c r="D788" s="1" t="s">
        <v>348</v>
      </c>
      <c r="E788" s="10">
        <v>0.34</v>
      </c>
    </row>
    <row r="789" spans="1:5" x14ac:dyDescent="0.3">
      <c r="A789" s="174" t="s">
        <v>394</v>
      </c>
      <c r="B789" s="174" t="s">
        <v>395</v>
      </c>
      <c r="C789" s="1" t="s">
        <v>453</v>
      </c>
      <c r="D789" s="1" t="s">
        <v>453</v>
      </c>
      <c r="E789" s="10">
        <v>10.57</v>
      </c>
    </row>
    <row r="790" spans="1:5" x14ac:dyDescent="0.3">
      <c r="A790" s="174" t="s">
        <v>394</v>
      </c>
      <c r="B790" s="174" t="s">
        <v>395</v>
      </c>
      <c r="C790" s="1" t="s">
        <v>350</v>
      </c>
      <c r="D790" s="1" t="s">
        <v>348</v>
      </c>
      <c r="E790" s="10">
        <v>0</v>
      </c>
    </row>
    <row r="791" spans="1:5" x14ac:dyDescent="0.3">
      <c r="A791" s="174" t="s">
        <v>394</v>
      </c>
      <c r="B791" s="174" t="s">
        <v>395</v>
      </c>
      <c r="C791" s="1" t="s">
        <v>1476</v>
      </c>
      <c r="D791" s="1" t="s">
        <v>1293</v>
      </c>
      <c r="E791" s="10">
        <v>0.01</v>
      </c>
    </row>
    <row r="792" spans="1:5" x14ac:dyDescent="0.3">
      <c r="A792" s="174" t="s">
        <v>394</v>
      </c>
      <c r="B792" s="174" t="s">
        <v>395</v>
      </c>
      <c r="C792" s="1" t="s">
        <v>351</v>
      </c>
      <c r="D792" s="1" t="s">
        <v>347</v>
      </c>
      <c r="E792" s="10">
        <v>6.69</v>
      </c>
    </row>
    <row r="793" spans="1:5" x14ac:dyDescent="0.3">
      <c r="A793" s="174" t="s">
        <v>394</v>
      </c>
      <c r="B793" s="174" t="s">
        <v>395</v>
      </c>
      <c r="C793" s="1" t="s">
        <v>352</v>
      </c>
      <c r="D793" s="1" t="s">
        <v>348</v>
      </c>
      <c r="E793" s="10">
        <v>0</v>
      </c>
    </row>
    <row r="794" spans="1:5" x14ac:dyDescent="0.3">
      <c r="A794" s="175" t="s">
        <v>394</v>
      </c>
      <c r="B794" s="174" t="s">
        <v>395</v>
      </c>
      <c r="C794" s="1" t="s">
        <v>353</v>
      </c>
      <c r="D794" s="1" t="s">
        <v>348</v>
      </c>
      <c r="E794" s="10">
        <v>0</v>
      </c>
    </row>
    <row r="795" spans="1:5" x14ac:dyDescent="0.3">
      <c r="A795" s="174" t="s">
        <v>396</v>
      </c>
      <c r="B795" s="174" t="s">
        <v>397</v>
      </c>
      <c r="C795" s="1" t="s">
        <v>453</v>
      </c>
      <c r="D795" s="1" t="s">
        <v>453</v>
      </c>
      <c r="E795" s="10">
        <v>355.67</v>
      </c>
    </row>
    <row r="796" spans="1:5" x14ac:dyDescent="0.3">
      <c r="A796" s="174" t="s">
        <v>396</v>
      </c>
      <c r="B796" s="174" t="s">
        <v>397</v>
      </c>
      <c r="C796" s="1" t="s">
        <v>350</v>
      </c>
      <c r="D796" s="1" t="s">
        <v>348</v>
      </c>
      <c r="E796" s="10">
        <v>1.98</v>
      </c>
    </row>
    <row r="797" spans="1:5" x14ac:dyDescent="0.3">
      <c r="A797" s="174" t="s">
        <v>396</v>
      </c>
      <c r="B797" s="174" t="s">
        <v>397</v>
      </c>
      <c r="C797" s="1" t="s">
        <v>1476</v>
      </c>
      <c r="D797" s="1" t="s">
        <v>1293</v>
      </c>
      <c r="E797" s="10">
        <v>0.36</v>
      </c>
    </row>
    <row r="798" spans="1:5" x14ac:dyDescent="0.3">
      <c r="A798" s="174" t="s">
        <v>396</v>
      </c>
      <c r="B798" s="174" t="s">
        <v>397</v>
      </c>
      <c r="C798" s="1" t="s">
        <v>351</v>
      </c>
      <c r="D798" s="1" t="s">
        <v>347</v>
      </c>
      <c r="E798" s="10">
        <v>4.6500000000000004</v>
      </c>
    </row>
    <row r="799" spans="1:5" x14ac:dyDescent="0.3">
      <c r="A799" s="174" t="s">
        <v>396</v>
      </c>
      <c r="B799" s="174" t="s">
        <v>397</v>
      </c>
      <c r="C799" s="1" t="s">
        <v>352</v>
      </c>
      <c r="D799" s="1" t="s">
        <v>348</v>
      </c>
      <c r="E799" s="10">
        <v>3.38</v>
      </c>
    </row>
    <row r="800" spans="1:5" x14ac:dyDescent="0.3">
      <c r="A800" s="175" t="s">
        <v>396</v>
      </c>
      <c r="B800" s="174" t="s">
        <v>397</v>
      </c>
      <c r="C800" s="1" t="s">
        <v>353</v>
      </c>
      <c r="D800" s="1" t="s">
        <v>348</v>
      </c>
      <c r="E800" s="10">
        <v>0.38</v>
      </c>
    </row>
    <row r="801" spans="1:5" x14ac:dyDescent="0.3">
      <c r="A801" s="174" t="s">
        <v>398</v>
      </c>
      <c r="B801" s="174" t="s">
        <v>399</v>
      </c>
      <c r="C801" s="1" t="s">
        <v>453</v>
      </c>
      <c r="D801" s="1" t="s">
        <v>453</v>
      </c>
      <c r="E801" s="10">
        <v>35.299999999999997</v>
      </c>
    </row>
    <row r="802" spans="1:5" x14ac:dyDescent="0.3">
      <c r="A802" s="174" t="s">
        <v>398</v>
      </c>
      <c r="B802" s="174" t="s">
        <v>399</v>
      </c>
      <c r="C802" s="1" t="s">
        <v>350</v>
      </c>
      <c r="D802" s="1" t="s">
        <v>348</v>
      </c>
      <c r="E802" s="10">
        <v>0</v>
      </c>
    </row>
    <row r="803" spans="1:5" x14ac:dyDescent="0.3">
      <c r="A803" s="174" t="s">
        <v>398</v>
      </c>
      <c r="B803" s="174" t="s">
        <v>399</v>
      </c>
      <c r="C803" s="1" t="s">
        <v>1476</v>
      </c>
      <c r="D803" s="1" t="s">
        <v>1293</v>
      </c>
      <c r="E803" s="10">
        <v>0.04</v>
      </c>
    </row>
    <row r="804" spans="1:5" x14ac:dyDescent="0.3">
      <c r="A804" s="174" t="s">
        <v>398</v>
      </c>
      <c r="B804" s="174" t="s">
        <v>399</v>
      </c>
      <c r="C804" s="1" t="s">
        <v>351</v>
      </c>
      <c r="D804" s="1" t="s">
        <v>347</v>
      </c>
      <c r="E804" s="10">
        <v>2.46</v>
      </c>
    </row>
    <row r="805" spans="1:5" x14ac:dyDescent="0.3">
      <c r="A805" s="174" t="s">
        <v>398</v>
      </c>
      <c r="B805" s="174" t="s">
        <v>399</v>
      </c>
      <c r="C805" s="1" t="s">
        <v>352</v>
      </c>
      <c r="D805" s="1" t="s">
        <v>348</v>
      </c>
      <c r="E805" s="10">
        <v>0</v>
      </c>
    </row>
    <row r="806" spans="1:5" x14ac:dyDescent="0.3">
      <c r="A806" s="175" t="s">
        <v>398</v>
      </c>
      <c r="B806" s="174" t="s">
        <v>399</v>
      </c>
      <c r="C806" s="1" t="s">
        <v>353</v>
      </c>
      <c r="D806" s="1" t="s">
        <v>348</v>
      </c>
      <c r="E806" s="10">
        <v>0</v>
      </c>
    </row>
    <row r="807" spans="1:5" x14ac:dyDescent="0.3">
      <c r="A807" s="174" t="s">
        <v>400</v>
      </c>
      <c r="B807" s="174" t="s">
        <v>401</v>
      </c>
      <c r="C807" s="1" t="s">
        <v>453</v>
      </c>
      <c r="D807" s="1" t="s">
        <v>453</v>
      </c>
      <c r="E807" s="10">
        <v>131.71999999999997</v>
      </c>
    </row>
    <row r="808" spans="1:5" x14ac:dyDescent="0.3">
      <c r="A808" s="174" t="s">
        <v>400</v>
      </c>
      <c r="B808" s="174" t="s">
        <v>401</v>
      </c>
      <c r="C808" s="1" t="s">
        <v>350</v>
      </c>
      <c r="D808" s="1" t="s">
        <v>348</v>
      </c>
      <c r="E808" s="10">
        <v>1.98</v>
      </c>
    </row>
    <row r="809" spans="1:5" x14ac:dyDescent="0.3">
      <c r="A809" s="174" t="s">
        <v>400</v>
      </c>
      <c r="B809" s="174" t="s">
        <v>401</v>
      </c>
      <c r="C809" s="1" t="s">
        <v>1476</v>
      </c>
      <c r="D809" s="1" t="s">
        <v>1293</v>
      </c>
      <c r="E809" s="10">
        <v>0.13</v>
      </c>
    </row>
    <row r="810" spans="1:5" x14ac:dyDescent="0.3">
      <c r="A810" s="174" t="s">
        <v>400</v>
      </c>
      <c r="B810" s="174" t="s">
        <v>401</v>
      </c>
      <c r="C810" s="1" t="s">
        <v>351</v>
      </c>
      <c r="D810" s="1" t="s">
        <v>347</v>
      </c>
      <c r="E810" s="10">
        <v>1.91</v>
      </c>
    </row>
    <row r="811" spans="1:5" x14ac:dyDescent="0.3">
      <c r="A811" s="174" t="s">
        <v>400</v>
      </c>
      <c r="B811" s="174" t="s">
        <v>401</v>
      </c>
      <c r="C811" s="1" t="s">
        <v>352</v>
      </c>
      <c r="D811" s="1" t="s">
        <v>348</v>
      </c>
      <c r="E811" s="10">
        <v>1.39</v>
      </c>
    </row>
    <row r="812" spans="1:5" x14ac:dyDescent="0.3">
      <c r="A812" s="175" t="s">
        <v>400</v>
      </c>
      <c r="B812" s="174" t="s">
        <v>401</v>
      </c>
      <c r="C812" s="1" t="s">
        <v>353</v>
      </c>
      <c r="D812" s="1" t="s">
        <v>348</v>
      </c>
      <c r="E812" s="10">
        <v>0.16</v>
      </c>
    </row>
    <row r="813" spans="1:5" x14ac:dyDescent="0.3">
      <c r="A813" s="174" t="s">
        <v>402</v>
      </c>
      <c r="B813" s="174" t="s">
        <v>403</v>
      </c>
      <c r="C813" s="1" t="s">
        <v>453</v>
      </c>
      <c r="D813" s="1" t="s">
        <v>453</v>
      </c>
      <c r="E813" s="10">
        <v>10.5</v>
      </c>
    </row>
    <row r="814" spans="1:5" x14ac:dyDescent="0.3">
      <c r="A814" s="174" t="s">
        <v>402</v>
      </c>
      <c r="B814" s="174" t="s">
        <v>403</v>
      </c>
      <c r="C814" s="1" t="s">
        <v>350</v>
      </c>
      <c r="D814" s="1" t="s">
        <v>348</v>
      </c>
      <c r="E814" s="10">
        <v>0</v>
      </c>
    </row>
    <row r="815" spans="1:5" x14ac:dyDescent="0.3">
      <c r="A815" s="174" t="s">
        <v>402</v>
      </c>
      <c r="B815" s="174" t="s">
        <v>403</v>
      </c>
      <c r="C815" s="1" t="s">
        <v>1476</v>
      </c>
      <c r="D815" s="1" t="s">
        <v>1293</v>
      </c>
      <c r="E815" s="10">
        <v>0.01</v>
      </c>
    </row>
    <row r="816" spans="1:5" x14ac:dyDescent="0.3">
      <c r="A816" s="174" t="s">
        <v>402</v>
      </c>
      <c r="B816" s="174" t="s">
        <v>403</v>
      </c>
      <c r="C816" s="1" t="s">
        <v>351</v>
      </c>
      <c r="D816" s="1" t="s">
        <v>347</v>
      </c>
      <c r="E816" s="10">
        <v>1.1599999999999999</v>
      </c>
    </row>
    <row r="817" spans="1:5" x14ac:dyDescent="0.3">
      <c r="A817" s="174" t="s">
        <v>402</v>
      </c>
      <c r="B817" s="174" t="s">
        <v>403</v>
      </c>
      <c r="C817" s="1" t="s">
        <v>352</v>
      </c>
      <c r="D817" s="1" t="s">
        <v>348</v>
      </c>
      <c r="E817" s="10">
        <v>0</v>
      </c>
    </row>
    <row r="818" spans="1:5" x14ac:dyDescent="0.3">
      <c r="A818" s="175" t="s">
        <v>402</v>
      </c>
      <c r="B818" s="174" t="s">
        <v>403</v>
      </c>
      <c r="C818" s="1" t="s">
        <v>353</v>
      </c>
      <c r="D818" s="1" t="s">
        <v>348</v>
      </c>
      <c r="E818" s="10">
        <v>0</v>
      </c>
    </row>
    <row r="819" spans="1:5" x14ac:dyDescent="0.3">
      <c r="A819" s="174" t="s">
        <v>575</v>
      </c>
      <c r="B819" s="174" t="s">
        <v>576</v>
      </c>
      <c r="C819" s="1" t="s">
        <v>453</v>
      </c>
      <c r="D819" s="1" t="s">
        <v>453</v>
      </c>
      <c r="E819" s="10">
        <v>8.61</v>
      </c>
    </row>
    <row r="820" spans="1:5" x14ac:dyDescent="0.3">
      <c r="A820" s="174" t="s">
        <v>575</v>
      </c>
      <c r="B820" s="174" t="s">
        <v>576</v>
      </c>
      <c r="C820" s="1" t="s">
        <v>350</v>
      </c>
      <c r="D820" s="1" t="s">
        <v>348</v>
      </c>
      <c r="E820" s="10">
        <v>1.92</v>
      </c>
    </row>
    <row r="821" spans="1:5" x14ac:dyDescent="0.3">
      <c r="A821" s="174" t="s">
        <v>575</v>
      </c>
      <c r="B821" s="174" t="s">
        <v>576</v>
      </c>
      <c r="C821" s="1" t="s">
        <v>1476</v>
      </c>
      <c r="D821" s="1" t="s">
        <v>1293</v>
      </c>
      <c r="E821" s="10">
        <v>0.01</v>
      </c>
    </row>
    <row r="822" spans="1:5" x14ac:dyDescent="0.3">
      <c r="A822" s="174" t="s">
        <v>575</v>
      </c>
      <c r="B822" s="174" t="s">
        <v>576</v>
      </c>
      <c r="C822" s="1" t="s">
        <v>351</v>
      </c>
      <c r="D822" s="1" t="s">
        <v>347</v>
      </c>
      <c r="E822" s="10">
        <v>1.07</v>
      </c>
    </row>
    <row r="823" spans="1:5" x14ac:dyDescent="0.3">
      <c r="A823" s="174" t="s">
        <v>575</v>
      </c>
      <c r="B823" s="174" t="s">
        <v>576</v>
      </c>
      <c r="C823" s="1" t="s">
        <v>352</v>
      </c>
      <c r="D823" s="1" t="s">
        <v>348</v>
      </c>
      <c r="E823" s="10">
        <v>0.67</v>
      </c>
    </row>
    <row r="824" spans="1:5" x14ac:dyDescent="0.3">
      <c r="A824" s="175" t="s">
        <v>575</v>
      </c>
      <c r="B824" s="174" t="s">
        <v>576</v>
      </c>
      <c r="C824" s="1" t="s">
        <v>353</v>
      </c>
      <c r="D824" s="1" t="s">
        <v>348</v>
      </c>
      <c r="E824" s="10">
        <v>7.0000000000000007E-2</v>
      </c>
    </row>
    <row r="825" spans="1:5" x14ac:dyDescent="0.3">
      <c r="A825" s="174" t="s">
        <v>404</v>
      </c>
      <c r="B825" s="174" t="s">
        <v>405</v>
      </c>
      <c r="C825" s="1" t="s">
        <v>453</v>
      </c>
      <c r="D825" s="1" t="s">
        <v>453</v>
      </c>
      <c r="E825" s="10">
        <v>131.63999999999999</v>
      </c>
    </row>
    <row r="826" spans="1:5" x14ac:dyDescent="0.3">
      <c r="A826" s="174" t="s">
        <v>404</v>
      </c>
      <c r="B826" s="174" t="s">
        <v>405</v>
      </c>
      <c r="C826" s="1" t="s">
        <v>350</v>
      </c>
      <c r="D826" s="1" t="s">
        <v>348</v>
      </c>
      <c r="E826" s="10">
        <v>1.98</v>
      </c>
    </row>
    <row r="827" spans="1:5" x14ac:dyDescent="0.3">
      <c r="A827" s="174" t="s">
        <v>404</v>
      </c>
      <c r="B827" s="174" t="s">
        <v>405</v>
      </c>
      <c r="C827" s="1" t="s">
        <v>1476</v>
      </c>
      <c r="D827" s="1" t="s">
        <v>1293</v>
      </c>
      <c r="E827" s="10">
        <v>0.13</v>
      </c>
    </row>
    <row r="828" spans="1:5" x14ac:dyDescent="0.3">
      <c r="A828" s="174" t="s">
        <v>404</v>
      </c>
      <c r="B828" s="174" t="s">
        <v>405</v>
      </c>
      <c r="C828" s="1" t="s">
        <v>351</v>
      </c>
      <c r="D828" s="1" t="s">
        <v>347</v>
      </c>
      <c r="E828" s="10">
        <v>3.16</v>
      </c>
    </row>
    <row r="829" spans="1:5" x14ac:dyDescent="0.3">
      <c r="A829" s="174" t="s">
        <v>404</v>
      </c>
      <c r="B829" s="174" t="s">
        <v>405</v>
      </c>
      <c r="C829" s="1" t="s">
        <v>352</v>
      </c>
      <c r="D829" s="1" t="s">
        <v>348</v>
      </c>
      <c r="E829" s="10">
        <v>2.2999999999999998</v>
      </c>
    </row>
    <row r="830" spans="1:5" x14ac:dyDescent="0.3">
      <c r="A830" s="175" t="s">
        <v>404</v>
      </c>
      <c r="B830" s="174" t="s">
        <v>405</v>
      </c>
      <c r="C830" s="1" t="s">
        <v>353</v>
      </c>
      <c r="D830" s="1" t="s">
        <v>348</v>
      </c>
      <c r="E830" s="10">
        <v>0.26</v>
      </c>
    </row>
    <row r="831" spans="1:5" x14ac:dyDescent="0.3">
      <c r="A831" s="174" t="s">
        <v>406</v>
      </c>
      <c r="B831" s="174" t="s">
        <v>407</v>
      </c>
      <c r="C831" s="1" t="s">
        <v>453</v>
      </c>
      <c r="D831" s="1" t="s">
        <v>453</v>
      </c>
      <c r="E831" s="10">
        <v>8.61</v>
      </c>
    </row>
    <row r="832" spans="1:5" x14ac:dyDescent="0.3">
      <c r="A832" s="174" t="s">
        <v>406</v>
      </c>
      <c r="B832" s="174" t="s">
        <v>407</v>
      </c>
      <c r="C832" s="1" t="s">
        <v>350</v>
      </c>
      <c r="D832" s="1" t="s">
        <v>348</v>
      </c>
      <c r="E832" s="10">
        <v>0</v>
      </c>
    </row>
    <row r="833" spans="1:5" x14ac:dyDescent="0.3">
      <c r="A833" s="174" t="s">
        <v>406</v>
      </c>
      <c r="B833" s="174" t="s">
        <v>407</v>
      </c>
      <c r="C833" s="1" t="s">
        <v>1476</v>
      </c>
      <c r="D833" s="1" t="s">
        <v>1293</v>
      </c>
      <c r="E833" s="10">
        <v>0.01</v>
      </c>
    </row>
    <row r="834" spans="1:5" x14ac:dyDescent="0.3">
      <c r="A834" s="174" t="s">
        <v>406</v>
      </c>
      <c r="B834" s="174" t="s">
        <v>407</v>
      </c>
      <c r="C834" s="1" t="s">
        <v>351</v>
      </c>
      <c r="D834" s="1" t="s">
        <v>347</v>
      </c>
      <c r="E834" s="10">
        <v>6.69</v>
      </c>
    </row>
    <row r="835" spans="1:5" x14ac:dyDescent="0.3">
      <c r="A835" s="174" t="s">
        <v>406</v>
      </c>
      <c r="B835" s="174" t="s">
        <v>407</v>
      </c>
      <c r="C835" s="1" t="s">
        <v>352</v>
      </c>
      <c r="D835" s="1" t="s">
        <v>348</v>
      </c>
      <c r="E835" s="10">
        <v>0</v>
      </c>
    </row>
    <row r="836" spans="1:5" x14ac:dyDescent="0.3">
      <c r="A836" s="175" t="s">
        <v>406</v>
      </c>
      <c r="B836" s="174" t="s">
        <v>407</v>
      </c>
      <c r="C836" s="1" t="s">
        <v>353</v>
      </c>
      <c r="D836" s="1" t="s">
        <v>348</v>
      </c>
      <c r="E836" s="10">
        <v>0</v>
      </c>
    </row>
    <row r="837" spans="1:5" x14ac:dyDescent="0.3">
      <c r="A837" s="174" t="s">
        <v>577</v>
      </c>
      <c r="B837" s="174" t="s">
        <v>578</v>
      </c>
      <c r="C837" s="1" t="s">
        <v>453</v>
      </c>
      <c r="D837" s="1" t="s">
        <v>453</v>
      </c>
      <c r="E837" s="10">
        <v>131.17000000000002</v>
      </c>
    </row>
    <row r="838" spans="1:5" x14ac:dyDescent="0.3">
      <c r="A838" s="174" t="s">
        <v>577</v>
      </c>
      <c r="B838" s="174" t="s">
        <v>578</v>
      </c>
      <c r="C838" s="1" t="s">
        <v>350</v>
      </c>
      <c r="D838" s="1" t="s">
        <v>348</v>
      </c>
      <c r="E838" s="10">
        <v>1.98</v>
      </c>
    </row>
    <row r="839" spans="1:5" x14ac:dyDescent="0.3">
      <c r="A839" s="174" t="s">
        <v>577</v>
      </c>
      <c r="B839" s="174" t="s">
        <v>578</v>
      </c>
      <c r="C839" s="1" t="s">
        <v>1476</v>
      </c>
      <c r="D839" s="1" t="s">
        <v>1293</v>
      </c>
      <c r="E839" s="10">
        <v>0.13</v>
      </c>
    </row>
    <row r="840" spans="1:5" x14ac:dyDescent="0.3">
      <c r="A840" s="174" t="s">
        <v>577</v>
      </c>
      <c r="B840" s="174" t="s">
        <v>578</v>
      </c>
      <c r="C840" s="1" t="s">
        <v>351</v>
      </c>
      <c r="D840" s="1" t="s">
        <v>347</v>
      </c>
      <c r="E840" s="10">
        <v>1.1200000000000001</v>
      </c>
    </row>
    <row r="841" spans="1:5" x14ac:dyDescent="0.3">
      <c r="A841" s="174" t="s">
        <v>577</v>
      </c>
      <c r="B841" s="174" t="s">
        <v>578</v>
      </c>
      <c r="C841" s="1" t="s">
        <v>352</v>
      </c>
      <c r="D841" s="1" t="s">
        <v>348</v>
      </c>
      <c r="E841" s="10">
        <v>0.81</v>
      </c>
    </row>
    <row r="842" spans="1:5" x14ac:dyDescent="0.3">
      <c r="A842" s="175" t="s">
        <v>577</v>
      </c>
      <c r="B842" s="174" t="s">
        <v>578</v>
      </c>
      <c r="C842" s="1" t="s">
        <v>353</v>
      </c>
      <c r="D842" s="1" t="s">
        <v>348</v>
      </c>
      <c r="E842" s="10">
        <v>0.09</v>
      </c>
    </row>
    <row r="843" spans="1:5" x14ac:dyDescent="0.3">
      <c r="A843" s="174" t="s">
        <v>579</v>
      </c>
      <c r="B843" s="174" t="s">
        <v>580</v>
      </c>
      <c r="C843" s="1" t="s">
        <v>453</v>
      </c>
      <c r="D843" s="1" t="s">
        <v>453</v>
      </c>
      <c r="E843" s="10">
        <v>99.710000000000008</v>
      </c>
    </row>
    <row r="844" spans="1:5" x14ac:dyDescent="0.3">
      <c r="A844" s="174" t="s">
        <v>579</v>
      </c>
      <c r="B844" s="174" t="s">
        <v>580</v>
      </c>
      <c r="C844" s="1" t="s">
        <v>350</v>
      </c>
      <c r="D844" s="1" t="s">
        <v>348</v>
      </c>
      <c r="E844" s="10">
        <v>1.98</v>
      </c>
    </row>
    <row r="845" spans="1:5" x14ac:dyDescent="0.3">
      <c r="A845" s="174" t="s">
        <v>579</v>
      </c>
      <c r="B845" s="174" t="s">
        <v>580</v>
      </c>
      <c r="C845" s="1" t="s">
        <v>1476</v>
      </c>
      <c r="D845" s="1" t="s">
        <v>1293</v>
      </c>
      <c r="E845" s="10">
        <v>0.1</v>
      </c>
    </row>
    <row r="846" spans="1:5" x14ac:dyDescent="0.3">
      <c r="A846" s="174" t="s">
        <v>579</v>
      </c>
      <c r="B846" s="174" t="s">
        <v>580</v>
      </c>
      <c r="C846" s="1" t="s">
        <v>351</v>
      </c>
      <c r="D846" s="1" t="s">
        <v>347</v>
      </c>
      <c r="E846" s="10">
        <v>0.84</v>
      </c>
    </row>
    <row r="847" spans="1:5" x14ac:dyDescent="0.3">
      <c r="A847" s="174" t="s">
        <v>579</v>
      </c>
      <c r="B847" s="174" t="s">
        <v>580</v>
      </c>
      <c r="C847" s="1" t="s">
        <v>352</v>
      </c>
      <c r="D847" s="1" t="s">
        <v>348</v>
      </c>
      <c r="E847" s="10">
        <v>0.61</v>
      </c>
    </row>
    <row r="848" spans="1:5" x14ac:dyDescent="0.3">
      <c r="A848" s="175" t="s">
        <v>579</v>
      </c>
      <c r="B848" s="174" t="s">
        <v>580</v>
      </c>
      <c r="C848" s="1" t="s">
        <v>353</v>
      </c>
      <c r="D848" s="1" t="s">
        <v>348</v>
      </c>
      <c r="E848" s="10">
        <v>7.0000000000000007E-2</v>
      </c>
    </row>
    <row r="849" spans="1:5" x14ac:dyDescent="0.3">
      <c r="A849" s="174" t="s">
        <v>581</v>
      </c>
      <c r="B849" s="174" t="s">
        <v>582</v>
      </c>
      <c r="C849" s="1" t="s">
        <v>453</v>
      </c>
      <c r="D849" s="1" t="s">
        <v>453</v>
      </c>
      <c r="E849" s="10">
        <v>43.239999999999995</v>
      </c>
    </row>
    <row r="850" spans="1:5" x14ac:dyDescent="0.3">
      <c r="A850" s="174" t="s">
        <v>581</v>
      </c>
      <c r="B850" s="174" t="s">
        <v>582</v>
      </c>
      <c r="C850" s="1" t="s">
        <v>350</v>
      </c>
      <c r="D850" s="1" t="s">
        <v>348</v>
      </c>
      <c r="E850" s="10">
        <v>1.98</v>
      </c>
    </row>
    <row r="851" spans="1:5" x14ac:dyDescent="0.3">
      <c r="A851" s="174" t="s">
        <v>581</v>
      </c>
      <c r="B851" s="174" t="s">
        <v>582</v>
      </c>
      <c r="C851" s="1" t="s">
        <v>1476</v>
      </c>
      <c r="D851" s="1" t="s">
        <v>1293</v>
      </c>
      <c r="E851" s="10">
        <v>0.04</v>
      </c>
    </row>
    <row r="852" spans="1:5" x14ac:dyDescent="0.3">
      <c r="A852" s="174" t="s">
        <v>581</v>
      </c>
      <c r="B852" s="174" t="s">
        <v>582</v>
      </c>
      <c r="C852" s="1" t="s">
        <v>351</v>
      </c>
      <c r="D852" s="1" t="s">
        <v>347</v>
      </c>
      <c r="E852" s="10">
        <v>1.49</v>
      </c>
    </row>
    <row r="853" spans="1:5" x14ac:dyDescent="0.3">
      <c r="A853" s="174" t="s">
        <v>581</v>
      </c>
      <c r="B853" s="174" t="s">
        <v>582</v>
      </c>
      <c r="C853" s="1" t="s">
        <v>352</v>
      </c>
      <c r="D853" s="1" t="s">
        <v>348</v>
      </c>
      <c r="E853" s="10">
        <v>1.08</v>
      </c>
    </row>
    <row r="854" spans="1:5" x14ac:dyDescent="0.3">
      <c r="A854" s="175" t="s">
        <v>581</v>
      </c>
      <c r="B854" s="174" t="s">
        <v>582</v>
      </c>
      <c r="C854" s="1" t="s">
        <v>353</v>
      </c>
      <c r="D854" s="1" t="s">
        <v>348</v>
      </c>
      <c r="E854" s="10">
        <v>0.12</v>
      </c>
    </row>
    <row r="855" spans="1:5" x14ac:dyDescent="0.3">
      <c r="A855" s="174" t="s">
        <v>583</v>
      </c>
      <c r="B855" s="174" t="s">
        <v>584</v>
      </c>
      <c r="C855" s="1" t="s">
        <v>453</v>
      </c>
      <c r="D855" s="1" t="s">
        <v>453</v>
      </c>
      <c r="E855" s="10">
        <v>148.32000000000002</v>
      </c>
    </row>
    <row r="856" spans="1:5" x14ac:dyDescent="0.3">
      <c r="A856" s="174" t="s">
        <v>583</v>
      </c>
      <c r="B856" s="174" t="s">
        <v>584</v>
      </c>
      <c r="C856" s="1" t="s">
        <v>350</v>
      </c>
      <c r="D856" s="1" t="s">
        <v>348</v>
      </c>
      <c r="E856" s="10">
        <v>1.98</v>
      </c>
    </row>
    <row r="857" spans="1:5" x14ac:dyDescent="0.3">
      <c r="A857" s="174" t="s">
        <v>583</v>
      </c>
      <c r="B857" s="174" t="s">
        <v>584</v>
      </c>
      <c r="C857" s="1" t="s">
        <v>1476</v>
      </c>
      <c r="D857" s="1" t="s">
        <v>1293</v>
      </c>
      <c r="E857" s="10">
        <v>0.15</v>
      </c>
    </row>
    <row r="858" spans="1:5" x14ac:dyDescent="0.3">
      <c r="A858" s="174" t="s">
        <v>583</v>
      </c>
      <c r="B858" s="174" t="s">
        <v>584</v>
      </c>
      <c r="C858" s="1" t="s">
        <v>351</v>
      </c>
      <c r="D858" s="1" t="s">
        <v>347</v>
      </c>
      <c r="E858" s="10">
        <v>1.1200000000000001</v>
      </c>
    </row>
    <row r="859" spans="1:5" x14ac:dyDescent="0.3">
      <c r="A859" s="174" t="s">
        <v>583</v>
      </c>
      <c r="B859" s="174" t="s">
        <v>584</v>
      </c>
      <c r="C859" s="1" t="s">
        <v>352</v>
      </c>
      <c r="D859" s="1" t="s">
        <v>348</v>
      </c>
      <c r="E859" s="10">
        <v>0.81</v>
      </c>
    </row>
    <row r="860" spans="1:5" x14ac:dyDescent="0.3">
      <c r="A860" s="175" t="s">
        <v>583</v>
      </c>
      <c r="B860" s="174" t="s">
        <v>584</v>
      </c>
      <c r="C860" s="1" t="s">
        <v>353</v>
      </c>
      <c r="D860" s="1" t="s">
        <v>348</v>
      </c>
      <c r="E860" s="10">
        <v>0.09</v>
      </c>
    </row>
    <row r="861" spans="1:5" x14ac:dyDescent="0.3">
      <c r="A861" s="174" t="s">
        <v>408</v>
      </c>
      <c r="B861" s="174" t="s">
        <v>409</v>
      </c>
      <c r="C861" s="1" t="s">
        <v>453</v>
      </c>
      <c r="D861" s="1" t="s">
        <v>453</v>
      </c>
      <c r="E861" s="10">
        <v>165.13000000000008</v>
      </c>
    </row>
    <row r="862" spans="1:5" x14ac:dyDescent="0.3">
      <c r="A862" s="174" t="s">
        <v>408</v>
      </c>
      <c r="B862" s="174" t="s">
        <v>409</v>
      </c>
      <c r="C862" s="1" t="s">
        <v>350</v>
      </c>
      <c r="D862" s="1" t="s">
        <v>348</v>
      </c>
      <c r="E862" s="10">
        <v>1.98</v>
      </c>
    </row>
    <row r="863" spans="1:5" x14ac:dyDescent="0.3">
      <c r="A863" s="174" t="s">
        <v>408</v>
      </c>
      <c r="B863" s="174" t="s">
        <v>409</v>
      </c>
      <c r="C863" s="1" t="s">
        <v>1476</v>
      </c>
      <c r="D863" s="1" t="s">
        <v>1293</v>
      </c>
      <c r="E863" s="10">
        <v>0.17</v>
      </c>
    </row>
    <row r="864" spans="1:5" x14ac:dyDescent="0.3">
      <c r="A864" s="174" t="s">
        <v>408</v>
      </c>
      <c r="B864" s="174" t="s">
        <v>409</v>
      </c>
      <c r="C864" s="1" t="s">
        <v>351</v>
      </c>
      <c r="D864" s="1" t="s">
        <v>347</v>
      </c>
      <c r="E864" s="10">
        <v>2.46</v>
      </c>
    </row>
    <row r="865" spans="1:5" x14ac:dyDescent="0.3">
      <c r="A865" s="174" t="s">
        <v>408</v>
      </c>
      <c r="B865" s="174" t="s">
        <v>409</v>
      </c>
      <c r="C865" s="1" t="s">
        <v>352</v>
      </c>
      <c r="D865" s="1" t="s">
        <v>348</v>
      </c>
      <c r="E865" s="10">
        <v>1.79</v>
      </c>
    </row>
    <row r="866" spans="1:5" x14ac:dyDescent="0.3">
      <c r="A866" s="175" t="s">
        <v>408</v>
      </c>
      <c r="B866" s="174" t="s">
        <v>409</v>
      </c>
      <c r="C866" s="1" t="s">
        <v>353</v>
      </c>
      <c r="D866" s="1" t="s">
        <v>348</v>
      </c>
      <c r="E866" s="10">
        <v>0.2</v>
      </c>
    </row>
    <row r="867" spans="1:5" x14ac:dyDescent="0.3">
      <c r="A867" s="174" t="s">
        <v>645</v>
      </c>
      <c r="B867" s="174" t="s">
        <v>646</v>
      </c>
      <c r="C867" s="1" t="s">
        <v>453</v>
      </c>
      <c r="D867" s="1" t="s">
        <v>453</v>
      </c>
      <c r="E867" s="10">
        <v>173.99000000000004</v>
      </c>
    </row>
    <row r="868" spans="1:5" x14ac:dyDescent="0.3">
      <c r="A868" s="174" t="s">
        <v>645</v>
      </c>
      <c r="B868" s="174" t="s">
        <v>646</v>
      </c>
      <c r="C868" s="1" t="s">
        <v>350</v>
      </c>
      <c r="D868" s="1" t="s">
        <v>348</v>
      </c>
      <c r="E868" s="10">
        <v>1.98</v>
      </c>
    </row>
    <row r="869" spans="1:5" x14ac:dyDescent="0.3">
      <c r="A869" s="174" t="s">
        <v>645</v>
      </c>
      <c r="B869" s="174" t="s">
        <v>646</v>
      </c>
      <c r="C869" s="1" t="s">
        <v>1476</v>
      </c>
      <c r="D869" s="1" t="s">
        <v>1293</v>
      </c>
      <c r="E869" s="10">
        <v>0.17</v>
      </c>
    </row>
    <row r="870" spans="1:5" x14ac:dyDescent="0.3">
      <c r="A870" s="174" t="s">
        <v>645</v>
      </c>
      <c r="B870" s="174" t="s">
        <v>646</v>
      </c>
      <c r="C870" s="1" t="s">
        <v>351</v>
      </c>
      <c r="D870" s="1" t="s">
        <v>347</v>
      </c>
      <c r="E870" s="10">
        <v>2.46</v>
      </c>
    </row>
    <row r="871" spans="1:5" x14ac:dyDescent="0.3">
      <c r="A871" s="174" t="s">
        <v>645</v>
      </c>
      <c r="B871" s="174" t="s">
        <v>646</v>
      </c>
      <c r="C871" s="1" t="s">
        <v>352</v>
      </c>
      <c r="D871" s="1" t="s">
        <v>348</v>
      </c>
      <c r="E871" s="10">
        <v>1.79</v>
      </c>
    </row>
    <row r="872" spans="1:5" x14ac:dyDescent="0.3">
      <c r="A872" s="175" t="s">
        <v>645</v>
      </c>
      <c r="B872" s="174" t="s">
        <v>646</v>
      </c>
      <c r="C872" s="1" t="s">
        <v>353</v>
      </c>
      <c r="D872" s="1" t="s">
        <v>348</v>
      </c>
      <c r="E872" s="10">
        <v>0.2</v>
      </c>
    </row>
    <row r="873" spans="1:5" x14ac:dyDescent="0.3">
      <c r="A873" s="174" t="s">
        <v>410</v>
      </c>
      <c r="B873" s="174" t="s">
        <v>411</v>
      </c>
      <c r="C873" s="1" t="s">
        <v>453</v>
      </c>
      <c r="D873" s="1" t="s">
        <v>453</v>
      </c>
      <c r="E873" s="10">
        <v>173.99000000000004</v>
      </c>
    </row>
    <row r="874" spans="1:5" x14ac:dyDescent="0.3">
      <c r="A874" s="174" t="s">
        <v>410</v>
      </c>
      <c r="B874" s="174" t="s">
        <v>411</v>
      </c>
      <c r="C874" s="1" t="s">
        <v>350</v>
      </c>
      <c r="D874" s="1" t="s">
        <v>348</v>
      </c>
      <c r="E874" s="10">
        <v>1.98</v>
      </c>
    </row>
    <row r="875" spans="1:5" x14ac:dyDescent="0.3">
      <c r="A875" s="174" t="s">
        <v>410</v>
      </c>
      <c r="B875" s="174" t="s">
        <v>411</v>
      </c>
      <c r="C875" s="1" t="s">
        <v>1476</v>
      </c>
      <c r="D875" s="1" t="s">
        <v>1293</v>
      </c>
      <c r="E875" s="10">
        <v>0.17</v>
      </c>
    </row>
    <row r="876" spans="1:5" x14ac:dyDescent="0.3">
      <c r="A876" s="174" t="s">
        <v>410</v>
      </c>
      <c r="B876" s="174" t="s">
        <v>411</v>
      </c>
      <c r="C876" s="1" t="s">
        <v>351</v>
      </c>
      <c r="D876" s="1" t="s">
        <v>347</v>
      </c>
      <c r="E876" s="10">
        <v>2.46</v>
      </c>
    </row>
    <row r="877" spans="1:5" x14ac:dyDescent="0.3">
      <c r="A877" s="174" t="s">
        <v>410</v>
      </c>
      <c r="B877" s="174" t="s">
        <v>411</v>
      </c>
      <c r="C877" s="1" t="s">
        <v>352</v>
      </c>
      <c r="D877" s="1" t="s">
        <v>348</v>
      </c>
      <c r="E877" s="10">
        <v>1.79</v>
      </c>
    </row>
    <row r="878" spans="1:5" x14ac:dyDescent="0.3">
      <c r="A878" s="175" t="s">
        <v>410</v>
      </c>
      <c r="B878" s="174" t="s">
        <v>411</v>
      </c>
      <c r="C878" s="1" t="s">
        <v>353</v>
      </c>
      <c r="D878" s="1" t="s">
        <v>348</v>
      </c>
      <c r="E878" s="10">
        <v>0.2</v>
      </c>
    </row>
    <row r="879" spans="1:5" x14ac:dyDescent="0.3">
      <c r="A879" s="174" t="s">
        <v>412</v>
      </c>
      <c r="B879" s="174" t="s">
        <v>413</v>
      </c>
      <c r="C879" s="1" t="s">
        <v>453</v>
      </c>
      <c r="D879" s="1" t="s">
        <v>453</v>
      </c>
      <c r="E879" s="10">
        <v>173.99000000000007</v>
      </c>
    </row>
    <row r="880" spans="1:5" x14ac:dyDescent="0.3">
      <c r="A880" s="174" t="s">
        <v>412</v>
      </c>
      <c r="B880" s="174" t="s">
        <v>413</v>
      </c>
      <c r="C880" s="1" t="s">
        <v>350</v>
      </c>
      <c r="D880" s="1" t="s">
        <v>348</v>
      </c>
      <c r="E880" s="10">
        <v>1.98</v>
      </c>
    </row>
    <row r="881" spans="1:5" x14ac:dyDescent="0.3">
      <c r="A881" s="174" t="s">
        <v>412</v>
      </c>
      <c r="B881" s="174" t="s">
        <v>413</v>
      </c>
      <c r="C881" s="1" t="s">
        <v>1476</v>
      </c>
      <c r="D881" s="1" t="s">
        <v>1293</v>
      </c>
      <c r="E881" s="10">
        <v>0.17</v>
      </c>
    </row>
    <row r="882" spans="1:5" x14ac:dyDescent="0.3">
      <c r="A882" s="174" t="s">
        <v>412</v>
      </c>
      <c r="B882" s="174" t="s">
        <v>413</v>
      </c>
      <c r="C882" s="1" t="s">
        <v>351</v>
      </c>
      <c r="D882" s="1" t="s">
        <v>347</v>
      </c>
      <c r="E882" s="10">
        <v>2.46</v>
      </c>
    </row>
    <row r="883" spans="1:5" x14ac:dyDescent="0.3">
      <c r="A883" s="174" t="s">
        <v>412</v>
      </c>
      <c r="B883" s="174" t="s">
        <v>413</v>
      </c>
      <c r="C883" s="1" t="s">
        <v>352</v>
      </c>
      <c r="D883" s="1" t="s">
        <v>348</v>
      </c>
      <c r="E883" s="10">
        <v>1.79</v>
      </c>
    </row>
    <row r="884" spans="1:5" x14ac:dyDescent="0.3">
      <c r="A884" s="175" t="s">
        <v>412</v>
      </c>
      <c r="B884" s="174" t="s">
        <v>413</v>
      </c>
      <c r="C884" s="1" t="s">
        <v>353</v>
      </c>
      <c r="D884" s="1" t="s">
        <v>348</v>
      </c>
      <c r="E884" s="10">
        <v>0.2</v>
      </c>
    </row>
    <row r="885" spans="1:5" x14ac:dyDescent="0.3">
      <c r="A885" s="174" t="s">
        <v>647</v>
      </c>
      <c r="B885" s="174" t="s">
        <v>648</v>
      </c>
      <c r="C885" s="1" t="s">
        <v>453</v>
      </c>
      <c r="D885" s="1" t="s">
        <v>453</v>
      </c>
      <c r="E885" s="10">
        <v>239.71</v>
      </c>
    </row>
    <row r="886" spans="1:5" x14ac:dyDescent="0.3">
      <c r="A886" s="174" t="s">
        <v>647</v>
      </c>
      <c r="B886" s="174" t="s">
        <v>648</v>
      </c>
      <c r="C886" s="1" t="s">
        <v>350</v>
      </c>
      <c r="D886" s="1" t="s">
        <v>348</v>
      </c>
      <c r="E886" s="10">
        <v>1.92</v>
      </c>
    </row>
    <row r="887" spans="1:5" x14ac:dyDescent="0.3">
      <c r="A887" s="174" t="s">
        <v>647</v>
      </c>
      <c r="B887" s="174" t="s">
        <v>648</v>
      </c>
      <c r="C887" s="1" t="s">
        <v>1476</v>
      </c>
      <c r="D887" s="1" t="s">
        <v>1293</v>
      </c>
      <c r="E887" s="10">
        <v>0.24</v>
      </c>
    </row>
    <row r="888" spans="1:5" x14ac:dyDescent="0.3">
      <c r="A888" s="174" t="s">
        <v>647</v>
      </c>
      <c r="B888" s="174" t="s">
        <v>648</v>
      </c>
      <c r="C888" s="1" t="s">
        <v>351</v>
      </c>
      <c r="D888" s="1" t="s">
        <v>347</v>
      </c>
      <c r="E888" s="10">
        <v>2.78</v>
      </c>
    </row>
    <row r="889" spans="1:5" x14ac:dyDescent="0.3">
      <c r="A889" s="174" t="s">
        <v>647</v>
      </c>
      <c r="B889" s="174" t="s">
        <v>648</v>
      </c>
      <c r="C889" s="1" t="s">
        <v>352</v>
      </c>
      <c r="D889" s="1" t="s">
        <v>348</v>
      </c>
      <c r="E889" s="10">
        <v>1.74</v>
      </c>
    </row>
    <row r="890" spans="1:5" x14ac:dyDescent="0.3">
      <c r="A890" s="175" t="s">
        <v>647</v>
      </c>
      <c r="B890" s="174" t="s">
        <v>648</v>
      </c>
      <c r="C890" s="1" t="s">
        <v>353</v>
      </c>
      <c r="D890" s="1" t="s">
        <v>348</v>
      </c>
      <c r="E890" s="10">
        <v>0.17</v>
      </c>
    </row>
    <row r="891" spans="1:5" x14ac:dyDescent="0.3">
      <c r="A891" s="174" t="s">
        <v>585</v>
      </c>
      <c r="B891" s="174" t="s">
        <v>586</v>
      </c>
      <c r="C891" s="1" t="s">
        <v>453</v>
      </c>
      <c r="D891" s="1" t="s">
        <v>453</v>
      </c>
      <c r="E891" s="10">
        <v>170.67000000000002</v>
      </c>
    </row>
    <row r="892" spans="1:5" x14ac:dyDescent="0.3">
      <c r="A892" s="174" t="s">
        <v>585</v>
      </c>
      <c r="B892" s="174" t="s">
        <v>586</v>
      </c>
      <c r="C892" s="1" t="s">
        <v>350</v>
      </c>
      <c r="D892" s="1" t="s">
        <v>348</v>
      </c>
      <c r="E892" s="10">
        <v>1.98</v>
      </c>
    </row>
    <row r="893" spans="1:5" x14ac:dyDescent="0.3">
      <c r="A893" s="174" t="s">
        <v>585</v>
      </c>
      <c r="B893" s="174" t="s">
        <v>586</v>
      </c>
      <c r="C893" s="1" t="s">
        <v>1476</v>
      </c>
      <c r="D893" s="1" t="s">
        <v>1293</v>
      </c>
      <c r="E893" s="10">
        <v>0.17</v>
      </c>
    </row>
    <row r="894" spans="1:5" x14ac:dyDescent="0.3">
      <c r="A894" s="174" t="s">
        <v>585</v>
      </c>
      <c r="B894" s="174" t="s">
        <v>586</v>
      </c>
      <c r="C894" s="1" t="s">
        <v>351</v>
      </c>
      <c r="D894" s="1" t="s">
        <v>347</v>
      </c>
      <c r="E894" s="10">
        <v>3.77</v>
      </c>
    </row>
    <row r="895" spans="1:5" x14ac:dyDescent="0.3">
      <c r="A895" s="174" t="s">
        <v>585</v>
      </c>
      <c r="B895" s="174" t="s">
        <v>586</v>
      </c>
      <c r="C895" s="1" t="s">
        <v>352</v>
      </c>
      <c r="D895" s="1" t="s">
        <v>348</v>
      </c>
      <c r="E895" s="10">
        <v>2.74</v>
      </c>
    </row>
    <row r="896" spans="1:5" x14ac:dyDescent="0.3">
      <c r="A896" s="175" t="s">
        <v>585</v>
      </c>
      <c r="B896" s="174" t="s">
        <v>586</v>
      </c>
      <c r="C896" s="1" t="s">
        <v>353</v>
      </c>
      <c r="D896" s="1" t="s">
        <v>348</v>
      </c>
      <c r="E896" s="10">
        <v>0.31</v>
      </c>
    </row>
    <row r="897" spans="1:5" x14ac:dyDescent="0.3">
      <c r="A897" s="174" t="s">
        <v>414</v>
      </c>
      <c r="B897" s="174" t="s">
        <v>415</v>
      </c>
      <c r="C897" s="1" t="s">
        <v>453</v>
      </c>
      <c r="D897" s="1" t="s">
        <v>453</v>
      </c>
      <c r="E897" s="10">
        <v>178.61000000000007</v>
      </c>
    </row>
    <row r="898" spans="1:5" x14ac:dyDescent="0.3">
      <c r="A898" s="174" t="s">
        <v>414</v>
      </c>
      <c r="B898" s="174" t="s">
        <v>415</v>
      </c>
      <c r="C898" s="1" t="s">
        <v>350</v>
      </c>
      <c r="D898" s="1" t="s">
        <v>348</v>
      </c>
      <c r="E898" s="10">
        <v>1.98</v>
      </c>
    </row>
    <row r="899" spans="1:5" x14ac:dyDescent="0.3">
      <c r="A899" s="174" t="s">
        <v>414</v>
      </c>
      <c r="B899" s="174" t="s">
        <v>415</v>
      </c>
      <c r="C899" s="1" t="s">
        <v>1476</v>
      </c>
      <c r="D899" s="1" t="s">
        <v>1293</v>
      </c>
      <c r="E899" s="10">
        <v>0.18</v>
      </c>
    </row>
    <row r="900" spans="1:5" x14ac:dyDescent="0.3">
      <c r="A900" s="174" t="s">
        <v>414</v>
      </c>
      <c r="B900" s="174" t="s">
        <v>415</v>
      </c>
      <c r="C900" s="1" t="s">
        <v>351</v>
      </c>
      <c r="D900" s="1" t="s">
        <v>347</v>
      </c>
      <c r="E900" s="10">
        <v>2.19</v>
      </c>
    </row>
    <row r="901" spans="1:5" x14ac:dyDescent="0.3">
      <c r="A901" s="174" t="s">
        <v>414</v>
      </c>
      <c r="B901" s="174" t="s">
        <v>415</v>
      </c>
      <c r="C901" s="1" t="s">
        <v>352</v>
      </c>
      <c r="D901" s="1" t="s">
        <v>348</v>
      </c>
      <c r="E901" s="10">
        <v>1.59</v>
      </c>
    </row>
    <row r="902" spans="1:5" x14ac:dyDescent="0.3">
      <c r="A902" s="175" t="s">
        <v>414</v>
      </c>
      <c r="B902" s="174" t="s">
        <v>415</v>
      </c>
      <c r="C902" s="1" t="s">
        <v>353</v>
      </c>
      <c r="D902" s="1" t="s">
        <v>348</v>
      </c>
      <c r="E902" s="10">
        <v>0.18</v>
      </c>
    </row>
    <row r="903" spans="1:5" x14ac:dyDescent="0.3">
      <c r="A903" s="174" t="s">
        <v>416</v>
      </c>
      <c r="B903" s="174" t="s">
        <v>417</v>
      </c>
      <c r="C903" s="1" t="s">
        <v>453</v>
      </c>
      <c r="D903" s="1" t="s">
        <v>453</v>
      </c>
      <c r="E903" s="10">
        <v>263.07000000000005</v>
      </c>
    </row>
    <row r="904" spans="1:5" x14ac:dyDescent="0.3">
      <c r="A904" s="174" t="s">
        <v>416</v>
      </c>
      <c r="B904" s="174" t="s">
        <v>417</v>
      </c>
      <c r="C904" s="1" t="s">
        <v>350</v>
      </c>
      <c r="D904" s="1" t="s">
        <v>348</v>
      </c>
      <c r="E904" s="10">
        <v>1.98</v>
      </c>
    </row>
    <row r="905" spans="1:5" x14ac:dyDescent="0.3">
      <c r="A905" s="174" t="s">
        <v>416</v>
      </c>
      <c r="B905" s="174" t="s">
        <v>417</v>
      </c>
      <c r="C905" s="1" t="s">
        <v>1476</v>
      </c>
      <c r="D905" s="1" t="s">
        <v>1293</v>
      </c>
      <c r="E905" s="10">
        <v>0.26</v>
      </c>
    </row>
    <row r="906" spans="1:5" x14ac:dyDescent="0.3">
      <c r="A906" s="174" t="s">
        <v>416</v>
      </c>
      <c r="B906" s="174" t="s">
        <v>417</v>
      </c>
      <c r="C906" s="1" t="s">
        <v>351</v>
      </c>
      <c r="D906" s="1" t="s">
        <v>347</v>
      </c>
      <c r="E906" s="10">
        <v>1.35</v>
      </c>
    </row>
    <row r="907" spans="1:5" x14ac:dyDescent="0.3">
      <c r="A907" s="174" t="s">
        <v>416</v>
      </c>
      <c r="B907" s="174" t="s">
        <v>417</v>
      </c>
      <c r="C907" s="1" t="s">
        <v>352</v>
      </c>
      <c r="D907" s="1" t="s">
        <v>348</v>
      </c>
      <c r="E907" s="10">
        <v>0.98</v>
      </c>
    </row>
    <row r="908" spans="1:5" x14ac:dyDescent="0.3">
      <c r="A908" s="175" t="s">
        <v>416</v>
      </c>
      <c r="B908" s="174" t="s">
        <v>417</v>
      </c>
      <c r="C908" s="1" t="s">
        <v>353</v>
      </c>
      <c r="D908" s="1" t="s">
        <v>348</v>
      </c>
      <c r="E908" s="10">
        <v>0.11</v>
      </c>
    </row>
    <row r="909" spans="1:5" x14ac:dyDescent="0.3">
      <c r="A909" s="174" t="s">
        <v>418</v>
      </c>
      <c r="B909" s="174" t="s">
        <v>419</v>
      </c>
      <c r="C909" s="1" t="s">
        <v>453</v>
      </c>
      <c r="D909" s="1" t="s">
        <v>453</v>
      </c>
      <c r="E909" s="10">
        <v>173.99000000000007</v>
      </c>
    </row>
    <row r="910" spans="1:5" x14ac:dyDescent="0.3">
      <c r="A910" s="174" t="s">
        <v>418</v>
      </c>
      <c r="B910" s="174" t="s">
        <v>419</v>
      </c>
      <c r="C910" s="1" t="s">
        <v>350</v>
      </c>
      <c r="D910" s="1" t="s">
        <v>348</v>
      </c>
      <c r="E910" s="10">
        <v>1.98</v>
      </c>
    </row>
    <row r="911" spans="1:5" x14ac:dyDescent="0.3">
      <c r="A911" s="174" t="s">
        <v>418</v>
      </c>
      <c r="B911" s="174" t="s">
        <v>419</v>
      </c>
      <c r="C911" s="1" t="s">
        <v>1476</v>
      </c>
      <c r="D911" s="1" t="s">
        <v>1293</v>
      </c>
      <c r="E911" s="10">
        <v>0.17</v>
      </c>
    </row>
    <row r="912" spans="1:5" x14ac:dyDescent="0.3">
      <c r="A912" s="174" t="s">
        <v>418</v>
      </c>
      <c r="B912" s="174" t="s">
        <v>419</v>
      </c>
      <c r="C912" s="1" t="s">
        <v>351</v>
      </c>
      <c r="D912" s="1" t="s">
        <v>347</v>
      </c>
      <c r="E912" s="10">
        <v>2.46</v>
      </c>
    </row>
    <row r="913" spans="1:5" x14ac:dyDescent="0.3">
      <c r="A913" s="174" t="s">
        <v>418</v>
      </c>
      <c r="B913" s="174" t="s">
        <v>419</v>
      </c>
      <c r="C913" s="1" t="s">
        <v>352</v>
      </c>
      <c r="D913" s="1" t="s">
        <v>348</v>
      </c>
      <c r="E913" s="10">
        <v>1.79</v>
      </c>
    </row>
    <row r="914" spans="1:5" x14ac:dyDescent="0.3">
      <c r="A914" s="175" t="s">
        <v>418</v>
      </c>
      <c r="B914" s="174" t="s">
        <v>419</v>
      </c>
      <c r="C914" s="1" t="s">
        <v>353</v>
      </c>
      <c r="D914" s="1" t="s">
        <v>348</v>
      </c>
      <c r="E914" s="10">
        <v>0.2</v>
      </c>
    </row>
    <row r="915" spans="1:5" x14ac:dyDescent="0.3">
      <c r="A915" s="174" t="s">
        <v>587</v>
      </c>
      <c r="B915" s="174" t="s">
        <v>588</v>
      </c>
      <c r="C915" s="1" t="s">
        <v>453</v>
      </c>
      <c r="D915" s="1" t="s">
        <v>453</v>
      </c>
      <c r="E915" s="10">
        <v>41.55</v>
      </c>
    </row>
    <row r="916" spans="1:5" x14ac:dyDescent="0.3">
      <c r="A916" s="174" t="s">
        <v>587</v>
      </c>
      <c r="B916" s="174" t="s">
        <v>588</v>
      </c>
      <c r="C916" s="1" t="s">
        <v>350</v>
      </c>
      <c r="D916" s="1" t="s">
        <v>348</v>
      </c>
      <c r="E916" s="10">
        <v>1.98</v>
      </c>
    </row>
    <row r="917" spans="1:5" x14ac:dyDescent="0.3">
      <c r="A917" s="174" t="s">
        <v>587</v>
      </c>
      <c r="B917" s="174" t="s">
        <v>588</v>
      </c>
      <c r="C917" s="1" t="s">
        <v>1476</v>
      </c>
      <c r="D917" s="1" t="s">
        <v>1293</v>
      </c>
      <c r="E917" s="10">
        <v>0.04</v>
      </c>
    </row>
    <row r="918" spans="1:5" x14ac:dyDescent="0.3">
      <c r="A918" s="174" t="s">
        <v>587</v>
      </c>
      <c r="B918" s="174" t="s">
        <v>588</v>
      </c>
      <c r="C918" s="1" t="s">
        <v>351</v>
      </c>
      <c r="D918" s="1" t="s">
        <v>347</v>
      </c>
      <c r="E918" s="10">
        <v>3.02</v>
      </c>
    </row>
    <row r="919" spans="1:5" x14ac:dyDescent="0.3">
      <c r="A919" s="174" t="s">
        <v>587</v>
      </c>
      <c r="B919" s="174" t="s">
        <v>588</v>
      </c>
      <c r="C919" s="1" t="s">
        <v>352</v>
      </c>
      <c r="D919" s="1" t="s">
        <v>348</v>
      </c>
      <c r="E919" s="10">
        <v>2.2000000000000002</v>
      </c>
    </row>
    <row r="920" spans="1:5" x14ac:dyDescent="0.3">
      <c r="A920" s="175" t="s">
        <v>587</v>
      </c>
      <c r="B920" s="174" t="s">
        <v>588</v>
      </c>
      <c r="C920" s="1" t="s">
        <v>353</v>
      </c>
      <c r="D920" s="1" t="s">
        <v>348</v>
      </c>
      <c r="E920" s="10">
        <v>0.25</v>
      </c>
    </row>
    <row r="921" spans="1:5" x14ac:dyDescent="0.3">
      <c r="A921" s="174" t="s">
        <v>589</v>
      </c>
      <c r="B921" s="174" t="s">
        <v>590</v>
      </c>
      <c r="C921" s="1" t="s">
        <v>453</v>
      </c>
      <c r="D921" s="1" t="s">
        <v>453</v>
      </c>
      <c r="E921" s="10">
        <v>168.04999999999995</v>
      </c>
    </row>
    <row r="922" spans="1:5" x14ac:dyDescent="0.3">
      <c r="A922" s="174" t="s">
        <v>589</v>
      </c>
      <c r="B922" s="174" t="s">
        <v>590</v>
      </c>
      <c r="C922" s="1" t="s">
        <v>350</v>
      </c>
      <c r="D922" s="1" t="s">
        <v>348</v>
      </c>
      <c r="E922" s="10">
        <v>1.98</v>
      </c>
    </row>
    <row r="923" spans="1:5" x14ac:dyDescent="0.3">
      <c r="A923" s="174" t="s">
        <v>589</v>
      </c>
      <c r="B923" s="174" t="s">
        <v>590</v>
      </c>
      <c r="C923" s="1" t="s">
        <v>1476</v>
      </c>
      <c r="D923" s="1" t="s">
        <v>1293</v>
      </c>
      <c r="E923" s="10">
        <v>0.17</v>
      </c>
    </row>
    <row r="924" spans="1:5" x14ac:dyDescent="0.3">
      <c r="A924" s="174" t="s">
        <v>589</v>
      </c>
      <c r="B924" s="174" t="s">
        <v>590</v>
      </c>
      <c r="C924" s="1" t="s">
        <v>351</v>
      </c>
      <c r="D924" s="1" t="s">
        <v>347</v>
      </c>
      <c r="E924" s="10">
        <v>3.02</v>
      </c>
    </row>
    <row r="925" spans="1:5" x14ac:dyDescent="0.3">
      <c r="A925" s="174" t="s">
        <v>589</v>
      </c>
      <c r="B925" s="174" t="s">
        <v>590</v>
      </c>
      <c r="C925" s="1" t="s">
        <v>352</v>
      </c>
      <c r="D925" s="1" t="s">
        <v>348</v>
      </c>
      <c r="E925" s="10">
        <v>2.2000000000000002</v>
      </c>
    </row>
    <row r="926" spans="1:5" x14ac:dyDescent="0.3">
      <c r="A926" s="175" t="s">
        <v>589</v>
      </c>
      <c r="B926" s="174" t="s">
        <v>590</v>
      </c>
      <c r="C926" s="1" t="s">
        <v>353</v>
      </c>
      <c r="D926" s="1" t="s">
        <v>348</v>
      </c>
      <c r="E926" s="10">
        <v>0.25</v>
      </c>
    </row>
    <row r="927" spans="1:5" x14ac:dyDescent="0.3">
      <c r="A927" s="174" t="s">
        <v>420</v>
      </c>
      <c r="B927" s="174" t="s">
        <v>649</v>
      </c>
      <c r="C927" s="1" t="s">
        <v>453</v>
      </c>
      <c r="D927" s="1" t="s">
        <v>453</v>
      </c>
      <c r="E927" s="10">
        <v>138.53</v>
      </c>
    </row>
    <row r="928" spans="1:5" x14ac:dyDescent="0.3">
      <c r="A928" s="174" t="s">
        <v>420</v>
      </c>
      <c r="B928" s="174" t="s">
        <v>649</v>
      </c>
      <c r="C928" s="1" t="s">
        <v>350</v>
      </c>
      <c r="D928" s="1" t="s">
        <v>348</v>
      </c>
      <c r="E928" s="10">
        <v>0</v>
      </c>
    </row>
    <row r="929" spans="1:5" x14ac:dyDescent="0.3">
      <c r="A929" s="174" t="s">
        <v>420</v>
      </c>
      <c r="B929" s="174" t="s">
        <v>649</v>
      </c>
      <c r="C929" s="1" t="s">
        <v>1476</v>
      </c>
      <c r="D929" s="1" t="s">
        <v>1293</v>
      </c>
      <c r="E929" s="10">
        <v>0.14000000000000001</v>
      </c>
    </row>
    <row r="930" spans="1:5" x14ac:dyDescent="0.3">
      <c r="A930" s="174" t="s">
        <v>420</v>
      </c>
      <c r="B930" s="174" t="s">
        <v>649</v>
      </c>
      <c r="C930" s="1" t="s">
        <v>351</v>
      </c>
      <c r="D930" s="1" t="s">
        <v>347</v>
      </c>
      <c r="E930" s="10">
        <v>2.98</v>
      </c>
    </row>
    <row r="931" spans="1:5" x14ac:dyDescent="0.3">
      <c r="A931" s="174" t="s">
        <v>420</v>
      </c>
      <c r="B931" s="174" t="s">
        <v>649</v>
      </c>
      <c r="C931" s="1" t="s">
        <v>352</v>
      </c>
      <c r="D931" s="1" t="s">
        <v>348</v>
      </c>
      <c r="E931" s="10">
        <v>0</v>
      </c>
    </row>
    <row r="932" spans="1:5" x14ac:dyDescent="0.3">
      <c r="A932" s="175" t="s">
        <v>420</v>
      </c>
      <c r="B932" s="174" t="s">
        <v>649</v>
      </c>
      <c r="C932" s="1" t="s">
        <v>353</v>
      </c>
      <c r="D932" s="1" t="s">
        <v>348</v>
      </c>
      <c r="E932" s="10">
        <v>0.24</v>
      </c>
    </row>
    <row r="933" spans="1:5" x14ac:dyDescent="0.3">
      <c r="A933" s="174" t="s">
        <v>421</v>
      </c>
      <c r="B933" s="174" t="s">
        <v>650</v>
      </c>
      <c r="C933" s="1" t="s">
        <v>453</v>
      </c>
      <c r="D933" s="1" t="s">
        <v>453</v>
      </c>
      <c r="E933" s="10">
        <v>163.69</v>
      </c>
    </row>
    <row r="934" spans="1:5" x14ac:dyDescent="0.3">
      <c r="A934" s="174" t="s">
        <v>421</v>
      </c>
      <c r="B934" s="174" t="s">
        <v>650</v>
      </c>
      <c r="C934" s="1" t="s">
        <v>350</v>
      </c>
      <c r="D934" s="1" t="s">
        <v>348</v>
      </c>
      <c r="E934" s="10">
        <v>0</v>
      </c>
    </row>
    <row r="935" spans="1:5" x14ac:dyDescent="0.3">
      <c r="A935" s="174" t="s">
        <v>421</v>
      </c>
      <c r="B935" s="174" t="s">
        <v>650</v>
      </c>
      <c r="C935" s="1" t="s">
        <v>1476</v>
      </c>
      <c r="D935" s="1" t="s">
        <v>1293</v>
      </c>
      <c r="E935" s="10">
        <v>0.16</v>
      </c>
    </row>
    <row r="936" spans="1:5" x14ac:dyDescent="0.3">
      <c r="A936" s="174" t="s">
        <v>421</v>
      </c>
      <c r="B936" s="174" t="s">
        <v>650</v>
      </c>
      <c r="C936" s="1" t="s">
        <v>351</v>
      </c>
      <c r="D936" s="1" t="s">
        <v>347</v>
      </c>
      <c r="E936" s="10">
        <v>2.98</v>
      </c>
    </row>
    <row r="937" spans="1:5" x14ac:dyDescent="0.3">
      <c r="A937" s="174" t="s">
        <v>421</v>
      </c>
      <c r="B937" s="174" t="s">
        <v>650</v>
      </c>
      <c r="C937" s="1" t="s">
        <v>352</v>
      </c>
      <c r="D937" s="1" t="s">
        <v>348</v>
      </c>
      <c r="E937" s="10">
        <v>0</v>
      </c>
    </row>
    <row r="938" spans="1:5" x14ac:dyDescent="0.3">
      <c r="A938" s="175" t="s">
        <v>421</v>
      </c>
      <c r="B938" s="174" t="s">
        <v>650</v>
      </c>
      <c r="C938" s="1" t="s">
        <v>353</v>
      </c>
      <c r="D938" s="1" t="s">
        <v>348</v>
      </c>
      <c r="E938" s="10">
        <v>0.24</v>
      </c>
    </row>
    <row r="939" spans="1:5" x14ac:dyDescent="0.3">
      <c r="A939" s="174" t="s">
        <v>422</v>
      </c>
      <c r="B939" s="174" t="s">
        <v>423</v>
      </c>
      <c r="C939" s="1" t="s">
        <v>453</v>
      </c>
      <c r="D939" s="1" t="s">
        <v>453</v>
      </c>
      <c r="E939" s="10">
        <v>133.97000000000003</v>
      </c>
    </row>
    <row r="940" spans="1:5" x14ac:dyDescent="0.3">
      <c r="A940" s="174" t="s">
        <v>422</v>
      </c>
      <c r="B940" s="174" t="s">
        <v>423</v>
      </c>
      <c r="C940" s="1" t="s">
        <v>350</v>
      </c>
      <c r="D940" s="1" t="s">
        <v>348</v>
      </c>
      <c r="E940" s="10">
        <v>1.98</v>
      </c>
    </row>
    <row r="941" spans="1:5" x14ac:dyDescent="0.3">
      <c r="A941" s="174" t="s">
        <v>422</v>
      </c>
      <c r="B941" s="174" t="s">
        <v>423</v>
      </c>
      <c r="C941" s="1" t="s">
        <v>1476</v>
      </c>
      <c r="D941" s="1" t="s">
        <v>1293</v>
      </c>
      <c r="E941" s="10">
        <v>0.13</v>
      </c>
    </row>
    <row r="942" spans="1:5" x14ac:dyDescent="0.3">
      <c r="A942" s="174" t="s">
        <v>422</v>
      </c>
      <c r="B942" s="174" t="s">
        <v>423</v>
      </c>
      <c r="C942" s="1" t="s">
        <v>351</v>
      </c>
      <c r="D942" s="1" t="s">
        <v>347</v>
      </c>
      <c r="E942" s="10">
        <v>3.16</v>
      </c>
    </row>
    <row r="943" spans="1:5" x14ac:dyDescent="0.3">
      <c r="A943" s="174" t="s">
        <v>422</v>
      </c>
      <c r="B943" s="174" t="s">
        <v>423</v>
      </c>
      <c r="C943" s="1" t="s">
        <v>352</v>
      </c>
      <c r="D943" s="1" t="s">
        <v>348</v>
      </c>
      <c r="E943" s="10">
        <v>2.2999999999999998</v>
      </c>
    </row>
    <row r="944" spans="1:5" x14ac:dyDescent="0.3">
      <c r="A944" s="175" t="s">
        <v>422</v>
      </c>
      <c r="B944" s="174" t="s">
        <v>423</v>
      </c>
      <c r="C944" s="1" t="s">
        <v>353</v>
      </c>
      <c r="D944" s="1" t="s">
        <v>348</v>
      </c>
      <c r="E944" s="10">
        <v>0.26</v>
      </c>
    </row>
    <row r="945" spans="1:5" x14ac:dyDescent="0.3">
      <c r="A945" s="174" t="s">
        <v>651</v>
      </c>
      <c r="B945" s="174" t="s">
        <v>652</v>
      </c>
      <c r="C945" s="1" t="s">
        <v>453</v>
      </c>
      <c r="D945" s="1" t="s">
        <v>453</v>
      </c>
      <c r="E945" s="10">
        <v>380.1400000000001</v>
      </c>
    </row>
    <row r="946" spans="1:5" x14ac:dyDescent="0.3">
      <c r="A946" s="174" t="s">
        <v>651</v>
      </c>
      <c r="B946" s="174" t="s">
        <v>652</v>
      </c>
      <c r="C946" s="1" t="s">
        <v>350</v>
      </c>
      <c r="D946" s="1" t="s">
        <v>348</v>
      </c>
      <c r="E946" s="10">
        <v>1.92</v>
      </c>
    </row>
    <row r="947" spans="1:5" x14ac:dyDescent="0.3">
      <c r="A947" s="174" t="s">
        <v>651</v>
      </c>
      <c r="B947" s="174" t="s">
        <v>652</v>
      </c>
      <c r="C947" s="1" t="s">
        <v>1476</v>
      </c>
      <c r="D947" s="1" t="s">
        <v>1293</v>
      </c>
      <c r="E947" s="10">
        <v>0.38</v>
      </c>
    </row>
    <row r="948" spans="1:5" x14ac:dyDescent="0.3">
      <c r="A948" s="174" t="s">
        <v>651</v>
      </c>
      <c r="B948" s="174" t="s">
        <v>652</v>
      </c>
      <c r="C948" s="1" t="s">
        <v>351</v>
      </c>
      <c r="D948" s="1" t="s">
        <v>347</v>
      </c>
      <c r="E948" s="10">
        <v>5.52</v>
      </c>
    </row>
    <row r="949" spans="1:5" x14ac:dyDescent="0.3">
      <c r="A949" s="174" t="s">
        <v>651</v>
      </c>
      <c r="B949" s="174" t="s">
        <v>652</v>
      </c>
      <c r="C949" s="1" t="s">
        <v>352</v>
      </c>
      <c r="D949" s="1" t="s">
        <v>348</v>
      </c>
      <c r="E949" s="10">
        <v>3.44</v>
      </c>
    </row>
    <row r="950" spans="1:5" x14ac:dyDescent="0.3">
      <c r="A950" s="175" t="s">
        <v>651</v>
      </c>
      <c r="B950" s="174" t="s">
        <v>652</v>
      </c>
      <c r="C950" s="1" t="s">
        <v>353</v>
      </c>
      <c r="D950" s="1" t="s">
        <v>348</v>
      </c>
      <c r="E950" s="10">
        <v>0.34</v>
      </c>
    </row>
    <row r="951" spans="1:5" x14ac:dyDescent="0.3">
      <c r="A951" s="174" t="s">
        <v>558</v>
      </c>
      <c r="B951" s="174" t="s">
        <v>559</v>
      </c>
      <c r="C951" s="1" t="s">
        <v>350</v>
      </c>
      <c r="D951" s="1" t="s">
        <v>348</v>
      </c>
      <c r="E951" s="10">
        <v>1.92</v>
      </c>
    </row>
    <row r="952" spans="1:5" x14ac:dyDescent="0.3">
      <c r="A952" s="174" t="s">
        <v>558</v>
      </c>
      <c r="B952" s="174" t="s">
        <v>559</v>
      </c>
      <c r="C952" s="1" t="s">
        <v>351</v>
      </c>
      <c r="D952" s="1" t="s">
        <v>347</v>
      </c>
      <c r="E952" s="10">
        <v>2.78</v>
      </c>
    </row>
    <row r="953" spans="1:5" x14ac:dyDescent="0.3">
      <c r="A953" s="174" t="s">
        <v>558</v>
      </c>
      <c r="B953" s="174" t="s">
        <v>559</v>
      </c>
      <c r="C953" s="1" t="s">
        <v>352</v>
      </c>
      <c r="D953" s="1" t="s">
        <v>348</v>
      </c>
      <c r="E953" s="10">
        <v>1.74</v>
      </c>
    </row>
    <row r="954" spans="1:5" x14ac:dyDescent="0.3">
      <c r="A954" s="175" t="s">
        <v>558</v>
      </c>
      <c r="B954" s="174" t="s">
        <v>559</v>
      </c>
      <c r="C954" s="1" t="s">
        <v>353</v>
      </c>
      <c r="D954" s="1" t="s">
        <v>348</v>
      </c>
      <c r="E954" s="10">
        <v>0.17</v>
      </c>
    </row>
    <row r="955" spans="1:5" x14ac:dyDescent="0.3">
      <c r="A955" s="174" t="s">
        <v>424</v>
      </c>
      <c r="B955" s="174" t="s">
        <v>425</v>
      </c>
      <c r="C955" s="1" t="s">
        <v>453</v>
      </c>
      <c r="D955" s="1" t="s">
        <v>453</v>
      </c>
      <c r="E955" s="10">
        <v>43.239999999999995</v>
      </c>
    </row>
    <row r="956" spans="1:5" x14ac:dyDescent="0.3">
      <c r="A956" s="174" t="s">
        <v>424</v>
      </c>
      <c r="B956" s="174" t="s">
        <v>425</v>
      </c>
      <c r="C956" s="1" t="s">
        <v>350</v>
      </c>
      <c r="D956" s="1" t="s">
        <v>348</v>
      </c>
      <c r="E956" s="10">
        <v>1.98</v>
      </c>
    </row>
    <row r="957" spans="1:5" x14ac:dyDescent="0.3">
      <c r="A957" s="174" t="s">
        <v>424</v>
      </c>
      <c r="B957" s="174" t="s">
        <v>425</v>
      </c>
      <c r="C957" s="1" t="s">
        <v>1476</v>
      </c>
      <c r="D957" s="1" t="s">
        <v>1293</v>
      </c>
      <c r="E957" s="10">
        <v>0.04</v>
      </c>
    </row>
    <row r="958" spans="1:5" x14ac:dyDescent="0.3">
      <c r="A958" s="174" t="s">
        <v>424</v>
      </c>
      <c r="B958" s="174" t="s">
        <v>425</v>
      </c>
      <c r="C958" s="1" t="s">
        <v>351</v>
      </c>
      <c r="D958" s="1" t="s">
        <v>347</v>
      </c>
      <c r="E958" s="10">
        <v>1.49</v>
      </c>
    </row>
    <row r="959" spans="1:5" x14ac:dyDescent="0.3">
      <c r="A959" s="174" t="s">
        <v>424</v>
      </c>
      <c r="B959" s="174" t="s">
        <v>425</v>
      </c>
      <c r="C959" s="1" t="s">
        <v>352</v>
      </c>
      <c r="D959" s="1" t="s">
        <v>348</v>
      </c>
      <c r="E959" s="10">
        <v>1.08</v>
      </c>
    </row>
    <row r="960" spans="1:5" x14ac:dyDescent="0.3">
      <c r="A960" s="175" t="s">
        <v>424</v>
      </c>
      <c r="B960" s="174" t="s">
        <v>425</v>
      </c>
      <c r="C960" s="1" t="s">
        <v>353</v>
      </c>
      <c r="D960" s="1" t="s">
        <v>348</v>
      </c>
      <c r="E960" s="10">
        <v>0.12</v>
      </c>
    </row>
    <row r="961" spans="1:5" x14ac:dyDescent="0.3">
      <c r="A961" s="174" t="s">
        <v>426</v>
      </c>
      <c r="B961" s="174" t="s">
        <v>427</v>
      </c>
      <c r="C961" s="1" t="s">
        <v>453</v>
      </c>
      <c r="D961" s="1" t="s">
        <v>453</v>
      </c>
      <c r="E961" s="10">
        <v>148.32000000000002</v>
      </c>
    </row>
    <row r="962" spans="1:5" x14ac:dyDescent="0.3">
      <c r="A962" s="174" t="s">
        <v>426</v>
      </c>
      <c r="B962" s="174" t="s">
        <v>427</v>
      </c>
      <c r="C962" s="1" t="s">
        <v>350</v>
      </c>
      <c r="D962" s="1" t="s">
        <v>348</v>
      </c>
      <c r="E962" s="10">
        <v>1.98</v>
      </c>
    </row>
    <row r="963" spans="1:5" x14ac:dyDescent="0.3">
      <c r="A963" s="174" t="s">
        <v>426</v>
      </c>
      <c r="B963" s="174" t="s">
        <v>427</v>
      </c>
      <c r="C963" s="1" t="s">
        <v>1476</v>
      </c>
      <c r="D963" s="1" t="s">
        <v>1293</v>
      </c>
      <c r="E963" s="10">
        <v>0.15</v>
      </c>
    </row>
    <row r="964" spans="1:5" x14ac:dyDescent="0.3">
      <c r="A964" s="174" t="s">
        <v>426</v>
      </c>
      <c r="B964" s="174" t="s">
        <v>427</v>
      </c>
      <c r="C964" s="1" t="s">
        <v>351</v>
      </c>
      <c r="D964" s="1" t="s">
        <v>347</v>
      </c>
      <c r="E964" s="10">
        <v>1.1200000000000001</v>
      </c>
    </row>
    <row r="965" spans="1:5" x14ac:dyDescent="0.3">
      <c r="A965" s="174" t="s">
        <v>426</v>
      </c>
      <c r="B965" s="174" t="s">
        <v>427</v>
      </c>
      <c r="C965" s="1" t="s">
        <v>352</v>
      </c>
      <c r="D965" s="1" t="s">
        <v>348</v>
      </c>
      <c r="E965" s="10">
        <v>0.81</v>
      </c>
    </row>
    <row r="966" spans="1:5" x14ac:dyDescent="0.3">
      <c r="A966" s="175" t="s">
        <v>426</v>
      </c>
      <c r="B966" s="174" t="s">
        <v>427</v>
      </c>
      <c r="C966" s="1" t="s">
        <v>353</v>
      </c>
      <c r="D966" s="1" t="s">
        <v>348</v>
      </c>
      <c r="E966" s="10">
        <v>0.09</v>
      </c>
    </row>
    <row r="967" spans="1:5" x14ac:dyDescent="0.3">
      <c r="A967" s="174" t="s">
        <v>428</v>
      </c>
      <c r="B967" s="174" t="s">
        <v>429</v>
      </c>
      <c r="C967" s="1" t="s">
        <v>453</v>
      </c>
      <c r="D967" s="1" t="s">
        <v>453</v>
      </c>
      <c r="E967" s="10">
        <v>99.710000000000008</v>
      </c>
    </row>
    <row r="968" spans="1:5" x14ac:dyDescent="0.3">
      <c r="A968" s="174" t="s">
        <v>428</v>
      </c>
      <c r="B968" s="174" t="s">
        <v>429</v>
      </c>
      <c r="C968" s="1" t="s">
        <v>350</v>
      </c>
      <c r="D968" s="1" t="s">
        <v>348</v>
      </c>
      <c r="E968" s="10">
        <v>1.98</v>
      </c>
    </row>
    <row r="969" spans="1:5" x14ac:dyDescent="0.3">
      <c r="A969" s="174" t="s">
        <v>428</v>
      </c>
      <c r="B969" s="174" t="s">
        <v>429</v>
      </c>
      <c r="C969" s="1" t="s">
        <v>1476</v>
      </c>
      <c r="D969" s="1" t="s">
        <v>1293</v>
      </c>
      <c r="E969" s="10">
        <v>0.1</v>
      </c>
    </row>
    <row r="970" spans="1:5" x14ac:dyDescent="0.3">
      <c r="A970" s="174" t="s">
        <v>428</v>
      </c>
      <c r="B970" s="174" t="s">
        <v>429</v>
      </c>
      <c r="C970" s="1" t="s">
        <v>351</v>
      </c>
      <c r="D970" s="1" t="s">
        <v>347</v>
      </c>
      <c r="E970" s="10">
        <v>0.84</v>
      </c>
    </row>
    <row r="971" spans="1:5" x14ac:dyDescent="0.3">
      <c r="A971" s="174" t="s">
        <v>428</v>
      </c>
      <c r="B971" s="174" t="s">
        <v>429</v>
      </c>
      <c r="C971" s="1" t="s">
        <v>352</v>
      </c>
      <c r="D971" s="1" t="s">
        <v>348</v>
      </c>
      <c r="E971" s="10">
        <v>0.61</v>
      </c>
    </row>
    <row r="972" spans="1:5" x14ac:dyDescent="0.3">
      <c r="A972" s="175" t="s">
        <v>428</v>
      </c>
      <c r="B972" s="174" t="s">
        <v>429</v>
      </c>
      <c r="C972" s="1" t="s">
        <v>353</v>
      </c>
      <c r="D972" s="1" t="s">
        <v>348</v>
      </c>
      <c r="E972" s="10">
        <v>7.0000000000000007E-2</v>
      </c>
    </row>
    <row r="973" spans="1:5" x14ac:dyDescent="0.3">
      <c r="A973" s="174" t="s">
        <v>518</v>
      </c>
      <c r="B973" s="174" t="s">
        <v>519</v>
      </c>
      <c r="C973" s="1" t="s">
        <v>453</v>
      </c>
      <c r="D973" s="1" t="s">
        <v>453</v>
      </c>
      <c r="E973" s="10">
        <v>165.13000000000008</v>
      </c>
    </row>
    <row r="974" spans="1:5" x14ac:dyDescent="0.3">
      <c r="A974" s="174" t="s">
        <v>518</v>
      </c>
      <c r="B974" s="174" t="s">
        <v>519</v>
      </c>
      <c r="C974" s="1" t="s">
        <v>350</v>
      </c>
      <c r="D974" s="1" t="s">
        <v>348</v>
      </c>
      <c r="E974" s="10">
        <v>1.98</v>
      </c>
    </row>
    <row r="975" spans="1:5" x14ac:dyDescent="0.3">
      <c r="A975" s="174" t="s">
        <v>518</v>
      </c>
      <c r="B975" s="174" t="s">
        <v>519</v>
      </c>
      <c r="C975" s="1" t="s">
        <v>1476</v>
      </c>
      <c r="D975" s="1" t="s">
        <v>1293</v>
      </c>
      <c r="E975" s="10">
        <v>0.17</v>
      </c>
    </row>
    <row r="976" spans="1:5" x14ac:dyDescent="0.3">
      <c r="A976" s="174" t="s">
        <v>518</v>
      </c>
      <c r="B976" s="174" t="s">
        <v>519</v>
      </c>
      <c r="C976" s="1" t="s">
        <v>351</v>
      </c>
      <c r="D976" s="1" t="s">
        <v>347</v>
      </c>
      <c r="E976" s="10">
        <v>2.19</v>
      </c>
    </row>
    <row r="977" spans="1:5" x14ac:dyDescent="0.3">
      <c r="A977" s="174" t="s">
        <v>518</v>
      </c>
      <c r="B977" s="174" t="s">
        <v>519</v>
      </c>
      <c r="C977" s="1" t="s">
        <v>352</v>
      </c>
      <c r="D977" s="1" t="s">
        <v>348</v>
      </c>
      <c r="E977" s="10">
        <v>1.59</v>
      </c>
    </row>
    <row r="978" spans="1:5" x14ac:dyDescent="0.3">
      <c r="A978" s="175" t="s">
        <v>518</v>
      </c>
      <c r="B978" s="174" t="s">
        <v>519</v>
      </c>
      <c r="C978" s="1" t="s">
        <v>353</v>
      </c>
      <c r="D978" s="1" t="s">
        <v>348</v>
      </c>
      <c r="E978" s="10">
        <v>0.18</v>
      </c>
    </row>
    <row r="979" spans="1:5" x14ac:dyDescent="0.3">
      <c r="A979" s="174" t="s">
        <v>520</v>
      </c>
      <c r="B979" s="174" t="s">
        <v>521</v>
      </c>
      <c r="C979" s="1" t="s">
        <v>453</v>
      </c>
      <c r="D979" s="1" t="s">
        <v>453</v>
      </c>
      <c r="E979" s="10">
        <v>165.13000000000008</v>
      </c>
    </row>
    <row r="980" spans="1:5" x14ac:dyDescent="0.3">
      <c r="A980" s="174" t="s">
        <v>520</v>
      </c>
      <c r="B980" s="174" t="s">
        <v>521</v>
      </c>
      <c r="C980" s="1" t="s">
        <v>350</v>
      </c>
      <c r="D980" s="1" t="s">
        <v>348</v>
      </c>
      <c r="E980" s="10">
        <v>1.98</v>
      </c>
    </row>
    <row r="981" spans="1:5" x14ac:dyDescent="0.3">
      <c r="A981" s="174" t="s">
        <v>520</v>
      </c>
      <c r="B981" s="174" t="s">
        <v>521</v>
      </c>
      <c r="C981" s="1" t="s">
        <v>1476</v>
      </c>
      <c r="D981" s="1" t="s">
        <v>1293</v>
      </c>
      <c r="E981" s="10">
        <v>0.17</v>
      </c>
    </row>
    <row r="982" spans="1:5" x14ac:dyDescent="0.3">
      <c r="A982" s="174" t="s">
        <v>520</v>
      </c>
      <c r="B982" s="174" t="s">
        <v>521</v>
      </c>
      <c r="C982" s="1" t="s">
        <v>351</v>
      </c>
      <c r="D982" s="1" t="s">
        <v>347</v>
      </c>
      <c r="E982" s="10">
        <v>2.46</v>
      </c>
    </row>
    <row r="983" spans="1:5" x14ac:dyDescent="0.3">
      <c r="A983" s="174" t="s">
        <v>520</v>
      </c>
      <c r="B983" s="174" t="s">
        <v>521</v>
      </c>
      <c r="C983" s="1" t="s">
        <v>352</v>
      </c>
      <c r="D983" s="1" t="s">
        <v>348</v>
      </c>
      <c r="E983" s="10">
        <v>1.79</v>
      </c>
    </row>
    <row r="984" spans="1:5" x14ac:dyDescent="0.3">
      <c r="A984" s="175" t="s">
        <v>520</v>
      </c>
      <c r="B984" s="174" t="s">
        <v>521</v>
      </c>
      <c r="C984" s="1" t="s">
        <v>353</v>
      </c>
      <c r="D984" s="1" t="s">
        <v>348</v>
      </c>
      <c r="E984" s="10">
        <v>0.2</v>
      </c>
    </row>
    <row r="985" spans="1:5" x14ac:dyDescent="0.3">
      <c r="A985" s="174" t="s">
        <v>653</v>
      </c>
      <c r="B985" s="174" t="s">
        <v>654</v>
      </c>
      <c r="C985" s="1" t="s">
        <v>453</v>
      </c>
      <c r="D985" s="1" t="s">
        <v>453</v>
      </c>
      <c r="E985" s="10">
        <v>425.26999999999975</v>
      </c>
    </row>
    <row r="986" spans="1:5" x14ac:dyDescent="0.3">
      <c r="A986" s="174" t="s">
        <v>653</v>
      </c>
      <c r="B986" s="174" t="s">
        <v>654</v>
      </c>
      <c r="C986" s="1" t="s">
        <v>350</v>
      </c>
      <c r="D986" s="1" t="s">
        <v>348</v>
      </c>
      <c r="E986" s="10">
        <v>1.98</v>
      </c>
    </row>
    <row r="987" spans="1:5" x14ac:dyDescent="0.3">
      <c r="A987" s="174" t="s">
        <v>653</v>
      </c>
      <c r="B987" s="174" t="s">
        <v>654</v>
      </c>
      <c r="C987" s="1" t="s">
        <v>1476</v>
      </c>
      <c r="D987" s="1" t="s">
        <v>1293</v>
      </c>
      <c r="E987" s="10">
        <v>0.43</v>
      </c>
    </row>
    <row r="988" spans="1:5" x14ac:dyDescent="0.3">
      <c r="A988" s="174" t="s">
        <v>653</v>
      </c>
      <c r="B988" s="174" t="s">
        <v>654</v>
      </c>
      <c r="C988" s="1" t="s">
        <v>351</v>
      </c>
      <c r="D988" s="1" t="s">
        <v>347</v>
      </c>
      <c r="E988" s="10">
        <v>3.02</v>
      </c>
    </row>
    <row r="989" spans="1:5" x14ac:dyDescent="0.3">
      <c r="A989" s="174" t="s">
        <v>653</v>
      </c>
      <c r="B989" s="174" t="s">
        <v>654</v>
      </c>
      <c r="C989" s="1" t="s">
        <v>352</v>
      </c>
      <c r="D989" s="1" t="s">
        <v>348</v>
      </c>
      <c r="E989" s="10">
        <v>2.2000000000000002</v>
      </c>
    </row>
    <row r="990" spans="1:5" x14ac:dyDescent="0.3">
      <c r="A990" s="175" t="s">
        <v>653</v>
      </c>
      <c r="B990" s="174" t="s">
        <v>654</v>
      </c>
      <c r="C990" s="1" t="s">
        <v>353</v>
      </c>
      <c r="D990" s="1" t="s">
        <v>348</v>
      </c>
      <c r="E990" s="10">
        <v>0.25</v>
      </c>
    </row>
    <row r="991" spans="1:5" x14ac:dyDescent="0.3">
      <c r="A991" s="174" t="s">
        <v>757</v>
      </c>
      <c r="B991" s="174" t="s">
        <v>758</v>
      </c>
      <c r="C991" s="1" t="s">
        <v>453</v>
      </c>
      <c r="D991" s="1" t="s">
        <v>453</v>
      </c>
      <c r="E991" s="10">
        <v>677.87</v>
      </c>
    </row>
    <row r="992" spans="1:5" x14ac:dyDescent="0.3">
      <c r="A992" s="174" t="s">
        <v>757</v>
      </c>
      <c r="B992" s="174" t="s">
        <v>758</v>
      </c>
      <c r="C992" s="1" t="s">
        <v>350</v>
      </c>
      <c r="D992" s="1" t="s">
        <v>348</v>
      </c>
      <c r="E992" s="10">
        <v>1.92</v>
      </c>
    </row>
    <row r="993" spans="1:5" x14ac:dyDescent="0.3">
      <c r="A993" s="174" t="s">
        <v>757</v>
      </c>
      <c r="B993" s="174" t="s">
        <v>758</v>
      </c>
      <c r="C993" s="1" t="s">
        <v>1476</v>
      </c>
      <c r="D993" s="1" t="s">
        <v>1293</v>
      </c>
      <c r="E993" s="10">
        <v>0.68</v>
      </c>
    </row>
    <row r="994" spans="1:5" x14ac:dyDescent="0.3">
      <c r="A994" s="174" t="s">
        <v>757</v>
      </c>
      <c r="B994" s="174" t="s">
        <v>758</v>
      </c>
      <c r="C994" s="1" t="s">
        <v>351</v>
      </c>
      <c r="D994" s="1" t="s">
        <v>347</v>
      </c>
      <c r="E994" s="10">
        <v>2.78</v>
      </c>
    </row>
    <row r="995" spans="1:5" x14ac:dyDescent="0.3">
      <c r="A995" s="174" t="s">
        <v>757</v>
      </c>
      <c r="B995" s="174" t="s">
        <v>758</v>
      </c>
      <c r="C995" s="1" t="s">
        <v>352</v>
      </c>
      <c r="D995" s="1" t="s">
        <v>348</v>
      </c>
      <c r="E995" s="10">
        <v>1.74</v>
      </c>
    </row>
    <row r="996" spans="1:5" x14ac:dyDescent="0.3">
      <c r="A996" s="175" t="s">
        <v>757</v>
      </c>
      <c r="B996" s="174" t="s">
        <v>758</v>
      </c>
      <c r="C996" s="1" t="s">
        <v>353</v>
      </c>
      <c r="D996" s="1" t="s">
        <v>348</v>
      </c>
      <c r="E996" s="10">
        <v>0.17</v>
      </c>
    </row>
    <row r="997" spans="1:5" x14ac:dyDescent="0.3">
      <c r="A997" s="174" t="s">
        <v>655</v>
      </c>
      <c r="B997" s="174" t="s">
        <v>656</v>
      </c>
      <c r="C997" s="1" t="s">
        <v>453</v>
      </c>
      <c r="D997" s="1" t="s">
        <v>453</v>
      </c>
      <c r="E997" s="10">
        <v>265.04000000000002</v>
      </c>
    </row>
    <row r="998" spans="1:5" x14ac:dyDescent="0.3">
      <c r="A998" s="174" t="s">
        <v>655</v>
      </c>
      <c r="B998" s="174" t="s">
        <v>656</v>
      </c>
      <c r="C998" s="1" t="s">
        <v>350</v>
      </c>
      <c r="D998" s="1" t="s">
        <v>348</v>
      </c>
      <c r="E998" s="10">
        <v>1.98</v>
      </c>
    </row>
    <row r="999" spans="1:5" x14ac:dyDescent="0.3">
      <c r="A999" s="174" t="s">
        <v>655</v>
      </c>
      <c r="B999" s="174" t="s">
        <v>656</v>
      </c>
      <c r="C999" s="1" t="s">
        <v>1476</v>
      </c>
      <c r="D999" s="1" t="s">
        <v>1293</v>
      </c>
      <c r="E999" s="10">
        <v>0.27</v>
      </c>
    </row>
    <row r="1000" spans="1:5" x14ac:dyDescent="0.3">
      <c r="A1000" s="174" t="s">
        <v>655</v>
      </c>
      <c r="B1000" s="174" t="s">
        <v>656</v>
      </c>
      <c r="C1000" s="1" t="s">
        <v>351</v>
      </c>
      <c r="D1000" s="1" t="s">
        <v>347</v>
      </c>
      <c r="E1000" s="10">
        <v>3.77</v>
      </c>
    </row>
    <row r="1001" spans="1:5" x14ac:dyDescent="0.3">
      <c r="A1001" s="174" t="s">
        <v>655</v>
      </c>
      <c r="B1001" s="174" t="s">
        <v>656</v>
      </c>
      <c r="C1001" s="1" t="s">
        <v>352</v>
      </c>
      <c r="D1001" s="1" t="s">
        <v>348</v>
      </c>
      <c r="E1001" s="10">
        <v>2.74</v>
      </c>
    </row>
    <row r="1002" spans="1:5" x14ac:dyDescent="0.3">
      <c r="A1002" s="175" t="s">
        <v>655</v>
      </c>
      <c r="B1002" s="174" t="s">
        <v>656</v>
      </c>
      <c r="C1002" s="1" t="s">
        <v>353</v>
      </c>
      <c r="D1002" s="1" t="s">
        <v>348</v>
      </c>
      <c r="E1002" s="10">
        <v>0.31</v>
      </c>
    </row>
    <row r="1003" spans="1:5" x14ac:dyDescent="0.3">
      <c r="A1003" s="174" t="s">
        <v>657</v>
      </c>
      <c r="B1003" s="174" t="s">
        <v>658</v>
      </c>
      <c r="C1003" s="1" t="s">
        <v>453</v>
      </c>
      <c r="D1003" s="1" t="s">
        <v>453</v>
      </c>
      <c r="E1003" s="10">
        <v>221.8</v>
      </c>
    </row>
    <row r="1004" spans="1:5" x14ac:dyDescent="0.3">
      <c r="A1004" s="174" t="s">
        <v>657</v>
      </c>
      <c r="B1004" s="174" t="s">
        <v>658</v>
      </c>
      <c r="C1004" s="1" t="s">
        <v>350</v>
      </c>
      <c r="D1004" s="1" t="s">
        <v>348</v>
      </c>
      <c r="E1004" s="10">
        <v>1.98</v>
      </c>
    </row>
    <row r="1005" spans="1:5" x14ac:dyDescent="0.3">
      <c r="A1005" s="174" t="s">
        <v>657</v>
      </c>
      <c r="B1005" s="174" t="s">
        <v>658</v>
      </c>
      <c r="C1005" s="1" t="s">
        <v>1476</v>
      </c>
      <c r="D1005" s="1" t="s">
        <v>1293</v>
      </c>
      <c r="E1005" s="10">
        <v>0.22</v>
      </c>
    </row>
    <row r="1006" spans="1:5" x14ac:dyDescent="0.3">
      <c r="A1006" s="174" t="s">
        <v>657</v>
      </c>
      <c r="B1006" s="174" t="s">
        <v>658</v>
      </c>
      <c r="C1006" s="1" t="s">
        <v>351</v>
      </c>
      <c r="D1006" s="1" t="s">
        <v>347</v>
      </c>
      <c r="E1006" s="10">
        <v>2.46</v>
      </c>
    </row>
    <row r="1007" spans="1:5" x14ac:dyDescent="0.3">
      <c r="A1007" s="174" t="s">
        <v>657</v>
      </c>
      <c r="B1007" s="174" t="s">
        <v>658</v>
      </c>
      <c r="C1007" s="1" t="s">
        <v>352</v>
      </c>
      <c r="D1007" s="1" t="s">
        <v>348</v>
      </c>
      <c r="E1007" s="10">
        <v>1.79</v>
      </c>
    </row>
    <row r="1008" spans="1:5" x14ac:dyDescent="0.3">
      <c r="A1008" s="175" t="s">
        <v>657</v>
      </c>
      <c r="B1008" s="174" t="s">
        <v>658</v>
      </c>
      <c r="C1008" s="1" t="s">
        <v>353</v>
      </c>
      <c r="D1008" s="1" t="s">
        <v>348</v>
      </c>
      <c r="E1008" s="10">
        <v>0.2</v>
      </c>
    </row>
    <row r="1009" spans="1:5" x14ac:dyDescent="0.3">
      <c r="A1009" s="174" t="s">
        <v>759</v>
      </c>
      <c r="B1009" s="174" t="s">
        <v>760</v>
      </c>
      <c r="C1009" s="1" t="s">
        <v>453</v>
      </c>
      <c r="D1009" s="1" t="s">
        <v>453</v>
      </c>
      <c r="E1009" s="10">
        <v>602.87</v>
      </c>
    </row>
    <row r="1010" spans="1:5" x14ac:dyDescent="0.3">
      <c r="A1010" s="174" t="s">
        <v>759</v>
      </c>
      <c r="B1010" s="174" t="s">
        <v>760</v>
      </c>
      <c r="C1010" s="1" t="s">
        <v>350</v>
      </c>
      <c r="D1010" s="1" t="s">
        <v>348</v>
      </c>
      <c r="E1010" s="10">
        <v>1.98</v>
      </c>
    </row>
    <row r="1011" spans="1:5" x14ac:dyDescent="0.3">
      <c r="A1011" s="174" t="s">
        <v>759</v>
      </c>
      <c r="B1011" s="174" t="s">
        <v>760</v>
      </c>
      <c r="C1011" s="1" t="s">
        <v>1476</v>
      </c>
      <c r="D1011" s="1" t="s">
        <v>1293</v>
      </c>
      <c r="E1011" s="10">
        <v>0.6</v>
      </c>
    </row>
    <row r="1012" spans="1:5" x14ac:dyDescent="0.3">
      <c r="A1012" s="174" t="s">
        <v>759</v>
      </c>
      <c r="B1012" s="174" t="s">
        <v>760</v>
      </c>
      <c r="C1012" s="1" t="s">
        <v>351</v>
      </c>
      <c r="D1012" s="1" t="s">
        <v>347</v>
      </c>
      <c r="E1012" s="10">
        <v>3.02</v>
      </c>
    </row>
    <row r="1013" spans="1:5" x14ac:dyDescent="0.3">
      <c r="A1013" s="174" t="s">
        <v>759</v>
      </c>
      <c r="B1013" s="174" t="s">
        <v>760</v>
      </c>
      <c r="C1013" s="1" t="s">
        <v>352</v>
      </c>
      <c r="D1013" s="1" t="s">
        <v>348</v>
      </c>
      <c r="E1013" s="10">
        <v>2.2000000000000002</v>
      </c>
    </row>
    <row r="1014" spans="1:5" x14ac:dyDescent="0.3">
      <c r="A1014" s="175" t="s">
        <v>759</v>
      </c>
      <c r="B1014" s="174" t="s">
        <v>760</v>
      </c>
      <c r="C1014" s="1" t="s">
        <v>353</v>
      </c>
      <c r="D1014" s="1" t="s">
        <v>348</v>
      </c>
      <c r="E1014" s="10">
        <v>0.25</v>
      </c>
    </row>
    <row r="1015" spans="1:5" x14ac:dyDescent="0.3">
      <c r="A1015" s="174" t="s">
        <v>761</v>
      </c>
      <c r="B1015" s="174" t="s">
        <v>762</v>
      </c>
      <c r="C1015" s="1" t="s">
        <v>453</v>
      </c>
      <c r="D1015" s="1" t="s">
        <v>453</v>
      </c>
      <c r="E1015" s="10">
        <v>173.62</v>
      </c>
    </row>
    <row r="1016" spans="1:5" x14ac:dyDescent="0.3">
      <c r="A1016" s="174" t="s">
        <v>761</v>
      </c>
      <c r="B1016" s="174" t="s">
        <v>762</v>
      </c>
      <c r="C1016" s="1" t="s">
        <v>350</v>
      </c>
      <c r="D1016" s="1" t="s">
        <v>348</v>
      </c>
      <c r="E1016" s="10">
        <v>1.98</v>
      </c>
    </row>
    <row r="1017" spans="1:5" x14ac:dyDescent="0.3">
      <c r="A1017" s="174" t="s">
        <v>761</v>
      </c>
      <c r="B1017" s="174" t="s">
        <v>762</v>
      </c>
      <c r="C1017" s="1" t="s">
        <v>1476</v>
      </c>
      <c r="D1017" s="1" t="s">
        <v>1293</v>
      </c>
      <c r="E1017" s="10">
        <v>0.17</v>
      </c>
    </row>
    <row r="1018" spans="1:5" x14ac:dyDescent="0.3">
      <c r="A1018" s="174" t="s">
        <v>761</v>
      </c>
      <c r="B1018" s="174" t="s">
        <v>762</v>
      </c>
      <c r="C1018" s="1" t="s">
        <v>351</v>
      </c>
      <c r="D1018" s="1" t="s">
        <v>347</v>
      </c>
      <c r="E1018" s="10">
        <v>3.02</v>
      </c>
    </row>
    <row r="1019" spans="1:5" x14ac:dyDescent="0.3">
      <c r="A1019" s="174" t="s">
        <v>761</v>
      </c>
      <c r="B1019" s="174" t="s">
        <v>762</v>
      </c>
      <c r="C1019" s="1" t="s">
        <v>352</v>
      </c>
      <c r="D1019" s="1" t="s">
        <v>348</v>
      </c>
      <c r="E1019" s="10">
        <v>2.2000000000000002</v>
      </c>
    </row>
    <row r="1020" spans="1:5" x14ac:dyDescent="0.3">
      <c r="A1020" s="175" t="s">
        <v>761</v>
      </c>
      <c r="B1020" s="174" t="s">
        <v>762</v>
      </c>
      <c r="C1020" s="1" t="s">
        <v>353</v>
      </c>
      <c r="D1020" s="1" t="s">
        <v>348</v>
      </c>
      <c r="E1020" s="10">
        <v>0.25</v>
      </c>
    </row>
    <row r="1021" spans="1:5" x14ac:dyDescent="0.3">
      <c r="A1021" s="174" t="s">
        <v>763</v>
      </c>
      <c r="B1021" s="174" t="s">
        <v>764</v>
      </c>
      <c r="C1021" s="1" t="s">
        <v>453</v>
      </c>
      <c r="D1021" s="1" t="s">
        <v>453</v>
      </c>
      <c r="E1021" s="10">
        <v>481.47</v>
      </c>
    </row>
    <row r="1022" spans="1:5" x14ac:dyDescent="0.3">
      <c r="A1022" s="174" t="s">
        <v>763</v>
      </c>
      <c r="B1022" s="174" t="s">
        <v>764</v>
      </c>
      <c r="C1022" s="1" t="s">
        <v>350</v>
      </c>
      <c r="D1022" s="1" t="s">
        <v>348</v>
      </c>
      <c r="E1022" s="10">
        <v>1.92</v>
      </c>
    </row>
    <row r="1023" spans="1:5" x14ac:dyDescent="0.3">
      <c r="A1023" s="174" t="s">
        <v>763</v>
      </c>
      <c r="B1023" s="174" t="s">
        <v>764</v>
      </c>
      <c r="C1023" s="1" t="s">
        <v>1476</v>
      </c>
      <c r="D1023" s="1" t="s">
        <v>1293</v>
      </c>
      <c r="E1023" s="10">
        <v>0.48</v>
      </c>
    </row>
    <row r="1024" spans="1:5" x14ac:dyDescent="0.3">
      <c r="A1024" s="174" t="s">
        <v>763</v>
      </c>
      <c r="B1024" s="174" t="s">
        <v>764</v>
      </c>
      <c r="C1024" s="1" t="s">
        <v>351</v>
      </c>
      <c r="D1024" s="1" t="s">
        <v>347</v>
      </c>
      <c r="E1024" s="10">
        <v>2.78</v>
      </c>
    </row>
    <row r="1025" spans="1:5" x14ac:dyDescent="0.3">
      <c r="A1025" s="174" t="s">
        <v>763</v>
      </c>
      <c r="B1025" s="174" t="s">
        <v>764</v>
      </c>
      <c r="C1025" s="1" t="s">
        <v>352</v>
      </c>
      <c r="D1025" s="1" t="s">
        <v>348</v>
      </c>
      <c r="E1025" s="10">
        <v>1.74</v>
      </c>
    </row>
    <row r="1026" spans="1:5" x14ac:dyDescent="0.3">
      <c r="A1026" s="175" t="s">
        <v>763</v>
      </c>
      <c r="B1026" s="174" t="s">
        <v>764</v>
      </c>
      <c r="C1026" s="1" t="s">
        <v>353</v>
      </c>
      <c r="D1026" s="1" t="s">
        <v>348</v>
      </c>
      <c r="E1026" s="10">
        <v>0.17</v>
      </c>
    </row>
    <row r="1027" spans="1:5" x14ac:dyDescent="0.3">
      <c r="A1027" s="174" t="s">
        <v>765</v>
      </c>
      <c r="B1027" s="174" t="s">
        <v>766</v>
      </c>
      <c r="C1027" s="1" t="s">
        <v>453</v>
      </c>
      <c r="D1027" s="1" t="s">
        <v>453</v>
      </c>
      <c r="E1027" s="10">
        <v>178.61000000000007</v>
      </c>
    </row>
    <row r="1028" spans="1:5" x14ac:dyDescent="0.3">
      <c r="A1028" s="174" t="s">
        <v>765</v>
      </c>
      <c r="B1028" s="174" t="s">
        <v>766</v>
      </c>
      <c r="C1028" s="1" t="s">
        <v>350</v>
      </c>
      <c r="D1028" s="1" t="s">
        <v>348</v>
      </c>
      <c r="E1028" s="10">
        <v>1.98</v>
      </c>
    </row>
    <row r="1029" spans="1:5" x14ac:dyDescent="0.3">
      <c r="A1029" s="174" t="s">
        <v>765</v>
      </c>
      <c r="B1029" s="174" t="s">
        <v>766</v>
      </c>
      <c r="C1029" s="1" t="s">
        <v>1476</v>
      </c>
      <c r="D1029" s="1" t="s">
        <v>1293</v>
      </c>
      <c r="E1029" s="10">
        <v>0.18</v>
      </c>
    </row>
    <row r="1030" spans="1:5" x14ac:dyDescent="0.3">
      <c r="A1030" s="174" t="s">
        <v>765</v>
      </c>
      <c r="B1030" s="174" t="s">
        <v>766</v>
      </c>
      <c r="C1030" s="1" t="s">
        <v>351</v>
      </c>
      <c r="D1030" s="1" t="s">
        <v>347</v>
      </c>
      <c r="E1030" s="10">
        <v>2.19</v>
      </c>
    </row>
    <row r="1031" spans="1:5" x14ac:dyDescent="0.3">
      <c r="A1031" s="174" t="s">
        <v>765</v>
      </c>
      <c r="B1031" s="174" t="s">
        <v>766</v>
      </c>
      <c r="C1031" s="1" t="s">
        <v>352</v>
      </c>
      <c r="D1031" s="1" t="s">
        <v>348</v>
      </c>
      <c r="E1031" s="10">
        <v>1.59</v>
      </c>
    </row>
    <row r="1032" spans="1:5" x14ac:dyDescent="0.3">
      <c r="A1032" s="175" t="s">
        <v>765</v>
      </c>
      <c r="B1032" s="174" t="s">
        <v>766</v>
      </c>
      <c r="C1032" s="1" t="s">
        <v>353</v>
      </c>
      <c r="D1032" s="1" t="s">
        <v>348</v>
      </c>
      <c r="E1032" s="10">
        <v>0.18</v>
      </c>
    </row>
    <row r="1033" spans="1:5" x14ac:dyDescent="0.3">
      <c r="A1033" s="174" t="s">
        <v>1198</v>
      </c>
      <c r="B1033" s="174" t="s">
        <v>1199</v>
      </c>
      <c r="C1033" s="1" t="s">
        <v>453</v>
      </c>
      <c r="D1033" s="1" t="s">
        <v>453</v>
      </c>
      <c r="E1033" s="10">
        <v>264.51</v>
      </c>
    </row>
    <row r="1034" spans="1:5" x14ac:dyDescent="0.3">
      <c r="A1034" s="174" t="s">
        <v>1198</v>
      </c>
      <c r="B1034" s="174" t="s">
        <v>1199</v>
      </c>
      <c r="C1034" s="1" t="s">
        <v>350</v>
      </c>
      <c r="D1034" s="1" t="s">
        <v>348</v>
      </c>
      <c r="E1034" s="10">
        <v>1.92</v>
      </c>
    </row>
    <row r="1035" spans="1:5" x14ac:dyDescent="0.3">
      <c r="A1035" s="174" t="s">
        <v>1198</v>
      </c>
      <c r="B1035" s="174" t="s">
        <v>1199</v>
      </c>
      <c r="C1035" s="1" t="s">
        <v>1476</v>
      </c>
      <c r="D1035" s="1" t="s">
        <v>1293</v>
      </c>
      <c r="E1035" s="10">
        <v>0.26</v>
      </c>
    </row>
    <row r="1036" spans="1:5" x14ac:dyDescent="0.3">
      <c r="A1036" s="174" t="s">
        <v>1198</v>
      </c>
      <c r="B1036" s="174" t="s">
        <v>1199</v>
      </c>
      <c r="C1036" s="1" t="s">
        <v>351</v>
      </c>
      <c r="D1036" s="1" t="s">
        <v>347</v>
      </c>
      <c r="E1036" s="10">
        <v>2.0099999999999998</v>
      </c>
    </row>
    <row r="1037" spans="1:5" x14ac:dyDescent="0.3">
      <c r="A1037" s="174" t="s">
        <v>1198</v>
      </c>
      <c r="B1037" s="174" t="s">
        <v>1199</v>
      </c>
      <c r="C1037" s="1" t="s">
        <v>352</v>
      </c>
      <c r="D1037" s="1" t="s">
        <v>348</v>
      </c>
      <c r="E1037" s="10">
        <v>1.26</v>
      </c>
    </row>
    <row r="1038" spans="1:5" x14ac:dyDescent="0.3">
      <c r="A1038" s="175" t="s">
        <v>1198</v>
      </c>
      <c r="B1038" s="174" t="s">
        <v>1199</v>
      </c>
      <c r="C1038" s="1" t="s">
        <v>353</v>
      </c>
      <c r="D1038" s="1" t="s">
        <v>348</v>
      </c>
      <c r="E1038" s="10">
        <v>0.12</v>
      </c>
    </row>
    <row r="1039" spans="1:5" x14ac:dyDescent="0.3">
      <c r="A1039" s="174" t="s">
        <v>1200</v>
      </c>
      <c r="B1039" s="174" t="s">
        <v>1201</v>
      </c>
      <c r="C1039" s="1" t="s">
        <v>453</v>
      </c>
      <c r="D1039" s="1" t="s">
        <v>453</v>
      </c>
      <c r="E1039" s="10">
        <v>263.07000000000005</v>
      </c>
    </row>
    <row r="1040" spans="1:5" x14ac:dyDescent="0.3">
      <c r="A1040" s="174" t="s">
        <v>1200</v>
      </c>
      <c r="B1040" s="174" t="s">
        <v>1201</v>
      </c>
      <c r="C1040" s="1" t="s">
        <v>350</v>
      </c>
      <c r="D1040" s="1" t="s">
        <v>348</v>
      </c>
      <c r="E1040" s="10">
        <v>1.98</v>
      </c>
    </row>
    <row r="1041" spans="1:5" x14ac:dyDescent="0.3">
      <c r="A1041" s="174" t="s">
        <v>1200</v>
      </c>
      <c r="B1041" s="174" t="s">
        <v>1201</v>
      </c>
      <c r="C1041" s="1" t="s">
        <v>1476</v>
      </c>
      <c r="D1041" s="1" t="s">
        <v>1293</v>
      </c>
      <c r="E1041" s="10">
        <v>0.26</v>
      </c>
    </row>
    <row r="1042" spans="1:5" x14ac:dyDescent="0.3">
      <c r="A1042" s="174" t="s">
        <v>1200</v>
      </c>
      <c r="B1042" s="174" t="s">
        <v>1201</v>
      </c>
      <c r="C1042" s="1" t="s">
        <v>351</v>
      </c>
      <c r="D1042" s="1" t="s">
        <v>347</v>
      </c>
      <c r="E1042" s="10">
        <v>1.35</v>
      </c>
    </row>
    <row r="1043" spans="1:5" x14ac:dyDescent="0.3">
      <c r="A1043" s="174" t="s">
        <v>1200</v>
      </c>
      <c r="B1043" s="174" t="s">
        <v>1201</v>
      </c>
      <c r="C1043" s="1" t="s">
        <v>352</v>
      </c>
      <c r="D1043" s="1" t="s">
        <v>348</v>
      </c>
      <c r="E1043" s="10">
        <v>0.98</v>
      </c>
    </row>
    <row r="1044" spans="1:5" x14ac:dyDescent="0.3">
      <c r="A1044" s="175" t="s">
        <v>1200</v>
      </c>
      <c r="B1044" s="174" t="s">
        <v>1201</v>
      </c>
      <c r="C1044" s="1" t="s">
        <v>353</v>
      </c>
      <c r="D1044" s="1" t="s">
        <v>348</v>
      </c>
      <c r="E1044" s="10">
        <v>0.11</v>
      </c>
    </row>
    <row r="1045" spans="1:5" x14ac:dyDescent="0.3">
      <c r="A1045" s="174" t="s">
        <v>1202</v>
      </c>
      <c r="B1045" s="174" t="s">
        <v>1203</v>
      </c>
      <c r="C1045" s="1" t="s">
        <v>453</v>
      </c>
      <c r="D1045" s="1" t="s">
        <v>453</v>
      </c>
      <c r="E1045" s="10">
        <v>263.07000000000005</v>
      </c>
    </row>
    <row r="1046" spans="1:5" x14ac:dyDescent="0.3">
      <c r="A1046" s="174" t="s">
        <v>1202</v>
      </c>
      <c r="B1046" s="174" t="s">
        <v>1203</v>
      </c>
      <c r="C1046" s="1" t="s">
        <v>350</v>
      </c>
      <c r="D1046" s="1" t="s">
        <v>348</v>
      </c>
      <c r="E1046" s="10">
        <v>1.98</v>
      </c>
    </row>
    <row r="1047" spans="1:5" x14ac:dyDescent="0.3">
      <c r="A1047" s="174" t="s">
        <v>1202</v>
      </c>
      <c r="B1047" s="174" t="s">
        <v>1203</v>
      </c>
      <c r="C1047" s="1" t="s">
        <v>1476</v>
      </c>
      <c r="D1047" s="1" t="s">
        <v>1293</v>
      </c>
      <c r="E1047" s="10">
        <v>0.26</v>
      </c>
    </row>
    <row r="1048" spans="1:5" x14ac:dyDescent="0.3">
      <c r="A1048" s="174" t="s">
        <v>1202</v>
      </c>
      <c r="B1048" s="174" t="s">
        <v>1203</v>
      </c>
      <c r="C1048" s="1" t="s">
        <v>351</v>
      </c>
      <c r="D1048" s="1" t="s">
        <v>347</v>
      </c>
      <c r="E1048" s="10">
        <v>1.35</v>
      </c>
    </row>
    <row r="1049" spans="1:5" x14ac:dyDescent="0.3">
      <c r="A1049" s="174" t="s">
        <v>1202</v>
      </c>
      <c r="B1049" s="174" t="s">
        <v>1203</v>
      </c>
      <c r="C1049" s="1" t="s">
        <v>352</v>
      </c>
      <c r="D1049" s="1" t="s">
        <v>348</v>
      </c>
      <c r="E1049" s="10">
        <v>0.98</v>
      </c>
    </row>
    <row r="1050" spans="1:5" x14ac:dyDescent="0.3">
      <c r="A1050" s="175" t="s">
        <v>1202</v>
      </c>
      <c r="B1050" s="174" t="s">
        <v>1203</v>
      </c>
      <c r="C1050" s="1" t="s">
        <v>353</v>
      </c>
      <c r="D1050" s="1" t="s">
        <v>348</v>
      </c>
      <c r="E1050" s="10">
        <v>0.11</v>
      </c>
    </row>
    <row r="1051" spans="1:5" x14ac:dyDescent="0.3">
      <c r="A1051" s="174" t="s">
        <v>1204</v>
      </c>
      <c r="B1051" s="174" t="s">
        <v>1205</v>
      </c>
      <c r="C1051" s="1" t="s">
        <v>453</v>
      </c>
      <c r="D1051" s="1" t="s">
        <v>453</v>
      </c>
      <c r="E1051" s="10">
        <v>263.07000000000005</v>
      </c>
    </row>
    <row r="1052" spans="1:5" x14ac:dyDescent="0.3">
      <c r="A1052" s="174" t="s">
        <v>1204</v>
      </c>
      <c r="B1052" s="174" t="s">
        <v>1205</v>
      </c>
      <c r="C1052" s="1" t="s">
        <v>350</v>
      </c>
      <c r="D1052" s="1" t="s">
        <v>348</v>
      </c>
      <c r="E1052" s="10">
        <v>1.98</v>
      </c>
    </row>
    <row r="1053" spans="1:5" x14ac:dyDescent="0.3">
      <c r="A1053" s="174" t="s">
        <v>1204</v>
      </c>
      <c r="B1053" s="174" t="s">
        <v>1205</v>
      </c>
      <c r="C1053" s="1" t="s">
        <v>1476</v>
      </c>
      <c r="D1053" s="1" t="s">
        <v>1293</v>
      </c>
      <c r="E1053" s="10">
        <v>0.26</v>
      </c>
    </row>
    <row r="1054" spans="1:5" x14ac:dyDescent="0.3">
      <c r="A1054" s="174" t="s">
        <v>1204</v>
      </c>
      <c r="B1054" s="174" t="s">
        <v>1205</v>
      </c>
      <c r="C1054" s="1" t="s">
        <v>351</v>
      </c>
      <c r="D1054" s="1" t="s">
        <v>347</v>
      </c>
      <c r="E1054" s="10">
        <v>1.35</v>
      </c>
    </row>
    <row r="1055" spans="1:5" x14ac:dyDescent="0.3">
      <c r="A1055" s="174" t="s">
        <v>1204</v>
      </c>
      <c r="B1055" s="174" t="s">
        <v>1205</v>
      </c>
      <c r="C1055" s="1" t="s">
        <v>352</v>
      </c>
      <c r="D1055" s="1" t="s">
        <v>348</v>
      </c>
      <c r="E1055" s="10">
        <v>0.98</v>
      </c>
    </row>
    <row r="1056" spans="1:5" x14ac:dyDescent="0.3">
      <c r="A1056" s="175" t="s">
        <v>1204</v>
      </c>
      <c r="B1056" s="174" t="s">
        <v>1205</v>
      </c>
      <c r="C1056" s="1" t="s">
        <v>353</v>
      </c>
      <c r="D1056" s="1" t="s">
        <v>348</v>
      </c>
      <c r="E1056" s="10">
        <v>0.11</v>
      </c>
    </row>
    <row r="1057" spans="1:5" x14ac:dyDescent="0.3">
      <c r="A1057" s="174" t="s">
        <v>1206</v>
      </c>
      <c r="B1057" s="174" t="s">
        <v>1207</v>
      </c>
      <c r="C1057" s="1" t="s">
        <v>453</v>
      </c>
      <c r="D1057" s="1" t="s">
        <v>453</v>
      </c>
      <c r="E1057" s="10">
        <v>240.80000000000007</v>
      </c>
    </row>
    <row r="1058" spans="1:5" x14ac:dyDescent="0.3">
      <c r="A1058" s="174" t="s">
        <v>1206</v>
      </c>
      <c r="B1058" s="174" t="s">
        <v>1207</v>
      </c>
      <c r="C1058" s="1" t="s">
        <v>350</v>
      </c>
      <c r="D1058" s="1" t="s">
        <v>348</v>
      </c>
      <c r="E1058" s="10">
        <v>1.98</v>
      </c>
    </row>
    <row r="1059" spans="1:5" x14ac:dyDescent="0.3">
      <c r="A1059" s="174" t="s">
        <v>1206</v>
      </c>
      <c r="B1059" s="174" t="s">
        <v>1207</v>
      </c>
      <c r="C1059" s="1" t="s">
        <v>1476</v>
      </c>
      <c r="D1059" s="1" t="s">
        <v>1293</v>
      </c>
      <c r="E1059" s="10">
        <v>0.24</v>
      </c>
    </row>
    <row r="1060" spans="1:5" x14ac:dyDescent="0.3">
      <c r="A1060" s="174" t="s">
        <v>1206</v>
      </c>
      <c r="B1060" s="174" t="s">
        <v>1207</v>
      </c>
      <c r="C1060" s="1" t="s">
        <v>351</v>
      </c>
      <c r="D1060" s="1" t="s">
        <v>347</v>
      </c>
      <c r="E1060" s="10">
        <v>6</v>
      </c>
    </row>
    <row r="1061" spans="1:5" x14ac:dyDescent="0.3">
      <c r="A1061" s="174" t="s">
        <v>1206</v>
      </c>
      <c r="B1061" s="174" t="s">
        <v>1207</v>
      </c>
      <c r="C1061" s="1" t="s">
        <v>352</v>
      </c>
      <c r="D1061" s="1" t="s">
        <v>348</v>
      </c>
      <c r="E1061" s="10">
        <v>4.3600000000000003</v>
      </c>
    </row>
    <row r="1062" spans="1:5" x14ac:dyDescent="0.3">
      <c r="A1062" s="175" t="s">
        <v>1206</v>
      </c>
      <c r="B1062" s="174" t="s">
        <v>1207</v>
      </c>
      <c r="C1062" s="1" t="s">
        <v>353</v>
      </c>
      <c r="D1062" s="1" t="s">
        <v>348</v>
      </c>
      <c r="E1062" s="10">
        <v>0.49</v>
      </c>
    </row>
    <row r="1063" spans="1:5" x14ac:dyDescent="0.3">
      <c r="A1063" s="174" t="s">
        <v>1208</v>
      </c>
      <c r="B1063" s="174" t="s">
        <v>1209</v>
      </c>
      <c r="C1063" s="1" t="s">
        <v>453</v>
      </c>
      <c r="D1063" s="1" t="s">
        <v>453</v>
      </c>
      <c r="E1063" s="10">
        <v>99.710000000000008</v>
      </c>
    </row>
    <row r="1064" spans="1:5" x14ac:dyDescent="0.3">
      <c r="A1064" s="174" t="s">
        <v>1208</v>
      </c>
      <c r="B1064" s="174" t="s">
        <v>1209</v>
      </c>
      <c r="C1064" s="1" t="s">
        <v>350</v>
      </c>
      <c r="D1064" s="1" t="s">
        <v>348</v>
      </c>
      <c r="E1064" s="10">
        <v>1.98</v>
      </c>
    </row>
    <row r="1065" spans="1:5" x14ac:dyDescent="0.3">
      <c r="A1065" s="174" t="s">
        <v>1208</v>
      </c>
      <c r="B1065" s="174" t="s">
        <v>1209</v>
      </c>
      <c r="C1065" s="1" t="s">
        <v>1476</v>
      </c>
      <c r="D1065" s="1" t="s">
        <v>1293</v>
      </c>
      <c r="E1065" s="10">
        <v>0.1</v>
      </c>
    </row>
    <row r="1066" spans="1:5" x14ac:dyDescent="0.3">
      <c r="A1066" s="174" t="s">
        <v>1208</v>
      </c>
      <c r="B1066" s="174" t="s">
        <v>1209</v>
      </c>
      <c r="C1066" s="1" t="s">
        <v>351</v>
      </c>
      <c r="D1066" s="1" t="s">
        <v>347</v>
      </c>
      <c r="E1066" s="10">
        <v>0.84</v>
      </c>
    </row>
    <row r="1067" spans="1:5" x14ac:dyDescent="0.3">
      <c r="A1067" s="174" t="s">
        <v>1208</v>
      </c>
      <c r="B1067" s="174" t="s">
        <v>1209</v>
      </c>
      <c r="C1067" s="1" t="s">
        <v>352</v>
      </c>
      <c r="D1067" s="1" t="s">
        <v>348</v>
      </c>
      <c r="E1067" s="10">
        <v>0.61</v>
      </c>
    </row>
    <row r="1068" spans="1:5" x14ac:dyDescent="0.3">
      <c r="A1068" s="175" t="s">
        <v>1208</v>
      </c>
      <c r="B1068" s="174" t="s">
        <v>1209</v>
      </c>
      <c r="C1068" s="1" t="s">
        <v>353</v>
      </c>
      <c r="D1068" s="1" t="s">
        <v>348</v>
      </c>
      <c r="E1068" s="10">
        <v>7.0000000000000007E-2</v>
      </c>
    </row>
    <row r="1069" spans="1:5" x14ac:dyDescent="0.3">
      <c r="A1069" s="174" t="s">
        <v>1510</v>
      </c>
      <c r="B1069" s="174" t="s">
        <v>1511</v>
      </c>
      <c r="C1069" s="1" t="s">
        <v>453</v>
      </c>
      <c r="D1069" s="1" t="s">
        <v>453</v>
      </c>
      <c r="E1069" s="10">
        <v>425.2699999999997</v>
      </c>
    </row>
    <row r="1070" spans="1:5" x14ac:dyDescent="0.3">
      <c r="A1070" s="174" t="s">
        <v>1510</v>
      </c>
      <c r="B1070" s="174" t="s">
        <v>1511</v>
      </c>
      <c r="C1070" s="1" t="s">
        <v>350</v>
      </c>
      <c r="D1070" s="1" t="s">
        <v>348</v>
      </c>
      <c r="E1070" s="10">
        <v>1.98</v>
      </c>
    </row>
    <row r="1071" spans="1:5" x14ac:dyDescent="0.3">
      <c r="A1071" s="174" t="s">
        <v>1510</v>
      </c>
      <c r="B1071" s="174" t="s">
        <v>1511</v>
      </c>
      <c r="C1071" s="1" t="s">
        <v>1476</v>
      </c>
      <c r="D1071" s="1" t="s">
        <v>1293</v>
      </c>
      <c r="E1071" s="10">
        <v>0.43</v>
      </c>
    </row>
    <row r="1072" spans="1:5" x14ac:dyDescent="0.3">
      <c r="A1072" s="174" t="s">
        <v>1510</v>
      </c>
      <c r="B1072" s="174" t="s">
        <v>1511</v>
      </c>
      <c r="C1072" s="1" t="s">
        <v>351</v>
      </c>
      <c r="D1072" s="1" t="s">
        <v>347</v>
      </c>
      <c r="E1072" s="10">
        <v>3.02</v>
      </c>
    </row>
    <row r="1073" spans="1:5" x14ac:dyDescent="0.3">
      <c r="A1073" s="174" t="s">
        <v>1510</v>
      </c>
      <c r="B1073" s="174" t="s">
        <v>1511</v>
      </c>
      <c r="C1073" s="1" t="s">
        <v>352</v>
      </c>
      <c r="D1073" s="1" t="s">
        <v>348</v>
      </c>
      <c r="E1073" s="10">
        <v>2.2000000000000002</v>
      </c>
    </row>
    <row r="1074" spans="1:5" x14ac:dyDescent="0.3">
      <c r="A1074" s="175" t="s">
        <v>1510</v>
      </c>
      <c r="B1074" s="174" t="s">
        <v>1511</v>
      </c>
      <c r="C1074" s="1" t="s">
        <v>353</v>
      </c>
      <c r="D1074" s="1" t="s">
        <v>348</v>
      </c>
      <c r="E1074" s="10">
        <v>0.25</v>
      </c>
    </row>
    <row r="1075" spans="1:5" x14ac:dyDescent="0.3">
      <c r="A1075" s="174" t="s">
        <v>1512</v>
      </c>
      <c r="B1075" s="174" t="s">
        <v>1513</v>
      </c>
      <c r="C1075" s="1" t="s">
        <v>453</v>
      </c>
      <c r="D1075" s="1" t="s">
        <v>453</v>
      </c>
      <c r="E1075" s="10">
        <v>99.710000000000008</v>
      </c>
    </row>
    <row r="1076" spans="1:5" x14ac:dyDescent="0.3">
      <c r="A1076" s="174" t="s">
        <v>1512</v>
      </c>
      <c r="B1076" s="174" t="s">
        <v>1513</v>
      </c>
      <c r="C1076" s="1" t="s">
        <v>350</v>
      </c>
      <c r="D1076" s="1" t="s">
        <v>348</v>
      </c>
      <c r="E1076" s="10">
        <v>1.98</v>
      </c>
    </row>
    <row r="1077" spans="1:5" x14ac:dyDescent="0.3">
      <c r="A1077" s="174" t="s">
        <v>1512</v>
      </c>
      <c r="B1077" s="174" t="s">
        <v>1513</v>
      </c>
      <c r="C1077" s="1" t="s">
        <v>1476</v>
      </c>
      <c r="D1077" s="1" t="s">
        <v>1293</v>
      </c>
      <c r="E1077" s="10">
        <v>0.1</v>
      </c>
    </row>
    <row r="1078" spans="1:5" x14ac:dyDescent="0.3">
      <c r="A1078" s="174" t="s">
        <v>1512</v>
      </c>
      <c r="B1078" s="174" t="s">
        <v>1513</v>
      </c>
      <c r="C1078" s="1" t="s">
        <v>351</v>
      </c>
      <c r="D1078" s="1" t="s">
        <v>347</v>
      </c>
      <c r="E1078" s="10">
        <v>0.84</v>
      </c>
    </row>
    <row r="1079" spans="1:5" x14ac:dyDescent="0.3">
      <c r="A1079" s="174" t="s">
        <v>1512</v>
      </c>
      <c r="B1079" s="174" t="s">
        <v>1513</v>
      </c>
      <c r="C1079" s="1" t="s">
        <v>352</v>
      </c>
      <c r="D1079" s="1" t="s">
        <v>348</v>
      </c>
      <c r="E1079" s="10">
        <v>0.61</v>
      </c>
    </row>
    <row r="1080" spans="1:5" x14ac:dyDescent="0.3">
      <c r="A1080" s="175" t="s">
        <v>1512</v>
      </c>
      <c r="B1080" s="174" t="s">
        <v>1513</v>
      </c>
      <c r="C1080" s="1" t="s">
        <v>353</v>
      </c>
      <c r="D1080" s="1" t="s">
        <v>348</v>
      </c>
      <c r="E1080" s="10">
        <v>7.0000000000000007E-2</v>
      </c>
    </row>
    <row r="1081" spans="1:5" x14ac:dyDescent="0.3">
      <c r="A1081" s="174" t="s">
        <v>1514</v>
      </c>
      <c r="B1081" s="174" t="s">
        <v>1515</v>
      </c>
      <c r="C1081" s="1" t="s">
        <v>453</v>
      </c>
      <c r="D1081" s="1" t="s">
        <v>453</v>
      </c>
      <c r="E1081" s="10">
        <v>99.710000000000008</v>
      </c>
    </row>
    <row r="1082" spans="1:5" x14ac:dyDescent="0.3">
      <c r="A1082" s="174" t="s">
        <v>1514</v>
      </c>
      <c r="B1082" s="174" t="s">
        <v>1515</v>
      </c>
      <c r="C1082" s="1" t="s">
        <v>350</v>
      </c>
      <c r="D1082" s="1" t="s">
        <v>348</v>
      </c>
      <c r="E1082" s="10">
        <v>1.98</v>
      </c>
    </row>
    <row r="1083" spans="1:5" x14ac:dyDescent="0.3">
      <c r="A1083" s="174" t="s">
        <v>1514</v>
      </c>
      <c r="B1083" s="174" t="s">
        <v>1515</v>
      </c>
      <c r="C1083" s="1" t="s">
        <v>1476</v>
      </c>
      <c r="D1083" s="1" t="s">
        <v>1293</v>
      </c>
      <c r="E1083" s="10">
        <v>0.1</v>
      </c>
    </row>
    <row r="1084" spans="1:5" x14ac:dyDescent="0.3">
      <c r="A1084" s="174" t="s">
        <v>1514</v>
      </c>
      <c r="B1084" s="174" t="s">
        <v>1515</v>
      </c>
      <c r="C1084" s="1" t="s">
        <v>351</v>
      </c>
      <c r="D1084" s="1" t="s">
        <v>347</v>
      </c>
      <c r="E1084" s="10">
        <v>0.84</v>
      </c>
    </row>
    <row r="1085" spans="1:5" x14ac:dyDescent="0.3">
      <c r="A1085" s="174" t="s">
        <v>1514</v>
      </c>
      <c r="B1085" s="174" t="s">
        <v>1515</v>
      </c>
      <c r="C1085" s="1" t="s">
        <v>352</v>
      </c>
      <c r="D1085" s="1" t="s">
        <v>348</v>
      </c>
      <c r="E1085" s="10">
        <v>0.61</v>
      </c>
    </row>
    <row r="1086" spans="1:5" x14ac:dyDescent="0.3">
      <c r="A1086" s="175" t="s">
        <v>1514</v>
      </c>
      <c r="B1086" s="174" t="s">
        <v>1515</v>
      </c>
      <c r="C1086" s="1" t="s">
        <v>353</v>
      </c>
      <c r="D1086" s="1" t="s">
        <v>348</v>
      </c>
      <c r="E1086" s="10">
        <v>7.0000000000000007E-2</v>
      </c>
    </row>
    <row r="1087" spans="1:5" x14ac:dyDescent="0.3">
      <c r="A1087" s="174" t="s">
        <v>1516</v>
      </c>
      <c r="B1087" s="174" t="s">
        <v>1517</v>
      </c>
      <c r="C1087" s="1" t="s">
        <v>453</v>
      </c>
      <c r="D1087" s="1" t="s">
        <v>453</v>
      </c>
      <c r="E1087" s="10">
        <v>99.710000000000008</v>
      </c>
    </row>
    <row r="1088" spans="1:5" x14ac:dyDescent="0.3">
      <c r="A1088" s="174" t="s">
        <v>1516</v>
      </c>
      <c r="B1088" s="174" t="s">
        <v>1517</v>
      </c>
      <c r="C1088" s="1" t="s">
        <v>350</v>
      </c>
      <c r="D1088" s="1" t="s">
        <v>348</v>
      </c>
      <c r="E1088" s="10">
        <v>1.98</v>
      </c>
    </row>
    <row r="1089" spans="1:5" x14ac:dyDescent="0.3">
      <c r="A1089" s="174" t="s">
        <v>1516</v>
      </c>
      <c r="B1089" s="174" t="s">
        <v>1517</v>
      </c>
      <c r="C1089" s="1" t="s">
        <v>1476</v>
      </c>
      <c r="D1089" s="1" t="s">
        <v>1293</v>
      </c>
      <c r="E1089" s="10">
        <v>0.1</v>
      </c>
    </row>
    <row r="1090" spans="1:5" x14ac:dyDescent="0.3">
      <c r="A1090" s="174" t="s">
        <v>1516</v>
      </c>
      <c r="B1090" s="174" t="s">
        <v>1517</v>
      </c>
      <c r="C1090" s="1" t="s">
        <v>351</v>
      </c>
      <c r="D1090" s="1" t="s">
        <v>347</v>
      </c>
      <c r="E1090" s="10">
        <v>0.84</v>
      </c>
    </row>
    <row r="1091" spans="1:5" x14ac:dyDescent="0.3">
      <c r="A1091" s="174" t="s">
        <v>1516</v>
      </c>
      <c r="B1091" s="174" t="s">
        <v>1517</v>
      </c>
      <c r="C1091" s="1" t="s">
        <v>352</v>
      </c>
      <c r="D1091" s="1" t="s">
        <v>348</v>
      </c>
      <c r="E1091" s="10">
        <v>0.61</v>
      </c>
    </row>
    <row r="1092" spans="1:5" x14ac:dyDescent="0.3">
      <c r="A1092" s="175" t="s">
        <v>1516</v>
      </c>
      <c r="B1092" s="174" t="s">
        <v>1517</v>
      </c>
      <c r="C1092" s="1" t="s">
        <v>353</v>
      </c>
      <c r="D1092" s="1" t="s">
        <v>348</v>
      </c>
      <c r="E1092" s="10">
        <v>7.0000000000000007E-2</v>
      </c>
    </row>
    <row r="1093" spans="1:5" x14ac:dyDescent="0.3">
      <c r="A1093" s="174" t="s">
        <v>1557</v>
      </c>
      <c r="B1093" s="174" t="s">
        <v>1558</v>
      </c>
      <c r="C1093" s="1" t="s">
        <v>453</v>
      </c>
      <c r="D1093" s="1" t="s">
        <v>453</v>
      </c>
      <c r="E1093" s="10">
        <v>161.87000000000003</v>
      </c>
    </row>
    <row r="1094" spans="1:5" x14ac:dyDescent="0.3">
      <c r="A1094" s="174" t="s">
        <v>1557</v>
      </c>
      <c r="B1094" s="174" t="s">
        <v>1558</v>
      </c>
      <c r="C1094" s="1" t="s">
        <v>350</v>
      </c>
      <c r="D1094" s="1" t="s">
        <v>348</v>
      </c>
      <c r="E1094" s="10">
        <v>1.98</v>
      </c>
    </row>
    <row r="1095" spans="1:5" x14ac:dyDescent="0.3">
      <c r="A1095" s="174" t="s">
        <v>1557</v>
      </c>
      <c r="B1095" s="174" t="s">
        <v>1558</v>
      </c>
      <c r="C1095" s="1" t="s">
        <v>1476</v>
      </c>
      <c r="D1095" s="1" t="s">
        <v>1293</v>
      </c>
      <c r="E1095" s="10">
        <v>0.16</v>
      </c>
    </row>
    <row r="1096" spans="1:5" x14ac:dyDescent="0.3">
      <c r="A1096" s="174" t="s">
        <v>1557</v>
      </c>
      <c r="B1096" s="174" t="s">
        <v>1558</v>
      </c>
      <c r="C1096" s="1" t="s">
        <v>351</v>
      </c>
      <c r="D1096" s="1" t="s">
        <v>347</v>
      </c>
      <c r="E1096" s="10">
        <v>1.1200000000000001</v>
      </c>
    </row>
    <row r="1097" spans="1:5" x14ac:dyDescent="0.3">
      <c r="A1097" s="174" t="s">
        <v>1557</v>
      </c>
      <c r="B1097" s="174" t="s">
        <v>1558</v>
      </c>
      <c r="C1097" s="1" t="s">
        <v>352</v>
      </c>
      <c r="D1097" s="1" t="s">
        <v>348</v>
      </c>
      <c r="E1097" s="10">
        <v>0.81</v>
      </c>
    </row>
    <row r="1098" spans="1:5" x14ac:dyDescent="0.3">
      <c r="A1098" s="175" t="s">
        <v>1557</v>
      </c>
      <c r="B1098" s="174" t="s">
        <v>1558</v>
      </c>
      <c r="C1098" s="1" t="s">
        <v>353</v>
      </c>
      <c r="D1098" s="1" t="s">
        <v>348</v>
      </c>
      <c r="E1098" s="10">
        <v>0.09</v>
      </c>
    </row>
    <row r="1099" spans="1:5" x14ac:dyDescent="0.3">
      <c r="A1099" s="174" t="s">
        <v>1559</v>
      </c>
      <c r="B1099" s="174" t="s">
        <v>1560</v>
      </c>
      <c r="C1099" s="1" t="s">
        <v>453</v>
      </c>
      <c r="D1099" s="1" t="s">
        <v>453</v>
      </c>
      <c r="E1099" s="10">
        <v>161.87</v>
      </c>
    </row>
    <row r="1100" spans="1:5" x14ac:dyDescent="0.3">
      <c r="A1100" s="174" t="s">
        <v>1559</v>
      </c>
      <c r="B1100" s="174" t="s">
        <v>1560</v>
      </c>
      <c r="C1100" s="1" t="s">
        <v>350</v>
      </c>
      <c r="D1100" s="1" t="s">
        <v>348</v>
      </c>
      <c r="E1100" s="10">
        <v>1.98</v>
      </c>
    </row>
    <row r="1101" spans="1:5" x14ac:dyDescent="0.3">
      <c r="A1101" s="174" t="s">
        <v>1559</v>
      </c>
      <c r="B1101" s="174" t="s">
        <v>1560</v>
      </c>
      <c r="C1101" s="1" t="s">
        <v>1476</v>
      </c>
      <c r="D1101" s="1" t="s">
        <v>1293</v>
      </c>
      <c r="E1101" s="10">
        <v>0.16</v>
      </c>
    </row>
    <row r="1102" spans="1:5" x14ac:dyDescent="0.3">
      <c r="A1102" s="174" t="s">
        <v>1559</v>
      </c>
      <c r="B1102" s="174" t="s">
        <v>1560</v>
      </c>
      <c r="C1102" s="1" t="s">
        <v>351</v>
      </c>
      <c r="D1102" s="1" t="s">
        <v>347</v>
      </c>
      <c r="E1102" s="10">
        <v>1.1200000000000001</v>
      </c>
    </row>
    <row r="1103" spans="1:5" x14ac:dyDescent="0.3">
      <c r="A1103" s="174" t="s">
        <v>1559</v>
      </c>
      <c r="B1103" s="174" t="s">
        <v>1560</v>
      </c>
      <c r="C1103" s="1" t="s">
        <v>352</v>
      </c>
      <c r="D1103" s="1" t="s">
        <v>348</v>
      </c>
      <c r="E1103" s="10">
        <v>0.81</v>
      </c>
    </row>
    <row r="1104" spans="1:5" x14ac:dyDescent="0.3">
      <c r="A1104" s="175" t="s">
        <v>1559</v>
      </c>
      <c r="B1104" s="174" t="s">
        <v>1560</v>
      </c>
      <c r="C1104" s="1" t="s">
        <v>353</v>
      </c>
      <c r="D1104" s="1" t="s">
        <v>348</v>
      </c>
      <c r="E1104" s="10">
        <v>0.09</v>
      </c>
    </row>
    <row r="1105" spans="1:5" x14ac:dyDescent="0.3">
      <c r="A1105" s="174" t="s">
        <v>1561</v>
      </c>
      <c r="B1105" s="174" t="s">
        <v>1562</v>
      </c>
      <c r="C1105" s="1" t="s">
        <v>453</v>
      </c>
      <c r="D1105" s="1" t="s">
        <v>453</v>
      </c>
      <c r="E1105" s="10">
        <v>161.87</v>
      </c>
    </row>
    <row r="1106" spans="1:5" x14ac:dyDescent="0.3">
      <c r="A1106" s="174" t="s">
        <v>1561</v>
      </c>
      <c r="B1106" s="174" t="s">
        <v>1562</v>
      </c>
      <c r="C1106" s="1" t="s">
        <v>350</v>
      </c>
      <c r="D1106" s="1" t="s">
        <v>348</v>
      </c>
      <c r="E1106" s="10">
        <v>1.98</v>
      </c>
    </row>
    <row r="1107" spans="1:5" x14ac:dyDescent="0.3">
      <c r="A1107" s="174" t="s">
        <v>1561</v>
      </c>
      <c r="B1107" s="174" t="s">
        <v>1562</v>
      </c>
      <c r="C1107" s="1" t="s">
        <v>1476</v>
      </c>
      <c r="D1107" s="1" t="s">
        <v>1293</v>
      </c>
      <c r="E1107" s="10">
        <v>0.16</v>
      </c>
    </row>
    <row r="1108" spans="1:5" x14ac:dyDescent="0.3">
      <c r="A1108" s="174" t="s">
        <v>1561</v>
      </c>
      <c r="B1108" s="174" t="s">
        <v>1562</v>
      </c>
      <c r="C1108" s="1" t="s">
        <v>351</v>
      </c>
      <c r="D1108" s="1" t="s">
        <v>347</v>
      </c>
      <c r="E1108" s="10">
        <v>1.1200000000000001</v>
      </c>
    </row>
    <row r="1109" spans="1:5" x14ac:dyDescent="0.3">
      <c r="A1109" s="174" t="s">
        <v>1561</v>
      </c>
      <c r="B1109" s="174" t="s">
        <v>1562</v>
      </c>
      <c r="C1109" s="1" t="s">
        <v>352</v>
      </c>
      <c r="D1109" s="1" t="s">
        <v>348</v>
      </c>
      <c r="E1109" s="10">
        <v>0.81</v>
      </c>
    </row>
    <row r="1110" spans="1:5" x14ac:dyDescent="0.3">
      <c r="A1110" s="175" t="s">
        <v>1561</v>
      </c>
      <c r="B1110" s="174" t="s">
        <v>1562</v>
      </c>
      <c r="C1110" s="1" t="s">
        <v>353</v>
      </c>
      <c r="D1110" s="1" t="s">
        <v>348</v>
      </c>
      <c r="E1110" s="10">
        <v>0.09</v>
      </c>
    </row>
    <row r="1111" spans="1:5" x14ac:dyDescent="0.3">
      <c r="A1111" s="174" t="s">
        <v>1563</v>
      </c>
      <c r="B1111" s="174" t="s">
        <v>1564</v>
      </c>
      <c r="C1111" s="1" t="s">
        <v>453</v>
      </c>
      <c r="D1111" s="1" t="s">
        <v>453</v>
      </c>
      <c r="E1111" s="10">
        <v>161.87</v>
      </c>
    </row>
    <row r="1112" spans="1:5" x14ac:dyDescent="0.3">
      <c r="A1112" s="174" t="s">
        <v>1563</v>
      </c>
      <c r="B1112" s="174" t="s">
        <v>1564</v>
      </c>
      <c r="C1112" s="1" t="s">
        <v>350</v>
      </c>
      <c r="D1112" s="1" t="s">
        <v>348</v>
      </c>
      <c r="E1112" s="10">
        <v>1.98</v>
      </c>
    </row>
    <row r="1113" spans="1:5" x14ac:dyDescent="0.3">
      <c r="A1113" s="174" t="s">
        <v>1563</v>
      </c>
      <c r="B1113" s="174" t="s">
        <v>1564</v>
      </c>
      <c r="C1113" s="1" t="s">
        <v>1476</v>
      </c>
      <c r="D1113" s="1" t="s">
        <v>1293</v>
      </c>
      <c r="E1113" s="10">
        <v>0.16</v>
      </c>
    </row>
    <row r="1114" spans="1:5" x14ac:dyDescent="0.3">
      <c r="A1114" s="174" t="s">
        <v>1563</v>
      </c>
      <c r="B1114" s="174" t="s">
        <v>1564</v>
      </c>
      <c r="C1114" s="1" t="s">
        <v>351</v>
      </c>
      <c r="D1114" s="1" t="s">
        <v>347</v>
      </c>
      <c r="E1114" s="10">
        <v>1.1200000000000001</v>
      </c>
    </row>
    <row r="1115" spans="1:5" x14ac:dyDescent="0.3">
      <c r="A1115" s="174" t="s">
        <v>1563</v>
      </c>
      <c r="B1115" s="174" t="s">
        <v>1564</v>
      </c>
      <c r="C1115" s="1" t="s">
        <v>352</v>
      </c>
      <c r="D1115" s="1" t="s">
        <v>348</v>
      </c>
      <c r="E1115" s="10">
        <v>0.81</v>
      </c>
    </row>
    <row r="1116" spans="1:5" x14ac:dyDescent="0.3">
      <c r="A1116" s="175" t="s">
        <v>1563</v>
      </c>
      <c r="B1116" s="174" t="s">
        <v>1564</v>
      </c>
      <c r="C1116" s="1" t="s">
        <v>353</v>
      </c>
      <c r="D1116" s="1" t="s">
        <v>348</v>
      </c>
      <c r="E1116" s="10">
        <v>0.09</v>
      </c>
    </row>
    <row r="1117" spans="1:5" x14ac:dyDescent="0.3">
      <c r="A1117" s="174" t="s">
        <v>1565</v>
      </c>
      <c r="B1117" s="174" t="s">
        <v>1566</v>
      </c>
      <c r="C1117" s="1" t="s">
        <v>453</v>
      </c>
      <c r="D1117" s="1" t="s">
        <v>453</v>
      </c>
      <c r="E1117" s="10">
        <v>161.87000000000003</v>
      </c>
    </row>
    <row r="1118" spans="1:5" x14ac:dyDescent="0.3">
      <c r="A1118" s="174" t="s">
        <v>1565</v>
      </c>
      <c r="B1118" s="174" t="s">
        <v>1566</v>
      </c>
      <c r="C1118" s="1" t="s">
        <v>350</v>
      </c>
      <c r="D1118" s="1" t="s">
        <v>348</v>
      </c>
      <c r="E1118" s="10">
        <v>1.98</v>
      </c>
    </row>
    <row r="1119" spans="1:5" x14ac:dyDescent="0.3">
      <c r="A1119" s="174" t="s">
        <v>1565</v>
      </c>
      <c r="B1119" s="174" t="s">
        <v>1566</v>
      </c>
      <c r="C1119" s="1" t="s">
        <v>1476</v>
      </c>
      <c r="D1119" s="1" t="s">
        <v>1293</v>
      </c>
      <c r="E1119" s="10">
        <v>0.16</v>
      </c>
    </row>
    <row r="1120" spans="1:5" x14ac:dyDescent="0.3">
      <c r="A1120" s="174" t="s">
        <v>1565</v>
      </c>
      <c r="B1120" s="174" t="s">
        <v>1566</v>
      </c>
      <c r="C1120" s="1" t="s">
        <v>351</v>
      </c>
      <c r="D1120" s="1" t="s">
        <v>347</v>
      </c>
      <c r="E1120" s="10">
        <v>1.1200000000000001</v>
      </c>
    </row>
    <row r="1121" spans="1:5" x14ac:dyDescent="0.3">
      <c r="A1121" s="174" t="s">
        <v>1565</v>
      </c>
      <c r="B1121" s="174" t="s">
        <v>1566</v>
      </c>
      <c r="C1121" s="1" t="s">
        <v>352</v>
      </c>
      <c r="D1121" s="1" t="s">
        <v>348</v>
      </c>
      <c r="E1121" s="10">
        <v>0.81</v>
      </c>
    </row>
    <row r="1122" spans="1:5" x14ac:dyDescent="0.3">
      <c r="A1122" s="175" t="s">
        <v>1565</v>
      </c>
      <c r="B1122" s="174" t="s">
        <v>1566</v>
      </c>
      <c r="C1122" s="1" t="s">
        <v>353</v>
      </c>
      <c r="D1122" s="1" t="s">
        <v>348</v>
      </c>
      <c r="E1122" s="10">
        <v>0.09</v>
      </c>
    </row>
    <row r="1123" spans="1:5" x14ac:dyDescent="0.3">
      <c r="A1123" s="174" t="s">
        <v>1567</v>
      </c>
      <c r="B1123" s="174" t="s">
        <v>1568</v>
      </c>
      <c r="C1123" s="1" t="s">
        <v>453</v>
      </c>
      <c r="D1123" s="1" t="s">
        <v>453</v>
      </c>
      <c r="E1123" s="10">
        <v>161.87000000000003</v>
      </c>
    </row>
    <row r="1124" spans="1:5" x14ac:dyDescent="0.3">
      <c r="A1124" s="174" t="s">
        <v>1567</v>
      </c>
      <c r="B1124" s="174" t="s">
        <v>1568</v>
      </c>
      <c r="C1124" s="1" t="s">
        <v>350</v>
      </c>
      <c r="D1124" s="1" t="s">
        <v>348</v>
      </c>
      <c r="E1124" s="10">
        <v>1.98</v>
      </c>
    </row>
    <row r="1125" spans="1:5" x14ac:dyDescent="0.3">
      <c r="A1125" s="174" t="s">
        <v>1567</v>
      </c>
      <c r="B1125" s="174" t="s">
        <v>1568</v>
      </c>
      <c r="C1125" s="1" t="s">
        <v>1476</v>
      </c>
      <c r="D1125" s="1" t="s">
        <v>1293</v>
      </c>
      <c r="E1125" s="10">
        <v>0.16</v>
      </c>
    </row>
    <row r="1126" spans="1:5" x14ac:dyDescent="0.3">
      <c r="A1126" s="174" t="s">
        <v>1567</v>
      </c>
      <c r="B1126" s="174" t="s">
        <v>1568</v>
      </c>
      <c r="C1126" s="1" t="s">
        <v>351</v>
      </c>
      <c r="D1126" s="1" t="s">
        <v>347</v>
      </c>
      <c r="E1126" s="10">
        <v>1.1200000000000001</v>
      </c>
    </row>
    <row r="1127" spans="1:5" x14ac:dyDescent="0.3">
      <c r="A1127" s="174" t="s">
        <v>1567</v>
      </c>
      <c r="B1127" s="174" t="s">
        <v>1568</v>
      </c>
      <c r="C1127" s="1" t="s">
        <v>352</v>
      </c>
      <c r="D1127" s="1" t="s">
        <v>348</v>
      </c>
      <c r="E1127" s="10">
        <v>0.81</v>
      </c>
    </row>
    <row r="1128" spans="1:5" x14ac:dyDescent="0.3">
      <c r="A1128" s="175" t="s">
        <v>1567</v>
      </c>
      <c r="B1128" s="174" t="s">
        <v>1568</v>
      </c>
      <c r="C1128" s="1" t="s">
        <v>353</v>
      </c>
      <c r="D1128" s="1" t="s">
        <v>348</v>
      </c>
      <c r="E1128" s="10">
        <v>0.09</v>
      </c>
    </row>
    <row r="1129" spans="1:5" x14ac:dyDescent="0.3">
      <c r="A1129" s="174" t="s">
        <v>1569</v>
      </c>
      <c r="B1129" s="174" t="s">
        <v>1570</v>
      </c>
      <c r="C1129" s="1" t="s">
        <v>453</v>
      </c>
      <c r="D1129" s="1" t="s">
        <v>453</v>
      </c>
      <c r="E1129" s="10">
        <v>34.730000000000011</v>
      </c>
    </row>
    <row r="1130" spans="1:5" x14ac:dyDescent="0.3">
      <c r="A1130" s="174" t="s">
        <v>1569</v>
      </c>
      <c r="B1130" s="174" t="s">
        <v>1570</v>
      </c>
      <c r="C1130" s="1" t="s">
        <v>350</v>
      </c>
      <c r="D1130" s="1" t="s">
        <v>348</v>
      </c>
      <c r="E1130" s="10">
        <v>0</v>
      </c>
    </row>
    <row r="1131" spans="1:5" x14ac:dyDescent="0.3">
      <c r="A1131" s="174" t="s">
        <v>1569</v>
      </c>
      <c r="B1131" s="174" t="s">
        <v>1570</v>
      </c>
      <c r="C1131" s="1" t="s">
        <v>1476</v>
      </c>
      <c r="D1131" s="1" t="s">
        <v>1293</v>
      </c>
      <c r="E1131" s="10">
        <v>0.03</v>
      </c>
    </row>
    <row r="1132" spans="1:5" x14ac:dyDescent="0.3">
      <c r="A1132" s="174" t="s">
        <v>1569</v>
      </c>
      <c r="B1132" s="174" t="s">
        <v>1570</v>
      </c>
      <c r="C1132" s="1" t="s">
        <v>351</v>
      </c>
      <c r="D1132" s="1" t="s">
        <v>347</v>
      </c>
      <c r="E1132" s="10">
        <v>2.6</v>
      </c>
    </row>
    <row r="1133" spans="1:5" x14ac:dyDescent="0.3">
      <c r="A1133" s="174" t="s">
        <v>1569</v>
      </c>
      <c r="B1133" s="174" t="s">
        <v>1570</v>
      </c>
      <c r="C1133" s="1" t="s">
        <v>352</v>
      </c>
      <c r="D1133" s="1" t="s">
        <v>348</v>
      </c>
      <c r="E1133" s="10">
        <v>0</v>
      </c>
    </row>
    <row r="1134" spans="1:5" x14ac:dyDescent="0.3">
      <c r="A1134" s="175" t="s">
        <v>1569</v>
      </c>
      <c r="B1134" s="174" t="s">
        <v>1570</v>
      </c>
      <c r="C1134" s="1" t="s">
        <v>353</v>
      </c>
      <c r="D1134" s="1" t="s">
        <v>348</v>
      </c>
      <c r="E1134" s="10">
        <v>0.21</v>
      </c>
    </row>
    <row r="1135" spans="1:5" x14ac:dyDescent="0.3">
      <c r="A1135" s="174" t="s">
        <v>1571</v>
      </c>
      <c r="B1135" s="174" t="s">
        <v>1572</v>
      </c>
      <c r="C1135" s="1" t="s">
        <v>453</v>
      </c>
      <c r="D1135" s="1" t="s">
        <v>453</v>
      </c>
      <c r="E1135" s="10">
        <v>35.270000000000003</v>
      </c>
    </row>
    <row r="1136" spans="1:5" x14ac:dyDescent="0.3">
      <c r="A1136" s="174" t="s">
        <v>1571</v>
      </c>
      <c r="B1136" s="174" t="s">
        <v>1572</v>
      </c>
      <c r="C1136" s="1" t="s">
        <v>350</v>
      </c>
      <c r="D1136" s="1" t="s">
        <v>348</v>
      </c>
      <c r="E1136" s="10">
        <v>0</v>
      </c>
    </row>
    <row r="1137" spans="1:5" x14ac:dyDescent="0.3">
      <c r="A1137" s="174" t="s">
        <v>1571</v>
      </c>
      <c r="B1137" s="174" t="s">
        <v>1572</v>
      </c>
      <c r="C1137" s="1" t="s">
        <v>1476</v>
      </c>
      <c r="D1137" s="1" t="s">
        <v>1293</v>
      </c>
      <c r="E1137" s="10">
        <v>0.04</v>
      </c>
    </row>
    <row r="1138" spans="1:5" x14ac:dyDescent="0.3">
      <c r="A1138" s="174" t="s">
        <v>1571</v>
      </c>
      <c r="B1138" s="174" t="s">
        <v>1572</v>
      </c>
      <c r="C1138" s="1" t="s">
        <v>351</v>
      </c>
      <c r="D1138" s="1" t="s">
        <v>347</v>
      </c>
      <c r="E1138" s="10">
        <v>2.6</v>
      </c>
    </row>
    <row r="1139" spans="1:5" x14ac:dyDescent="0.3">
      <c r="A1139" s="174" t="s">
        <v>1571</v>
      </c>
      <c r="B1139" s="174" t="s">
        <v>1572</v>
      </c>
      <c r="C1139" s="1" t="s">
        <v>352</v>
      </c>
      <c r="D1139" s="1" t="s">
        <v>348</v>
      </c>
      <c r="E1139" s="10">
        <v>0</v>
      </c>
    </row>
    <row r="1140" spans="1:5" x14ac:dyDescent="0.3">
      <c r="A1140" s="175" t="s">
        <v>1571</v>
      </c>
      <c r="B1140" s="174" t="s">
        <v>1572</v>
      </c>
      <c r="C1140" s="1" t="s">
        <v>353</v>
      </c>
      <c r="D1140" s="1" t="s">
        <v>348</v>
      </c>
      <c r="E1140" s="10">
        <v>0.21</v>
      </c>
    </row>
    <row r="1141" spans="1:5" x14ac:dyDescent="0.3">
      <c r="A1141" s="174" t="s">
        <v>1573</v>
      </c>
      <c r="B1141" s="174" t="s">
        <v>1574</v>
      </c>
      <c r="C1141" s="1" t="s">
        <v>453</v>
      </c>
      <c r="D1141" s="1" t="s">
        <v>453</v>
      </c>
      <c r="E1141" s="10">
        <v>129.28000000000003</v>
      </c>
    </row>
    <row r="1142" spans="1:5" x14ac:dyDescent="0.3">
      <c r="A1142" s="174" t="s">
        <v>1573</v>
      </c>
      <c r="B1142" s="174" t="s">
        <v>1574</v>
      </c>
      <c r="C1142" s="1" t="s">
        <v>350</v>
      </c>
      <c r="D1142" s="1" t="s">
        <v>348</v>
      </c>
      <c r="E1142" s="10">
        <v>1.98</v>
      </c>
    </row>
    <row r="1143" spans="1:5" x14ac:dyDescent="0.3">
      <c r="A1143" s="174" t="s">
        <v>1573</v>
      </c>
      <c r="B1143" s="174" t="s">
        <v>1574</v>
      </c>
      <c r="C1143" s="1" t="s">
        <v>1476</v>
      </c>
      <c r="D1143" s="1" t="s">
        <v>1293</v>
      </c>
      <c r="E1143" s="10">
        <v>0.13</v>
      </c>
    </row>
    <row r="1144" spans="1:5" x14ac:dyDescent="0.3">
      <c r="A1144" s="174" t="s">
        <v>1573</v>
      </c>
      <c r="B1144" s="174" t="s">
        <v>1574</v>
      </c>
      <c r="C1144" s="1" t="s">
        <v>351</v>
      </c>
      <c r="D1144" s="1" t="s">
        <v>347</v>
      </c>
      <c r="E1144" s="10">
        <v>5.25</v>
      </c>
    </row>
    <row r="1145" spans="1:5" x14ac:dyDescent="0.3">
      <c r="A1145" s="174" t="s">
        <v>1573</v>
      </c>
      <c r="B1145" s="174" t="s">
        <v>1574</v>
      </c>
      <c r="C1145" s="1" t="s">
        <v>352</v>
      </c>
      <c r="D1145" s="1" t="s">
        <v>348</v>
      </c>
      <c r="E1145" s="10">
        <v>3.82</v>
      </c>
    </row>
    <row r="1146" spans="1:5" x14ac:dyDescent="0.3">
      <c r="A1146" s="175" t="s">
        <v>1573</v>
      </c>
      <c r="B1146" s="174" t="s">
        <v>1574</v>
      </c>
      <c r="C1146" s="1" t="s">
        <v>353</v>
      </c>
      <c r="D1146" s="1" t="s">
        <v>348</v>
      </c>
      <c r="E1146" s="10">
        <v>0.43</v>
      </c>
    </row>
    <row r="1147" spans="1:5" x14ac:dyDescent="0.3">
      <c r="A1147" s="174" t="s">
        <v>1575</v>
      </c>
      <c r="B1147" s="174" t="s">
        <v>1576</v>
      </c>
      <c r="C1147" s="1" t="s">
        <v>453</v>
      </c>
      <c r="D1147" s="1" t="s">
        <v>453</v>
      </c>
      <c r="E1147" s="10">
        <v>178.61000000000007</v>
      </c>
    </row>
    <row r="1148" spans="1:5" x14ac:dyDescent="0.3">
      <c r="A1148" s="174" t="s">
        <v>1575</v>
      </c>
      <c r="B1148" s="174" t="s">
        <v>1576</v>
      </c>
      <c r="C1148" s="1" t="s">
        <v>350</v>
      </c>
      <c r="D1148" s="1" t="s">
        <v>348</v>
      </c>
      <c r="E1148" s="10">
        <v>1.98</v>
      </c>
    </row>
    <row r="1149" spans="1:5" x14ac:dyDescent="0.3">
      <c r="A1149" s="174" t="s">
        <v>1575</v>
      </c>
      <c r="B1149" s="174" t="s">
        <v>1576</v>
      </c>
      <c r="C1149" s="1" t="s">
        <v>1476</v>
      </c>
      <c r="D1149" s="1" t="s">
        <v>1293</v>
      </c>
      <c r="E1149" s="10">
        <v>0.18</v>
      </c>
    </row>
    <row r="1150" spans="1:5" x14ac:dyDescent="0.3">
      <c r="A1150" s="174" t="s">
        <v>1575</v>
      </c>
      <c r="B1150" s="174" t="s">
        <v>1576</v>
      </c>
      <c r="C1150" s="1" t="s">
        <v>351</v>
      </c>
      <c r="D1150" s="1" t="s">
        <v>347</v>
      </c>
      <c r="E1150" s="10">
        <v>2.46</v>
      </c>
    </row>
    <row r="1151" spans="1:5" x14ac:dyDescent="0.3">
      <c r="A1151" s="174" t="s">
        <v>1575</v>
      </c>
      <c r="B1151" s="174" t="s">
        <v>1576</v>
      </c>
      <c r="C1151" s="1" t="s">
        <v>352</v>
      </c>
      <c r="D1151" s="1" t="s">
        <v>348</v>
      </c>
      <c r="E1151" s="10">
        <v>1.79</v>
      </c>
    </row>
    <row r="1152" spans="1:5" x14ac:dyDescent="0.3">
      <c r="A1152" s="175" t="s">
        <v>1575</v>
      </c>
      <c r="B1152" s="174" t="s">
        <v>1576</v>
      </c>
      <c r="C1152" s="1" t="s">
        <v>353</v>
      </c>
      <c r="D1152" s="1" t="s">
        <v>348</v>
      </c>
      <c r="E1152" s="10">
        <v>0.2</v>
      </c>
    </row>
    <row r="1153" spans="1:5" x14ac:dyDescent="0.3">
      <c r="A1153" s="237" t="s">
        <v>1679</v>
      </c>
      <c r="B1153" s="237" t="s">
        <v>1680</v>
      </c>
      <c r="C1153" s="1" t="s">
        <v>453</v>
      </c>
      <c r="D1153" s="1" t="s">
        <v>453</v>
      </c>
      <c r="E1153" s="10">
        <v>127.95</v>
      </c>
    </row>
    <row r="1154" spans="1:5" x14ac:dyDescent="0.3">
      <c r="A1154" s="237" t="s">
        <v>1679</v>
      </c>
      <c r="B1154" s="237" t="s">
        <v>1680</v>
      </c>
      <c r="C1154" s="1" t="s">
        <v>350</v>
      </c>
      <c r="D1154" s="1" t="s">
        <v>348</v>
      </c>
      <c r="E1154" s="10">
        <v>6.46</v>
      </c>
    </row>
    <row r="1155" spans="1:5" x14ac:dyDescent="0.3">
      <c r="A1155" s="237" t="s">
        <v>1679</v>
      </c>
      <c r="B1155" s="237" t="s">
        <v>1680</v>
      </c>
      <c r="C1155" s="1" t="s">
        <v>351</v>
      </c>
      <c r="D1155" s="1" t="s">
        <v>347</v>
      </c>
      <c r="E1155" s="10">
        <v>29.26</v>
      </c>
    </row>
    <row r="1156" spans="1:5" x14ac:dyDescent="0.3">
      <c r="A1156" s="237" t="s">
        <v>1679</v>
      </c>
      <c r="B1156" s="237" t="s">
        <v>1680</v>
      </c>
      <c r="C1156" s="1" t="s">
        <v>352</v>
      </c>
      <c r="D1156" s="1" t="s">
        <v>348</v>
      </c>
      <c r="E1156" s="10">
        <v>25.15</v>
      </c>
    </row>
    <row r="1157" spans="1:5" x14ac:dyDescent="0.3">
      <c r="A1157" s="238" t="s">
        <v>1679</v>
      </c>
      <c r="B1157" s="237" t="s">
        <v>1680</v>
      </c>
      <c r="C1157" s="1" t="s">
        <v>353</v>
      </c>
      <c r="D1157" s="1" t="s">
        <v>348</v>
      </c>
      <c r="E1157" s="10">
        <v>3.14</v>
      </c>
    </row>
    <row r="1158" spans="1:5" x14ac:dyDescent="0.3">
      <c r="A1158" t="s">
        <v>1687</v>
      </c>
      <c r="B1158" t="s">
        <v>1688</v>
      </c>
      <c r="C1158" t="s">
        <v>453</v>
      </c>
      <c r="D1158" s="1" t="s">
        <v>453</v>
      </c>
      <c r="E1158">
        <v>287.83</v>
      </c>
    </row>
    <row r="1159" spans="1:5" x14ac:dyDescent="0.3">
      <c r="A1159" t="s">
        <v>1687</v>
      </c>
      <c r="B1159" t="s">
        <v>1688</v>
      </c>
      <c r="C1159" t="s">
        <v>350</v>
      </c>
      <c r="D1159" s="1" t="s">
        <v>348</v>
      </c>
      <c r="E1159">
        <v>8.48</v>
      </c>
    </row>
    <row r="1160" spans="1:5" x14ac:dyDescent="0.3">
      <c r="A1160" t="s">
        <v>1687</v>
      </c>
      <c r="B1160" t="s">
        <v>1688</v>
      </c>
      <c r="C1160" t="s">
        <v>1476</v>
      </c>
      <c r="D1160" s="1" t="s">
        <v>1293</v>
      </c>
      <c r="E1160">
        <v>0.18</v>
      </c>
    </row>
    <row r="1161" spans="1:5" x14ac:dyDescent="0.3">
      <c r="A1161" t="s">
        <v>1687</v>
      </c>
      <c r="B1161" t="s">
        <v>1688</v>
      </c>
      <c r="C1161" t="s">
        <v>351</v>
      </c>
      <c r="D1161" s="1" t="s">
        <v>347</v>
      </c>
      <c r="E1161">
        <v>20.62</v>
      </c>
    </row>
    <row r="1162" spans="1:5" x14ac:dyDescent="0.3">
      <c r="A1162" t="s">
        <v>1687</v>
      </c>
      <c r="B1162" t="s">
        <v>1688</v>
      </c>
      <c r="C1162" t="s">
        <v>352</v>
      </c>
      <c r="D1162" s="1" t="s">
        <v>348</v>
      </c>
      <c r="E1162">
        <v>17.73</v>
      </c>
    </row>
    <row r="1163" spans="1:5" x14ac:dyDescent="0.3">
      <c r="A1163" t="s">
        <v>1687</v>
      </c>
      <c r="B1163" t="s">
        <v>1688</v>
      </c>
      <c r="C1163" t="s">
        <v>353</v>
      </c>
      <c r="D1163" s="1" t="s">
        <v>348</v>
      </c>
      <c r="E1163">
        <v>2.21</v>
      </c>
    </row>
    <row r="1164" spans="1:5" x14ac:dyDescent="0.3">
      <c r="A1164" t="s">
        <v>1689</v>
      </c>
      <c r="B1164" t="s">
        <v>1690</v>
      </c>
      <c r="C1164" t="s">
        <v>453</v>
      </c>
      <c r="D1164" s="1" t="s">
        <v>453</v>
      </c>
      <c r="E1164">
        <v>451.65000000000009</v>
      </c>
    </row>
    <row r="1165" spans="1:5" x14ac:dyDescent="0.3">
      <c r="A1165" t="s">
        <v>1689</v>
      </c>
      <c r="B1165" t="s">
        <v>1690</v>
      </c>
      <c r="C1165" t="s">
        <v>350</v>
      </c>
      <c r="D1165" s="1" t="s">
        <v>348</v>
      </c>
      <c r="E1165">
        <v>20.68</v>
      </c>
    </row>
    <row r="1166" spans="1:5" x14ac:dyDescent="0.3">
      <c r="A1166" t="s">
        <v>1689</v>
      </c>
      <c r="B1166" t="s">
        <v>1690</v>
      </c>
      <c r="C1166" t="s">
        <v>1476</v>
      </c>
      <c r="D1166" s="1" t="s">
        <v>1293</v>
      </c>
      <c r="E1166">
        <v>0.32</v>
      </c>
    </row>
    <row r="1167" spans="1:5" x14ac:dyDescent="0.3">
      <c r="A1167" t="s">
        <v>1689</v>
      </c>
      <c r="B1167" t="s">
        <v>1690</v>
      </c>
      <c r="C1167" t="s">
        <v>351</v>
      </c>
      <c r="D1167" s="1" t="s">
        <v>347</v>
      </c>
      <c r="E1167">
        <v>26.66</v>
      </c>
    </row>
    <row r="1168" spans="1:5" x14ac:dyDescent="0.3">
      <c r="A1168" t="s">
        <v>1689</v>
      </c>
      <c r="B1168" t="s">
        <v>1690</v>
      </c>
      <c r="C1168" t="s">
        <v>352</v>
      </c>
      <c r="D1168" s="1" t="s">
        <v>348</v>
      </c>
      <c r="E1168">
        <v>22.919999999999998</v>
      </c>
    </row>
    <row r="1169" spans="1:5" x14ac:dyDescent="0.3">
      <c r="A1169" t="s">
        <v>1689</v>
      </c>
      <c r="B1169" t="s">
        <v>1690</v>
      </c>
      <c r="C1169" t="s">
        <v>353</v>
      </c>
      <c r="D1169" s="1" t="s">
        <v>348</v>
      </c>
      <c r="E1169">
        <v>2.87</v>
      </c>
    </row>
    <row r="1170" spans="1:5" x14ac:dyDescent="0.3">
      <c r="A1170" t="s">
        <v>1691</v>
      </c>
      <c r="B1170" t="s">
        <v>1692</v>
      </c>
      <c r="C1170" t="s">
        <v>453</v>
      </c>
      <c r="D1170" s="1" t="s">
        <v>453</v>
      </c>
      <c r="E1170">
        <v>48.79</v>
      </c>
    </row>
    <row r="1171" spans="1:5" x14ac:dyDescent="0.3">
      <c r="A1171" t="s">
        <v>1691</v>
      </c>
      <c r="B1171" t="s">
        <v>1692</v>
      </c>
      <c r="C1171" t="s">
        <v>350</v>
      </c>
      <c r="D1171" s="1" t="s">
        <v>348</v>
      </c>
      <c r="E1171">
        <v>0</v>
      </c>
    </row>
    <row r="1172" spans="1:5" x14ac:dyDescent="0.3">
      <c r="A1172" t="s">
        <v>1691</v>
      </c>
      <c r="B1172" t="s">
        <v>1692</v>
      </c>
      <c r="C1172" t="s">
        <v>1476</v>
      </c>
      <c r="D1172" s="1" t="s">
        <v>1293</v>
      </c>
      <c r="E1172">
        <v>0.02</v>
      </c>
    </row>
    <row r="1173" spans="1:5" x14ac:dyDescent="0.3">
      <c r="A1173" t="s">
        <v>1691</v>
      </c>
      <c r="B1173" t="s">
        <v>1692</v>
      </c>
      <c r="C1173" t="s">
        <v>351</v>
      </c>
      <c r="D1173" s="1" t="s">
        <v>347</v>
      </c>
      <c r="E1173">
        <v>12.02</v>
      </c>
    </row>
    <row r="1174" spans="1:5" x14ac:dyDescent="0.3">
      <c r="A1174" t="s">
        <v>1691</v>
      </c>
      <c r="B1174" t="s">
        <v>1692</v>
      </c>
      <c r="C1174" t="s">
        <v>352</v>
      </c>
      <c r="D1174" s="1" t="s">
        <v>348</v>
      </c>
      <c r="E1174">
        <v>0</v>
      </c>
    </row>
    <row r="1175" spans="1:5" x14ac:dyDescent="0.3">
      <c r="A1175" t="s">
        <v>1691</v>
      </c>
      <c r="B1175" t="s">
        <v>1692</v>
      </c>
      <c r="C1175" t="s">
        <v>353</v>
      </c>
      <c r="D1175" s="1" t="s">
        <v>348</v>
      </c>
      <c r="E1175">
        <v>0</v>
      </c>
    </row>
    <row r="1176" spans="1:5" x14ac:dyDescent="0.3">
      <c r="A1176" t="s">
        <v>1903</v>
      </c>
      <c r="B1176" t="s">
        <v>1904</v>
      </c>
      <c r="C1176" t="s">
        <v>453</v>
      </c>
      <c r="D1176" s="1" t="s">
        <v>453</v>
      </c>
      <c r="E1176">
        <v>278.11</v>
      </c>
    </row>
    <row r="1177" spans="1:5" x14ac:dyDescent="0.3">
      <c r="A1177" t="s">
        <v>1903</v>
      </c>
      <c r="B1177" t="s">
        <v>1904</v>
      </c>
      <c r="C1177" t="s">
        <v>350</v>
      </c>
      <c r="D1177" s="1" t="s">
        <v>348</v>
      </c>
      <c r="E1177">
        <v>8.48</v>
      </c>
    </row>
    <row r="1178" spans="1:5" x14ac:dyDescent="0.3">
      <c r="A1178" t="s">
        <v>1903</v>
      </c>
      <c r="B1178" t="s">
        <v>1904</v>
      </c>
      <c r="C1178" t="s">
        <v>1476</v>
      </c>
      <c r="D1178" s="1" t="s">
        <v>1293</v>
      </c>
      <c r="E1178">
        <v>0.17</v>
      </c>
    </row>
    <row r="1179" spans="1:5" x14ac:dyDescent="0.3">
      <c r="A1179" t="s">
        <v>1903</v>
      </c>
      <c r="B1179" t="s">
        <v>1904</v>
      </c>
      <c r="C1179" t="s">
        <v>351</v>
      </c>
      <c r="D1179" s="1" t="s">
        <v>347</v>
      </c>
      <c r="E1179">
        <v>20.62</v>
      </c>
    </row>
    <row r="1180" spans="1:5" x14ac:dyDescent="0.3">
      <c r="A1180" t="s">
        <v>1903</v>
      </c>
      <c r="B1180" t="s">
        <v>1904</v>
      </c>
      <c r="C1180" t="s">
        <v>352</v>
      </c>
      <c r="D1180" s="1" t="s">
        <v>348</v>
      </c>
      <c r="E1180">
        <v>17.73</v>
      </c>
    </row>
    <row r="1181" spans="1:5" x14ac:dyDescent="0.3">
      <c r="A1181" t="s">
        <v>1903</v>
      </c>
      <c r="B1181" t="s">
        <v>1904</v>
      </c>
      <c r="C1181" t="s">
        <v>353</v>
      </c>
      <c r="D1181" s="1" t="s">
        <v>348</v>
      </c>
      <c r="E1181">
        <v>2.21</v>
      </c>
    </row>
  </sheetData>
  <autoFilter ref="A2:E1181" xr:uid="{BB06EC3A-D2A7-481E-A66C-CB60EC50D8FB}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07BB-0436-4B2D-AA52-876515D0B2EA}">
  <dimension ref="A1:G10"/>
  <sheetViews>
    <sheetView workbookViewId="0">
      <selection activeCell="B2" sqref="B2"/>
    </sheetView>
  </sheetViews>
  <sheetFormatPr defaultRowHeight="14.4" x14ac:dyDescent="0.3"/>
  <cols>
    <col min="1" max="1" width="18.6640625" bestFit="1" customWidth="1"/>
    <col min="2" max="2" width="18.21875" bestFit="1" customWidth="1"/>
    <col min="3" max="3" width="15.33203125" bestFit="1" customWidth="1"/>
    <col min="4" max="4" width="14.88671875" bestFit="1" customWidth="1"/>
    <col min="5" max="5" width="16.5546875" bestFit="1" customWidth="1"/>
    <col min="6" max="6" width="17.21875" bestFit="1" customWidth="1"/>
    <col min="7" max="8" width="25.77734375" bestFit="1" customWidth="1"/>
  </cols>
  <sheetData>
    <row r="1" spans="1:7" x14ac:dyDescent="0.3">
      <c r="A1" s="5" t="s">
        <v>336</v>
      </c>
      <c r="B1" t="s">
        <v>335</v>
      </c>
    </row>
    <row r="2" spans="1:7" x14ac:dyDescent="0.3">
      <c r="A2" s="5" t="s">
        <v>11</v>
      </c>
      <c r="B2" s="253">
        <v>45990</v>
      </c>
    </row>
    <row r="3" spans="1:7" x14ac:dyDescent="0.3">
      <c r="A3" s="5" t="s">
        <v>342</v>
      </c>
      <c r="B3" t="s">
        <v>335</v>
      </c>
    </row>
    <row r="5" spans="1:7" x14ac:dyDescent="0.3">
      <c r="A5" s="5" t="s">
        <v>1178</v>
      </c>
      <c r="B5" t="s">
        <v>564</v>
      </c>
      <c r="C5" t="s">
        <v>341</v>
      </c>
      <c r="D5" t="s">
        <v>561</v>
      </c>
      <c r="E5" t="s">
        <v>474</v>
      </c>
      <c r="F5" t="s">
        <v>495</v>
      </c>
      <c r="G5" t="s">
        <v>466</v>
      </c>
    </row>
    <row r="6" spans="1:7" x14ac:dyDescent="0.3">
      <c r="A6" t="s">
        <v>1114</v>
      </c>
      <c r="B6" s="15">
        <v>9253</v>
      </c>
      <c r="C6" s="15">
        <v>3280987.71</v>
      </c>
      <c r="D6" s="15">
        <v>3068427.1799999992</v>
      </c>
      <c r="E6" s="15">
        <v>2613121.8399999994</v>
      </c>
      <c r="F6" s="15">
        <v>205650.56000000003</v>
      </c>
      <c r="G6" s="15">
        <v>247941.63999999996</v>
      </c>
    </row>
    <row r="7" spans="1:7" x14ac:dyDescent="0.3">
      <c r="A7" t="s">
        <v>1104</v>
      </c>
      <c r="B7" s="15">
        <v>2500</v>
      </c>
      <c r="C7" s="15">
        <v>1643765</v>
      </c>
      <c r="D7" s="15">
        <v>1157545</v>
      </c>
      <c r="E7" s="15">
        <v>1007495</v>
      </c>
      <c r="F7" s="15">
        <v>70800</v>
      </c>
      <c r="G7" s="15">
        <v>78650</v>
      </c>
    </row>
    <row r="8" spans="1:7" x14ac:dyDescent="0.3">
      <c r="A8" t="s">
        <v>299</v>
      </c>
      <c r="B8" s="15">
        <v>2872</v>
      </c>
      <c r="C8" s="15">
        <v>467963.68</v>
      </c>
      <c r="D8" s="15">
        <v>424108.23999999993</v>
      </c>
      <c r="E8" s="15">
        <v>414199.83999999991</v>
      </c>
      <c r="F8" s="15">
        <v>4308</v>
      </c>
      <c r="G8" s="15">
        <v>5600.4</v>
      </c>
    </row>
    <row r="9" spans="1:7" x14ac:dyDescent="0.3">
      <c r="A9" t="s">
        <v>1106</v>
      </c>
      <c r="B9" s="15">
        <v>88</v>
      </c>
      <c r="C9" s="15">
        <v>85785.919999999998</v>
      </c>
      <c r="D9" s="15">
        <v>46236.960000000014</v>
      </c>
      <c r="E9" s="15">
        <v>39745.200000000012</v>
      </c>
      <c r="F9" s="15">
        <v>2346.08</v>
      </c>
      <c r="G9" s="15">
        <v>4117.5199999999995</v>
      </c>
    </row>
    <row r="10" spans="1:7" x14ac:dyDescent="0.3">
      <c r="A10" t="s">
        <v>53</v>
      </c>
      <c r="B10" s="15">
        <v>14713</v>
      </c>
      <c r="C10" s="15">
        <v>5478502.3099999996</v>
      </c>
      <c r="D10" s="15">
        <v>4696317.38</v>
      </c>
      <c r="E10" s="15">
        <v>4074561.8799999994</v>
      </c>
      <c r="F10" s="15">
        <v>283104.64000000007</v>
      </c>
      <c r="G10" s="15">
        <v>336309.56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1EB7-C17A-40C3-A22E-D252C0FAFD6A}">
  <dimension ref="A1:G22"/>
  <sheetViews>
    <sheetView workbookViewId="0">
      <selection activeCell="B5" sqref="B5"/>
    </sheetView>
  </sheetViews>
  <sheetFormatPr defaultRowHeight="14.4" x14ac:dyDescent="0.3"/>
  <cols>
    <col min="1" max="1" width="18.6640625" bestFit="1" customWidth="1"/>
    <col min="2" max="2" width="18.21875" bestFit="1" customWidth="1"/>
    <col min="3" max="3" width="15.33203125" style="72" bestFit="1" customWidth="1"/>
    <col min="4" max="4" width="14.88671875" style="72" bestFit="1" customWidth="1"/>
    <col min="5" max="5" width="16.5546875" style="72" bestFit="1" customWidth="1"/>
    <col min="6" max="6" width="17.21875" style="72" bestFit="1" customWidth="1"/>
    <col min="7" max="7" width="25.77734375" style="72" bestFit="1" customWidth="1"/>
    <col min="8" max="9" width="26.21875" bestFit="1" customWidth="1"/>
  </cols>
  <sheetData>
    <row r="1" spans="1:7" x14ac:dyDescent="0.3">
      <c r="A1" s="5" t="s">
        <v>345</v>
      </c>
      <c r="B1" t="s">
        <v>1623</v>
      </c>
    </row>
    <row r="2" spans="1:7" x14ac:dyDescent="0.3">
      <c r="A2" s="5" t="s">
        <v>336</v>
      </c>
      <c r="B2" t="s">
        <v>335</v>
      </c>
    </row>
    <row r="4" spans="1:7" x14ac:dyDescent="0.3">
      <c r="A4" s="5" t="s">
        <v>1178</v>
      </c>
      <c r="B4" t="s">
        <v>564</v>
      </c>
      <c r="C4" t="s">
        <v>341</v>
      </c>
      <c r="D4" t="s">
        <v>561</v>
      </c>
      <c r="E4" t="s">
        <v>474</v>
      </c>
      <c r="F4" t="s">
        <v>495</v>
      </c>
      <c r="G4" t="s">
        <v>466</v>
      </c>
    </row>
    <row r="5" spans="1:7" x14ac:dyDescent="0.3">
      <c r="A5" t="s">
        <v>1114</v>
      </c>
      <c r="B5">
        <v>195677</v>
      </c>
      <c r="C5" s="8">
        <v>71330568.280000031</v>
      </c>
      <c r="D5" s="17">
        <v>65397026.87999998</v>
      </c>
      <c r="E5">
        <v>56025642.899999984</v>
      </c>
      <c r="F5" s="15">
        <v>4272075.3400000017</v>
      </c>
      <c r="G5" s="15">
        <v>5061679.8299999991</v>
      </c>
    </row>
    <row r="6" spans="1:7" x14ac:dyDescent="0.3">
      <c r="A6" t="s">
        <v>1109</v>
      </c>
      <c r="B6">
        <v>996</v>
      </c>
      <c r="C6" s="8">
        <v>348111.73999999993</v>
      </c>
      <c r="D6" s="17">
        <v>332686.26</v>
      </c>
      <c r="E6">
        <v>232028.48000000004</v>
      </c>
      <c r="F6" s="15">
        <v>44150.82</v>
      </c>
      <c r="G6" s="15">
        <v>56379.76</v>
      </c>
    </row>
    <row r="7" spans="1:7" x14ac:dyDescent="0.3">
      <c r="A7" t="s">
        <v>1104</v>
      </c>
      <c r="B7">
        <v>38782</v>
      </c>
      <c r="C7" s="8">
        <v>25557935.420000002</v>
      </c>
      <c r="D7" s="17">
        <v>17910959.02</v>
      </c>
      <c r="E7">
        <v>15583263.380000001</v>
      </c>
      <c r="F7" s="15">
        <v>1098306.24</v>
      </c>
      <c r="G7" s="15">
        <v>1220081.72</v>
      </c>
    </row>
    <row r="8" spans="1:7" x14ac:dyDescent="0.3">
      <c r="A8" t="s">
        <v>299</v>
      </c>
      <c r="B8">
        <v>107987</v>
      </c>
      <c r="C8" s="8">
        <v>17486298.420000002</v>
      </c>
      <c r="D8" s="17">
        <v>15876260.029999997</v>
      </c>
      <c r="E8">
        <v>15503380.339999998</v>
      </c>
      <c r="F8" s="15">
        <v>162449.28000000003</v>
      </c>
      <c r="G8" s="15">
        <v>210430.41000000009</v>
      </c>
    </row>
    <row r="9" spans="1:7" x14ac:dyDescent="0.3">
      <c r="A9" t="s">
        <v>1678</v>
      </c>
      <c r="B9" t="e">
        <v>#N/A</v>
      </c>
      <c r="C9" s="8">
        <v>5000000</v>
      </c>
      <c r="D9" s="17">
        <v>0</v>
      </c>
      <c r="E9">
        <v>0</v>
      </c>
      <c r="F9" s="15">
        <v>0</v>
      </c>
      <c r="G9" s="15">
        <v>0</v>
      </c>
    </row>
    <row r="10" spans="1:7" x14ac:dyDescent="0.3">
      <c r="A10" t="s">
        <v>340</v>
      </c>
      <c r="B10">
        <v>4002536.8</v>
      </c>
      <c r="C10" s="8">
        <v>16681753.870000001</v>
      </c>
      <c r="D10" s="17">
        <v>965047.5</v>
      </c>
      <c r="E10">
        <v>965047.5</v>
      </c>
      <c r="F10" s="15">
        <v>0</v>
      </c>
      <c r="G10" s="15">
        <v>0</v>
      </c>
    </row>
    <row r="11" spans="1:7" x14ac:dyDescent="0.3">
      <c r="A11" t="s">
        <v>692</v>
      </c>
      <c r="B11">
        <v>527</v>
      </c>
      <c r="C11" s="8">
        <v>219179.3</v>
      </c>
      <c r="D11" s="17">
        <v>239626.9</v>
      </c>
      <c r="E11">
        <v>206894.93</v>
      </c>
      <c r="F11" s="15">
        <v>15572.85</v>
      </c>
      <c r="G11" s="15">
        <v>17069.53</v>
      </c>
    </row>
    <row r="12" spans="1:7" x14ac:dyDescent="0.3">
      <c r="A12" t="s">
        <v>831</v>
      </c>
      <c r="B12">
        <v>499</v>
      </c>
      <c r="C12" s="8">
        <v>310149.59999999998</v>
      </c>
      <c r="D12" s="17">
        <v>265423.09000000003</v>
      </c>
      <c r="E12">
        <v>263701.54000000004</v>
      </c>
      <c r="F12" s="15">
        <v>748.5</v>
      </c>
      <c r="G12" s="15">
        <v>973.05</v>
      </c>
    </row>
    <row r="13" spans="1:7" x14ac:dyDescent="0.3">
      <c r="A13" t="s">
        <v>1106</v>
      </c>
      <c r="B13">
        <v>623</v>
      </c>
      <c r="C13" s="8">
        <v>342693.95999999996</v>
      </c>
      <c r="D13" s="17">
        <v>192858.41000000003</v>
      </c>
      <c r="E13">
        <v>156998.21</v>
      </c>
      <c r="F13" s="15">
        <v>17280.64</v>
      </c>
      <c r="G13" s="15">
        <v>18475.150000000001</v>
      </c>
    </row>
    <row r="14" spans="1:7" x14ac:dyDescent="0.3">
      <c r="A14" t="s">
        <v>833</v>
      </c>
      <c r="B14">
        <v>504</v>
      </c>
      <c r="C14" s="8">
        <v>82353.600000000006</v>
      </c>
      <c r="D14" s="17">
        <v>45450.720000000008</v>
      </c>
      <c r="E14">
        <v>43711.920000000006</v>
      </c>
      <c r="F14" s="15">
        <v>756</v>
      </c>
      <c r="G14" s="15">
        <v>982.8</v>
      </c>
    </row>
    <row r="15" spans="1:7" x14ac:dyDescent="0.3">
      <c r="A15" t="s">
        <v>53</v>
      </c>
      <c r="B15" t="e">
        <v>#N/A</v>
      </c>
      <c r="C15" s="8">
        <v>137359044.19000003</v>
      </c>
      <c r="D15" s="17">
        <v>101225338.80999999</v>
      </c>
      <c r="E15">
        <v>88980669.199999988</v>
      </c>
      <c r="F15" s="15">
        <v>5611339.6700000018</v>
      </c>
      <c r="G15" s="15">
        <v>6586072.2499999991</v>
      </c>
    </row>
    <row r="16" spans="1:7" x14ac:dyDescent="0.3">
      <c r="C16"/>
      <c r="D16"/>
      <c r="E16"/>
      <c r="F16"/>
      <c r="G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3AD6-095A-4275-A570-6D3A06D23DDE}">
  <sheetPr>
    <tabColor rgb="FFFFFF00"/>
  </sheetPr>
  <dimension ref="A1:AJ47"/>
  <sheetViews>
    <sheetView topLeftCell="Z1" workbookViewId="0">
      <selection activeCell="AI2" sqref="AI2"/>
    </sheetView>
  </sheetViews>
  <sheetFormatPr defaultRowHeight="14.4" x14ac:dyDescent="0.3"/>
  <cols>
    <col min="1" max="1" width="35.5546875" bestFit="1" customWidth="1"/>
    <col min="2" max="2" width="13.77734375" bestFit="1" customWidth="1"/>
    <col min="3" max="3" width="17.21875" bestFit="1" customWidth="1"/>
    <col min="4" max="4" width="10.21875" bestFit="1" customWidth="1"/>
    <col min="5" max="5" width="42.77734375" bestFit="1" customWidth="1"/>
    <col min="6" max="6" width="11.21875" customWidth="1"/>
    <col min="7" max="7" width="14.33203125" customWidth="1"/>
    <col min="8" max="8" width="16" customWidth="1"/>
    <col min="9" max="9" width="12.77734375" customWidth="1"/>
    <col min="10" max="10" width="13.21875" customWidth="1"/>
    <col min="11" max="11" width="13.77734375" customWidth="1"/>
    <col min="12" max="12" width="11.21875" customWidth="1"/>
    <col min="13" max="13" width="12.44140625" hidden="1" customWidth="1"/>
    <col min="14" max="14" width="11.21875" hidden="1" customWidth="1"/>
    <col min="15" max="15" width="10" hidden="1" customWidth="1"/>
    <col min="16" max="16" width="16.44140625" hidden="1" customWidth="1"/>
    <col min="17" max="17" width="12.21875" hidden="1" customWidth="1"/>
    <col min="18" max="18" width="19.6640625" customWidth="1"/>
    <col min="19" max="19" width="23.109375" customWidth="1"/>
    <col min="20" max="20" width="15.5546875" customWidth="1"/>
    <col min="21" max="21" width="14.21875" customWidth="1"/>
    <col min="22" max="22" width="8.44140625" customWidth="1"/>
    <col min="23" max="23" width="8.77734375" customWidth="1"/>
    <col min="24" max="24" width="7.44140625" customWidth="1"/>
    <col min="25" max="25" width="13.109375" customWidth="1"/>
    <col min="26" max="26" width="11.44140625" customWidth="1"/>
    <col min="27" max="27" width="11.5546875" customWidth="1"/>
    <col min="28" max="28" width="20.21875" customWidth="1"/>
    <col min="29" max="29" width="24.77734375" customWidth="1"/>
    <col min="30" max="30" width="12.44140625" customWidth="1"/>
    <col min="31" max="31" width="13.109375" bestFit="1" customWidth="1"/>
    <col min="32" max="32" width="21.6640625" bestFit="1" customWidth="1"/>
    <col min="33" max="35" width="11.21875" bestFit="1" customWidth="1"/>
    <col min="36" max="36" width="8.6640625" bestFit="1" customWidth="1"/>
  </cols>
  <sheetData>
    <row r="1" spans="1:36" ht="32.549999999999997" customHeight="1" x14ac:dyDescent="0.3">
      <c r="A1" s="123">
        <v>45839</v>
      </c>
    </row>
    <row r="2" spans="1:36" ht="28.8" x14ac:dyDescent="0.3">
      <c r="A2" s="62" t="s">
        <v>0</v>
      </c>
      <c r="B2" s="62" t="s">
        <v>1</v>
      </c>
      <c r="C2" s="62" t="s">
        <v>516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I2" s="63" t="s">
        <v>7</v>
      </c>
      <c r="J2" s="62" t="s">
        <v>8</v>
      </c>
      <c r="K2" s="62" t="s">
        <v>9</v>
      </c>
      <c r="L2" s="63" t="s">
        <v>10</v>
      </c>
      <c r="M2" s="62" t="s">
        <v>11</v>
      </c>
      <c r="N2" s="62" t="s">
        <v>12</v>
      </c>
      <c r="O2" s="63" t="s">
        <v>13</v>
      </c>
      <c r="P2" s="62" t="s">
        <v>14</v>
      </c>
      <c r="Q2" s="63" t="s">
        <v>15</v>
      </c>
      <c r="R2" s="6" t="s">
        <v>336</v>
      </c>
      <c r="S2" s="6" t="s">
        <v>337</v>
      </c>
      <c r="T2" s="6" t="s">
        <v>342</v>
      </c>
      <c r="U2" s="6" t="s">
        <v>343</v>
      </c>
      <c r="V2" s="6" t="s">
        <v>344</v>
      </c>
      <c r="W2" s="6" t="s">
        <v>345</v>
      </c>
      <c r="X2" s="6" t="s">
        <v>517</v>
      </c>
      <c r="Y2" s="6" t="s">
        <v>563</v>
      </c>
      <c r="Z2" s="6" t="s">
        <v>346</v>
      </c>
      <c r="AA2" s="6" t="s">
        <v>453</v>
      </c>
      <c r="AB2" s="6" t="s">
        <v>347</v>
      </c>
      <c r="AC2" s="6" t="s">
        <v>348</v>
      </c>
      <c r="AD2" s="6" t="s">
        <v>430</v>
      </c>
      <c r="AE2" s="6" t="s">
        <v>560</v>
      </c>
      <c r="AF2" s="6" t="s">
        <v>464</v>
      </c>
      <c r="AG2" s="6" t="s">
        <v>468</v>
      </c>
      <c r="AH2" s="6" t="s">
        <v>463</v>
      </c>
      <c r="AI2" s="49" t="s">
        <v>465</v>
      </c>
      <c r="AJ2" s="119" t="s">
        <v>459</v>
      </c>
    </row>
    <row r="3" spans="1:36" hidden="1" x14ac:dyDescent="0.3">
      <c r="A3" s="1" t="s">
        <v>479</v>
      </c>
      <c r="B3" s="2">
        <v>45842</v>
      </c>
      <c r="C3" s="1" t="s">
        <v>685</v>
      </c>
      <c r="D3" s="1" t="s">
        <v>32</v>
      </c>
      <c r="E3" s="1" t="s">
        <v>33</v>
      </c>
      <c r="F3" s="1" t="s">
        <v>18</v>
      </c>
      <c r="G3" s="1" t="s">
        <v>34</v>
      </c>
      <c r="H3" s="1" t="s">
        <v>35</v>
      </c>
      <c r="I3" s="3">
        <v>1008</v>
      </c>
      <c r="J3" s="4">
        <v>193354.56</v>
      </c>
      <c r="K3" s="3">
        <v>1008</v>
      </c>
      <c r="L3" s="3">
        <v>1008</v>
      </c>
      <c r="M3" s="2">
        <v>45842</v>
      </c>
      <c r="N3" s="4">
        <v>209422.07999999999</v>
      </c>
      <c r="O3" s="1" t="s">
        <v>21</v>
      </c>
      <c r="P3" s="1" t="s">
        <v>22</v>
      </c>
      <c r="Q3" s="1" t="s">
        <v>660</v>
      </c>
      <c r="R3" s="1" t="str">
        <f>VLOOKUP(Sales3[[#This Row],[Material type]],Master!$H$3:$I$8,2,0)</f>
        <v>Semi-Finished Goods</v>
      </c>
      <c r="S3" s="1" t="str">
        <f>VLOOKUP(Sales3[[#This Row],[Material Group]],Master!B:C,2,0)</f>
        <v>Sub Ass.-Mech Stator</v>
      </c>
      <c r="T3" s="9" t="b">
        <f ca="1">(TODAY()-1)=Sales3[[#This Row],[Billing Date]]</f>
        <v>0</v>
      </c>
      <c r="U3" s="10" t="e">
        <f>Sales3[[#This Row],[Net Value]]-Sales3[[#This Row],[PGI COST]]</f>
        <v>#REF!</v>
      </c>
      <c r="V3" s="11" t="e">
        <f>Sales3[[#This Row],[Gross Margin]]/Sales3[[#This Row],[Net Value]]</f>
        <v>#REF!</v>
      </c>
      <c r="W3" s="1" t="str">
        <f>TEXT(Sales3[[#This Row],[Billing Date]],"mmmm-yy")</f>
        <v>July-25</v>
      </c>
      <c r="X3" s="1">
        <f>Sales3[[#This Row],[Net Value]]/Sales3[[#This Row],[Billed Quantity]]</f>
        <v>207.76</v>
      </c>
      <c r="Y3" s="117">
        <f>Sales3[[#This Row],[Actual delivery qty]]</f>
        <v>1008</v>
      </c>
      <c r="Z3" s="12" t="e">
        <f>SUM(Sales3[[#This Row],[BOM Cost]:[Other Conversion cost pu]])</f>
        <v>#REF!</v>
      </c>
      <c r="AA3" s="12" t="e">
        <f>IF(Sales3[[#This Row],[Posting Date]]=1-7-2025,SUMIFS('COGS Break up'!#REF!,'COGS Break up'!#REF!,A3,'COGS Break up'!#REF!,Sales3[[#Headers],[BOM Cost]]),SUMIFS('COGS Break up'!#REF!,'COGS Break up'!#REF!,Sales3[[#This Row],[Material]],'COGS Break up'!#REF!,Sales3[[#Headers],[BOM Cost]]))</f>
        <v>#REF!</v>
      </c>
      <c r="AB3" s="12" t="e">
        <f>IF(Sales3[[#This Row],[Posting Date]]=1-7-2025,SUMIFS('COGS Break up'!#REF!,'COGS Break up'!#REF!,A3,'COGS Break up'!#REF!,Sales3[[#Headers],[Labour cost per unit]]),SUMIFS('COGS Break up'!#REF!,'COGS Break up'!#REF!,Sales3[[#This Row],[Material]],'COGS Break up'!#REF!,Sales3[[#Headers],[Labour cost per unit]]))</f>
        <v>#REF!</v>
      </c>
      <c r="AC3" s="12" t="e">
        <f>IF(Sales3[[#This Row],[Posting Date]]=1-7-2025,SUMIFS('COGS Break up'!#REF!,'COGS Break up'!#REF!,A3,'COGS Break up'!#REF!,Sales3[[#Headers],[Other Conversion cost pu]]),SUMIFS('COGS Break up'!#REF!,'COGS Break up'!#REF!,Sales3[[#This Row],[Material]],'COGS Break up'!#REF!,Sales3[[#Headers],[Other Conversion cost pu]]))</f>
        <v>#REF!</v>
      </c>
      <c r="AD3" s="48" t="e">
        <f>Sales3[[#This Row],[PGI per unit]]-Sales3[[#This Row],[BOM Cost]]-Sales3[[#This Row],[Labour cost per unit]]-Sales3[[#This Row],[Other Conversion cost pu]]</f>
        <v>#REF!</v>
      </c>
      <c r="AE3" s="48" t="e">
        <f>Sales3[[#This Row],[BOM Cost2]]+Sales3[[#This Row],[Labour Cost]]+Sales3[[#This Row],[Other conversion cost]]</f>
        <v>#REF!</v>
      </c>
      <c r="AF3" s="12" t="e">
        <f>Sales3[[#This Row],[Billed Quantity]]*Sales3[[#This Row],[BOM Cost]]</f>
        <v>#REF!</v>
      </c>
      <c r="AG3" s="12" t="e">
        <f>Sales3[[#This Row],[Billed Quantity]]*Sales3[[#This Row],[Labour cost per unit]]</f>
        <v>#REF!</v>
      </c>
      <c r="AH3" s="12" t="e">
        <f>Sales3[[#This Row],[Billed Quantity]]*Sales3[[#This Row],[Other Conversion cost pu]]</f>
        <v>#REF!</v>
      </c>
      <c r="AI3" s="48" t="e">
        <f>Sales3[[#This Row],[PGI Amount]]-Sales3[[#This Row],[BOM Cost2]]-Sales3[[#This Row],[Labour Cost]]-Sales3[[#This Row],[Other conversion cost]]</f>
        <v>#REF!</v>
      </c>
      <c r="AJ3" s="121" t="e">
        <f>1-Sales3[[#This Row],[PGI COST]]/Sales3[[#This Row],[Net Value]]</f>
        <v>#REF!</v>
      </c>
    </row>
    <row r="4" spans="1:36" hidden="1" x14ac:dyDescent="0.3">
      <c r="A4" s="1" t="s">
        <v>479</v>
      </c>
      <c r="B4" s="2">
        <v>45842</v>
      </c>
      <c r="C4" s="1" t="s">
        <v>686</v>
      </c>
      <c r="D4" s="1" t="s">
        <v>595</v>
      </c>
      <c r="E4" s="1" t="s">
        <v>596</v>
      </c>
      <c r="F4" s="1" t="s">
        <v>18</v>
      </c>
      <c r="G4" s="1" t="s">
        <v>34</v>
      </c>
      <c r="H4" s="1" t="s">
        <v>35</v>
      </c>
      <c r="I4" s="3">
        <v>1008</v>
      </c>
      <c r="J4" s="4">
        <v>133549.92000000001</v>
      </c>
      <c r="K4" s="3">
        <v>1008</v>
      </c>
      <c r="L4" s="3">
        <v>1008</v>
      </c>
      <c r="M4" s="2">
        <v>45842</v>
      </c>
      <c r="N4" s="4">
        <v>133449.12</v>
      </c>
      <c r="O4" s="1" t="s">
        <v>21</v>
      </c>
      <c r="P4" s="1" t="s">
        <v>22</v>
      </c>
      <c r="Q4" s="1" t="s">
        <v>660</v>
      </c>
      <c r="R4" s="1" t="str">
        <f>VLOOKUP(Sales3[[#This Row],[Material type]],Master!$H$3:$I$8,2,0)</f>
        <v>Semi-Finished Goods</v>
      </c>
      <c r="S4" s="1" t="str">
        <f>VLOOKUP(Sales3[[#This Row],[Material Group]],Master!B:C,2,0)</f>
        <v>Sub Ass.-Mech Stator</v>
      </c>
      <c r="T4" s="9" t="b">
        <f ca="1">(TODAY()-1)=Sales3[[#This Row],[Billing Date]]</f>
        <v>0</v>
      </c>
      <c r="U4" s="10" t="e">
        <f>Sales3[[#This Row],[Net Value]]-Sales3[[#This Row],[PGI COST]]</f>
        <v>#REF!</v>
      </c>
      <c r="V4" s="11" t="e">
        <f>Sales3[[#This Row],[Gross Margin]]/Sales3[[#This Row],[Net Value]]</f>
        <v>#REF!</v>
      </c>
      <c r="W4" s="1" t="str">
        <f>TEXT(Sales3[[#This Row],[Billing Date]],"mmmm-yy")</f>
        <v>July-25</v>
      </c>
      <c r="X4" s="1">
        <f>Sales3[[#This Row],[Net Value]]/Sales3[[#This Row],[Billed Quantity]]</f>
        <v>132.38999999999999</v>
      </c>
      <c r="Y4" s="117">
        <f>Sales3[[#This Row],[Actual delivery qty]]</f>
        <v>1008</v>
      </c>
      <c r="Z4" s="12" t="e">
        <f>SUM(Sales3[[#This Row],[BOM Cost]:[Other Conversion cost pu]])</f>
        <v>#REF!</v>
      </c>
      <c r="AA4" s="12" t="e">
        <f>IF(Sales3[[#This Row],[Posting Date]]=1-7-2025,SUMIFS('COGS Break up'!#REF!,'COGS Break up'!#REF!,A4,'COGS Break up'!#REF!,Sales3[[#Headers],[BOM Cost]]),SUMIFS('COGS Break up'!#REF!,'COGS Break up'!#REF!,Sales3[[#This Row],[Material]],'COGS Break up'!#REF!,Sales3[[#Headers],[BOM Cost]]))</f>
        <v>#REF!</v>
      </c>
      <c r="AB4" s="12" t="e">
        <f>IF(Sales3[[#This Row],[Posting Date]]=1-7-2025,SUMIFS('COGS Break up'!#REF!,'COGS Break up'!#REF!,A4,'COGS Break up'!#REF!,Sales3[[#Headers],[Labour cost per unit]]),SUMIFS('COGS Break up'!#REF!,'COGS Break up'!#REF!,Sales3[[#This Row],[Material]],'COGS Break up'!#REF!,Sales3[[#Headers],[Labour cost per unit]]))</f>
        <v>#REF!</v>
      </c>
      <c r="AC4" s="12" t="e">
        <f>IF(Sales3[[#This Row],[Posting Date]]=1-7-2025,SUMIFS('COGS Break up'!#REF!,'COGS Break up'!#REF!,A4,'COGS Break up'!#REF!,Sales3[[#Headers],[Other Conversion cost pu]]),SUMIFS('COGS Break up'!#REF!,'COGS Break up'!#REF!,Sales3[[#This Row],[Material]],'COGS Break up'!#REF!,Sales3[[#Headers],[Other Conversion cost pu]]))</f>
        <v>#REF!</v>
      </c>
      <c r="AD4" s="48" t="e">
        <f>Sales3[[#This Row],[PGI per unit]]-Sales3[[#This Row],[BOM Cost]]-Sales3[[#This Row],[Labour cost per unit]]-Sales3[[#This Row],[Other Conversion cost pu]]</f>
        <v>#REF!</v>
      </c>
      <c r="AE4" s="48" t="e">
        <f>Sales3[[#This Row],[BOM Cost2]]+Sales3[[#This Row],[Labour Cost]]+Sales3[[#This Row],[Other conversion cost]]</f>
        <v>#REF!</v>
      </c>
      <c r="AF4" s="12" t="e">
        <f>Sales3[[#This Row],[Billed Quantity]]*Sales3[[#This Row],[BOM Cost]]</f>
        <v>#REF!</v>
      </c>
      <c r="AG4" s="12" t="e">
        <f>Sales3[[#This Row],[Billed Quantity]]*Sales3[[#This Row],[Labour cost per unit]]</f>
        <v>#REF!</v>
      </c>
      <c r="AH4" s="12" t="e">
        <f>Sales3[[#This Row],[Billed Quantity]]*Sales3[[#This Row],[Other Conversion cost pu]]</f>
        <v>#REF!</v>
      </c>
      <c r="AI4" s="48" t="e">
        <f>Sales3[[#This Row],[PGI Amount]]-Sales3[[#This Row],[BOM Cost2]]-Sales3[[#This Row],[Labour Cost]]-Sales3[[#This Row],[Other conversion cost]]</f>
        <v>#REF!</v>
      </c>
      <c r="AJ4" s="121" t="e">
        <f>1-Sales3[[#This Row],[PGI COST]]/Sales3[[#This Row],[Net Value]]</f>
        <v>#REF!</v>
      </c>
    </row>
    <row r="5" spans="1:36" hidden="1" x14ac:dyDescent="0.3">
      <c r="A5" s="1" t="s">
        <v>479</v>
      </c>
      <c r="B5" s="2">
        <v>45842</v>
      </c>
      <c r="C5" s="1" t="s">
        <v>687</v>
      </c>
      <c r="D5" s="1" t="s">
        <v>366</v>
      </c>
      <c r="E5" s="1" t="s">
        <v>367</v>
      </c>
      <c r="F5" s="1" t="s">
        <v>18</v>
      </c>
      <c r="G5" s="1" t="s">
        <v>19</v>
      </c>
      <c r="H5" s="1" t="s">
        <v>483</v>
      </c>
      <c r="I5" s="3">
        <v>245</v>
      </c>
      <c r="J5" s="4">
        <v>88832.1</v>
      </c>
      <c r="K5" s="3">
        <v>245</v>
      </c>
      <c r="L5" s="3">
        <v>245</v>
      </c>
      <c r="M5" s="2">
        <v>45842</v>
      </c>
      <c r="N5" s="4">
        <v>76952.05</v>
      </c>
      <c r="O5" s="1" t="s">
        <v>21</v>
      </c>
      <c r="P5" s="1" t="s">
        <v>22</v>
      </c>
      <c r="Q5" s="1" t="s">
        <v>660</v>
      </c>
      <c r="R5" s="1" t="str">
        <f>VLOOKUP(Sales3[[#This Row],[Material type]],Master!$H$3:$I$8,2,0)</f>
        <v>Finished Goods</v>
      </c>
      <c r="S5" s="1" t="str">
        <f>VLOOKUP(Sales3[[#This Row],[Material Group]],Master!B:C,2,0)</f>
        <v>FG-PCB-MG</v>
      </c>
      <c r="T5" s="9" t="b">
        <f ca="1">(TODAY()-1)=Sales3[[#This Row],[Billing Date]]</f>
        <v>0</v>
      </c>
      <c r="U5" s="10" t="e">
        <f>Sales3[[#This Row],[Net Value]]-Sales3[[#This Row],[PGI COST]]</f>
        <v>#REF!</v>
      </c>
      <c r="V5" s="11" t="e">
        <f>Sales3[[#This Row],[Gross Margin]]/Sales3[[#This Row],[Net Value]]</f>
        <v>#REF!</v>
      </c>
      <c r="W5" s="1" t="str">
        <f>TEXT(Sales3[[#This Row],[Billing Date]],"mmmm-yy")</f>
        <v>July-25</v>
      </c>
      <c r="X5" s="1">
        <f>Sales3[[#This Row],[Net Value]]/Sales3[[#This Row],[Billed Quantity]]</f>
        <v>314.09000000000003</v>
      </c>
      <c r="Y5" s="117">
        <f>Sales3[[#This Row],[Actual delivery qty]]</f>
        <v>245</v>
      </c>
      <c r="Z5" s="12" t="e">
        <f>SUM(Sales3[[#This Row],[BOM Cost]:[Other Conversion cost pu]])</f>
        <v>#REF!</v>
      </c>
      <c r="AA5" s="12" t="e">
        <f>IF(Sales3[[#This Row],[Posting Date]]=1-7-2025,SUMIFS('COGS Break up'!#REF!,'COGS Break up'!#REF!,A5,'COGS Break up'!#REF!,Sales3[[#Headers],[BOM Cost]]),SUMIFS('COGS Break up'!#REF!,'COGS Break up'!#REF!,Sales3[[#This Row],[Material]],'COGS Break up'!#REF!,Sales3[[#Headers],[BOM Cost]]))</f>
        <v>#REF!</v>
      </c>
      <c r="AB5" s="12" t="e">
        <f>IF(Sales3[[#This Row],[Posting Date]]=1-7-2025,SUMIFS('COGS Break up'!#REF!,'COGS Break up'!#REF!,A5,'COGS Break up'!#REF!,Sales3[[#Headers],[Labour cost per unit]]),SUMIFS('COGS Break up'!#REF!,'COGS Break up'!#REF!,Sales3[[#This Row],[Material]],'COGS Break up'!#REF!,Sales3[[#Headers],[Labour cost per unit]]))</f>
        <v>#REF!</v>
      </c>
      <c r="AC5" s="12" t="e">
        <f>IF(Sales3[[#This Row],[Posting Date]]=1-7-2025,SUMIFS('COGS Break up'!#REF!,'COGS Break up'!#REF!,A5,'COGS Break up'!#REF!,Sales3[[#Headers],[Other Conversion cost pu]]),SUMIFS('COGS Break up'!#REF!,'COGS Break up'!#REF!,Sales3[[#This Row],[Material]],'COGS Break up'!#REF!,Sales3[[#Headers],[Other Conversion cost pu]]))</f>
        <v>#REF!</v>
      </c>
      <c r="AD5" s="48" t="e">
        <f>Sales3[[#This Row],[PGI per unit]]-Sales3[[#This Row],[BOM Cost]]-Sales3[[#This Row],[Labour cost per unit]]-Sales3[[#This Row],[Other Conversion cost pu]]</f>
        <v>#REF!</v>
      </c>
      <c r="AE5" s="48" t="e">
        <f>Sales3[[#This Row],[BOM Cost2]]+Sales3[[#This Row],[Labour Cost]]+Sales3[[#This Row],[Other conversion cost]]</f>
        <v>#REF!</v>
      </c>
      <c r="AF5" s="12" t="e">
        <f>Sales3[[#This Row],[Billed Quantity]]*Sales3[[#This Row],[BOM Cost]]</f>
        <v>#REF!</v>
      </c>
      <c r="AG5" s="12" t="e">
        <f>Sales3[[#This Row],[Billed Quantity]]*Sales3[[#This Row],[Labour cost per unit]]</f>
        <v>#REF!</v>
      </c>
      <c r="AH5" s="12" t="e">
        <f>Sales3[[#This Row],[Billed Quantity]]*Sales3[[#This Row],[Other Conversion cost pu]]</f>
        <v>#REF!</v>
      </c>
      <c r="AI5" s="48" t="e">
        <f>Sales3[[#This Row],[PGI Amount]]-Sales3[[#This Row],[BOM Cost2]]-Sales3[[#This Row],[Labour Cost]]-Sales3[[#This Row],[Other conversion cost]]</f>
        <v>#REF!</v>
      </c>
      <c r="AJ5" s="121" t="e">
        <f>1-Sales3[[#This Row],[PGI COST]]/Sales3[[#This Row],[Net Value]]</f>
        <v>#REF!</v>
      </c>
    </row>
    <row r="6" spans="1:36" hidden="1" x14ac:dyDescent="0.3">
      <c r="A6" s="1" t="s">
        <v>479</v>
      </c>
      <c r="B6" s="2">
        <v>45842</v>
      </c>
      <c r="C6" s="1" t="s">
        <v>688</v>
      </c>
      <c r="D6" s="1" t="s">
        <v>366</v>
      </c>
      <c r="E6" s="1" t="s">
        <v>367</v>
      </c>
      <c r="F6" s="1" t="s">
        <v>18</v>
      </c>
      <c r="G6" s="1" t="s">
        <v>19</v>
      </c>
      <c r="H6" s="1" t="s">
        <v>483</v>
      </c>
      <c r="I6" s="3">
        <v>89</v>
      </c>
      <c r="J6" s="4">
        <v>32269.62</v>
      </c>
      <c r="K6" s="3">
        <v>89</v>
      </c>
      <c r="L6" s="3">
        <v>89</v>
      </c>
      <c r="M6" s="2">
        <v>45842</v>
      </c>
      <c r="N6" s="4">
        <v>27954.01</v>
      </c>
      <c r="O6" s="1" t="s">
        <v>21</v>
      </c>
      <c r="P6" s="1" t="s">
        <v>22</v>
      </c>
      <c r="Q6" s="1" t="s">
        <v>660</v>
      </c>
      <c r="R6" s="1" t="str">
        <f>VLOOKUP(Sales3[[#This Row],[Material type]],Master!$H$3:$I$8,2,0)</f>
        <v>Finished Goods</v>
      </c>
      <c r="S6" s="1" t="str">
        <f>VLOOKUP(Sales3[[#This Row],[Material Group]],Master!B:C,2,0)</f>
        <v>FG-PCB-MG</v>
      </c>
      <c r="T6" s="9" t="b">
        <f ca="1">(TODAY()-1)=Sales3[[#This Row],[Billing Date]]</f>
        <v>0</v>
      </c>
      <c r="U6" s="10" t="e">
        <f>Sales3[[#This Row],[Net Value]]-Sales3[[#This Row],[PGI COST]]</f>
        <v>#REF!</v>
      </c>
      <c r="V6" s="11" t="e">
        <f>Sales3[[#This Row],[Gross Margin]]/Sales3[[#This Row],[Net Value]]</f>
        <v>#REF!</v>
      </c>
      <c r="W6" s="1" t="str">
        <f>TEXT(Sales3[[#This Row],[Billing Date]],"mmmm-yy")</f>
        <v>July-25</v>
      </c>
      <c r="X6" s="1">
        <f>Sales3[[#This Row],[Net Value]]/Sales3[[#This Row],[Billed Quantity]]</f>
        <v>314.08999999999997</v>
      </c>
      <c r="Y6" s="117">
        <f>Sales3[[#This Row],[Actual delivery qty]]</f>
        <v>89</v>
      </c>
      <c r="Z6" s="12" t="e">
        <f>SUM(Sales3[[#This Row],[BOM Cost]:[Other Conversion cost pu]])</f>
        <v>#REF!</v>
      </c>
      <c r="AA6" s="12" t="e">
        <f>IF(Sales3[[#This Row],[Posting Date]]=1-7-2025,SUMIFS('COGS Break up'!#REF!,'COGS Break up'!#REF!,A6,'COGS Break up'!#REF!,Sales3[[#Headers],[BOM Cost]]),SUMIFS('COGS Break up'!#REF!,'COGS Break up'!#REF!,Sales3[[#This Row],[Material]],'COGS Break up'!#REF!,Sales3[[#Headers],[BOM Cost]]))</f>
        <v>#REF!</v>
      </c>
      <c r="AB6" s="12" t="e">
        <f>IF(Sales3[[#This Row],[Posting Date]]=1-7-2025,SUMIFS('COGS Break up'!#REF!,'COGS Break up'!#REF!,A6,'COGS Break up'!#REF!,Sales3[[#Headers],[Labour cost per unit]]),SUMIFS('COGS Break up'!#REF!,'COGS Break up'!#REF!,Sales3[[#This Row],[Material]],'COGS Break up'!#REF!,Sales3[[#Headers],[Labour cost per unit]]))</f>
        <v>#REF!</v>
      </c>
      <c r="AC6" s="12" t="e">
        <f>IF(Sales3[[#This Row],[Posting Date]]=1-7-2025,SUMIFS('COGS Break up'!#REF!,'COGS Break up'!#REF!,A6,'COGS Break up'!#REF!,Sales3[[#Headers],[Other Conversion cost pu]]),SUMIFS('COGS Break up'!#REF!,'COGS Break up'!#REF!,Sales3[[#This Row],[Material]],'COGS Break up'!#REF!,Sales3[[#Headers],[Other Conversion cost pu]]))</f>
        <v>#REF!</v>
      </c>
      <c r="AD6" s="48" t="e">
        <f>Sales3[[#This Row],[PGI per unit]]-Sales3[[#This Row],[BOM Cost]]-Sales3[[#This Row],[Labour cost per unit]]-Sales3[[#This Row],[Other Conversion cost pu]]</f>
        <v>#REF!</v>
      </c>
      <c r="AE6" s="48" t="e">
        <f>Sales3[[#This Row],[BOM Cost2]]+Sales3[[#This Row],[Labour Cost]]+Sales3[[#This Row],[Other conversion cost]]</f>
        <v>#REF!</v>
      </c>
      <c r="AF6" s="12" t="e">
        <f>Sales3[[#This Row],[Billed Quantity]]*Sales3[[#This Row],[BOM Cost]]</f>
        <v>#REF!</v>
      </c>
      <c r="AG6" s="12" t="e">
        <f>Sales3[[#This Row],[Billed Quantity]]*Sales3[[#This Row],[Labour cost per unit]]</f>
        <v>#REF!</v>
      </c>
      <c r="AH6" s="12" t="e">
        <f>Sales3[[#This Row],[Billed Quantity]]*Sales3[[#This Row],[Other Conversion cost pu]]</f>
        <v>#REF!</v>
      </c>
      <c r="AI6" s="48" t="e">
        <f>Sales3[[#This Row],[PGI Amount]]-Sales3[[#This Row],[BOM Cost2]]-Sales3[[#This Row],[Labour Cost]]-Sales3[[#This Row],[Other conversion cost]]</f>
        <v>#REF!</v>
      </c>
      <c r="AJ6" s="121" t="e">
        <f>1-Sales3[[#This Row],[PGI COST]]/Sales3[[#This Row],[Net Value]]</f>
        <v>#REF!</v>
      </c>
    </row>
    <row r="7" spans="1:36" hidden="1" x14ac:dyDescent="0.3">
      <c r="A7" s="1" t="s">
        <v>479</v>
      </c>
      <c r="B7" s="2">
        <v>45842</v>
      </c>
      <c r="C7" s="1" t="s">
        <v>687</v>
      </c>
      <c r="D7" s="1" t="s">
        <v>362</v>
      </c>
      <c r="E7" s="1" t="s">
        <v>363</v>
      </c>
      <c r="F7" s="1" t="s">
        <v>18</v>
      </c>
      <c r="G7" s="1" t="s">
        <v>19</v>
      </c>
      <c r="H7" s="1" t="s">
        <v>483</v>
      </c>
      <c r="I7" s="3">
        <v>140</v>
      </c>
      <c r="J7" s="4">
        <v>108185</v>
      </c>
      <c r="K7" s="3">
        <v>140</v>
      </c>
      <c r="L7" s="3">
        <v>140</v>
      </c>
      <c r="M7" s="2">
        <v>45842</v>
      </c>
      <c r="N7" s="4">
        <v>120713.60000000001</v>
      </c>
      <c r="O7" s="1" t="s">
        <v>21</v>
      </c>
      <c r="P7" s="1" t="s">
        <v>22</v>
      </c>
      <c r="Q7" s="1" t="s">
        <v>660</v>
      </c>
      <c r="R7" s="1" t="str">
        <f>VLOOKUP(Sales3[[#This Row],[Material type]],Master!$H$3:$I$8,2,0)</f>
        <v>Finished Goods</v>
      </c>
      <c r="S7" s="1" t="str">
        <f>VLOOKUP(Sales3[[#This Row],[Material Group]],Master!B:C,2,0)</f>
        <v>FG-PCB-MG</v>
      </c>
      <c r="T7" s="9" t="b">
        <f ca="1">(TODAY()-1)=Sales3[[#This Row],[Billing Date]]</f>
        <v>0</v>
      </c>
      <c r="U7" s="10" t="e">
        <f>Sales3[[#This Row],[Net Value]]-Sales3[[#This Row],[PGI COST]]</f>
        <v>#REF!</v>
      </c>
      <c r="V7" s="11" t="e">
        <f>Sales3[[#This Row],[Gross Margin]]/Sales3[[#This Row],[Net Value]]</f>
        <v>#REF!</v>
      </c>
      <c r="W7" s="1" t="str">
        <f>TEXT(Sales3[[#This Row],[Billing Date]],"mmmm-yy")</f>
        <v>July-25</v>
      </c>
      <c r="X7" s="1">
        <f>Sales3[[#This Row],[Net Value]]/Sales3[[#This Row],[Billed Quantity]]</f>
        <v>862.24</v>
      </c>
      <c r="Y7" s="117">
        <f>Sales3[[#This Row],[Actual delivery qty]]</f>
        <v>140</v>
      </c>
      <c r="Z7" s="12" t="e">
        <f>SUM(Sales3[[#This Row],[BOM Cost]:[Other Conversion cost pu]])</f>
        <v>#REF!</v>
      </c>
      <c r="AA7" s="12" t="e">
        <f>IF(Sales3[[#This Row],[Posting Date]]=1-7-2025,SUMIFS('COGS Break up'!#REF!,'COGS Break up'!#REF!,A7,'COGS Break up'!#REF!,Sales3[[#Headers],[BOM Cost]]),SUMIFS('COGS Break up'!#REF!,'COGS Break up'!#REF!,Sales3[[#This Row],[Material]],'COGS Break up'!#REF!,Sales3[[#Headers],[BOM Cost]]))</f>
        <v>#REF!</v>
      </c>
      <c r="AB7" s="12" t="e">
        <f>IF(Sales3[[#This Row],[Posting Date]]=1-7-2025,SUMIFS('COGS Break up'!#REF!,'COGS Break up'!#REF!,A7,'COGS Break up'!#REF!,Sales3[[#Headers],[Labour cost per unit]]),SUMIFS('COGS Break up'!#REF!,'COGS Break up'!#REF!,Sales3[[#This Row],[Material]],'COGS Break up'!#REF!,Sales3[[#Headers],[Labour cost per unit]]))</f>
        <v>#REF!</v>
      </c>
      <c r="AC7" s="12" t="e">
        <f>IF(Sales3[[#This Row],[Posting Date]]=1-7-2025,SUMIFS('COGS Break up'!#REF!,'COGS Break up'!#REF!,A7,'COGS Break up'!#REF!,Sales3[[#Headers],[Other Conversion cost pu]]),SUMIFS('COGS Break up'!#REF!,'COGS Break up'!#REF!,Sales3[[#This Row],[Material]],'COGS Break up'!#REF!,Sales3[[#Headers],[Other Conversion cost pu]]))</f>
        <v>#REF!</v>
      </c>
      <c r="AD7" s="48" t="e">
        <f>Sales3[[#This Row],[PGI per unit]]-Sales3[[#This Row],[BOM Cost]]-Sales3[[#This Row],[Labour cost per unit]]-Sales3[[#This Row],[Other Conversion cost pu]]</f>
        <v>#REF!</v>
      </c>
      <c r="AE7" s="48" t="e">
        <f>Sales3[[#This Row],[BOM Cost2]]+Sales3[[#This Row],[Labour Cost]]+Sales3[[#This Row],[Other conversion cost]]</f>
        <v>#REF!</v>
      </c>
      <c r="AF7" s="12" t="e">
        <f>Sales3[[#This Row],[Billed Quantity]]*Sales3[[#This Row],[BOM Cost]]</f>
        <v>#REF!</v>
      </c>
      <c r="AG7" s="12" t="e">
        <f>Sales3[[#This Row],[Billed Quantity]]*Sales3[[#This Row],[Labour cost per unit]]</f>
        <v>#REF!</v>
      </c>
      <c r="AH7" s="12" t="e">
        <f>Sales3[[#This Row],[Billed Quantity]]*Sales3[[#This Row],[Other Conversion cost pu]]</f>
        <v>#REF!</v>
      </c>
      <c r="AI7" s="48" t="e">
        <f>Sales3[[#This Row],[PGI Amount]]-Sales3[[#This Row],[BOM Cost2]]-Sales3[[#This Row],[Labour Cost]]-Sales3[[#This Row],[Other conversion cost]]</f>
        <v>#REF!</v>
      </c>
      <c r="AJ7" s="120" t="e">
        <f>1-Sales3[[#This Row],[PGI COST]]/Sales3[[#This Row],[Net Value]]</f>
        <v>#REF!</v>
      </c>
    </row>
    <row r="8" spans="1:36" hidden="1" x14ac:dyDescent="0.3">
      <c r="A8" s="1" t="s">
        <v>479</v>
      </c>
      <c r="B8" s="2">
        <v>45842</v>
      </c>
      <c r="C8" s="1" t="s">
        <v>688</v>
      </c>
      <c r="D8" s="1" t="s">
        <v>362</v>
      </c>
      <c r="E8" s="1" t="s">
        <v>363</v>
      </c>
      <c r="F8" s="1" t="s">
        <v>18</v>
      </c>
      <c r="G8" s="1" t="s">
        <v>19</v>
      </c>
      <c r="H8" s="1" t="s">
        <v>483</v>
      </c>
      <c r="I8" s="3">
        <v>245</v>
      </c>
      <c r="J8" s="4">
        <v>189323.75</v>
      </c>
      <c r="K8" s="3">
        <v>245</v>
      </c>
      <c r="L8" s="3">
        <v>245</v>
      </c>
      <c r="M8" s="2">
        <v>45842</v>
      </c>
      <c r="N8" s="4">
        <v>211248.8</v>
      </c>
      <c r="O8" s="1" t="s">
        <v>21</v>
      </c>
      <c r="P8" s="1" t="s">
        <v>22</v>
      </c>
      <c r="Q8" s="1" t="s">
        <v>660</v>
      </c>
      <c r="R8" s="1" t="str">
        <f>VLOOKUP(Sales3[[#This Row],[Material type]],Master!$H$3:$I$8,2,0)</f>
        <v>Finished Goods</v>
      </c>
      <c r="S8" s="1" t="str">
        <f>VLOOKUP(Sales3[[#This Row],[Material Group]],Master!B:C,2,0)</f>
        <v>FG-PCB-MG</v>
      </c>
      <c r="T8" s="9" t="b">
        <f ca="1">(TODAY()-1)=Sales3[[#This Row],[Billing Date]]</f>
        <v>0</v>
      </c>
      <c r="U8" s="10" t="e">
        <f>Sales3[[#This Row],[Net Value]]-Sales3[[#This Row],[PGI COST]]</f>
        <v>#REF!</v>
      </c>
      <c r="V8" s="11" t="e">
        <f>Sales3[[#This Row],[Gross Margin]]/Sales3[[#This Row],[Net Value]]</f>
        <v>#REF!</v>
      </c>
      <c r="W8" s="1" t="str">
        <f>TEXT(Sales3[[#This Row],[Billing Date]],"mmmm-yy")</f>
        <v>July-25</v>
      </c>
      <c r="X8" s="1">
        <f>Sales3[[#This Row],[Net Value]]/Sales3[[#This Row],[Billed Quantity]]</f>
        <v>862.24</v>
      </c>
      <c r="Y8" s="117">
        <f>Sales3[[#This Row],[Actual delivery qty]]</f>
        <v>245</v>
      </c>
      <c r="Z8" s="12" t="e">
        <f>SUM(Sales3[[#This Row],[BOM Cost]:[Other Conversion cost pu]])</f>
        <v>#REF!</v>
      </c>
      <c r="AA8" s="12" t="e">
        <f>IF(Sales3[[#This Row],[Posting Date]]=1-7-2025,SUMIFS('COGS Break up'!#REF!,'COGS Break up'!#REF!,A8,'COGS Break up'!#REF!,Sales3[[#Headers],[BOM Cost]]),SUMIFS('COGS Break up'!#REF!,'COGS Break up'!#REF!,Sales3[[#This Row],[Material]],'COGS Break up'!#REF!,Sales3[[#Headers],[BOM Cost]]))</f>
        <v>#REF!</v>
      </c>
      <c r="AB8" s="12" t="e">
        <f>IF(Sales3[[#This Row],[Posting Date]]=1-7-2025,SUMIFS('COGS Break up'!#REF!,'COGS Break up'!#REF!,A8,'COGS Break up'!#REF!,Sales3[[#Headers],[Labour cost per unit]]),SUMIFS('COGS Break up'!#REF!,'COGS Break up'!#REF!,Sales3[[#This Row],[Material]],'COGS Break up'!#REF!,Sales3[[#Headers],[Labour cost per unit]]))</f>
        <v>#REF!</v>
      </c>
      <c r="AC8" s="12" t="e">
        <f>IF(Sales3[[#This Row],[Posting Date]]=1-7-2025,SUMIFS('COGS Break up'!#REF!,'COGS Break up'!#REF!,A8,'COGS Break up'!#REF!,Sales3[[#Headers],[Other Conversion cost pu]]),SUMIFS('COGS Break up'!#REF!,'COGS Break up'!#REF!,Sales3[[#This Row],[Material]],'COGS Break up'!#REF!,Sales3[[#Headers],[Other Conversion cost pu]]))</f>
        <v>#REF!</v>
      </c>
      <c r="AD8" s="48" t="e">
        <f>Sales3[[#This Row],[PGI per unit]]-Sales3[[#This Row],[BOM Cost]]-Sales3[[#This Row],[Labour cost per unit]]-Sales3[[#This Row],[Other Conversion cost pu]]</f>
        <v>#REF!</v>
      </c>
      <c r="AE8" s="48" t="e">
        <f>Sales3[[#This Row],[BOM Cost2]]+Sales3[[#This Row],[Labour Cost]]+Sales3[[#This Row],[Other conversion cost]]</f>
        <v>#REF!</v>
      </c>
      <c r="AF8" s="12" t="e">
        <f>Sales3[[#This Row],[Billed Quantity]]*Sales3[[#This Row],[BOM Cost]]</f>
        <v>#REF!</v>
      </c>
      <c r="AG8" s="12" t="e">
        <f>Sales3[[#This Row],[Billed Quantity]]*Sales3[[#This Row],[Labour cost per unit]]</f>
        <v>#REF!</v>
      </c>
      <c r="AH8" s="12" t="e">
        <f>Sales3[[#This Row],[Billed Quantity]]*Sales3[[#This Row],[Other Conversion cost pu]]</f>
        <v>#REF!</v>
      </c>
      <c r="AI8" s="48" t="e">
        <f>Sales3[[#This Row],[PGI Amount]]-Sales3[[#This Row],[BOM Cost2]]-Sales3[[#This Row],[Labour Cost]]-Sales3[[#This Row],[Other conversion cost]]</f>
        <v>#REF!</v>
      </c>
      <c r="AJ8" s="121" t="e">
        <f>1-Sales3[[#This Row],[PGI COST]]/Sales3[[#This Row],[Net Value]]</f>
        <v>#REF!</v>
      </c>
    </row>
    <row r="9" spans="1:36" hidden="1" x14ac:dyDescent="0.3">
      <c r="A9" s="1" t="s">
        <v>479</v>
      </c>
      <c r="B9" s="2">
        <v>45842</v>
      </c>
      <c r="C9" s="1" t="s">
        <v>687</v>
      </c>
      <c r="D9" s="1" t="s">
        <v>360</v>
      </c>
      <c r="E9" s="1" t="s">
        <v>361</v>
      </c>
      <c r="F9" s="1" t="s">
        <v>18</v>
      </c>
      <c r="G9" s="1" t="s">
        <v>19</v>
      </c>
      <c r="H9" s="1" t="s">
        <v>483</v>
      </c>
      <c r="I9" s="3">
        <v>840</v>
      </c>
      <c r="J9" s="4">
        <v>25687.200000000001</v>
      </c>
      <c r="K9" s="3">
        <v>840</v>
      </c>
      <c r="L9" s="3">
        <v>840</v>
      </c>
      <c r="M9" s="2">
        <v>45842</v>
      </c>
      <c r="N9" s="4">
        <v>23310</v>
      </c>
      <c r="O9" s="1" t="s">
        <v>21</v>
      </c>
      <c r="P9" s="1" t="s">
        <v>22</v>
      </c>
      <c r="Q9" s="1" t="s">
        <v>660</v>
      </c>
      <c r="R9" s="1" t="str">
        <f>VLOOKUP(Sales3[[#This Row],[Material type]],Master!$H$3:$I$8,2,0)</f>
        <v>Finished Goods</v>
      </c>
      <c r="S9" s="1" t="str">
        <f>VLOOKUP(Sales3[[#This Row],[Material Group]],Master!B:C,2,0)</f>
        <v>FG-PCB-MG</v>
      </c>
      <c r="T9" s="9" t="b">
        <f ca="1">(TODAY()-1)=Sales3[[#This Row],[Billing Date]]</f>
        <v>0</v>
      </c>
      <c r="U9" s="10" t="e">
        <f>Sales3[[#This Row],[Net Value]]-Sales3[[#This Row],[PGI COST]]</f>
        <v>#REF!</v>
      </c>
      <c r="V9" s="11" t="e">
        <f>Sales3[[#This Row],[Gross Margin]]/Sales3[[#This Row],[Net Value]]</f>
        <v>#REF!</v>
      </c>
      <c r="W9" s="1" t="str">
        <f>TEXT(Sales3[[#This Row],[Billing Date]],"mmmm-yy")</f>
        <v>July-25</v>
      </c>
      <c r="X9" s="1">
        <f>Sales3[[#This Row],[Net Value]]/Sales3[[#This Row],[Billed Quantity]]</f>
        <v>27.75</v>
      </c>
      <c r="Y9" s="117"/>
      <c r="Z9" s="12" t="e">
        <f>SUM(Sales3[[#This Row],[BOM Cost]:[Other Conversion cost pu]])</f>
        <v>#REF!</v>
      </c>
      <c r="AA9" s="12" t="e">
        <f>IF(Sales3[[#This Row],[Posting Date]]=1-7-2025,SUMIFS('COGS Break up'!#REF!,'COGS Break up'!#REF!,A9,'COGS Break up'!#REF!,Sales3[[#Headers],[BOM Cost]]),SUMIFS('COGS Break up'!#REF!,'COGS Break up'!#REF!,Sales3[[#This Row],[Material]],'COGS Break up'!#REF!,Sales3[[#Headers],[BOM Cost]]))</f>
        <v>#REF!</v>
      </c>
      <c r="AB9" s="12" t="e">
        <f>IF(Sales3[[#This Row],[Posting Date]]=1-7-2025,SUMIFS('COGS Break up'!#REF!,'COGS Break up'!#REF!,A9,'COGS Break up'!#REF!,Sales3[[#Headers],[Labour cost per unit]]),SUMIFS('COGS Break up'!#REF!,'COGS Break up'!#REF!,Sales3[[#This Row],[Material]],'COGS Break up'!#REF!,Sales3[[#Headers],[Labour cost per unit]]))</f>
        <v>#REF!</v>
      </c>
      <c r="AC9" s="12" t="e">
        <f>IF(Sales3[[#This Row],[Posting Date]]=1-7-2025,SUMIFS('COGS Break up'!#REF!,'COGS Break up'!#REF!,A9,'COGS Break up'!#REF!,Sales3[[#Headers],[Other Conversion cost pu]]),SUMIFS('COGS Break up'!#REF!,'COGS Break up'!#REF!,Sales3[[#This Row],[Material]],'COGS Break up'!#REF!,Sales3[[#Headers],[Other Conversion cost pu]]))</f>
        <v>#REF!</v>
      </c>
      <c r="AD9" s="48" t="e">
        <f>Sales3[[#This Row],[PGI per unit]]-Sales3[[#This Row],[BOM Cost]]-Sales3[[#This Row],[Labour cost per unit]]-Sales3[[#This Row],[Other Conversion cost pu]]</f>
        <v>#REF!</v>
      </c>
      <c r="AE9" s="48" t="e">
        <f>Sales3[[#This Row],[BOM Cost2]]+Sales3[[#This Row],[Labour Cost]]+Sales3[[#This Row],[Other conversion cost]]</f>
        <v>#REF!</v>
      </c>
      <c r="AF9" s="12" t="e">
        <f>Sales3[[#This Row],[Billed Quantity]]*Sales3[[#This Row],[BOM Cost]]</f>
        <v>#REF!</v>
      </c>
      <c r="AG9" s="12" t="e">
        <f>Sales3[[#This Row],[Billed Quantity]]*Sales3[[#This Row],[Labour cost per unit]]</f>
        <v>#REF!</v>
      </c>
      <c r="AH9" s="12" t="e">
        <f>Sales3[[#This Row],[Billed Quantity]]*Sales3[[#This Row],[Other Conversion cost pu]]</f>
        <v>#REF!</v>
      </c>
      <c r="AI9" s="48" t="e">
        <f>Sales3[[#This Row],[PGI Amount]]-Sales3[[#This Row],[BOM Cost2]]-Sales3[[#This Row],[Labour Cost]]-Sales3[[#This Row],[Other conversion cost]]</f>
        <v>#REF!</v>
      </c>
      <c r="AJ9" s="121" t="e">
        <f>1-Sales3[[#This Row],[PGI COST]]/Sales3[[#This Row],[Net Value]]</f>
        <v>#REF!</v>
      </c>
    </row>
    <row r="10" spans="1:36" hidden="1" x14ac:dyDescent="0.3">
      <c r="A10" s="1" t="s">
        <v>479</v>
      </c>
      <c r="B10" s="2">
        <v>45842</v>
      </c>
      <c r="C10" s="1" t="s">
        <v>687</v>
      </c>
      <c r="D10" s="1" t="s">
        <v>23</v>
      </c>
      <c r="E10" s="1" t="s">
        <v>24</v>
      </c>
      <c r="F10" s="1" t="s">
        <v>18</v>
      </c>
      <c r="G10" s="1" t="s">
        <v>19</v>
      </c>
      <c r="H10" s="1" t="s">
        <v>27</v>
      </c>
      <c r="I10" s="3">
        <v>525</v>
      </c>
      <c r="J10" s="4">
        <v>239972.25</v>
      </c>
      <c r="K10" s="3">
        <v>525</v>
      </c>
      <c r="L10" s="3">
        <v>525</v>
      </c>
      <c r="M10" s="2">
        <v>45842</v>
      </c>
      <c r="N10" s="4">
        <v>253659</v>
      </c>
      <c r="O10" s="1" t="s">
        <v>21</v>
      </c>
      <c r="P10" s="1" t="s">
        <v>22</v>
      </c>
      <c r="Q10" s="1" t="s">
        <v>660</v>
      </c>
      <c r="R10" s="1" t="str">
        <f>VLOOKUP(Sales3[[#This Row],[Material type]],Master!$H$3:$I$8,2,0)</f>
        <v>Finished Goods</v>
      </c>
      <c r="S10" s="1" t="str">
        <f>VLOOKUP(Sales3[[#This Row],[Material Group]],Master!B:C,2,0)</f>
        <v>FG-PCB-CF</v>
      </c>
      <c r="T10" s="9" t="b">
        <f ca="1">(TODAY()-1)=Sales3[[#This Row],[Billing Date]]</f>
        <v>0</v>
      </c>
      <c r="U10" s="10" t="e">
        <f>Sales3[[#This Row],[Net Value]]-Sales3[[#This Row],[PGI COST]]</f>
        <v>#REF!</v>
      </c>
      <c r="V10" s="11" t="e">
        <f>Sales3[[#This Row],[Gross Margin]]/Sales3[[#This Row],[Net Value]]</f>
        <v>#REF!</v>
      </c>
      <c r="W10" s="1" t="str">
        <f>TEXT(Sales3[[#This Row],[Billing Date]],"mmmm-yy")</f>
        <v>July-25</v>
      </c>
      <c r="X10" s="1">
        <f>Sales3[[#This Row],[Net Value]]/Sales3[[#This Row],[Billed Quantity]]</f>
        <v>483.16</v>
      </c>
      <c r="Y10" s="117">
        <f>Sales3[[#This Row],[Actual delivery qty]]</f>
        <v>525</v>
      </c>
      <c r="Z10" s="12" t="e">
        <f>SUM(Sales3[[#This Row],[BOM Cost]:[Other Conversion cost pu]])</f>
        <v>#REF!</v>
      </c>
      <c r="AA10" s="12" t="e">
        <f>IF(Sales3[[#This Row],[Posting Date]]=1-7-2025,SUMIFS('COGS Break up'!#REF!,'COGS Break up'!#REF!,A10,'COGS Break up'!#REF!,Sales3[[#Headers],[BOM Cost]]),SUMIFS('COGS Break up'!#REF!,'COGS Break up'!#REF!,Sales3[[#This Row],[Material]],'COGS Break up'!#REF!,Sales3[[#Headers],[BOM Cost]]))</f>
        <v>#REF!</v>
      </c>
      <c r="AB10" s="12" t="e">
        <f>IF(Sales3[[#This Row],[Posting Date]]=1-7-2025,SUMIFS('COGS Break up'!#REF!,'COGS Break up'!#REF!,A10,'COGS Break up'!#REF!,Sales3[[#Headers],[Labour cost per unit]]),SUMIFS('COGS Break up'!#REF!,'COGS Break up'!#REF!,Sales3[[#This Row],[Material]],'COGS Break up'!#REF!,Sales3[[#Headers],[Labour cost per unit]]))</f>
        <v>#REF!</v>
      </c>
      <c r="AC10" s="12" t="e">
        <f>IF(Sales3[[#This Row],[Posting Date]]=1-7-2025,SUMIFS('COGS Break up'!#REF!,'COGS Break up'!#REF!,A10,'COGS Break up'!#REF!,Sales3[[#Headers],[Other Conversion cost pu]]),SUMIFS('COGS Break up'!#REF!,'COGS Break up'!#REF!,Sales3[[#This Row],[Material]],'COGS Break up'!#REF!,Sales3[[#Headers],[Other Conversion cost pu]]))</f>
        <v>#REF!</v>
      </c>
      <c r="AD10" s="48" t="e">
        <f>Sales3[[#This Row],[PGI per unit]]-Sales3[[#This Row],[BOM Cost]]-Sales3[[#This Row],[Labour cost per unit]]-Sales3[[#This Row],[Other Conversion cost pu]]</f>
        <v>#REF!</v>
      </c>
      <c r="AE10" s="48" t="e">
        <f>Sales3[[#This Row],[BOM Cost2]]+Sales3[[#This Row],[Labour Cost]]+Sales3[[#This Row],[Other conversion cost]]</f>
        <v>#REF!</v>
      </c>
      <c r="AF10" s="12" t="e">
        <f>Sales3[[#This Row],[Billed Quantity]]*Sales3[[#This Row],[BOM Cost]]</f>
        <v>#REF!</v>
      </c>
      <c r="AG10" s="12" t="e">
        <f>Sales3[[#This Row],[Billed Quantity]]*Sales3[[#This Row],[Labour cost per unit]]</f>
        <v>#REF!</v>
      </c>
      <c r="AH10" s="12" t="e">
        <f>Sales3[[#This Row],[Billed Quantity]]*Sales3[[#This Row],[Other Conversion cost pu]]</f>
        <v>#REF!</v>
      </c>
      <c r="AI10" s="48" t="e">
        <f>Sales3[[#This Row],[PGI Amount]]-Sales3[[#This Row],[BOM Cost2]]-Sales3[[#This Row],[Labour Cost]]-Sales3[[#This Row],[Other conversion cost]]</f>
        <v>#REF!</v>
      </c>
      <c r="AJ10" s="121" t="e">
        <f>1-Sales3[[#This Row],[PGI COST]]/Sales3[[#This Row],[Net Value]]</f>
        <v>#REF!</v>
      </c>
    </row>
    <row r="11" spans="1:36" hidden="1" x14ac:dyDescent="0.3">
      <c r="A11" s="1" t="s">
        <v>479</v>
      </c>
      <c r="B11" s="2">
        <v>45842</v>
      </c>
      <c r="C11" s="1" t="s">
        <v>689</v>
      </c>
      <c r="D11" s="1" t="s">
        <v>360</v>
      </c>
      <c r="E11" s="1" t="s">
        <v>361</v>
      </c>
      <c r="F11" s="1" t="s">
        <v>18</v>
      </c>
      <c r="G11" s="1" t="s">
        <v>19</v>
      </c>
      <c r="H11" s="1" t="s">
        <v>483</v>
      </c>
      <c r="I11" s="3">
        <v>-51</v>
      </c>
      <c r="J11" s="4">
        <v>-1559.58</v>
      </c>
      <c r="K11" s="3">
        <v>-51</v>
      </c>
      <c r="L11" s="3">
        <v>-51</v>
      </c>
      <c r="M11" s="2">
        <v>45842</v>
      </c>
      <c r="N11" s="4">
        <v>-1415.25</v>
      </c>
      <c r="O11" s="1" t="s">
        <v>21</v>
      </c>
      <c r="P11" s="1" t="s">
        <v>22</v>
      </c>
      <c r="Q11" s="1" t="s">
        <v>660</v>
      </c>
      <c r="R11" s="1" t="str">
        <f>VLOOKUP(Sales3[[#This Row],[Material type]],Master!$H$3:$I$8,2,0)</f>
        <v>Finished Goods</v>
      </c>
      <c r="S11" s="1" t="str">
        <f>VLOOKUP(Sales3[[#This Row],[Material Group]],Master!B:C,2,0)</f>
        <v>FG-PCB-MG</v>
      </c>
      <c r="T11" s="9" t="b">
        <f ca="1">(TODAY()-1)=Sales3[[#This Row],[Billing Date]]</f>
        <v>0</v>
      </c>
      <c r="U11" s="10" t="e">
        <f>Sales3[[#This Row],[Net Value]]-Sales3[[#This Row],[PGI COST]]</f>
        <v>#REF!</v>
      </c>
      <c r="V11" s="11" t="e">
        <f>Sales3[[#This Row],[Gross Margin]]/Sales3[[#This Row],[Net Value]]</f>
        <v>#REF!</v>
      </c>
      <c r="W11" s="1" t="str">
        <f>TEXT(Sales3[[#This Row],[Billing Date]],"mmmm-yy")</f>
        <v>July-25</v>
      </c>
      <c r="X11" s="1">
        <f>Sales3[[#This Row],[Net Value]]/Sales3[[#This Row],[Billed Quantity]]</f>
        <v>27.75</v>
      </c>
      <c r="Y11" s="117"/>
      <c r="Z11" s="12" t="e">
        <f>SUM(Sales3[[#This Row],[BOM Cost]:[Other Conversion cost pu]])</f>
        <v>#REF!</v>
      </c>
      <c r="AA11" s="12" t="e">
        <f>IF(Sales3[[#This Row],[Posting Date]]=1-7-2025,SUMIFS('COGS Break up'!#REF!,'COGS Break up'!#REF!,A11,'COGS Break up'!#REF!,Sales3[[#Headers],[BOM Cost]]),SUMIFS('COGS Break up'!#REF!,'COGS Break up'!#REF!,Sales3[[#This Row],[Material]],'COGS Break up'!#REF!,Sales3[[#Headers],[BOM Cost]]))</f>
        <v>#REF!</v>
      </c>
      <c r="AB11" s="12" t="e">
        <f>IF(Sales3[[#This Row],[Posting Date]]=1-7-2025,SUMIFS('COGS Break up'!#REF!,'COGS Break up'!#REF!,A11,'COGS Break up'!#REF!,Sales3[[#Headers],[Labour cost per unit]]),SUMIFS('COGS Break up'!#REF!,'COGS Break up'!#REF!,Sales3[[#This Row],[Material]],'COGS Break up'!#REF!,Sales3[[#Headers],[Labour cost per unit]]))</f>
        <v>#REF!</v>
      </c>
      <c r="AC11" s="12" t="e">
        <f>IF(Sales3[[#This Row],[Posting Date]]=1-7-2025,SUMIFS('COGS Break up'!#REF!,'COGS Break up'!#REF!,A11,'COGS Break up'!#REF!,Sales3[[#Headers],[Other Conversion cost pu]]),SUMIFS('COGS Break up'!#REF!,'COGS Break up'!#REF!,Sales3[[#This Row],[Material]],'COGS Break up'!#REF!,Sales3[[#Headers],[Other Conversion cost pu]]))</f>
        <v>#REF!</v>
      </c>
      <c r="AD11" s="48" t="e">
        <f>Sales3[[#This Row],[PGI per unit]]-Sales3[[#This Row],[BOM Cost]]-Sales3[[#This Row],[Labour cost per unit]]-Sales3[[#This Row],[Other Conversion cost pu]]</f>
        <v>#REF!</v>
      </c>
      <c r="AE11" s="48" t="e">
        <f>Sales3[[#This Row],[BOM Cost2]]+Sales3[[#This Row],[Labour Cost]]+Sales3[[#This Row],[Other conversion cost]]</f>
        <v>#REF!</v>
      </c>
      <c r="AF11" s="12" t="e">
        <f>Sales3[[#This Row],[Billed Quantity]]*Sales3[[#This Row],[BOM Cost]]</f>
        <v>#REF!</v>
      </c>
      <c r="AG11" s="12" t="e">
        <f>Sales3[[#This Row],[Billed Quantity]]*Sales3[[#This Row],[Labour cost per unit]]</f>
        <v>#REF!</v>
      </c>
      <c r="AH11" s="12" t="e">
        <f>Sales3[[#This Row],[Billed Quantity]]*Sales3[[#This Row],[Other Conversion cost pu]]</f>
        <v>#REF!</v>
      </c>
      <c r="AI11" s="48" t="e">
        <f>Sales3[[#This Row],[PGI Amount]]-Sales3[[#This Row],[BOM Cost2]]-Sales3[[#This Row],[Labour Cost]]-Sales3[[#This Row],[Other conversion cost]]</f>
        <v>#REF!</v>
      </c>
      <c r="AJ11" s="121" t="e">
        <f>1-Sales3[[#This Row],[PGI COST]]/Sales3[[#This Row],[Net Value]]</f>
        <v>#REF!</v>
      </c>
    </row>
    <row r="12" spans="1:36" hidden="1" x14ac:dyDescent="0.3">
      <c r="A12" s="1" t="s">
        <v>479</v>
      </c>
      <c r="B12" s="2">
        <v>45841</v>
      </c>
      <c r="C12" s="1" t="s">
        <v>659</v>
      </c>
      <c r="D12" s="1" t="s">
        <v>32</v>
      </c>
      <c r="E12" s="1" t="s">
        <v>33</v>
      </c>
      <c r="F12" s="1" t="s">
        <v>18</v>
      </c>
      <c r="G12" s="1" t="s">
        <v>34</v>
      </c>
      <c r="H12" s="1" t="s">
        <v>35</v>
      </c>
      <c r="I12" s="3">
        <v>30</v>
      </c>
      <c r="J12" s="4">
        <v>5754.6</v>
      </c>
      <c r="K12" s="3">
        <v>30</v>
      </c>
      <c r="L12" s="3">
        <v>30</v>
      </c>
      <c r="M12" s="2">
        <v>45841</v>
      </c>
      <c r="N12" s="4">
        <v>6232.8</v>
      </c>
      <c r="O12" s="1" t="s">
        <v>21</v>
      </c>
      <c r="P12" s="1" t="s">
        <v>22</v>
      </c>
      <c r="Q12" s="1" t="s">
        <v>660</v>
      </c>
      <c r="R12" s="1" t="str">
        <f>VLOOKUP(Sales3[[#This Row],[Material type]],Master!$H$3:$I$8,2,0)</f>
        <v>Semi-Finished Goods</v>
      </c>
      <c r="S12" s="1" t="str">
        <f>VLOOKUP(Sales3[[#This Row],[Material Group]],Master!B:C,2,0)</f>
        <v>Sub Ass.-Mech Stator</v>
      </c>
      <c r="T12" s="9" t="b">
        <f ca="1">(TODAY()-1)=Sales3[[#This Row],[Billing Date]]</f>
        <v>0</v>
      </c>
      <c r="U12" s="10" t="e">
        <f>Sales3[[#This Row],[Net Value]]-Sales3[[#This Row],[PGI COST]]</f>
        <v>#REF!</v>
      </c>
      <c r="V12" s="11" t="e">
        <f>Sales3[[#This Row],[Gross Margin]]/Sales3[[#This Row],[Net Value]]</f>
        <v>#REF!</v>
      </c>
      <c r="W12" s="1" t="str">
        <f>TEXT(Sales3[[#This Row],[Billing Date]],"mmmm-yy")</f>
        <v>July-25</v>
      </c>
      <c r="X12" s="1">
        <f>Sales3[[#This Row],[Net Value]]/Sales3[[#This Row],[Billed Quantity]]</f>
        <v>207.76000000000002</v>
      </c>
      <c r="Y12" s="117">
        <f>Sales3[[#This Row],[Actual delivery qty]]</f>
        <v>30</v>
      </c>
      <c r="Z12" s="12" t="e">
        <f>SUM(Sales3[[#This Row],[BOM Cost]:[Other Conversion cost pu]])</f>
        <v>#REF!</v>
      </c>
      <c r="AA12" s="12" t="e">
        <f>IF(Sales3[[#This Row],[Posting Date]]=1-7-2025,SUMIFS('COGS Break up'!#REF!,'COGS Break up'!#REF!,A12,'COGS Break up'!#REF!,Sales3[[#Headers],[BOM Cost]]),SUMIFS('COGS Break up'!#REF!,'COGS Break up'!#REF!,Sales3[[#This Row],[Material]],'COGS Break up'!#REF!,Sales3[[#Headers],[BOM Cost]]))</f>
        <v>#REF!</v>
      </c>
      <c r="AB12" s="12" t="e">
        <f>IF(Sales3[[#This Row],[Posting Date]]=1-7-2025,SUMIFS('COGS Break up'!#REF!,'COGS Break up'!#REF!,A12,'COGS Break up'!#REF!,Sales3[[#Headers],[Labour cost per unit]]),SUMIFS('COGS Break up'!#REF!,'COGS Break up'!#REF!,Sales3[[#This Row],[Material]],'COGS Break up'!#REF!,Sales3[[#Headers],[Labour cost per unit]]))</f>
        <v>#REF!</v>
      </c>
      <c r="AC12" s="12" t="e">
        <f>IF(Sales3[[#This Row],[Posting Date]]=1-7-2025,SUMIFS('COGS Break up'!#REF!,'COGS Break up'!#REF!,A12,'COGS Break up'!#REF!,Sales3[[#Headers],[Other Conversion cost pu]]),SUMIFS('COGS Break up'!#REF!,'COGS Break up'!#REF!,Sales3[[#This Row],[Material]],'COGS Break up'!#REF!,Sales3[[#Headers],[Other Conversion cost pu]]))</f>
        <v>#REF!</v>
      </c>
      <c r="AD12" s="48" t="e">
        <f>Sales3[[#This Row],[PGI per unit]]-Sales3[[#This Row],[BOM Cost]]-Sales3[[#This Row],[Labour cost per unit]]-Sales3[[#This Row],[Other Conversion cost pu]]</f>
        <v>#REF!</v>
      </c>
      <c r="AE12" s="48" t="e">
        <f>Sales3[[#This Row],[BOM Cost2]]+Sales3[[#This Row],[Labour Cost]]+Sales3[[#This Row],[Other conversion cost]]</f>
        <v>#REF!</v>
      </c>
      <c r="AF12" s="12" t="e">
        <f>Sales3[[#This Row],[Billed Quantity]]*Sales3[[#This Row],[BOM Cost]]</f>
        <v>#REF!</v>
      </c>
      <c r="AG12" s="12" t="e">
        <f>Sales3[[#This Row],[Billed Quantity]]*Sales3[[#This Row],[Labour cost per unit]]</f>
        <v>#REF!</v>
      </c>
      <c r="AH12" s="12" t="e">
        <f>Sales3[[#This Row],[Billed Quantity]]*Sales3[[#This Row],[Other Conversion cost pu]]</f>
        <v>#REF!</v>
      </c>
      <c r="AI12" s="48" t="e">
        <f>Sales3[[#This Row],[PGI Amount]]-Sales3[[#This Row],[BOM Cost2]]-Sales3[[#This Row],[Labour Cost]]-Sales3[[#This Row],[Other conversion cost]]</f>
        <v>#REF!</v>
      </c>
      <c r="AJ12" s="121" t="e">
        <f>1-Sales3[[#This Row],[PGI COST]]/Sales3[[#This Row],[Net Value]]</f>
        <v>#REF!</v>
      </c>
    </row>
    <row r="13" spans="1:36" hidden="1" x14ac:dyDescent="0.3">
      <c r="A13" s="1" t="s">
        <v>479</v>
      </c>
      <c r="B13" s="2">
        <v>45841</v>
      </c>
      <c r="C13" s="1" t="s">
        <v>661</v>
      </c>
      <c r="D13" s="1" t="s">
        <v>32</v>
      </c>
      <c r="E13" s="1" t="s">
        <v>33</v>
      </c>
      <c r="F13" s="1" t="s">
        <v>18</v>
      </c>
      <c r="G13" s="1" t="s">
        <v>34</v>
      </c>
      <c r="H13" s="1" t="s">
        <v>35</v>
      </c>
      <c r="I13" s="3">
        <v>616</v>
      </c>
      <c r="J13" s="4">
        <v>118161.12</v>
      </c>
      <c r="K13" s="3">
        <v>616</v>
      </c>
      <c r="L13" s="3">
        <v>616</v>
      </c>
      <c r="M13" s="2">
        <v>45841</v>
      </c>
      <c r="N13" s="4">
        <v>127980.16</v>
      </c>
      <c r="O13" s="1" t="s">
        <v>21</v>
      </c>
      <c r="P13" s="1" t="s">
        <v>22</v>
      </c>
      <c r="Q13" s="1" t="s">
        <v>660</v>
      </c>
      <c r="R13" s="1" t="str">
        <f>VLOOKUP(Sales3[[#This Row],[Material type]],Master!$H$3:$I$8,2,0)</f>
        <v>Semi-Finished Goods</v>
      </c>
      <c r="S13" s="1" t="str">
        <f>VLOOKUP(Sales3[[#This Row],[Material Group]],Master!B:C,2,0)</f>
        <v>Sub Ass.-Mech Stator</v>
      </c>
      <c r="T13" s="9" t="b">
        <f ca="1">(TODAY()-1)=Sales3[[#This Row],[Billing Date]]</f>
        <v>0</v>
      </c>
      <c r="U13" s="10" t="e">
        <f>Sales3[[#This Row],[Net Value]]-Sales3[[#This Row],[PGI COST]]</f>
        <v>#REF!</v>
      </c>
      <c r="V13" s="11" t="e">
        <f>Sales3[[#This Row],[Gross Margin]]/Sales3[[#This Row],[Net Value]]</f>
        <v>#REF!</v>
      </c>
      <c r="W13" s="1" t="str">
        <f>TEXT(Sales3[[#This Row],[Billing Date]],"mmmm-yy")</f>
        <v>July-25</v>
      </c>
      <c r="X13" s="1">
        <f>Sales3[[#This Row],[Net Value]]/Sales3[[#This Row],[Billed Quantity]]</f>
        <v>207.76000000000002</v>
      </c>
      <c r="Y13" s="117">
        <f>Sales3[[#This Row],[Actual delivery qty]]</f>
        <v>616</v>
      </c>
      <c r="Z13" s="12" t="e">
        <f>SUM(Sales3[[#This Row],[BOM Cost]:[Other Conversion cost pu]])</f>
        <v>#REF!</v>
      </c>
      <c r="AA13" s="12" t="e">
        <f>IF(Sales3[[#This Row],[Posting Date]]=1-7-2025,SUMIFS('COGS Break up'!#REF!,'COGS Break up'!#REF!,A13,'COGS Break up'!#REF!,Sales3[[#Headers],[BOM Cost]]),SUMIFS('COGS Break up'!#REF!,'COGS Break up'!#REF!,Sales3[[#This Row],[Material]],'COGS Break up'!#REF!,Sales3[[#Headers],[BOM Cost]]))</f>
        <v>#REF!</v>
      </c>
      <c r="AB13" s="12" t="e">
        <f>IF(Sales3[[#This Row],[Posting Date]]=1-7-2025,SUMIFS('COGS Break up'!#REF!,'COGS Break up'!#REF!,A13,'COGS Break up'!#REF!,Sales3[[#Headers],[Labour cost per unit]]),SUMIFS('COGS Break up'!#REF!,'COGS Break up'!#REF!,Sales3[[#This Row],[Material]],'COGS Break up'!#REF!,Sales3[[#Headers],[Labour cost per unit]]))</f>
        <v>#REF!</v>
      </c>
      <c r="AC13" s="12" t="e">
        <f>IF(Sales3[[#This Row],[Posting Date]]=1-7-2025,SUMIFS('COGS Break up'!#REF!,'COGS Break up'!#REF!,A13,'COGS Break up'!#REF!,Sales3[[#Headers],[Other Conversion cost pu]]),SUMIFS('COGS Break up'!#REF!,'COGS Break up'!#REF!,Sales3[[#This Row],[Material]],'COGS Break up'!#REF!,Sales3[[#Headers],[Other Conversion cost pu]]))</f>
        <v>#REF!</v>
      </c>
      <c r="AD13" s="48" t="e">
        <f>Sales3[[#This Row],[PGI per unit]]-Sales3[[#This Row],[BOM Cost]]-Sales3[[#This Row],[Labour cost per unit]]-Sales3[[#This Row],[Other Conversion cost pu]]</f>
        <v>#REF!</v>
      </c>
      <c r="AE13" s="48" t="e">
        <f>Sales3[[#This Row],[BOM Cost2]]+Sales3[[#This Row],[Labour Cost]]+Sales3[[#This Row],[Other conversion cost]]</f>
        <v>#REF!</v>
      </c>
      <c r="AF13" s="12" t="e">
        <f>Sales3[[#This Row],[Billed Quantity]]*Sales3[[#This Row],[BOM Cost]]</f>
        <v>#REF!</v>
      </c>
      <c r="AG13" s="12" t="e">
        <f>Sales3[[#This Row],[Billed Quantity]]*Sales3[[#This Row],[Labour cost per unit]]</f>
        <v>#REF!</v>
      </c>
      <c r="AH13" s="12" t="e">
        <f>Sales3[[#This Row],[Billed Quantity]]*Sales3[[#This Row],[Other Conversion cost pu]]</f>
        <v>#REF!</v>
      </c>
      <c r="AI13" s="48" t="e">
        <f>Sales3[[#This Row],[PGI Amount]]-Sales3[[#This Row],[BOM Cost2]]-Sales3[[#This Row],[Labour Cost]]-Sales3[[#This Row],[Other conversion cost]]</f>
        <v>#REF!</v>
      </c>
      <c r="AJ13" s="121" t="e">
        <f>1-Sales3[[#This Row],[PGI COST]]/Sales3[[#This Row],[Net Value]]</f>
        <v>#REF!</v>
      </c>
    </row>
    <row r="14" spans="1:36" hidden="1" x14ac:dyDescent="0.3">
      <c r="A14" s="1" t="s">
        <v>479</v>
      </c>
      <c r="B14" s="2">
        <v>45841</v>
      </c>
      <c r="C14" s="1" t="s">
        <v>662</v>
      </c>
      <c r="D14" s="1" t="s">
        <v>595</v>
      </c>
      <c r="E14" s="1" t="s">
        <v>596</v>
      </c>
      <c r="F14" s="1" t="s">
        <v>18</v>
      </c>
      <c r="G14" s="1" t="s">
        <v>34</v>
      </c>
      <c r="H14" s="1" t="s">
        <v>35</v>
      </c>
      <c r="I14" s="3">
        <v>1008</v>
      </c>
      <c r="J14" s="4">
        <v>133549.92000000001</v>
      </c>
      <c r="K14" s="3">
        <v>1008</v>
      </c>
      <c r="L14" s="3">
        <v>1008</v>
      </c>
      <c r="M14" s="2">
        <v>45841</v>
      </c>
      <c r="N14" s="4">
        <v>133449.12</v>
      </c>
      <c r="O14" s="1" t="s">
        <v>21</v>
      </c>
      <c r="P14" s="1" t="s">
        <v>22</v>
      </c>
      <c r="Q14" s="1" t="s">
        <v>660</v>
      </c>
      <c r="R14" s="1" t="str">
        <f>VLOOKUP(Sales3[[#This Row],[Material type]],Master!$H$3:$I$8,2,0)</f>
        <v>Semi-Finished Goods</v>
      </c>
      <c r="S14" s="1" t="str">
        <f>VLOOKUP(Sales3[[#This Row],[Material Group]],Master!B:C,2,0)</f>
        <v>Sub Ass.-Mech Stator</v>
      </c>
      <c r="T14" s="9" t="b">
        <f ca="1">(TODAY()-1)=Sales3[[#This Row],[Billing Date]]</f>
        <v>0</v>
      </c>
      <c r="U14" s="10" t="e">
        <f>Sales3[[#This Row],[Net Value]]-Sales3[[#This Row],[PGI COST]]</f>
        <v>#REF!</v>
      </c>
      <c r="V14" s="11" t="e">
        <f>Sales3[[#This Row],[Gross Margin]]/Sales3[[#This Row],[Net Value]]</f>
        <v>#REF!</v>
      </c>
      <c r="W14" s="1" t="str">
        <f>TEXT(Sales3[[#This Row],[Billing Date]],"mmmm-yy")</f>
        <v>July-25</v>
      </c>
      <c r="X14" s="1">
        <f>Sales3[[#This Row],[Net Value]]/Sales3[[#This Row],[Billed Quantity]]</f>
        <v>132.38999999999999</v>
      </c>
      <c r="Y14" s="117">
        <f>Sales3[[#This Row],[Actual delivery qty]]</f>
        <v>1008</v>
      </c>
      <c r="Z14" s="12" t="e">
        <f>SUM(Sales3[[#This Row],[BOM Cost]:[Other Conversion cost pu]])</f>
        <v>#REF!</v>
      </c>
      <c r="AA14" s="12" t="e">
        <f>IF(Sales3[[#This Row],[Posting Date]]=1-7-2025,SUMIFS('COGS Break up'!#REF!,'COGS Break up'!#REF!,A14,'COGS Break up'!#REF!,Sales3[[#Headers],[BOM Cost]]),SUMIFS('COGS Break up'!#REF!,'COGS Break up'!#REF!,Sales3[[#This Row],[Material]],'COGS Break up'!#REF!,Sales3[[#Headers],[BOM Cost]]))</f>
        <v>#REF!</v>
      </c>
      <c r="AB14" s="12" t="e">
        <f>IF(Sales3[[#This Row],[Posting Date]]=1-7-2025,SUMIFS('COGS Break up'!#REF!,'COGS Break up'!#REF!,A14,'COGS Break up'!#REF!,Sales3[[#Headers],[Labour cost per unit]]),SUMIFS('COGS Break up'!#REF!,'COGS Break up'!#REF!,Sales3[[#This Row],[Material]],'COGS Break up'!#REF!,Sales3[[#Headers],[Labour cost per unit]]))</f>
        <v>#REF!</v>
      </c>
      <c r="AC14" s="12" t="e">
        <f>IF(Sales3[[#This Row],[Posting Date]]=1-7-2025,SUMIFS('COGS Break up'!#REF!,'COGS Break up'!#REF!,A14,'COGS Break up'!#REF!,Sales3[[#Headers],[Other Conversion cost pu]]),SUMIFS('COGS Break up'!#REF!,'COGS Break up'!#REF!,Sales3[[#This Row],[Material]],'COGS Break up'!#REF!,Sales3[[#Headers],[Other Conversion cost pu]]))</f>
        <v>#REF!</v>
      </c>
      <c r="AD14" s="48" t="e">
        <f>Sales3[[#This Row],[PGI per unit]]-Sales3[[#This Row],[BOM Cost]]-Sales3[[#This Row],[Labour cost per unit]]-Sales3[[#This Row],[Other Conversion cost pu]]</f>
        <v>#REF!</v>
      </c>
      <c r="AE14" s="48" t="e">
        <f>Sales3[[#This Row],[BOM Cost2]]+Sales3[[#This Row],[Labour Cost]]+Sales3[[#This Row],[Other conversion cost]]</f>
        <v>#REF!</v>
      </c>
      <c r="AF14" s="12" t="e">
        <f>Sales3[[#This Row],[Billed Quantity]]*Sales3[[#This Row],[BOM Cost]]</f>
        <v>#REF!</v>
      </c>
      <c r="AG14" s="12" t="e">
        <f>Sales3[[#This Row],[Billed Quantity]]*Sales3[[#This Row],[Labour cost per unit]]</f>
        <v>#REF!</v>
      </c>
      <c r="AH14" s="12" t="e">
        <f>Sales3[[#This Row],[Billed Quantity]]*Sales3[[#This Row],[Other Conversion cost pu]]</f>
        <v>#REF!</v>
      </c>
      <c r="AI14" s="48" t="e">
        <f>Sales3[[#This Row],[PGI Amount]]-Sales3[[#This Row],[BOM Cost2]]-Sales3[[#This Row],[Labour Cost]]-Sales3[[#This Row],[Other conversion cost]]</f>
        <v>#REF!</v>
      </c>
      <c r="AJ14" s="121" t="e">
        <f>1-Sales3[[#This Row],[PGI COST]]/Sales3[[#This Row],[Net Value]]</f>
        <v>#REF!</v>
      </c>
    </row>
    <row r="15" spans="1:36" hidden="1" x14ac:dyDescent="0.3">
      <c r="A15" s="1" t="s">
        <v>479</v>
      </c>
      <c r="B15" s="2">
        <v>45841</v>
      </c>
      <c r="C15" s="1" t="s">
        <v>663</v>
      </c>
      <c r="D15" s="1" t="s">
        <v>595</v>
      </c>
      <c r="E15" s="1" t="s">
        <v>596</v>
      </c>
      <c r="F15" s="1" t="s">
        <v>18</v>
      </c>
      <c r="G15" s="1" t="s">
        <v>34</v>
      </c>
      <c r="H15" s="1" t="s">
        <v>35</v>
      </c>
      <c r="I15" s="3">
        <v>623</v>
      </c>
      <c r="J15" s="4">
        <v>82541.27</v>
      </c>
      <c r="K15" s="3">
        <v>623</v>
      </c>
      <c r="L15" s="3">
        <v>623</v>
      </c>
      <c r="M15" s="2">
        <v>45841</v>
      </c>
      <c r="N15" s="4">
        <v>82478.97</v>
      </c>
      <c r="O15" s="1" t="s">
        <v>21</v>
      </c>
      <c r="P15" s="1" t="s">
        <v>22</v>
      </c>
      <c r="Q15" s="1" t="s">
        <v>660</v>
      </c>
      <c r="R15" s="1" t="str">
        <f>VLOOKUP(Sales3[[#This Row],[Material type]],Master!$H$3:$I$8,2,0)</f>
        <v>Semi-Finished Goods</v>
      </c>
      <c r="S15" s="1" t="str">
        <f>VLOOKUP(Sales3[[#This Row],[Material Group]],Master!B:C,2,0)</f>
        <v>Sub Ass.-Mech Stator</v>
      </c>
      <c r="T15" s="9" t="b">
        <f ca="1">(TODAY()-1)=Sales3[[#This Row],[Billing Date]]</f>
        <v>0</v>
      </c>
      <c r="U15" s="10" t="e">
        <f>Sales3[[#This Row],[Net Value]]-Sales3[[#This Row],[PGI COST]]</f>
        <v>#REF!</v>
      </c>
      <c r="V15" s="11" t="e">
        <f>Sales3[[#This Row],[Gross Margin]]/Sales3[[#This Row],[Net Value]]</f>
        <v>#REF!</v>
      </c>
      <c r="W15" s="1" t="str">
        <f>TEXT(Sales3[[#This Row],[Billing Date]],"mmmm-yy")</f>
        <v>July-25</v>
      </c>
      <c r="X15" s="1">
        <f>Sales3[[#This Row],[Net Value]]/Sales3[[#This Row],[Billed Quantity]]</f>
        <v>132.39000000000001</v>
      </c>
      <c r="Y15" s="117">
        <f>Sales3[[#This Row],[Actual delivery qty]]</f>
        <v>623</v>
      </c>
      <c r="Z15" s="12" t="e">
        <f>SUM(Sales3[[#This Row],[BOM Cost]:[Other Conversion cost pu]])</f>
        <v>#REF!</v>
      </c>
      <c r="AA15" s="12" t="e">
        <f>IF(Sales3[[#This Row],[Posting Date]]=1-7-2025,SUMIFS('COGS Break up'!#REF!,'COGS Break up'!#REF!,A15,'COGS Break up'!#REF!,Sales3[[#Headers],[BOM Cost]]),SUMIFS('COGS Break up'!#REF!,'COGS Break up'!#REF!,Sales3[[#This Row],[Material]],'COGS Break up'!#REF!,Sales3[[#Headers],[BOM Cost]]))</f>
        <v>#REF!</v>
      </c>
      <c r="AB15" s="12" t="e">
        <f>IF(Sales3[[#This Row],[Posting Date]]=1-7-2025,SUMIFS('COGS Break up'!#REF!,'COGS Break up'!#REF!,A15,'COGS Break up'!#REF!,Sales3[[#Headers],[Labour cost per unit]]),SUMIFS('COGS Break up'!#REF!,'COGS Break up'!#REF!,Sales3[[#This Row],[Material]],'COGS Break up'!#REF!,Sales3[[#Headers],[Labour cost per unit]]))</f>
        <v>#REF!</v>
      </c>
      <c r="AC15" s="12" t="e">
        <f>IF(Sales3[[#This Row],[Posting Date]]=1-7-2025,SUMIFS('COGS Break up'!#REF!,'COGS Break up'!#REF!,A15,'COGS Break up'!#REF!,Sales3[[#Headers],[Other Conversion cost pu]]),SUMIFS('COGS Break up'!#REF!,'COGS Break up'!#REF!,Sales3[[#This Row],[Material]],'COGS Break up'!#REF!,Sales3[[#Headers],[Other Conversion cost pu]]))</f>
        <v>#REF!</v>
      </c>
      <c r="AD15" s="48" t="e">
        <f>Sales3[[#This Row],[PGI per unit]]-Sales3[[#This Row],[BOM Cost]]-Sales3[[#This Row],[Labour cost per unit]]-Sales3[[#This Row],[Other Conversion cost pu]]</f>
        <v>#REF!</v>
      </c>
      <c r="AE15" s="48" t="e">
        <f>Sales3[[#This Row],[BOM Cost2]]+Sales3[[#This Row],[Labour Cost]]+Sales3[[#This Row],[Other conversion cost]]</f>
        <v>#REF!</v>
      </c>
      <c r="AF15" s="12" t="e">
        <f>Sales3[[#This Row],[Billed Quantity]]*Sales3[[#This Row],[BOM Cost]]</f>
        <v>#REF!</v>
      </c>
      <c r="AG15" s="12" t="e">
        <f>Sales3[[#This Row],[Billed Quantity]]*Sales3[[#This Row],[Labour cost per unit]]</f>
        <v>#REF!</v>
      </c>
      <c r="AH15" s="12" t="e">
        <f>Sales3[[#This Row],[Billed Quantity]]*Sales3[[#This Row],[Other Conversion cost pu]]</f>
        <v>#REF!</v>
      </c>
      <c r="AI15" s="48" t="e">
        <f>Sales3[[#This Row],[PGI Amount]]-Sales3[[#This Row],[BOM Cost2]]-Sales3[[#This Row],[Labour Cost]]-Sales3[[#This Row],[Other conversion cost]]</f>
        <v>#REF!</v>
      </c>
      <c r="AJ15" s="121" t="e">
        <f>1-Sales3[[#This Row],[PGI COST]]/Sales3[[#This Row],[Net Value]]</f>
        <v>#REF!</v>
      </c>
    </row>
    <row r="16" spans="1:36" hidden="1" x14ac:dyDescent="0.3">
      <c r="A16" s="1" t="s">
        <v>479</v>
      </c>
      <c r="B16" s="2">
        <v>45841</v>
      </c>
      <c r="C16" s="1" t="s">
        <v>664</v>
      </c>
      <c r="D16" s="1" t="s">
        <v>366</v>
      </c>
      <c r="E16" s="1" t="s">
        <v>367</v>
      </c>
      <c r="F16" s="1" t="s">
        <v>18</v>
      </c>
      <c r="G16" s="1" t="s">
        <v>19</v>
      </c>
      <c r="H16" s="1" t="s">
        <v>483</v>
      </c>
      <c r="I16" s="3">
        <v>70</v>
      </c>
      <c r="J16" s="4">
        <v>25380.6</v>
      </c>
      <c r="K16" s="3">
        <v>70</v>
      </c>
      <c r="L16" s="3">
        <v>70</v>
      </c>
      <c r="M16" s="2">
        <v>45841</v>
      </c>
      <c r="N16" s="4">
        <v>21986.3</v>
      </c>
      <c r="O16" s="1" t="s">
        <v>21</v>
      </c>
      <c r="P16" s="1" t="s">
        <v>22</v>
      </c>
      <c r="Q16" s="1" t="s">
        <v>660</v>
      </c>
      <c r="R16" s="1" t="str">
        <f>VLOOKUP(Sales3[[#This Row],[Material type]],Master!$H$3:$I$8,2,0)</f>
        <v>Finished Goods</v>
      </c>
      <c r="S16" s="1" t="str">
        <f>VLOOKUP(Sales3[[#This Row],[Material Group]],Master!B:C,2,0)</f>
        <v>FG-PCB-MG</v>
      </c>
      <c r="T16" s="9" t="b">
        <f ca="1">(TODAY()-1)=Sales3[[#This Row],[Billing Date]]</f>
        <v>0</v>
      </c>
      <c r="U16" s="10" t="e">
        <f>Sales3[[#This Row],[Net Value]]-Sales3[[#This Row],[PGI COST]]</f>
        <v>#REF!</v>
      </c>
      <c r="V16" s="11" t="e">
        <f>Sales3[[#This Row],[Gross Margin]]/Sales3[[#This Row],[Net Value]]</f>
        <v>#REF!</v>
      </c>
      <c r="W16" s="1" t="str">
        <f>TEXT(Sales3[[#This Row],[Billing Date]],"mmmm-yy")</f>
        <v>July-25</v>
      </c>
      <c r="X16" s="1">
        <f>Sales3[[#This Row],[Net Value]]/Sales3[[#This Row],[Billed Quantity]]</f>
        <v>314.08999999999997</v>
      </c>
      <c r="Y16" s="117">
        <f>Sales3[[#This Row],[Actual delivery qty]]</f>
        <v>70</v>
      </c>
      <c r="Z16" s="12" t="e">
        <f>SUM(Sales3[[#This Row],[BOM Cost]:[Other Conversion cost pu]])</f>
        <v>#REF!</v>
      </c>
      <c r="AA16" s="12" t="e">
        <f>IF(Sales3[[#This Row],[Posting Date]]=1-7-2025,SUMIFS('COGS Break up'!#REF!,'COGS Break up'!#REF!,A16,'COGS Break up'!#REF!,Sales3[[#Headers],[BOM Cost]]),SUMIFS('COGS Break up'!#REF!,'COGS Break up'!#REF!,Sales3[[#This Row],[Material]],'COGS Break up'!#REF!,Sales3[[#Headers],[BOM Cost]]))</f>
        <v>#REF!</v>
      </c>
      <c r="AB16" s="12" t="e">
        <f>IF(Sales3[[#This Row],[Posting Date]]=1-7-2025,SUMIFS('COGS Break up'!#REF!,'COGS Break up'!#REF!,A16,'COGS Break up'!#REF!,Sales3[[#Headers],[Labour cost per unit]]),SUMIFS('COGS Break up'!#REF!,'COGS Break up'!#REF!,Sales3[[#This Row],[Material]],'COGS Break up'!#REF!,Sales3[[#Headers],[Labour cost per unit]]))</f>
        <v>#REF!</v>
      </c>
      <c r="AC16" s="12" t="e">
        <f>IF(Sales3[[#This Row],[Posting Date]]=1-7-2025,SUMIFS('COGS Break up'!#REF!,'COGS Break up'!#REF!,A16,'COGS Break up'!#REF!,Sales3[[#Headers],[Other Conversion cost pu]]),SUMIFS('COGS Break up'!#REF!,'COGS Break up'!#REF!,Sales3[[#This Row],[Material]],'COGS Break up'!#REF!,Sales3[[#Headers],[Other Conversion cost pu]]))</f>
        <v>#REF!</v>
      </c>
      <c r="AD16" s="48" t="e">
        <f>Sales3[[#This Row],[PGI per unit]]-Sales3[[#This Row],[BOM Cost]]-Sales3[[#This Row],[Labour cost per unit]]-Sales3[[#This Row],[Other Conversion cost pu]]</f>
        <v>#REF!</v>
      </c>
      <c r="AE16" s="48" t="e">
        <f>Sales3[[#This Row],[BOM Cost2]]+Sales3[[#This Row],[Labour Cost]]+Sales3[[#This Row],[Other conversion cost]]</f>
        <v>#REF!</v>
      </c>
      <c r="AF16" s="12" t="e">
        <f>Sales3[[#This Row],[Billed Quantity]]*Sales3[[#This Row],[BOM Cost]]</f>
        <v>#REF!</v>
      </c>
      <c r="AG16" s="12" t="e">
        <f>Sales3[[#This Row],[Billed Quantity]]*Sales3[[#This Row],[Labour cost per unit]]</f>
        <v>#REF!</v>
      </c>
      <c r="AH16" s="12" t="e">
        <f>Sales3[[#This Row],[Billed Quantity]]*Sales3[[#This Row],[Other Conversion cost pu]]</f>
        <v>#REF!</v>
      </c>
      <c r="AI16" s="48" t="e">
        <f>Sales3[[#This Row],[PGI Amount]]-Sales3[[#This Row],[BOM Cost2]]-Sales3[[#This Row],[Labour Cost]]-Sales3[[#This Row],[Other conversion cost]]</f>
        <v>#REF!</v>
      </c>
      <c r="AJ16" s="121" t="e">
        <f>1-Sales3[[#This Row],[PGI COST]]/Sales3[[#This Row],[Net Value]]</f>
        <v>#REF!</v>
      </c>
    </row>
    <row r="17" spans="1:36" hidden="1" x14ac:dyDescent="0.3">
      <c r="A17" s="1" t="s">
        <v>479</v>
      </c>
      <c r="B17" s="2">
        <v>45841</v>
      </c>
      <c r="C17" s="1" t="s">
        <v>665</v>
      </c>
      <c r="D17" s="1" t="s">
        <v>362</v>
      </c>
      <c r="E17" s="1" t="s">
        <v>363</v>
      </c>
      <c r="F17" s="1" t="s">
        <v>18</v>
      </c>
      <c r="G17" s="1" t="s">
        <v>19</v>
      </c>
      <c r="H17" s="1" t="s">
        <v>483</v>
      </c>
      <c r="I17" s="3">
        <v>315</v>
      </c>
      <c r="J17" s="4">
        <v>243416.25</v>
      </c>
      <c r="K17" s="3">
        <v>315</v>
      </c>
      <c r="L17" s="3">
        <v>315</v>
      </c>
      <c r="M17" s="2">
        <v>45841</v>
      </c>
      <c r="N17" s="4">
        <v>271605.59999999998</v>
      </c>
      <c r="O17" s="1" t="s">
        <v>21</v>
      </c>
      <c r="P17" s="1" t="s">
        <v>22</v>
      </c>
      <c r="Q17" s="1" t="s">
        <v>660</v>
      </c>
      <c r="R17" s="1" t="str">
        <f>VLOOKUP(Sales3[[#This Row],[Material type]],Master!$H$3:$I$8,2,0)</f>
        <v>Finished Goods</v>
      </c>
      <c r="S17" s="1" t="str">
        <f>VLOOKUP(Sales3[[#This Row],[Material Group]],Master!B:C,2,0)</f>
        <v>FG-PCB-MG</v>
      </c>
      <c r="T17" s="9" t="b">
        <f ca="1">(TODAY()-1)=Sales3[[#This Row],[Billing Date]]</f>
        <v>0</v>
      </c>
      <c r="U17" s="10" t="e">
        <f>Sales3[[#This Row],[Net Value]]-Sales3[[#This Row],[PGI COST]]</f>
        <v>#REF!</v>
      </c>
      <c r="V17" s="11" t="e">
        <f>Sales3[[#This Row],[Gross Margin]]/Sales3[[#This Row],[Net Value]]</f>
        <v>#REF!</v>
      </c>
      <c r="W17" s="1" t="str">
        <f>TEXT(Sales3[[#This Row],[Billing Date]],"mmmm-yy")</f>
        <v>July-25</v>
      </c>
      <c r="X17" s="1">
        <f>Sales3[[#This Row],[Net Value]]/Sales3[[#This Row],[Billed Quantity]]</f>
        <v>862.2399999999999</v>
      </c>
      <c r="Y17" s="117">
        <f>Sales3[[#This Row],[Actual delivery qty]]</f>
        <v>315</v>
      </c>
      <c r="Z17" s="12" t="e">
        <f>SUM(Sales3[[#This Row],[BOM Cost]:[Other Conversion cost pu]])</f>
        <v>#REF!</v>
      </c>
      <c r="AA17" s="12" t="e">
        <f>IF(Sales3[[#This Row],[Posting Date]]=1-7-2025,SUMIFS('COGS Break up'!#REF!,'COGS Break up'!#REF!,A17,'COGS Break up'!#REF!,Sales3[[#Headers],[BOM Cost]]),SUMIFS('COGS Break up'!#REF!,'COGS Break up'!#REF!,Sales3[[#This Row],[Material]],'COGS Break up'!#REF!,Sales3[[#Headers],[BOM Cost]]))</f>
        <v>#REF!</v>
      </c>
      <c r="AB17" s="12" t="e">
        <f>IF(Sales3[[#This Row],[Posting Date]]=1-7-2025,SUMIFS('COGS Break up'!#REF!,'COGS Break up'!#REF!,A17,'COGS Break up'!#REF!,Sales3[[#Headers],[Labour cost per unit]]),SUMIFS('COGS Break up'!#REF!,'COGS Break up'!#REF!,Sales3[[#This Row],[Material]],'COGS Break up'!#REF!,Sales3[[#Headers],[Labour cost per unit]]))</f>
        <v>#REF!</v>
      </c>
      <c r="AC17" s="12" t="e">
        <f>IF(Sales3[[#This Row],[Posting Date]]=1-7-2025,SUMIFS('COGS Break up'!#REF!,'COGS Break up'!#REF!,A17,'COGS Break up'!#REF!,Sales3[[#Headers],[Other Conversion cost pu]]),SUMIFS('COGS Break up'!#REF!,'COGS Break up'!#REF!,Sales3[[#This Row],[Material]],'COGS Break up'!#REF!,Sales3[[#Headers],[Other Conversion cost pu]]))</f>
        <v>#REF!</v>
      </c>
      <c r="AD17" s="48" t="e">
        <f>Sales3[[#This Row],[PGI per unit]]-Sales3[[#This Row],[BOM Cost]]-Sales3[[#This Row],[Labour cost per unit]]-Sales3[[#This Row],[Other Conversion cost pu]]</f>
        <v>#REF!</v>
      </c>
      <c r="AE17" s="48" t="e">
        <f>Sales3[[#This Row],[BOM Cost2]]+Sales3[[#This Row],[Labour Cost]]+Sales3[[#This Row],[Other conversion cost]]</f>
        <v>#REF!</v>
      </c>
      <c r="AF17" s="12" t="e">
        <f>Sales3[[#This Row],[Billed Quantity]]*Sales3[[#This Row],[BOM Cost]]</f>
        <v>#REF!</v>
      </c>
      <c r="AG17" s="12" t="e">
        <f>Sales3[[#This Row],[Billed Quantity]]*Sales3[[#This Row],[Labour cost per unit]]</f>
        <v>#REF!</v>
      </c>
      <c r="AH17" s="12" t="e">
        <f>Sales3[[#This Row],[Billed Quantity]]*Sales3[[#This Row],[Other Conversion cost pu]]</f>
        <v>#REF!</v>
      </c>
      <c r="AI17" s="48" t="e">
        <f>Sales3[[#This Row],[PGI Amount]]-Sales3[[#This Row],[BOM Cost2]]-Sales3[[#This Row],[Labour Cost]]-Sales3[[#This Row],[Other conversion cost]]</f>
        <v>#REF!</v>
      </c>
      <c r="AJ17" s="121" t="e">
        <f>1-Sales3[[#This Row],[PGI COST]]/Sales3[[#This Row],[Net Value]]</f>
        <v>#REF!</v>
      </c>
    </row>
    <row r="18" spans="1:36" hidden="1" x14ac:dyDescent="0.3">
      <c r="A18" s="1" t="s">
        <v>479</v>
      </c>
      <c r="B18" s="2">
        <v>45841</v>
      </c>
      <c r="C18" s="1" t="s">
        <v>665</v>
      </c>
      <c r="D18" s="1" t="s">
        <v>360</v>
      </c>
      <c r="E18" s="1" t="s">
        <v>361</v>
      </c>
      <c r="F18" s="1" t="s">
        <v>18</v>
      </c>
      <c r="G18" s="1" t="s">
        <v>19</v>
      </c>
      <c r="H18" s="1" t="s">
        <v>483</v>
      </c>
      <c r="I18" s="3">
        <v>840</v>
      </c>
      <c r="J18" s="4">
        <v>25687.200000000001</v>
      </c>
      <c r="K18" s="3">
        <v>840</v>
      </c>
      <c r="L18" s="3">
        <v>840</v>
      </c>
      <c r="M18" s="2">
        <v>45841</v>
      </c>
      <c r="N18" s="4">
        <v>23310</v>
      </c>
      <c r="O18" s="1" t="s">
        <v>21</v>
      </c>
      <c r="P18" s="1" t="s">
        <v>22</v>
      </c>
      <c r="Q18" s="1" t="s">
        <v>660</v>
      </c>
      <c r="R18" s="1" t="str">
        <f>VLOOKUP(Sales3[[#This Row],[Material type]],Master!$H$3:$I$8,2,0)</f>
        <v>Finished Goods</v>
      </c>
      <c r="S18" s="1" t="str">
        <f>VLOOKUP(Sales3[[#This Row],[Material Group]],Master!B:C,2,0)</f>
        <v>FG-PCB-MG</v>
      </c>
      <c r="T18" s="9" t="b">
        <f ca="1">(TODAY()-1)=Sales3[[#This Row],[Billing Date]]</f>
        <v>0</v>
      </c>
      <c r="U18" s="10" t="e">
        <f>Sales3[[#This Row],[Net Value]]-Sales3[[#This Row],[PGI COST]]</f>
        <v>#REF!</v>
      </c>
      <c r="V18" s="11" t="e">
        <f>Sales3[[#This Row],[Gross Margin]]/Sales3[[#This Row],[Net Value]]</f>
        <v>#REF!</v>
      </c>
      <c r="W18" s="1" t="str">
        <f>TEXT(Sales3[[#This Row],[Billing Date]],"mmmm-yy")</f>
        <v>July-25</v>
      </c>
      <c r="X18" s="1">
        <f>Sales3[[#This Row],[Net Value]]/Sales3[[#This Row],[Billed Quantity]]</f>
        <v>27.75</v>
      </c>
      <c r="Y18" s="117"/>
      <c r="Z18" s="12" t="e">
        <f>SUM(Sales3[[#This Row],[BOM Cost]:[Other Conversion cost pu]])</f>
        <v>#REF!</v>
      </c>
      <c r="AA18" s="12" t="e">
        <f>IF(Sales3[[#This Row],[Posting Date]]=1-7-2025,SUMIFS('COGS Break up'!#REF!,'COGS Break up'!#REF!,A18,'COGS Break up'!#REF!,Sales3[[#Headers],[BOM Cost]]),SUMIFS('COGS Break up'!#REF!,'COGS Break up'!#REF!,Sales3[[#This Row],[Material]],'COGS Break up'!#REF!,Sales3[[#Headers],[BOM Cost]]))</f>
        <v>#REF!</v>
      </c>
      <c r="AB18" s="12" t="e">
        <f>IF(Sales3[[#This Row],[Posting Date]]=1-7-2025,SUMIFS('COGS Break up'!#REF!,'COGS Break up'!#REF!,A18,'COGS Break up'!#REF!,Sales3[[#Headers],[Labour cost per unit]]),SUMIFS('COGS Break up'!#REF!,'COGS Break up'!#REF!,Sales3[[#This Row],[Material]],'COGS Break up'!#REF!,Sales3[[#Headers],[Labour cost per unit]]))</f>
        <v>#REF!</v>
      </c>
      <c r="AC18" s="12" t="e">
        <f>IF(Sales3[[#This Row],[Posting Date]]=1-7-2025,SUMIFS('COGS Break up'!#REF!,'COGS Break up'!#REF!,A18,'COGS Break up'!#REF!,Sales3[[#Headers],[Other Conversion cost pu]]),SUMIFS('COGS Break up'!#REF!,'COGS Break up'!#REF!,Sales3[[#This Row],[Material]],'COGS Break up'!#REF!,Sales3[[#Headers],[Other Conversion cost pu]]))</f>
        <v>#REF!</v>
      </c>
      <c r="AD18" s="48" t="e">
        <f>Sales3[[#This Row],[PGI per unit]]-Sales3[[#This Row],[BOM Cost]]-Sales3[[#This Row],[Labour cost per unit]]-Sales3[[#This Row],[Other Conversion cost pu]]</f>
        <v>#REF!</v>
      </c>
      <c r="AE18" s="48" t="e">
        <f>Sales3[[#This Row],[BOM Cost2]]+Sales3[[#This Row],[Labour Cost]]+Sales3[[#This Row],[Other conversion cost]]</f>
        <v>#REF!</v>
      </c>
      <c r="AF18" s="12" t="e">
        <f>Sales3[[#This Row],[Billed Quantity]]*Sales3[[#This Row],[BOM Cost]]</f>
        <v>#REF!</v>
      </c>
      <c r="AG18" s="12" t="e">
        <f>Sales3[[#This Row],[Billed Quantity]]*Sales3[[#This Row],[Labour cost per unit]]</f>
        <v>#REF!</v>
      </c>
      <c r="AH18" s="12" t="e">
        <f>Sales3[[#This Row],[Billed Quantity]]*Sales3[[#This Row],[Other Conversion cost pu]]</f>
        <v>#REF!</v>
      </c>
      <c r="AI18" s="48" t="e">
        <f>Sales3[[#This Row],[PGI Amount]]-Sales3[[#This Row],[BOM Cost2]]-Sales3[[#This Row],[Labour Cost]]-Sales3[[#This Row],[Other conversion cost]]</f>
        <v>#REF!</v>
      </c>
      <c r="AJ18" s="121" t="e">
        <f>1-Sales3[[#This Row],[PGI COST]]/Sales3[[#This Row],[Net Value]]</f>
        <v>#REF!</v>
      </c>
    </row>
    <row r="19" spans="1:36" hidden="1" x14ac:dyDescent="0.3">
      <c r="A19" s="1" t="s">
        <v>479</v>
      </c>
      <c r="B19" s="2">
        <v>45841</v>
      </c>
      <c r="C19" s="1" t="s">
        <v>666</v>
      </c>
      <c r="D19" s="1" t="s">
        <v>360</v>
      </c>
      <c r="E19" s="1" t="s">
        <v>361</v>
      </c>
      <c r="F19" s="1" t="s">
        <v>18</v>
      </c>
      <c r="G19" s="1" t="s">
        <v>19</v>
      </c>
      <c r="H19" s="1" t="s">
        <v>483</v>
      </c>
      <c r="I19" s="3">
        <v>840</v>
      </c>
      <c r="J19" s="4">
        <v>25687.200000000001</v>
      </c>
      <c r="K19" s="3">
        <v>840</v>
      </c>
      <c r="L19" s="3">
        <v>840</v>
      </c>
      <c r="M19" s="2">
        <v>45841</v>
      </c>
      <c r="N19" s="4">
        <v>23310</v>
      </c>
      <c r="O19" s="1" t="s">
        <v>21</v>
      </c>
      <c r="P19" s="1" t="s">
        <v>22</v>
      </c>
      <c r="Q19" s="1" t="s">
        <v>660</v>
      </c>
      <c r="R19" s="1" t="str">
        <f>VLOOKUP(Sales3[[#This Row],[Material type]],Master!$H$3:$I$8,2,0)</f>
        <v>Finished Goods</v>
      </c>
      <c r="S19" s="1" t="str">
        <f>VLOOKUP(Sales3[[#This Row],[Material Group]],Master!B:C,2,0)</f>
        <v>FG-PCB-MG</v>
      </c>
      <c r="T19" s="9" t="b">
        <f ca="1">(TODAY()-1)=Sales3[[#This Row],[Billing Date]]</f>
        <v>0</v>
      </c>
      <c r="U19" s="10" t="e">
        <f>Sales3[[#This Row],[Net Value]]-Sales3[[#This Row],[PGI COST]]</f>
        <v>#REF!</v>
      </c>
      <c r="V19" s="11" t="e">
        <f>Sales3[[#This Row],[Gross Margin]]/Sales3[[#This Row],[Net Value]]</f>
        <v>#REF!</v>
      </c>
      <c r="W19" s="1" t="str">
        <f>TEXT(Sales3[[#This Row],[Billing Date]],"mmmm-yy")</f>
        <v>July-25</v>
      </c>
      <c r="X19" s="1">
        <f>Sales3[[#This Row],[Net Value]]/Sales3[[#This Row],[Billed Quantity]]</f>
        <v>27.75</v>
      </c>
      <c r="Y19" s="117"/>
      <c r="Z19" s="12" t="e">
        <f>SUM(Sales3[[#This Row],[BOM Cost]:[Other Conversion cost pu]])</f>
        <v>#REF!</v>
      </c>
      <c r="AA19" s="12" t="e">
        <f>IF(Sales3[[#This Row],[Posting Date]]=1-7-2025,SUMIFS('COGS Break up'!#REF!,'COGS Break up'!#REF!,A19,'COGS Break up'!#REF!,Sales3[[#Headers],[BOM Cost]]),SUMIFS('COGS Break up'!#REF!,'COGS Break up'!#REF!,Sales3[[#This Row],[Material]],'COGS Break up'!#REF!,Sales3[[#Headers],[BOM Cost]]))</f>
        <v>#REF!</v>
      </c>
      <c r="AB19" s="12" t="e">
        <f>IF(Sales3[[#This Row],[Posting Date]]=1-7-2025,SUMIFS('COGS Break up'!#REF!,'COGS Break up'!#REF!,A19,'COGS Break up'!#REF!,Sales3[[#Headers],[Labour cost per unit]]),SUMIFS('COGS Break up'!#REF!,'COGS Break up'!#REF!,Sales3[[#This Row],[Material]],'COGS Break up'!#REF!,Sales3[[#Headers],[Labour cost per unit]]))</f>
        <v>#REF!</v>
      </c>
      <c r="AC19" s="12" t="e">
        <f>IF(Sales3[[#This Row],[Posting Date]]=1-7-2025,SUMIFS('COGS Break up'!#REF!,'COGS Break up'!#REF!,A19,'COGS Break up'!#REF!,Sales3[[#Headers],[Other Conversion cost pu]]),SUMIFS('COGS Break up'!#REF!,'COGS Break up'!#REF!,Sales3[[#This Row],[Material]],'COGS Break up'!#REF!,Sales3[[#Headers],[Other Conversion cost pu]]))</f>
        <v>#REF!</v>
      </c>
      <c r="AD19" s="48" t="e">
        <f>Sales3[[#This Row],[PGI per unit]]-Sales3[[#This Row],[BOM Cost]]-Sales3[[#This Row],[Labour cost per unit]]-Sales3[[#This Row],[Other Conversion cost pu]]</f>
        <v>#REF!</v>
      </c>
      <c r="AE19" s="48" t="e">
        <f>Sales3[[#This Row],[BOM Cost2]]+Sales3[[#This Row],[Labour Cost]]+Sales3[[#This Row],[Other conversion cost]]</f>
        <v>#REF!</v>
      </c>
      <c r="AF19" s="12" t="e">
        <f>Sales3[[#This Row],[Billed Quantity]]*Sales3[[#This Row],[BOM Cost]]</f>
        <v>#REF!</v>
      </c>
      <c r="AG19" s="12" t="e">
        <f>Sales3[[#This Row],[Billed Quantity]]*Sales3[[#This Row],[Labour cost per unit]]</f>
        <v>#REF!</v>
      </c>
      <c r="AH19" s="12" t="e">
        <f>Sales3[[#This Row],[Billed Quantity]]*Sales3[[#This Row],[Other Conversion cost pu]]</f>
        <v>#REF!</v>
      </c>
      <c r="AI19" s="48" t="e">
        <f>Sales3[[#This Row],[PGI Amount]]-Sales3[[#This Row],[BOM Cost2]]-Sales3[[#This Row],[Labour Cost]]-Sales3[[#This Row],[Other conversion cost]]</f>
        <v>#REF!</v>
      </c>
      <c r="AJ19" s="121" t="e">
        <f>1-Sales3[[#This Row],[PGI COST]]/Sales3[[#This Row],[Net Value]]</f>
        <v>#REF!</v>
      </c>
    </row>
    <row r="20" spans="1:36" hidden="1" x14ac:dyDescent="0.3">
      <c r="A20" s="1" t="s">
        <v>479</v>
      </c>
      <c r="B20" s="2">
        <v>45841</v>
      </c>
      <c r="C20" s="1" t="s">
        <v>664</v>
      </c>
      <c r="D20" s="1" t="s">
        <v>23</v>
      </c>
      <c r="E20" s="1" t="s">
        <v>24</v>
      </c>
      <c r="F20" s="1" t="s">
        <v>18</v>
      </c>
      <c r="G20" s="1" t="s">
        <v>19</v>
      </c>
      <c r="H20" s="1" t="s">
        <v>27</v>
      </c>
      <c r="I20" s="3">
        <v>525</v>
      </c>
      <c r="J20" s="4">
        <v>239972.25</v>
      </c>
      <c r="K20" s="3">
        <v>525</v>
      </c>
      <c r="L20" s="3">
        <v>525</v>
      </c>
      <c r="M20" s="2">
        <v>45841</v>
      </c>
      <c r="N20" s="4">
        <v>253659</v>
      </c>
      <c r="O20" s="1" t="s">
        <v>21</v>
      </c>
      <c r="P20" s="1" t="s">
        <v>22</v>
      </c>
      <c r="Q20" s="1" t="s">
        <v>660</v>
      </c>
      <c r="R20" s="1" t="str">
        <f>VLOOKUP(Sales3[[#This Row],[Material type]],Master!$H$3:$I$8,2,0)</f>
        <v>Finished Goods</v>
      </c>
      <c r="S20" s="1" t="str">
        <f>VLOOKUP(Sales3[[#This Row],[Material Group]],Master!B:C,2,0)</f>
        <v>FG-PCB-CF</v>
      </c>
      <c r="T20" s="9" t="b">
        <f ca="1">(TODAY()-1)=Sales3[[#This Row],[Billing Date]]</f>
        <v>0</v>
      </c>
      <c r="U20" s="10" t="e">
        <f>Sales3[[#This Row],[Net Value]]-Sales3[[#This Row],[PGI COST]]</f>
        <v>#REF!</v>
      </c>
      <c r="V20" s="11" t="e">
        <f>Sales3[[#This Row],[Gross Margin]]/Sales3[[#This Row],[Net Value]]</f>
        <v>#REF!</v>
      </c>
      <c r="W20" s="1" t="str">
        <f>TEXT(Sales3[[#This Row],[Billing Date]],"mmmm-yy")</f>
        <v>July-25</v>
      </c>
      <c r="X20" s="1">
        <f>Sales3[[#This Row],[Net Value]]/Sales3[[#This Row],[Billed Quantity]]</f>
        <v>483.16</v>
      </c>
      <c r="Y20" s="117">
        <f>Sales3[[#This Row],[Actual delivery qty]]</f>
        <v>525</v>
      </c>
      <c r="Z20" s="12" t="e">
        <f>SUM(Sales3[[#This Row],[BOM Cost]:[Other Conversion cost pu]])</f>
        <v>#REF!</v>
      </c>
      <c r="AA20" s="12" t="e">
        <f>IF(Sales3[[#This Row],[Posting Date]]=1-7-2025,SUMIFS('COGS Break up'!#REF!,'COGS Break up'!#REF!,A20,'COGS Break up'!#REF!,Sales3[[#Headers],[BOM Cost]]),SUMIFS('COGS Break up'!#REF!,'COGS Break up'!#REF!,Sales3[[#This Row],[Material]],'COGS Break up'!#REF!,Sales3[[#Headers],[BOM Cost]]))</f>
        <v>#REF!</v>
      </c>
      <c r="AB20" s="12" t="e">
        <f>IF(Sales3[[#This Row],[Posting Date]]=1-7-2025,SUMIFS('COGS Break up'!#REF!,'COGS Break up'!#REF!,A20,'COGS Break up'!#REF!,Sales3[[#Headers],[Labour cost per unit]]),SUMIFS('COGS Break up'!#REF!,'COGS Break up'!#REF!,Sales3[[#This Row],[Material]],'COGS Break up'!#REF!,Sales3[[#Headers],[Labour cost per unit]]))</f>
        <v>#REF!</v>
      </c>
      <c r="AC20" s="12" t="e">
        <f>IF(Sales3[[#This Row],[Posting Date]]=1-7-2025,SUMIFS('COGS Break up'!#REF!,'COGS Break up'!#REF!,A20,'COGS Break up'!#REF!,Sales3[[#Headers],[Other Conversion cost pu]]),SUMIFS('COGS Break up'!#REF!,'COGS Break up'!#REF!,Sales3[[#This Row],[Material]],'COGS Break up'!#REF!,Sales3[[#Headers],[Other Conversion cost pu]]))</f>
        <v>#REF!</v>
      </c>
      <c r="AD20" s="48" t="e">
        <f>Sales3[[#This Row],[PGI per unit]]-Sales3[[#This Row],[BOM Cost]]-Sales3[[#This Row],[Labour cost per unit]]-Sales3[[#This Row],[Other Conversion cost pu]]</f>
        <v>#REF!</v>
      </c>
      <c r="AE20" s="48" t="e">
        <f>Sales3[[#This Row],[BOM Cost2]]+Sales3[[#This Row],[Labour Cost]]+Sales3[[#This Row],[Other conversion cost]]</f>
        <v>#REF!</v>
      </c>
      <c r="AF20" s="12" t="e">
        <f>Sales3[[#This Row],[Billed Quantity]]*Sales3[[#This Row],[BOM Cost]]</f>
        <v>#REF!</v>
      </c>
      <c r="AG20" s="12" t="e">
        <f>Sales3[[#This Row],[Billed Quantity]]*Sales3[[#This Row],[Labour cost per unit]]</f>
        <v>#REF!</v>
      </c>
      <c r="AH20" s="12" t="e">
        <f>Sales3[[#This Row],[Billed Quantity]]*Sales3[[#This Row],[Other Conversion cost pu]]</f>
        <v>#REF!</v>
      </c>
      <c r="AI20" s="48" t="e">
        <f>Sales3[[#This Row],[PGI Amount]]-Sales3[[#This Row],[BOM Cost2]]-Sales3[[#This Row],[Labour Cost]]-Sales3[[#This Row],[Other conversion cost]]</f>
        <v>#REF!</v>
      </c>
      <c r="AJ20" s="121" t="e">
        <f>1-Sales3[[#This Row],[PGI COST]]/Sales3[[#This Row],[Net Value]]</f>
        <v>#REF!</v>
      </c>
    </row>
    <row r="21" spans="1:36" hidden="1" x14ac:dyDescent="0.3">
      <c r="A21" s="1" t="s">
        <v>479</v>
      </c>
      <c r="B21" s="2">
        <v>45841</v>
      </c>
      <c r="C21" s="1" t="s">
        <v>666</v>
      </c>
      <c r="D21" s="1" t="s">
        <v>25</v>
      </c>
      <c r="E21" s="1" t="s">
        <v>26</v>
      </c>
      <c r="F21" s="1" t="s">
        <v>18</v>
      </c>
      <c r="G21" s="1" t="s">
        <v>19</v>
      </c>
      <c r="H21" s="1" t="s">
        <v>27</v>
      </c>
      <c r="I21" s="3">
        <v>4200</v>
      </c>
      <c r="J21" s="4">
        <v>1512000</v>
      </c>
      <c r="K21" s="3">
        <v>4200</v>
      </c>
      <c r="L21" s="3">
        <v>4200</v>
      </c>
      <c r="M21" s="2">
        <v>45841</v>
      </c>
      <c r="N21" s="4">
        <v>1512000</v>
      </c>
      <c r="O21" s="1" t="s">
        <v>21</v>
      </c>
      <c r="P21" s="1" t="s">
        <v>22</v>
      </c>
      <c r="Q21" s="1" t="s">
        <v>660</v>
      </c>
      <c r="R21" s="1" t="str">
        <f>VLOOKUP(Sales3[[#This Row],[Material type]],Master!$H$3:$I$8,2,0)</f>
        <v>Finished Goods</v>
      </c>
      <c r="S21" s="1" t="str">
        <f>VLOOKUP(Sales3[[#This Row],[Material Group]],Master!B:C,2,0)</f>
        <v>FG-PCB-CF</v>
      </c>
      <c r="T21" s="9" t="b">
        <f ca="1">(TODAY()-1)=Sales3[[#This Row],[Billing Date]]</f>
        <v>0</v>
      </c>
      <c r="U21" s="10" t="e">
        <f>Sales3[[#This Row],[Net Value]]-Sales3[[#This Row],[PGI COST]]</f>
        <v>#REF!</v>
      </c>
      <c r="V21" s="11" t="e">
        <f>Sales3[[#This Row],[Gross Margin]]/Sales3[[#This Row],[Net Value]]</f>
        <v>#REF!</v>
      </c>
      <c r="W21" s="1" t="str">
        <f>TEXT(Sales3[[#This Row],[Billing Date]],"mmmm-yy")</f>
        <v>July-25</v>
      </c>
      <c r="X21" s="1">
        <f>Sales3[[#This Row],[Net Value]]/Sales3[[#This Row],[Billed Quantity]]</f>
        <v>360</v>
      </c>
      <c r="Y21" s="117">
        <f>Sales3[[#This Row],[Actual delivery qty]]</f>
        <v>4200</v>
      </c>
      <c r="Z21" s="12" t="e">
        <f>SUM(Sales3[[#This Row],[BOM Cost]:[Other Conversion cost pu]])</f>
        <v>#REF!</v>
      </c>
      <c r="AA21" s="12" t="e">
        <f>IF(Sales3[[#This Row],[Posting Date]]=1-7-2025,SUMIFS('COGS Break up'!#REF!,'COGS Break up'!#REF!,A21,'COGS Break up'!#REF!,Sales3[[#Headers],[BOM Cost]]),SUMIFS('COGS Break up'!#REF!,'COGS Break up'!#REF!,Sales3[[#This Row],[Material]],'COGS Break up'!#REF!,Sales3[[#Headers],[BOM Cost]]))</f>
        <v>#REF!</v>
      </c>
      <c r="AB21" s="12" t="e">
        <f>IF(Sales3[[#This Row],[Posting Date]]=1-7-2025,SUMIFS('COGS Break up'!#REF!,'COGS Break up'!#REF!,A21,'COGS Break up'!#REF!,Sales3[[#Headers],[Labour cost per unit]]),SUMIFS('COGS Break up'!#REF!,'COGS Break up'!#REF!,Sales3[[#This Row],[Material]],'COGS Break up'!#REF!,Sales3[[#Headers],[Labour cost per unit]]))</f>
        <v>#REF!</v>
      </c>
      <c r="AC21" s="12" t="e">
        <f>IF(Sales3[[#This Row],[Posting Date]]=1-7-2025,SUMIFS('COGS Break up'!#REF!,'COGS Break up'!#REF!,A21,'COGS Break up'!#REF!,Sales3[[#Headers],[Other Conversion cost pu]]),SUMIFS('COGS Break up'!#REF!,'COGS Break up'!#REF!,Sales3[[#This Row],[Material]],'COGS Break up'!#REF!,Sales3[[#Headers],[Other Conversion cost pu]]))</f>
        <v>#REF!</v>
      </c>
      <c r="AD21" s="48" t="e">
        <f>Sales3[[#This Row],[PGI per unit]]-Sales3[[#This Row],[BOM Cost]]-Sales3[[#This Row],[Labour cost per unit]]-Sales3[[#This Row],[Other Conversion cost pu]]</f>
        <v>#REF!</v>
      </c>
      <c r="AE21" s="48" t="e">
        <f>Sales3[[#This Row],[BOM Cost2]]+Sales3[[#This Row],[Labour Cost]]+Sales3[[#This Row],[Other conversion cost]]</f>
        <v>#REF!</v>
      </c>
      <c r="AF21" s="12" t="e">
        <f>Sales3[[#This Row],[Billed Quantity]]*Sales3[[#This Row],[BOM Cost]]</f>
        <v>#REF!</v>
      </c>
      <c r="AG21" s="12" t="e">
        <f>Sales3[[#This Row],[Billed Quantity]]*Sales3[[#This Row],[Labour cost per unit]]</f>
        <v>#REF!</v>
      </c>
      <c r="AH21" s="12" t="e">
        <f>Sales3[[#This Row],[Billed Quantity]]*Sales3[[#This Row],[Other Conversion cost pu]]</f>
        <v>#REF!</v>
      </c>
      <c r="AI21" s="48" t="e">
        <f>Sales3[[#This Row],[PGI Amount]]-Sales3[[#This Row],[BOM Cost2]]-Sales3[[#This Row],[Labour Cost]]-Sales3[[#This Row],[Other conversion cost]]</f>
        <v>#REF!</v>
      </c>
      <c r="AJ21" s="121" t="e">
        <f>1-Sales3[[#This Row],[PGI COST]]/Sales3[[#This Row],[Net Value]]</f>
        <v>#REF!</v>
      </c>
    </row>
    <row r="22" spans="1:36" hidden="1" x14ac:dyDescent="0.3">
      <c r="A22" s="1" t="s">
        <v>479</v>
      </c>
      <c r="B22" s="2">
        <v>45841</v>
      </c>
      <c r="C22" s="1" t="s">
        <v>666</v>
      </c>
      <c r="D22" s="1" t="s">
        <v>38</v>
      </c>
      <c r="E22" s="1" t="s">
        <v>39</v>
      </c>
      <c r="F22" s="1" t="s">
        <v>18</v>
      </c>
      <c r="G22" s="1" t="s">
        <v>19</v>
      </c>
      <c r="H22" s="1" t="s">
        <v>27</v>
      </c>
      <c r="I22" s="3">
        <v>2520</v>
      </c>
      <c r="J22" s="4">
        <v>895557.6</v>
      </c>
      <c r="K22" s="3">
        <v>2520</v>
      </c>
      <c r="L22" s="3">
        <v>2520</v>
      </c>
      <c r="M22" s="2">
        <v>45841</v>
      </c>
      <c r="N22" s="4">
        <v>897523.19999999995</v>
      </c>
      <c r="O22" s="1" t="s">
        <v>21</v>
      </c>
      <c r="P22" s="1" t="s">
        <v>22</v>
      </c>
      <c r="Q22" s="1" t="s">
        <v>660</v>
      </c>
      <c r="R22" s="1" t="str">
        <f>VLOOKUP(Sales3[[#This Row],[Material type]],Master!$H$3:$I$8,2,0)</f>
        <v>Finished Goods</v>
      </c>
      <c r="S22" s="1" t="str">
        <f>VLOOKUP(Sales3[[#This Row],[Material Group]],Master!B:C,2,0)</f>
        <v>FG-PCB-CF</v>
      </c>
      <c r="T22" s="9" t="b">
        <f ca="1">(TODAY()-1)=Sales3[[#This Row],[Billing Date]]</f>
        <v>0</v>
      </c>
      <c r="U22" s="10" t="e">
        <f>Sales3[[#This Row],[Net Value]]-Sales3[[#This Row],[PGI COST]]</f>
        <v>#REF!</v>
      </c>
      <c r="V22" s="11" t="e">
        <f>Sales3[[#This Row],[Gross Margin]]/Sales3[[#This Row],[Net Value]]</f>
        <v>#REF!</v>
      </c>
      <c r="W22" s="1" t="str">
        <f>TEXT(Sales3[[#This Row],[Billing Date]],"mmmm-yy")</f>
        <v>July-25</v>
      </c>
      <c r="X22" s="1">
        <f>Sales3[[#This Row],[Net Value]]/Sales3[[#This Row],[Billed Quantity]]</f>
        <v>356.15999999999997</v>
      </c>
      <c r="Y22" s="117">
        <f>Sales3[[#This Row],[Actual delivery qty]]</f>
        <v>2520</v>
      </c>
      <c r="Z22" s="12" t="e">
        <f>SUM(Sales3[[#This Row],[BOM Cost]:[Other Conversion cost pu]])</f>
        <v>#REF!</v>
      </c>
      <c r="AA22" s="12" t="e">
        <f>IF(Sales3[[#This Row],[Posting Date]]=1-7-2025,SUMIFS('COGS Break up'!#REF!,'COGS Break up'!#REF!,A22,'COGS Break up'!#REF!,Sales3[[#Headers],[BOM Cost]]),SUMIFS('COGS Break up'!#REF!,'COGS Break up'!#REF!,Sales3[[#This Row],[Material]],'COGS Break up'!#REF!,Sales3[[#Headers],[BOM Cost]]))</f>
        <v>#REF!</v>
      </c>
      <c r="AB22" s="12" t="e">
        <f>IF(Sales3[[#This Row],[Posting Date]]=1-7-2025,SUMIFS('COGS Break up'!#REF!,'COGS Break up'!#REF!,A22,'COGS Break up'!#REF!,Sales3[[#Headers],[Labour cost per unit]]),SUMIFS('COGS Break up'!#REF!,'COGS Break up'!#REF!,Sales3[[#This Row],[Material]],'COGS Break up'!#REF!,Sales3[[#Headers],[Labour cost per unit]]))</f>
        <v>#REF!</v>
      </c>
      <c r="AC22" s="12" t="e">
        <f>IF(Sales3[[#This Row],[Posting Date]]=1-7-2025,SUMIFS('COGS Break up'!#REF!,'COGS Break up'!#REF!,A22,'COGS Break up'!#REF!,Sales3[[#Headers],[Other Conversion cost pu]]),SUMIFS('COGS Break up'!#REF!,'COGS Break up'!#REF!,Sales3[[#This Row],[Material]],'COGS Break up'!#REF!,Sales3[[#Headers],[Other Conversion cost pu]]))</f>
        <v>#REF!</v>
      </c>
      <c r="AD22" s="48" t="e">
        <f>Sales3[[#This Row],[PGI per unit]]-Sales3[[#This Row],[BOM Cost]]-Sales3[[#This Row],[Labour cost per unit]]-Sales3[[#This Row],[Other Conversion cost pu]]</f>
        <v>#REF!</v>
      </c>
      <c r="AE22" s="48" t="e">
        <f>Sales3[[#This Row],[BOM Cost2]]+Sales3[[#This Row],[Labour Cost]]+Sales3[[#This Row],[Other conversion cost]]</f>
        <v>#REF!</v>
      </c>
      <c r="AF22" s="12" t="e">
        <f>Sales3[[#This Row],[Billed Quantity]]*Sales3[[#This Row],[BOM Cost]]</f>
        <v>#REF!</v>
      </c>
      <c r="AG22" s="12" t="e">
        <f>Sales3[[#This Row],[Billed Quantity]]*Sales3[[#This Row],[Labour cost per unit]]</f>
        <v>#REF!</v>
      </c>
      <c r="AH22" s="12" t="e">
        <f>Sales3[[#This Row],[Billed Quantity]]*Sales3[[#This Row],[Other Conversion cost pu]]</f>
        <v>#REF!</v>
      </c>
      <c r="AI22" s="48" t="e">
        <f>Sales3[[#This Row],[PGI Amount]]-Sales3[[#This Row],[BOM Cost2]]-Sales3[[#This Row],[Labour Cost]]-Sales3[[#This Row],[Other conversion cost]]</f>
        <v>#REF!</v>
      </c>
      <c r="AJ22" s="121" t="e">
        <f>1-Sales3[[#This Row],[PGI COST]]/Sales3[[#This Row],[Net Value]]</f>
        <v>#REF!</v>
      </c>
    </row>
    <row r="23" spans="1:36" hidden="1" x14ac:dyDescent="0.3">
      <c r="A23" s="1" t="s">
        <v>479</v>
      </c>
      <c r="B23" s="2">
        <v>45841</v>
      </c>
      <c r="C23" s="1" t="s">
        <v>667</v>
      </c>
      <c r="D23" s="1" t="s">
        <v>362</v>
      </c>
      <c r="E23" s="1" t="s">
        <v>363</v>
      </c>
      <c r="F23" s="1" t="s">
        <v>18</v>
      </c>
      <c r="G23" s="1" t="s">
        <v>19</v>
      </c>
      <c r="H23" s="1" t="s">
        <v>483</v>
      </c>
      <c r="I23" s="3">
        <v>-150</v>
      </c>
      <c r="J23" s="122">
        <v>-115912.5</v>
      </c>
      <c r="K23" s="3">
        <v>-150</v>
      </c>
      <c r="L23" s="3">
        <v>-150</v>
      </c>
      <c r="M23" s="2">
        <v>45841</v>
      </c>
      <c r="N23" s="3">
        <v>-129336</v>
      </c>
      <c r="O23" s="1" t="s">
        <v>21</v>
      </c>
      <c r="P23" s="1" t="s">
        <v>22</v>
      </c>
      <c r="Q23" s="1" t="s">
        <v>660</v>
      </c>
      <c r="R23" s="1" t="str">
        <f>VLOOKUP(Sales3[[#This Row],[Material type]],Master!$H$3:$I$8,2,0)</f>
        <v>Finished Goods</v>
      </c>
      <c r="S23" s="1" t="str">
        <f>VLOOKUP(Sales3[[#This Row],[Material Group]],Master!B:C,2,0)</f>
        <v>FG-PCB-MG</v>
      </c>
      <c r="T23" s="9" t="b">
        <f ca="1">(TODAY()-1)=Sales3[[#This Row],[Billing Date]]</f>
        <v>0</v>
      </c>
      <c r="U23" s="10" t="e">
        <f>Sales3[[#This Row],[Net Value]]-Sales3[[#This Row],[PGI COST]]</f>
        <v>#REF!</v>
      </c>
      <c r="V23" s="11" t="e">
        <f>Sales3[[#This Row],[Gross Margin]]/Sales3[[#This Row],[Net Value]]</f>
        <v>#REF!</v>
      </c>
      <c r="W23" s="1" t="str">
        <f>TEXT(Sales3[[#This Row],[Billing Date]],"mmmm-yy")</f>
        <v>July-25</v>
      </c>
      <c r="X23" s="1">
        <f>Sales3[[#This Row],[Net Value]]/Sales3[[#This Row],[Billed Quantity]]</f>
        <v>862.24</v>
      </c>
      <c r="Y23" s="117">
        <f>Sales3[[#This Row],[Actual delivery qty]]</f>
        <v>-150</v>
      </c>
      <c r="Z23" s="12" t="e">
        <f>SUM(Sales3[[#This Row],[BOM Cost]:[Other Conversion cost pu]])</f>
        <v>#REF!</v>
      </c>
      <c r="AA23" s="12" t="e">
        <f>IF(Sales3[[#This Row],[Posting Date]]=1-7-2025,SUMIFS('COGS Break up'!#REF!,'COGS Break up'!#REF!,A23,'COGS Break up'!#REF!,Sales3[[#Headers],[BOM Cost]]),SUMIFS('COGS Break up'!#REF!,'COGS Break up'!#REF!,Sales3[[#This Row],[Material]],'COGS Break up'!#REF!,Sales3[[#Headers],[BOM Cost]]))</f>
        <v>#REF!</v>
      </c>
      <c r="AB23" s="12" t="e">
        <f>IF(Sales3[[#This Row],[Posting Date]]=1-7-2025,SUMIFS('COGS Break up'!#REF!,'COGS Break up'!#REF!,A23,'COGS Break up'!#REF!,Sales3[[#Headers],[Labour cost per unit]]),SUMIFS('COGS Break up'!#REF!,'COGS Break up'!#REF!,Sales3[[#This Row],[Material]],'COGS Break up'!#REF!,Sales3[[#Headers],[Labour cost per unit]]))</f>
        <v>#REF!</v>
      </c>
      <c r="AC23" s="12" t="e">
        <f>IF(Sales3[[#This Row],[Posting Date]]=1-7-2025,SUMIFS('COGS Break up'!#REF!,'COGS Break up'!#REF!,A23,'COGS Break up'!#REF!,Sales3[[#Headers],[Other Conversion cost pu]]),SUMIFS('COGS Break up'!#REF!,'COGS Break up'!#REF!,Sales3[[#This Row],[Material]],'COGS Break up'!#REF!,Sales3[[#Headers],[Other Conversion cost pu]]))</f>
        <v>#REF!</v>
      </c>
      <c r="AD23" s="48" t="e">
        <f>Sales3[[#This Row],[PGI per unit]]-Sales3[[#This Row],[BOM Cost]]-Sales3[[#This Row],[Labour cost per unit]]-Sales3[[#This Row],[Other Conversion cost pu]]</f>
        <v>#REF!</v>
      </c>
      <c r="AE23" s="48" t="e">
        <f>Sales3[[#This Row],[BOM Cost2]]+Sales3[[#This Row],[Labour Cost]]+Sales3[[#This Row],[Other conversion cost]]</f>
        <v>#REF!</v>
      </c>
      <c r="AF23" s="12" t="e">
        <f>Sales3[[#This Row],[Billed Quantity]]*Sales3[[#This Row],[BOM Cost]]</f>
        <v>#REF!</v>
      </c>
      <c r="AG23" s="12" t="e">
        <f>Sales3[[#This Row],[Billed Quantity]]*Sales3[[#This Row],[Labour cost per unit]]</f>
        <v>#REF!</v>
      </c>
      <c r="AH23" s="12" t="e">
        <f>Sales3[[#This Row],[Billed Quantity]]*Sales3[[#This Row],[Other Conversion cost pu]]</f>
        <v>#REF!</v>
      </c>
      <c r="AI23" s="48" t="e">
        <f>Sales3[[#This Row],[PGI Amount]]-Sales3[[#This Row],[BOM Cost2]]-Sales3[[#This Row],[Labour Cost]]-Sales3[[#This Row],[Other conversion cost]]</f>
        <v>#REF!</v>
      </c>
      <c r="AJ23" s="121" t="e">
        <f>1-Sales3[[#This Row],[PGI COST]]/Sales3[[#This Row],[Net Value]]</f>
        <v>#REF!</v>
      </c>
    </row>
    <row r="24" spans="1:36" hidden="1" x14ac:dyDescent="0.3">
      <c r="A24" s="1" t="s">
        <v>479</v>
      </c>
      <c r="B24" s="2">
        <v>45841</v>
      </c>
      <c r="C24" s="1" t="s">
        <v>668</v>
      </c>
      <c r="D24" s="1" t="s">
        <v>368</v>
      </c>
      <c r="E24" s="1" t="s">
        <v>369</v>
      </c>
      <c r="F24" s="1" t="s">
        <v>18</v>
      </c>
      <c r="G24" s="1" t="s">
        <v>19</v>
      </c>
      <c r="H24" s="1" t="s">
        <v>483</v>
      </c>
      <c r="I24" s="3">
        <v>-19</v>
      </c>
      <c r="J24" s="4">
        <v>-6847.79</v>
      </c>
      <c r="K24" s="3">
        <v>-19</v>
      </c>
      <c r="L24" s="3">
        <v>-19</v>
      </c>
      <c r="M24" s="2">
        <v>45841</v>
      </c>
      <c r="N24" s="4">
        <v>-5878.03</v>
      </c>
      <c r="O24" s="1" t="s">
        <v>21</v>
      </c>
      <c r="P24" s="1" t="s">
        <v>22</v>
      </c>
      <c r="Q24" s="1" t="s">
        <v>660</v>
      </c>
      <c r="R24" s="1" t="str">
        <f>VLOOKUP(Sales3[[#This Row],[Material type]],Master!$H$3:$I$8,2,0)</f>
        <v>Finished Goods</v>
      </c>
      <c r="S24" s="1" t="str">
        <f>VLOOKUP(Sales3[[#This Row],[Material Group]],Master!B:C,2,0)</f>
        <v>FG-PCB-MG</v>
      </c>
      <c r="T24" s="9" t="b">
        <f ca="1">(TODAY()-1)=Sales3[[#This Row],[Billing Date]]</f>
        <v>0</v>
      </c>
      <c r="U24" s="10" t="e">
        <f>Sales3[[#This Row],[Net Value]]-Sales3[[#This Row],[PGI COST]]</f>
        <v>#REF!</v>
      </c>
      <c r="V24" s="11" t="e">
        <f>Sales3[[#This Row],[Gross Margin]]/Sales3[[#This Row],[Net Value]]</f>
        <v>#REF!</v>
      </c>
      <c r="W24" s="1" t="str">
        <f>TEXT(Sales3[[#This Row],[Billing Date]],"mmmm-yy")</f>
        <v>July-25</v>
      </c>
      <c r="X24" s="1">
        <f>Sales3[[#This Row],[Net Value]]/Sales3[[#This Row],[Billed Quantity]]</f>
        <v>309.37</v>
      </c>
      <c r="Y24" s="117">
        <f>Sales3[[#This Row],[Actual delivery qty]]</f>
        <v>-19</v>
      </c>
      <c r="Z24" s="12" t="e">
        <f>SUM(Sales3[[#This Row],[BOM Cost]:[Other Conversion cost pu]])</f>
        <v>#REF!</v>
      </c>
      <c r="AA24" s="12" t="e">
        <f>IF(Sales3[[#This Row],[Posting Date]]=1-7-2025,SUMIFS('COGS Break up'!#REF!,'COGS Break up'!#REF!,A24,'COGS Break up'!#REF!,Sales3[[#Headers],[BOM Cost]]),SUMIFS('COGS Break up'!#REF!,'COGS Break up'!#REF!,Sales3[[#This Row],[Material]],'COGS Break up'!#REF!,Sales3[[#Headers],[BOM Cost]]))</f>
        <v>#REF!</v>
      </c>
      <c r="AB24" s="12" t="e">
        <f>IF(Sales3[[#This Row],[Posting Date]]=1-7-2025,SUMIFS('COGS Break up'!#REF!,'COGS Break up'!#REF!,A24,'COGS Break up'!#REF!,Sales3[[#Headers],[Labour cost per unit]]),SUMIFS('COGS Break up'!#REF!,'COGS Break up'!#REF!,Sales3[[#This Row],[Material]],'COGS Break up'!#REF!,Sales3[[#Headers],[Labour cost per unit]]))</f>
        <v>#REF!</v>
      </c>
      <c r="AC24" s="12" t="e">
        <f>IF(Sales3[[#This Row],[Posting Date]]=1-7-2025,SUMIFS('COGS Break up'!#REF!,'COGS Break up'!#REF!,A24,'COGS Break up'!#REF!,Sales3[[#Headers],[Other Conversion cost pu]]),SUMIFS('COGS Break up'!#REF!,'COGS Break up'!#REF!,Sales3[[#This Row],[Material]],'COGS Break up'!#REF!,Sales3[[#Headers],[Other Conversion cost pu]]))</f>
        <v>#REF!</v>
      </c>
      <c r="AD24" s="48" t="e">
        <f>Sales3[[#This Row],[PGI per unit]]-Sales3[[#This Row],[BOM Cost]]-Sales3[[#This Row],[Labour cost per unit]]-Sales3[[#This Row],[Other Conversion cost pu]]</f>
        <v>#REF!</v>
      </c>
      <c r="AE24" s="48" t="e">
        <f>Sales3[[#This Row],[BOM Cost2]]+Sales3[[#This Row],[Labour Cost]]+Sales3[[#This Row],[Other conversion cost]]</f>
        <v>#REF!</v>
      </c>
      <c r="AF24" s="12" t="e">
        <f>Sales3[[#This Row],[Billed Quantity]]*Sales3[[#This Row],[BOM Cost]]</f>
        <v>#REF!</v>
      </c>
      <c r="AG24" s="12" t="e">
        <f>Sales3[[#This Row],[Billed Quantity]]*Sales3[[#This Row],[Labour cost per unit]]</f>
        <v>#REF!</v>
      </c>
      <c r="AH24" s="12" t="e">
        <f>Sales3[[#This Row],[Billed Quantity]]*Sales3[[#This Row],[Other Conversion cost pu]]</f>
        <v>#REF!</v>
      </c>
      <c r="AI24" s="48" t="e">
        <f>Sales3[[#This Row],[PGI Amount]]-Sales3[[#This Row],[BOM Cost2]]-Sales3[[#This Row],[Labour Cost]]-Sales3[[#This Row],[Other conversion cost]]</f>
        <v>#REF!</v>
      </c>
      <c r="AJ24" s="121" t="e">
        <f>1-Sales3[[#This Row],[PGI COST]]/Sales3[[#This Row],[Net Value]]</f>
        <v>#REF!</v>
      </c>
    </row>
    <row r="25" spans="1:36" hidden="1" x14ac:dyDescent="0.3">
      <c r="A25" s="1" t="s">
        <v>479</v>
      </c>
      <c r="B25" s="2">
        <v>45840</v>
      </c>
      <c r="C25" s="1" t="s">
        <v>669</v>
      </c>
      <c r="D25" s="1" t="s">
        <v>32</v>
      </c>
      <c r="E25" s="1" t="s">
        <v>33</v>
      </c>
      <c r="F25" s="1" t="s">
        <v>18</v>
      </c>
      <c r="G25" s="1" t="s">
        <v>34</v>
      </c>
      <c r="H25" s="1" t="s">
        <v>35</v>
      </c>
      <c r="I25" s="3">
        <v>1008</v>
      </c>
      <c r="J25" s="4">
        <v>193354.56</v>
      </c>
      <c r="K25" s="3">
        <v>1008</v>
      </c>
      <c r="L25" s="3">
        <v>1008</v>
      </c>
      <c r="M25" s="2">
        <v>45840</v>
      </c>
      <c r="N25" s="4">
        <v>209422.07999999999</v>
      </c>
      <c r="O25" s="1" t="s">
        <v>21</v>
      </c>
      <c r="P25" s="1" t="s">
        <v>22</v>
      </c>
      <c r="Q25" s="1" t="s">
        <v>660</v>
      </c>
      <c r="R25" s="1" t="str">
        <f>VLOOKUP(Sales3[[#This Row],[Material type]],Master!$H$3:$I$8,2,0)</f>
        <v>Semi-Finished Goods</v>
      </c>
      <c r="S25" s="1" t="str">
        <f>VLOOKUP(Sales3[[#This Row],[Material Group]],Master!B:C,2,0)</f>
        <v>Sub Ass.-Mech Stator</v>
      </c>
      <c r="T25" s="9" t="b">
        <f ca="1">(TODAY()-1)=Sales3[[#This Row],[Billing Date]]</f>
        <v>0</v>
      </c>
      <c r="U25" s="10" t="e">
        <f>Sales3[[#This Row],[Net Value]]-Sales3[[#This Row],[PGI COST]]</f>
        <v>#REF!</v>
      </c>
      <c r="V25" s="11" t="e">
        <f>Sales3[[#This Row],[Gross Margin]]/Sales3[[#This Row],[Net Value]]</f>
        <v>#REF!</v>
      </c>
      <c r="W25" s="1" t="str">
        <f>TEXT(Sales3[[#This Row],[Billing Date]],"mmmm-yy")</f>
        <v>July-25</v>
      </c>
      <c r="X25" s="1">
        <f>Sales3[[#This Row],[Net Value]]/Sales3[[#This Row],[Billed Quantity]]</f>
        <v>207.76</v>
      </c>
      <c r="Y25" s="117">
        <f>Sales3[[#This Row],[Actual delivery qty]]</f>
        <v>1008</v>
      </c>
      <c r="Z25" s="12" t="e">
        <f>SUM(Sales3[[#This Row],[BOM Cost]:[Other Conversion cost pu]])</f>
        <v>#REF!</v>
      </c>
      <c r="AA25" s="12" t="e">
        <f>IF(Sales3[[#This Row],[Posting Date]]=1-7-2025,SUMIFS('COGS Break up'!#REF!,'COGS Break up'!#REF!,A25,'COGS Break up'!#REF!,Sales3[[#Headers],[BOM Cost]]),SUMIFS('COGS Break up'!#REF!,'COGS Break up'!#REF!,Sales3[[#This Row],[Material]],'COGS Break up'!#REF!,Sales3[[#Headers],[BOM Cost]]))</f>
        <v>#REF!</v>
      </c>
      <c r="AB25" s="12" t="e">
        <f>IF(Sales3[[#This Row],[Posting Date]]=1-7-2025,SUMIFS('COGS Break up'!#REF!,'COGS Break up'!#REF!,A25,'COGS Break up'!#REF!,Sales3[[#Headers],[Labour cost per unit]]),SUMIFS('COGS Break up'!#REF!,'COGS Break up'!#REF!,Sales3[[#This Row],[Material]],'COGS Break up'!#REF!,Sales3[[#Headers],[Labour cost per unit]]))</f>
        <v>#REF!</v>
      </c>
      <c r="AC25" s="12" t="e">
        <f>IF(Sales3[[#This Row],[Posting Date]]=1-7-2025,SUMIFS('COGS Break up'!#REF!,'COGS Break up'!#REF!,A25,'COGS Break up'!#REF!,Sales3[[#Headers],[Other Conversion cost pu]]),SUMIFS('COGS Break up'!#REF!,'COGS Break up'!#REF!,Sales3[[#This Row],[Material]],'COGS Break up'!#REF!,Sales3[[#Headers],[Other Conversion cost pu]]))</f>
        <v>#REF!</v>
      </c>
      <c r="AD25" s="48" t="e">
        <f>Sales3[[#This Row],[PGI per unit]]-Sales3[[#This Row],[BOM Cost]]-Sales3[[#This Row],[Labour cost per unit]]-Sales3[[#This Row],[Other Conversion cost pu]]</f>
        <v>#REF!</v>
      </c>
      <c r="AE25" s="48" t="e">
        <f>Sales3[[#This Row],[BOM Cost2]]+Sales3[[#This Row],[Labour Cost]]+Sales3[[#This Row],[Other conversion cost]]</f>
        <v>#REF!</v>
      </c>
      <c r="AF25" s="12" t="e">
        <f>Sales3[[#This Row],[Billed Quantity]]*Sales3[[#This Row],[BOM Cost]]</f>
        <v>#REF!</v>
      </c>
      <c r="AG25" s="12" t="e">
        <f>Sales3[[#This Row],[Billed Quantity]]*Sales3[[#This Row],[Labour cost per unit]]</f>
        <v>#REF!</v>
      </c>
      <c r="AH25" s="12" t="e">
        <f>Sales3[[#This Row],[Billed Quantity]]*Sales3[[#This Row],[Other Conversion cost pu]]</f>
        <v>#REF!</v>
      </c>
      <c r="AI25" s="48" t="e">
        <f>Sales3[[#This Row],[PGI Amount]]-Sales3[[#This Row],[BOM Cost2]]-Sales3[[#This Row],[Labour Cost]]-Sales3[[#This Row],[Other conversion cost]]</f>
        <v>#REF!</v>
      </c>
      <c r="AJ25" s="121" t="e">
        <f>1-Sales3[[#This Row],[PGI COST]]/Sales3[[#This Row],[Net Value]]</f>
        <v>#REF!</v>
      </c>
    </row>
    <row r="26" spans="1:36" hidden="1" x14ac:dyDescent="0.3">
      <c r="A26" s="1" t="s">
        <v>479</v>
      </c>
      <c r="B26" s="2">
        <v>45840</v>
      </c>
      <c r="C26" s="1" t="s">
        <v>670</v>
      </c>
      <c r="D26" s="1" t="s">
        <v>25</v>
      </c>
      <c r="E26" s="1" t="s">
        <v>26</v>
      </c>
      <c r="F26" s="1" t="s">
        <v>18</v>
      </c>
      <c r="G26" s="1" t="s">
        <v>19</v>
      </c>
      <c r="H26" s="1" t="s">
        <v>27</v>
      </c>
      <c r="I26" s="3">
        <v>3360</v>
      </c>
      <c r="J26" s="4">
        <v>1209600</v>
      </c>
      <c r="K26" s="3">
        <v>3360</v>
      </c>
      <c r="L26" s="3">
        <v>3360</v>
      </c>
      <c r="M26" s="2">
        <v>45840</v>
      </c>
      <c r="N26" s="4">
        <v>1209600</v>
      </c>
      <c r="O26" s="1" t="s">
        <v>21</v>
      </c>
      <c r="P26" s="1" t="s">
        <v>22</v>
      </c>
      <c r="Q26" s="1" t="s">
        <v>660</v>
      </c>
      <c r="R26" s="1" t="str">
        <f>VLOOKUP(Sales3[[#This Row],[Material type]],Master!$H$3:$I$8,2,0)</f>
        <v>Finished Goods</v>
      </c>
      <c r="S26" s="1" t="str">
        <f>VLOOKUP(Sales3[[#This Row],[Material Group]],Master!B:C,2,0)</f>
        <v>FG-PCB-CF</v>
      </c>
      <c r="T26" s="9" t="b">
        <f ca="1">(TODAY()-1)=Sales3[[#This Row],[Billing Date]]</f>
        <v>0</v>
      </c>
      <c r="U26" s="10" t="e">
        <f>Sales3[[#This Row],[Net Value]]-Sales3[[#This Row],[PGI COST]]</f>
        <v>#REF!</v>
      </c>
      <c r="V26" s="11" t="e">
        <f>Sales3[[#This Row],[Gross Margin]]/Sales3[[#This Row],[Net Value]]</f>
        <v>#REF!</v>
      </c>
      <c r="W26" s="1" t="str">
        <f>TEXT(Sales3[[#This Row],[Billing Date]],"mmmm-yy")</f>
        <v>July-25</v>
      </c>
      <c r="X26" s="1">
        <f>Sales3[[#This Row],[Net Value]]/Sales3[[#This Row],[Billed Quantity]]</f>
        <v>360</v>
      </c>
      <c r="Y26" s="117">
        <f>Sales3[[#This Row],[Actual delivery qty]]</f>
        <v>3360</v>
      </c>
      <c r="Z26" s="12" t="e">
        <f>SUM(Sales3[[#This Row],[BOM Cost]:[Other Conversion cost pu]])</f>
        <v>#REF!</v>
      </c>
      <c r="AA26" s="12" t="e">
        <f>IF(Sales3[[#This Row],[Posting Date]]=1-7-2025,SUMIFS('COGS Break up'!#REF!,'COGS Break up'!#REF!,A26,'COGS Break up'!#REF!,Sales3[[#Headers],[BOM Cost]]),SUMIFS('COGS Break up'!#REF!,'COGS Break up'!#REF!,Sales3[[#This Row],[Material]],'COGS Break up'!#REF!,Sales3[[#Headers],[BOM Cost]]))</f>
        <v>#REF!</v>
      </c>
      <c r="AB26" s="12" t="e">
        <f>IF(Sales3[[#This Row],[Posting Date]]=1-7-2025,SUMIFS('COGS Break up'!#REF!,'COGS Break up'!#REF!,A26,'COGS Break up'!#REF!,Sales3[[#Headers],[Labour cost per unit]]),SUMIFS('COGS Break up'!#REF!,'COGS Break up'!#REF!,Sales3[[#This Row],[Material]],'COGS Break up'!#REF!,Sales3[[#Headers],[Labour cost per unit]]))</f>
        <v>#REF!</v>
      </c>
      <c r="AC26" s="12" t="e">
        <f>IF(Sales3[[#This Row],[Posting Date]]=1-7-2025,SUMIFS('COGS Break up'!#REF!,'COGS Break up'!#REF!,A26,'COGS Break up'!#REF!,Sales3[[#Headers],[Other Conversion cost pu]]),SUMIFS('COGS Break up'!#REF!,'COGS Break up'!#REF!,Sales3[[#This Row],[Material]],'COGS Break up'!#REF!,Sales3[[#Headers],[Other Conversion cost pu]]))</f>
        <v>#REF!</v>
      </c>
      <c r="AD26" s="48" t="e">
        <f>Sales3[[#This Row],[PGI per unit]]-Sales3[[#This Row],[BOM Cost]]-Sales3[[#This Row],[Labour cost per unit]]-Sales3[[#This Row],[Other Conversion cost pu]]</f>
        <v>#REF!</v>
      </c>
      <c r="AE26" s="48" t="e">
        <f>Sales3[[#This Row],[BOM Cost2]]+Sales3[[#This Row],[Labour Cost]]+Sales3[[#This Row],[Other conversion cost]]</f>
        <v>#REF!</v>
      </c>
      <c r="AF26" s="12" t="e">
        <f>Sales3[[#This Row],[Billed Quantity]]*Sales3[[#This Row],[BOM Cost]]</f>
        <v>#REF!</v>
      </c>
      <c r="AG26" s="12" t="e">
        <f>Sales3[[#This Row],[Billed Quantity]]*Sales3[[#This Row],[Labour cost per unit]]</f>
        <v>#REF!</v>
      </c>
      <c r="AH26" s="12" t="e">
        <f>Sales3[[#This Row],[Billed Quantity]]*Sales3[[#This Row],[Other Conversion cost pu]]</f>
        <v>#REF!</v>
      </c>
      <c r="AI26" s="48" t="e">
        <f>Sales3[[#This Row],[PGI Amount]]-Sales3[[#This Row],[BOM Cost2]]-Sales3[[#This Row],[Labour Cost]]-Sales3[[#This Row],[Other conversion cost]]</f>
        <v>#REF!</v>
      </c>
      <c r="AJ26" s="121" t="e">
        <f>1-Sales3[[#This Row],[PGI COST]]/Sales3[[#This Row],[Net Value]]</f>
        <v>#REF!</v>
      </c>
    </row>
    <row r="27" spans="1:36" hidden="1" x14ac:dyDescent="0.3">
      <c r="A27" s="1" t="s">
        <v>479</v>
      </c>
      <c r="B27" s="2">
        <v>45840</v>
      </c>
      <c r="C27" s="1" t="s">
        <v>671</v>
      </c>
      <c r="D27" s="1" t="s">
        <v>30</v>
      </c>
      <c r="E27" s="1" t="s">
        <v>31</v>
      </c>
      <c r="F27" s="1" t="s">
        <v>18</v>
      </c>
      <c r="G27" s="1" t="s">
        <v>19</v>
      </c>
      <c r="H27" s="1" t="s">
        <v>27</v>
      </c>
      <c r="I27" s="3">
        <v>805</v>
      </c>
      <c r="J27" s="4">
        <v>286056.75</v>
      </c>
      <c r="K27" s="3">
        <v>805</v>
      </c>
      <c r="L27" s="3">
        <v>805</v>
      </c>
      <c r="M27" s="2">
        <v>45840</v>
      </c>
      <c r="N27" s="4">
        <v>286708.8</v>
      </c>
      <c r="O27" s="1" t="s">
        <v>21</v>
      </c>
      <c r="P27" s="1" t="s">
        <v>22</v>
      </c>
      <c r="Q27" s="1" t="s">
        <v>660</v>
      </c>
      <c r="R27" s="1" t="str">
        <f>VLOOKUP(Sales3[[#This Row],[Material type]],Master!$H$3:$I$8,2,0)</f>
        <v>Finished Goods</v>
      </c>
      <c r="S27" s="1" t="str">
        <f>VLOOKUP(Sales3[[#This Row],[Material Group]],Master!B:C,2,0)</f>
        <v>FG-PCB-CF</v>
      </c>
      <c r="T27" s="9" t="b">
        <f ca="1">(TODAY()-1)=Sales3[[#This Row],[Billing Date]]</f>
        <v>0</v>
      </c>
      <c r="U27" s="10" t="e">
        <f>Sales3[[#This Row],[Net Value]]-Sales3[[#This Row],[PGI COST]]</f>
        <v>#REF!</v>
      </c>
      <c r="V27" s="11" t="e">
        <f>Sales3[[#This Row],[Gross Margin]]/Sales3[[#This Row],[Net Value]]</f>
        <v>#REF!</v>
      </c>
      <c r="W27" s="1" t="str">
        <f>TEXT(Sales3[[#This Row],[Billing Date]],"mmmm-yy")</f>
        <v>July-25</v>
      </c>
      <c r="X27" s="1">
        <f>Sales3[[#This Row],[Net Value]]/Sales3[[#This Row],[Billed Quantity]]</f>
        <v>356.15999999999997</v>
      </c>
      <c r="Y27" s="117">
        <f>Sales3[[#This Row],[Actual delivery qty]]</f>
        <v>805</v>
      </c>
      <c r="Z27" s="12" t="e">
        <f>SUM(Sales3[[#This Row],[BOM Cost]:[Other Conversion cost pu]])</f>
        <v>#REF!</v>
      </c>
      <c r="AA27" s="12" t="e">
        <f>IF(Sales3[[#This Row],[Posting Date]]=1-7-2025,SUMIFS('COGS Break up'!#REF!,'COGS Break up'!#REF!,A27,'COGS Break up'!#REF!,Sales3[[#Headers],[BOM Cost]]),SUMIFS('COGS Break up'!#REF!,'COGS Break up'!#REF!,Sales3[[#This Row],[Material]],'COGS Break up'!#REF!,Sales3[[#Headers],[BOM Cost]]))</f>
        <v>#REF!</v>
      </c>
      <c r="AB27" s="12" t="e">
        <f>IF(Sales3[[#This Row],[Posting Date]]=1-7-2025,SUMIFS('COGS Break up'!#REF!,'COGS Break up'!#REF!,A27,'COGS Break up'!#REF!,Sales3[[#Headers],[Labour cost per unit]]),SUMIFS('COGS Break up'!#REF!,'COGS Break up'!#REF!,Sales3[[#This Row],[Material]],'COGS Break up'!#REF!,Sales3[[#Headers],[Labour cost per unit]]))</f>
        <v>#REF!</v>
      </c>
      <c r="AC27" s="12" t="e">
        <f>IF(Sales3[[#This Row],[Posting Date]]=1-7-2025,SUMIFS('COGS Break up'!#REF!,'COGS Break up'!#REF!,A27,'COGS Break up'!#REF!,Sales3[[#Headers],[Other Conversion cost pu]]),SUMIFS('COGS Break up'!#REF!,'COGS Break up'!#REF!,Sales3[[#This Row],[Material]],'COGS Break up'!#REF!,Sales3[[#Headers],[Other Conversion cost pu]]))</f>
        <v>#REF!</v>
      </c>
      <c r="AD27" s="48" t="e">
        <f>Sales3[[#This Row],[PGI per unit]]-Sales3[[#This Row],[BOM Cost]]-Sales3[[#This Row],[Labour cost per unit]]-Sales3[[#This Row],[Other Conversion cost pu]]</f>
        <v>#REF!</v>
      </c>
      <c r="AE27" s="48" t="e">
        <f>Sales3[[#This Row],[BOM Cost2]]+Sales3[[#This Row],[Labour Cost]]+Sales3[[#This Row],[Other conversion cost]]</f>
        <v>#REF!</v>
      </c>
      <c r="AF27" s="12" t="e">
        <f>Sales3[[#This Row],[Billed Quantity]]*Sales3[[#This Row],[BOM Cost]]</f>
        <v>#REF!</v>
      </c>
      <c r="AG27" s="12" t="e">
        <f>Sales3[[#This Row],[Billed Quantity]]*Sales3[[#This Row],[Labour cost per unit]]</f>
        <v>#REF!</v>
      </c>
      <c r="AH27" s="12" t="e">
        <f>Sales3[[#This Row],[Billed Quantity]]*Sales3[[#This Row],[Other Conversion cost pu]]</f>
        <v>#REF!</v>
      </c>
      <c r="AI27" s="48" t="e">
        <f>Sales3[[#This Row],[PGI Amount]]-Sales3[[#This Row],[BOM Cost2]]-Sales3[[#This Row],[Labour Cost]]-Sales3[[#This Row],[Other conversion cost]]</f>
        <v>#REF!</v>
      </c>
      <c r="AJ27" s="121" t="e">
        <f>1-Sales3[[#This Row],[PGI COST]]/Sales3[[#This Row],[Net Value]]</f>
        <v>#REF!</v>
      </c>
    </row>
    <row r="28" spans="1:36" hidden="1" x14ac:dyDescent="0.3">
      <c r="A28" s="1" t="s">
        <v>479</v>
      </c>
      <c r="B28" s="2">
        <v>45840</v>
      </c>
      <c r="C28" s="1" t="s">
        <v>671</v>
      </c>
      <c r="D28" s="1" t="s">
        <v>368</v>
      </c>
      <c r="E28" s="1" t="s">
        <v>369</v>
      </c>
      <c r="F28" s="1" t="s">
        <v>18</v>
      </c>
      <c r="G28" s="1" t="s">
        <v>19</v>
      </c>
      <c r="H28" s="1" t="s">
        <v>483</v>
      </c>
      <c r="I28" s="3">
        <v>280</v>
      </c>
      <c r="J28" s="4">
        <v>100914.8</v>
      </c>
      <c r="K28" s="3">
        <v>280</v>
      </c>
      <c r="L28" s="3">
        <v>280</v>
      </c>
      <c r="M28" s="2">
        <v>45840</v>
      </c>
      <c r="N28" s="4">
        <v>86623.6</v>
      </c>
      <c r="O28" s="1" t="s">
        <v>21</v>
      </c>
      <c r="P28" s="1" t="s">
        <v>22</v>
      </c>
      <c r="Q28" s="1" t="s">
        <v>660</v>
      </c>
      <c r="R28" s="1" t="str">
        <f>VLOOKUP(Sales3[[#This Row],[Material type]],Master!$H$3:$I$8,2,0)</f>
        <v>Finished Goods</v>
      </c>
      <c r="S28" s="1" t="str">
        <f>VLOOKUP(Sales3[[#This Row],[Material Group]],Master!B:C,2,0)</f>
        <v>FG-PCB-MG</v>
      </c>
      <c r="T28" s="9" t="b">
        <f ca="1">(TODAY()-1)=Sales3[[#This Row],[Billing Date]]</f>
        <v>0</v>
      </c>
      <c r="U28" s="10" t="e">
        <f>Sales3[[#This Row],[Net Value]]-Sales3[[#This Row],[PGI COST]]</f>
        <v>#REF!</v>
      </c>
      <c r="V28" s="11" t="e">
        <f>Sales3[[#This Row],[Gross Margin]]/Sales3[[#This Row],[Net Value]]</f>
        <v>#REF!</v>
      </c>
      <c r="W28" s="1" t="str">
        <f>TEXT(Sales3[[#This Row],[Billing Date]],"mmmm-yy")</f>
        <v>July-25</v>
      </c>
      <c r="X28" s="1">
        <f>Sales3[[#This Row],[Net Value]]/Sales3[[#This Row],[Billed Quantity]]</f>
        <v>309.37</v>
      </c>
      <c r="Y28" s="117">
        <f>Sales3[[#This Row],[Actual delivery qty]]</f>
        <v>280</v>
      </c>
      <c r="Z28" s="12" t="e">
        <f>SUM(Sales3[[#This Row],[BOM Cost]:[Other Conversion cost pu]])</f>
        <v>#REF!</v>
      </c>
      <c r="AA28" s="12" t="e">
        <f>IF(Sales3[[#This Row],[Posting Date]]=1-7-2025,SUMIFS('COGS Break up'!#REF!,'COGS Break up'!#REF!,A28,'COGS Break up'!#REF!,Sales3[[#Headers],[BOM Cost]]),SUMIFS('COGS Break up'!#REF!,'COGS Break up'!#REF!,Sales3[[#This Row],[Material]],'COGS Break up'!#REF!,Sales3[[#Headers],[BOM Cost]]))</f>
        <v>#REF!</v>
      </c>
      <c r="AB28" s="12" t="e">
        <f>IF(Sales3[[#This Row],[Posting Date]]=1-7-2025,SUMIFS('COGS Break up'!#REF!,'COGS Break up'!#REF!,A28,'COGS Break up'!#REF!,Sales3[[#Headers],[Labour cost per unit]]),SUMIFS('COGS Break up'!#REF!,'COGS Break up'!#REF!,Sales3[[#This Row],[Material]],'COGS Break up'!#REF!,Sales3[[#Headers],[Labour cost per unit]]))</f>
        <v>#REF!</v>
      </c>
      <c r="AC28" s="12" t="e">
        <f>IF(Sales3[[#This Row],[Posting Date]]=1-7-2025,SUMIFS('COGS Break up'!#REF!,'COGS Break up'!#REF!,A28,'COGS Break up'!#REF!,Sales3[[#Headers],[Other Conversion cost pu]]),SUMIFS('COGS Break up'!#REF!,'COGS Break up'!#REF!,Sales3[[#This Row],[Material]],'COGS Break up'!#REF!,Sales3[[#Headers],[Other Conversion cost pu]]))</f>
        <v>#REF!</v>
      </c>
      <c r="AD28" s="48" t="e">
        <f>Sales3[[#This Row],[PGI per unit]]-Sales3[[#This Row],[BOM Cost]]-Sales3[[#This Row],[Labour cost per unit]]-Sales3[[#This Row],[Other Conversion cost pu]]</f>
        <v>#REF!</v>
      </c>
      <c r="AE28" s="48" t="e">
        <f>Sales3[[#This Row],[BOM Cost2]]+Sales3[[#This Row],[Labour Cost]]+Sales3[[#This Row],[Other conversion cost]]</f>
        <v>#REF!</v>
      </c>
      <c r="AF28" s="12" t="e">
        <f>Sales3[[#This Row],[Billed Quantity]]*Sales3[[#This Row],[BOM Cost]]</f>
        <v>#REF!</v>
      </c>
      <c r="AG28" s="12" t="e">
        <f>Sales3[[#This Row],[Billed Quantity]]*Sales3[[#This Row],[Labour cost per unit]]</f>
        <v>#REF!</v>
      </c>
      <c r="AH28" s="12" t="e">
        <f>Sales3[[#This Row],[Billed Quantity]]*Sales3[[#This Row],[Other Conversion cost pu]]</f>
        <v>#REF!</v>
      </c>
      <c r="AI28" s="48" t="e">
        <f>Sales3[[#This Row],[PGI Amount]]-Sales3[[#This Row],[BOM Cost2]]-Sales3[[#This Row],[Labour Cost]]-Sales3[[#This Row],[Other conversion cost]]</f>
        <v>#REF!</v>
      </c>
      <c r="AJ28" s="121" t="e">
        <f>1-Sales3[[#This Row],[PGI COST]]/Sales3[[#This Row],[Net Value]]</f>
        <v>#REF!</v>
      </c>
    </row>
    <row r="29" spans="1:36" hidden="1" x14ac:dyDescent="0.3">
      <c r="A29" s="1" t="s">
        <v>479</v>
      </c>
      <c r="B29" s="2">
        <v>45840</v>
      </c>
      <c r="C29" s="1" t="s">
        <v>672</v>
      </c>
      <c r="D29" s="1" t="s">
        <v>368</v>
      </c>
      <c r="E29" s="1" t="s">
        <v>369</v>
      </c>
      <c r="F29" s="1" t="s">
        <v>18</v>
      </c>
      <c r="G29" s="1" t="s">
        <v>19</v>
      </c>
      <c r="H29" s="1" t="s">
        <v>483</v>
      </c>
      <c r="I29" s="3">
        <v>70</v>
      </c>
      <c r="J29" s="4">
        <v>25228.7</v>
      </c>
      <c r="K29" s="3">
        <v>70</v>
      </c>
      <c r="L29" s="3">
        <v>70</v>
      </c>
      <c r="M29" s="2">
        <v>45840</v>
      </c>
      <c r="N29" s="4">
        <v>21655.9</v>
      </c>
      <c r="O29" s="1" t="s">
        <v>21</v>
      </c>
      <c r="P29" s="1" t="s">
        <v>22</v>
      </c>
      <c r="Q29" s="1" t="s">
        <v>660</v>
      </c>
      <c r="R29" s="1" t="str">
        <f>VLOOKUP(Sales3[[#This Row],[Material type]],Master!$H$3:$I$8,2,0)</f>
        <v>Finished Goods</v>
      </c>
      <c r="S29" s="1" t="str">
        <f>VLOOKUP(Sales3[[#This Row],[Material Group]],Master!B:C,2,0)</f>
        <v>FG-PCB-MG</v>
      </c>
      <c r="T29" s="9" t="b">
        <f ca="1">(TODAY()-1)=Sales3[[#This Row],[Billing Date]]</f>
        <v>0</v>
      </c>
      <c r="U29" s="10" t="e">
        <f>Sales3[[#This Row],[Net Value]]-Sales3[[#This Row],[PGI COST]]</f>
        <v>#REF!</v>
      </c>
      <c r="V29" s="11" t="e">
        <f>Sales3[[#This Row],[Gross Margin]]/Sales3[[#This Row],[Net Value]]</f>
        <v>#REF!</v>
      </c>
      <c r="W29" s="1" t="str">
        <f>TEXT(Sales3[[#This Row],[Billing Date]],"mmmm-yy")</f>
        <v>July-25</v>
      </c>
      <c r="X29" s="1">
        <f>Sales3[[#This Row],[Net Value]]/Sales3[[#This Row],[Billed Quantity]]</f>
        <v>309.37</v>
      </c>
      <c r="Y29" s="117">
        <f>Sales3[[#This Row],[Actual delivery qty]]</f>
        <v>70</v>
      </c>
      <c r="Z29" s="12" t="e">
        <f>SUM(Sales3[[#This Row],[BOM Cost]:[Other Conversion cost pu]])</f>
        <v>#REF!</v>
      </c>
      <c r="AA29" s="12" t="e">
        <f>IF(Sales3[[#This Row],[Posting Date]]=1-7-2025,SUMIFS('COGS Break up'!#REF!,'COGS Break up'!#REF!,A29,'COGS Break up'!#REF!,Sales3[[#Headers],[BOM Cost]]),SUMIFS('COGS Break up'!#REF!,'COGS Break up'!#REF!,Sales3[[#This Row],[Material]],'COGS Break up'!#REF!,Sales3[[#Headers],[BOM Cost]]))</f>
        <v>#REF!</v>
      </c>
      <c r="AB29" s="12" t="e">
        <f>IF(Sales3[[#This Row],[Posting Date]]=1-7-2025,SUMIFS('COGS Break up'!#REF!,'COGS Break up'!#REF!,A29,'COGS Break up'!#REF!,Sales3[[#Headers],[Labour cost per unit]]),SUMIFS('COGS Break up'!#REF!,'COGS Break up'!#REF!,Sales3[[#This Row],[Material]],'COGS Break up'!#REF!,Sales3[[#Headers],[Labour cost per unit]]))</f>
        <v>#REF!</v>
      </c>
      <c r="AC29" s="12" t="e">
        <f>IF(Sales3[[#This Row],[Posting Date]]=1-7-2025,SUMIFS('COGS Break up'!#REF!,'COGS Break up'!#REF!,A29,'COGS Break up'!#REF!,Sales3[[#Headers],[Other Conversion cost pu]]),SUMIFS('COGS Break up'!#REF!,'COGS Break up'!#REF!,Sales3[[#This Row],[Material]],'COGS Break up'!#REF!,Sales3[[#Headers],[Other Conversion cost pu]]))</f>
        <v>#REF!</v>
      </c>
      <c r="AD29" s="48" t="e">
        <f>Sales3[[#This Row],[PGI per unit]]-Sales3[[#This Row],[BOM Cost]]-Sales3[[#This Row],[Labour cost per unit]]-Sales3[[#This Row],[Other Conversion cost pu]]</f>
        <v>#REF!</v>
      </c>
      <c r="AE29" s="48" t="e">
        <f>Sales3[[#This Row],[BOM Cost2]]+Sales3[[#This Row],[Labour Cost]]+Sales3[[#This Row],[Other conversion cost]]</f>
        <v>#REF!</v>
      </c>
      <c r="AF29" s="12" t="e">
        <f>Sales3[[#This Row],[Billed Quantity]]*Sales3[[#This Row],[BOM Cost]]</f>
        <v>#REF!</v>
      </c>
      <c r="AG29" s="12" t="e">
        <f>Sales3[[#This Row],[Billed Quantity]]*Sales3[[#This Row],[Labour cost per unit]]</f>
        <v>#REF!</v>
      </c>
      <c r="AH29" s="12" t="e">
        <f>Sales3[[#This Row],[Billed Quantity]]*Sales3[[#This Row],[Other Conversion cost pu]]</f>
        <v>#REF!</v>
      </c>
      <c r="AI29" s="48" t="e">
        <f>Sales3[[#This Row],[PGI Amount]]-Sales3[[#This Row],[BOM Cost2]]-Sales3[[#This Row],[Labour Cost]]-Sales3[[#This Row],[Other conversion cost]]</f>
        <v>#REF!</v>
      </c>
      <c r="AJ29" s="121" t="e">
        <f>1-Sales3[[#This Row],[PGI COST]]/Sales3[[#This Row],[Net Value]]</f>
        <v>#REF!</v>
      </c>
    </row>
    <row r="30" spans="1:36" hidden="1" x14ac:dyDescent="0.3">
      <c r="A30" s="1" t="s">
        <v>479</v>
      </c>
      <c r="B30" s="2">
        <v>45840</v>
      </c>
      <c r="C30" s="1" t="s">
        <v>673</v>
      </c>
      <c r="D30" s="1" t="s">
        <v>38</v>
      </c>
      <c r="E30" s="1" t="s">
        <v>39</v>
      </c>
      <c r="F30" s="1" t="s">
        <v>18</v>
      </c>
      <c r="G30" s="1" t="s">
        <v>19</v>
      </c>
      <c r="H30" s="1" t="s">
        <v>27</v>
      </c>
      <c r="I30" s="3">
        <v>3360</v>
      </c>
      <c r="J30" s="4">
        <v>1194076.8</v>
      </c>
      <c r="K30" s="3">
        <v>3360</v>
      </c>
      <c r="L30" s="3">
        <v>3360</v>
      </c>
      <c r="M30" s="2">
        <v>45840</v>
      </c>
      <c r="N30" s="4">
        <v>1196697.6000000001</v>
      </c>
      <c r="O30" s="1" t="s">
        <v>21</v>
      </c>
      <c r="P30" s="1" t="s">
        <v>22</v>
      </c>
      <c r="Q30" s="1" t="s">
        <v>660</v>
      </c>
      <c r="R30" s="1" t="str">
        <f>VLOOKUP(Sales3[[#This Row],[Material type]],Master!$H$3:$I$8,2,0)</f>
        <v>Finished Goods</v>
      </c>
      <c r="S30" s="1" t="str">
        <f>VLOOKUP(Sales3[[#This Row],[Material Group]],Master!B:C,2,0)</f>
        <v>FG-PCB-CF</v>
      </c>
      <c r="T30" s="9" t="b">
        <f ca="1">(TODAY()-1)=Sales3[[#This Row],[Billing Date]]</f>
        <v>0</v>
      </c>
      <c r="U30" s="10" t="e">
        <f>Sales3[[#This Row],[Net Value]]-Sales3[[#This Row],[PGI COST]]</f>
        <v>#REF!</v>
      </c>
      <c r="V30" s="11" t="e">
        <f>Sales3[[#This Row],[Gross Margin]]/Sales3[[#This Row],[Net Value]]</f>
        <v>#REF!</v>
      </c>
      <c r="W30" s="1" t="str">
        <f>TEXT(Sales3[[#This Row],[Billing Date]],"mmmm-yy")</f>
        <v>July-25</v>
      </c>
      <c r="X30" s="1">
        <f>Sales3[[#This Row],[Net Value]]/Sales3[[#This Row],[Billed Quantity]]</f>
        <v>356.16</v>
      </c>
      <c r="Y30" s="117">
        <f>Sales3[[#This Row],[Actual delivery qty]]</f>
        <v>3360</v>
      </c>
      <c r="Z30" s="12" t="e">
        <f>SUM(Sales3[[#This Row],[BOM Cost]:[Other Conversion cost pu]])</f>
        <v>#REF!</v>
      </c>
      <c r="AA30" s="12" t="e">
        <f>IF(Sales3[[#This Row],[Posting Date]]=1-7-2025,SUMIFS('COGS Break up'!#REF!,'COGS Break up'!#REF!,A30,'COGS Break up'!#REF!,Sales3[[#Headers],[BOM Cost]]),SUMIFS('COGS Break up'!#REF!,'COGS Break up'!#REF!,Sales3[[#This Row],[Material]],'COGS Break up'!#REF!,Sales3[[#Headers],[BOM Cost]]))</f>
        <v>#REF!</v>
      </c>
      <c r="AB30" s="12" t="e">
        <f>IF(Sales3[[#This Row],[Posting Date]]=1-7-2025,SUMIFS('COGS Break up'!#REF!,'COGS Break up'!#REF!,A30,'COGS Break up'!#REF!,Sales3[[#Headers],[Labour cost per unit]]),SUMIFS('COGS Break up'!#REF!,'COGS Break up'!#REF!,Sales3[[#This Row],[Material]],'COGS Break up'!#REF!,Sales3[[#Headers],[Labour cost per unit]]))</f>
        <v>#REF!</v>
      </c>
      <c r="AC30" s="12" t="e">
        <f>IF(Sales3[[#This Row],[Posting Date]]=1-7-2025,SUMIFS('COGS Break up'!#REF!,'COGS Break up'!#REF!,A30,'COGS Break up'!#REF!,Sales3[[#Headers],[Other Conversion cost pu]]),SUMIFS('COGS Break up'!#REF!,'COGS Break up'!#REF!,Sales3[[#This Row],[Material]],'COGS Break up'!#REF!,Sales3[[#Headers],[Other Conversion cost pu]]))</f>
        <v>#REF!</v>
      </c>
      <c r="AD30" s="48" t="e">
        <f>Sales3[[#This Row],[PGI per unit]]-Sales3[[#This Row],[BOM Cost]]-Sales3[[#This Row],[Labour cost per unit]]-Sales3[[#This Row],[Other Conversion cost pu]]</f>
        <v>#REF!</v>
      </c>
      <c r="AE30" s="48" t="e">
        <f>Sales3[[#This Row],[BOM Cost2]]+Sales3[[#This Row],[Labour Cost]]+Sales3[[#This Row],[Other conversion cost]]</f>
        <v>#REF!</v>
      </c>
      <c r="AF30" s="12" t="e">
        <f>Sales3[[#This Row],[Billed Quantity]]*Sales3[[#This Row],[BOM Cost]]</f>
        <v>#REF!</v>
      </c>
      <c r="AG30" s="12" t="e">
        <f>Sales3[[#This Row],[Billed Quantity]]*Sales3[[#This Row],[Labour cost per unit]]</f>
        <v>#REF!</v>
      </c>
      <c r="AH30" s="12" t="e">
        <f>Sales3[[#This Row],[Billed Quantity]]*Sales3[[#This Row],[Other Conversion cost pu]]</f>
        <v>#REF!</v>
      </c>
      <c r="AI30" s="48" t="e">
        <f>Sales3[[#This Row],[PGI Amount]]-Sales3[[#This Row],[BOM Cost2]]-Sales3[[#This Row],[Labour Cost]]-Sales3[[#This Row],[Other conversion cost]]</f>
        <v>#REF!</v>
      </c>
      <c r="AJ30" s="121" t="e">
        <f>1-Sales3[[#This Row],[PGI COST]]/Sales3[[#This Row],[Net Value]]</f>
        <v>#REF!</v>
      </c>
    </row>
    <row r="31" spans="1:36" hidden="1" x14ac:dyDescent="0.3">
      <c r="A31" s="1" t="s">
        <v>479</v>
      </c>
      <c r="B31" s="2">
        <v>45840</v>
      </c>
      <c r="C31" s="1" t="s">
        <v>674</v>
      </c>
      <c r="D31" s="1" t="s">
        <v>23</v>
      </c>
      <c r="E31" s="1" t="s">
        <v>24</v>
      </c>
      <c r="F31" s="1" t="s">
        <v>18</v>
      </c>
      <c r="G31" s="1" t="s">
        <v>19</v>
      </c>
      <c r="H31" s="1" t="s">
        <v>27</v>
      </c>
      <c r="I31" s="3">
        <v>420</v>
      </c>
      <c r="J31" s="4">
        <v>191977.8</v>
      </c>
      <c r="K31" s="3">
        <v>420</v>
      </c>
      <c r="L31" s="3">
        <v>420</v>
      </c>
      <c r="M31" s="2">
        <v>45840</v>
      </c>
      <c r="N31" s="4">
        <v>202927.2</v>
      </c>
      <c r="O31" s="1" t="s">
        <v>21</v>
      </c>
      <c r="P31" s="1" t="s">
        <v>22</v>
      </c>
      <c r="Q31" s="1" t="s">
        <v>660</v>
      </c>
      <c r="R31" s="1" t="str">
        <f>VLOOKUP(Sales3[[#This Row],[Material type]],Master!$H$3:$I$8,2,0)</f>
        <v>Finished Goods</v>
      </c>
      <c r="S31" s="1" t="str">
        <f>VLOOKUP(Sales3[[#This Row],[Material Group]],Master!B:C,2,0)</f>
        <v>FG-PCB-CF</v>
      </c>
      <c r="T31" s="9" t="b">
        <f ca="1">(TODAY()-1)=Sales3[[#This Row],[Billing Date]]</f>
        <v>0</v>
      </c>
      <c r="U31" s="10" t="e">
        <f>Sales3[[#This Row],[Net Value]]-Sales3[[#This Row],[PGI COST]]</f>
        <v>#REF!</v>
      </c>
      <c r="V31" s="11" t="e">
        <f>Sales3[[#This Row],[Gross Margin]]/Sales3[[#This Row],[Net Value]]</f>
        <v>#REF!</v>
      </c>
      <c r="W31" s="1" t="str">
        <f>TEXT(Sales3[[#This Row],[Billing Date]],"mmmm-yy")</f>
        <v>July-25</v>
      </c>
      <c r="X31" s="1">
        <f>Sales3[[#This Row],[Net Value]]/Sales3[[#This Row],[Billed Quantity]]</f>
        <v>483.16</v>
      </c>
      <c r="Y31" s="117">
        <f>Sales3[[#This Row],[Actual delivery qty]]</f>
        <v>420</v>
      </c>
      <c r="Z31" s="12" t="e">
        <f>SUM(Sales3[[#This Row],[BOM Cost]:[Other Conversion cost pu]])</f>
        <v>#REF!</v>
      </c>
      <c r="AA31" s="12" t="e">
        <f>IF(Sales3[[#This Row],[Posting Date]]=1-7-2025,SUMIFS('COGS Break up'!#REF!,'COGS Break up'!#REF!,A31,'COGS Break up'!#REF!,Sales3[[#Headers],[BOM Cost]]),SUMIFS('COGS Break up'!#REF!,'COGS Break up'!#REF!,Sales3[[#This Row],[Material]],'COGS Break up'!#REF!,Sales3[[#Headers],[BOM Cost]]))</f>
        <v>#REF!</v>
      </c>
      <c r="AB31" s="12" t="e">
        <f>IF(Sales3[[#This Row],[Posting Date]]=1-7-2025,SUMIFS('COGS Break up'!#REF!,'COGS Break up'!#REF!,A31,'COGS Break up'!#REF!,Sales3[[#Headers],[Labour cost per unit]]),SUMIFS('COGS Break up'!#REF!,'COGS Break up'!#REF!,Sales3[[#This Row],[Material]],'COGS Break up'!#REF!,Sales3[[#Headers],[Labour cost per unit]]))</f>
        <v>#REF!</v>
      </c>
      <c r="AC31" s="12" t="e">
        <f>IF(Sales3[[#This Row],[Posting Date]]=1-7-2025,SUMIFS('COGS Break up'!#REF!,'COGS Break up'!#REF!,A31,'COGS Break up'!#REF!,Sales3[[#Headers],[Other Conversion cost pu]]),SUMIFS('COGS Break up'!#REF!,'COGS Break up'!#REF!,Sales3[[#This Row],[Material]],'COGS Break up'!#REF!,Sales3[[#Headers],[Other Conversion cost pu]]))</f>
        <v>#REF!</v>
      </c>
      <c r="AD31" s="48" t="e">
        <f>Sales3[[#This Row],[PGI per unit]]-Sales3[[#This Row],[BOM Cost]]-Sales3[[#This Row],[Labour cost per unit]]-Sales3[[#This Row],[Other Conversion cost pu]]</f>
        <v>#REF!</v>
      </c>
      <c r="AE31" s="48" t="e">
        <f>Sales3[[#This Row],[BOM Cost2]]+Sales3[[#This Row],[Labour Cost]]+Sales3[[#This Row],[Other conversion cost]]</f>
        <v>#REF!</v>
      </c>
      <c r="AF31" s="12" t="e">
        <f>Sales3[[#This Row],[Billed Quantity]]*Sales3[[#This Row],[BOM Cost]]</f>
        <v>#REF!</v>
      </c>
      <c r="AG31" s="12" t="e">
        <f>Sales3[[#This Row],[Billed Quantity]]*Sales3[[#This Row],[Labour cost per unit]]</f>
        <v>#REF!</v>
      </c>
      <c r="AH31" s="12" t="e">
        <f>Sales3[[#This Row],[Billed Quantity]]*Sales3[[#This Row],[Other Conversion cost pu]]</f>
        <v>#REF!</v>
      </c>
      <c r="AI31" s="48" t="e">
        <f>Sales3[[#This Row],[PGI Amount]]-Sales3[[#This Row],[BOM Cost2]]-Sales3[[#This Row],[Labour Cost]]-Sales3[[#This Row],[Other conversion cost]]</f>
        <v>#REF!</v>
      </c>
      <c r="AJ31" s="121" t="e">
        <f>1-Sales3[[#This Row],[PGI COST]]/Sales3[[#This Row],[Net Value]]</f>
        <v>#REF!</v>
      </c>
    </row>
    <row r="32" spans="1:36" hidden="1" x14ac:dyDescent="0.3">
      <c r="A32" s="1" t="s">
        <v>479</v>
      </c>
      <c r="B32" s="2">
        <v>45840</v>
      </c>
      <c r="C32" s="1" t="s">
        <v>675</v>
      </c>
      <c r="D32" s="1" t="s">
        <v>23</v>
      </c>
      <c r="E32" s="1" t="s">
        <v>24</v>
      </c>
      <c r="F32" s="1" t="s">
        <v>18</v>
      </c>
      <c r="G32" s="1" t="s">
        <v>19</v>
      </c>
      <c r="H32" s="1" t="s">
        <v>27</v>
      </c>
      <c r="I32" s="3">
        <v>245</v>
      </c>
      <c r="J32" s="4">
        <v>111987.05</v>
      </c>
      <c r="K32" s="3">
        <v>245</v>
      </c>
      <c r="L32" s="3">
        <v>245</v>
      </c>
      <c r="M32" s="2">
        <v>45840</v>
      </c>
      <c r="N32" s="4">
        <v>118374.2</v>
      </c>
      <c r="O32" s="1" t="s">
        <v>21</v>
      </c>
      <c r="P32" s="1" t="s">
        <v>22</v>
      </c>
      <c r="Q32" s="1" t="s">
        <v>660</v>
      </c>
      <c r="R32" s="1" t="str">
        <f>VLOOKUP(Sales3[[#This Row],[Material type]],Master!$H$3:$I$8,2,0)</f>
        <v>Finished Goods</v>
      </c>
      <c r="S32" s="1" t="str">
        <f>VLOOKUP(Sales3[[#This Row],[Material Group]],Master!B:C,2,0)</f>
        <v>FG-PCB-CF</v>
      </c>
      <c r="T32" s="9" t="b">
        <f ca="1">(TODAY()-1)=Sales3[[#This Row],[Billing Date]]</f>
        <v>0</v>
      </c>
      <c r="U32" s="10" t="e">
        <f>Sales3[[#This Row],[Net Value]]-Sales3[[#This Row],[PGI COST]]</f>
        <v>#REF!</v>
      </c>
      <c r="V32" s="11" t="e">
        <f>Sales3[[#This Row],[Gross Margin]]/Sales3[[#This Row],[Net Value]]</f>
        <v>#REF!</v>
      </c>
      <c r="W32" s="1" t="str">
        <f>TEXT(Sales3[[#This Row],[Billing Date]],"mmmm-yy")</f>
        <v>July-25</v>
      </c>
      <c r="X32" s="1">
        <f>Sales3[[#This Row],[Net Value]]/Sales3[[#This Row],[Billed Quantity]]</f>
        <v>483.15999999999997</v>
      </c>
      <c r="Y32" s="117">
        <f>Sales3[[#This Row],[Actual delivery qty]]</f>
        <v>245</v>
      </c>
      <c r="Z32" s="12" t="e">
        <f>SUM(Sales3[[#This Row],[BOM Cost]:[Other Conversion cost pu]])</f>
        <v>#REF!</v>
      </c>
      <c r="AA32" s="12" t="e">
        <f>IF(Sales3[[#This Row],[Posting Date]]=1-7-2025,SUMIFS('COGS Break up'!#REF!,'COGS Break up'!#REF!,A32,'COGS Break up'!#REF!,Sales3[[#Headers],[BOM Cost]]),SUMIFS('COGS Break up'!#REF!,'COGS Break up'!#REF!,Sales3[[#This Row],[Material]],'COGS Break up'!#REF!,Sales3[[#Headers],[BOM Cost]]))</f>
        <v>#REF!</v>
      </c>
      <c r="AB32" s="12" t="e">
        <f>IF(Sales3[[#This Row],[Posting Date]]=1-7-2025,SUMIFS('COGS Break up'!#REF!,'COGS Break up'!#REF!,A32,'COGS Break up'!#REF!,Sales3[[#Headers],[Labour cost per unit]]),SUMIFS('COGS Break up'!#REF!,'COGS Break up'!#REF!,Sales3[[#This Row],[Material]],'COGS Break up'!#REF!,Sales3[[#Headers],[Labour cost per unit]]))</f>
        <v>#REF!</v>
      </c>
      <c r="AC32" s="12" t="e">
        <f>IF(Sales3[[#This Row],[Posting Date]]=1-7-2025,SUMIFS('COGS Break up'!#REF!,'COGS Break up'!#REF!,A32,'COGS Break up'!#REF!,Sales3[[#Headers],[Other Conversion cost pu]]),SUMIFS('COGS Break up'!#REF!,'COGS Break up'!#REF!,Sales3[[#This Row],[Material]],'COGS Break up'!#REF!,Sales3[[#Headers],[Other Conversion cost pu]]))</f>
        <v>#REF!</v>
      </c>
      <c r="AD32" s="48" t="e">
        <f>Sales3[[#This Row],[PGI per unit]]-Sales3[[#This Row],[BOM Cost]]-Sales3[[#This Row],[Labour cost per unit]]-Sales3[[#This Row],[Other Conversion cost pu]]</f>
        <v>#REF!</v>
      </c>
      <c r="AE32" s="48" t="e">
        <f>Sales3[[#This Row],[BOM Cost2]]+Sales3[[#This Row],[Labour Cost]]+Sales3[[#This Row],[Other conversion cost]]</f>
        <v>#REF!</v>
      </c>
      <c r="AF32" s="12" t="e">
        <f>Sales3[[#This Row],[Billed Quantity]]*Sales3[[#This Row],[BOM Cost]]</f>
        <v>#REF!</v>
      </c>
      <c r="AG32" s="12" t="e">
        <f>Sales3[[#This Row],[Billed Quantity]]*Sales3[[#This Row],[Labour cost per unit]]</f>
        <v>#REF!</v>
      </c>
      <c r="AH32" s="12" t="e">
        <f>Sales3[[#This Row],[Billed Quantity]]*Sales3[[#This Row],[Other Conversion cost pu]]</f>
        <v>#REF!</v>
      </c>
      <c r="AI32" s="48" t="e">
        <f>Sales3[[#This Row],[PGI Amount]]-Sales3[[#This Row],[BOM Cost2]]-Sales3[[#This Row],[Labour Cost]]-Sales3[[#This Row],[Other conversion cost]]</f>
        <v>#REF!</v>
      </c>
      <c r="AJ32" s="121" t="e">
        <f>1-Sales3[[#This Row],[PGI COST]]/Sales3[[#This Row],[Net Value]]</f>
        <v>#REF!</v>
      </c>
    </row>
    <row r="33" spans="1:36" hidden="1" x14ac:dyDescent="0.3">
      <c r="A33" s="1" t="s">
        <v>479</v>
      </c>
      <c r="B33" s="2">
        <v>45840</v>
      </c>
      <c r="C33" s="1" t="s">
        <v>676</v>
      </c>
      <c r="D33" s="1" t="s">
        <v>595</v>
      </c>
      <c r="E33" s="1" t="s">
        <v>596</v>
      </c>
      <c r="F33" s="1" t="s">
        <v>18</v>
      </c>
      <c r="G33" s="1" t="s">
        <v>34</v>
      </c>
      <c r="H33" s="1" t="s">
        <v>35</v>
      </c>
      <c r="I33" s="3">
        <v>1764</v>
      </c>
      <c r="J33" s="4">
        <v>233712.36</v>
      </c>
      <c r="K33" s="3">
        <v>1764</v>
      </c>
      <c r="L33" s="3">
        <v>1764</v>
      </c>
      <c r="M33" s="2">
        <v>45840</v>
      </c>
      <c r="N33" s="4">
        <v>233535.96</v>
      </c>
      <c r="O33" s="1" t="s">
        <v>21</v>
      </c>
      <c r="P33" s="1" t="s">
        <v>22</v>
      </c>
      <c r="Q33" s="1" t="s">
        <v>660</v>
      </c>
      <c r="R33" s="1" t="str">
        <f>VLOOKUP(Sales3[[#This Row],[Material type]],Master!$H$3:$I$8,2,0)</f>
        <v>Semi-Finished Goods</v>
      </c>
      <c r="S33" s="1" t="str">
        <f>VLOOKUP(Sales3[[#This Row],[Material Group]],Master!B:C,2,0)</f>
        <v>Sub Ass.-Mech Stator</v>
      </c>
      <c r="T33" s="9" t="b">
        <f ca="1">(TODAY()-1)=Sales3[[#This Row],[Billing Date]]</f>
        <v>0</v>
      </c>
      <c r="U33" s="10" t="e">
        <f>Sales3[[#This Row],[Net Value]]-Sales3[[#This Row],[PGI COST]]</f>
        <v>#REF!</v>
      </c>
      <c r="V33" s="11" t="e">
        <f>Sales3[[#This Row],[Gross Margin]]/Sales3[[#This Row],[Net Value]]</f>
        <v>#REF!</v>
      </c>
      <c r="W33" s="1" t="str">
        <f>TEXT(Sales3[[#This Row],[Billing Date]],"mmmm-yy")</f>
        <v>July-25</v>
      </c>
      <c r="X33" s="1">
        <f>Sales3[[#This Row],[Net Value]]/Sales3[[#This Row],[Billed Quantity]]</f>
        <v>132.38999999999999</v>
      </c>
      <c r="Y33" s="117">
        <f>Sales3[[#This Row],[Actual delivery qty]]</f>
        <v>1764</v>
      </c>
      <c r="Z33" s="12" t="e">
        <f>SUM(Sales3[[#This Row],[BOM Cost]:[Other Conversion cost pu]])</f>
        <v>#REF!</v>
      </c>
      <c r="AA33" s="12" t="e">
        <f>IF(Sales3[[#This Row],[Posting Date]]=1-7-2025,SUMIFS('COGS Break up'!#REF!,'COGS Break up'!#REF!,A33,'COGS Break up'!#REF!,Sales3[[#Headers],[BOM Cost]]),SUMIFS('COGS Break up'!#REF!,'COGS Break up'!#REF!,Sales3[[#This Row],[Material]],'COGS Break up'!#REF!,Sales3[[#Headers],[BOM Cost]]))</f>
        <v>#REF!</v>
      </c>
      <c r="AB33" s="12" t="e">
        <f>IF(Sales3[[#This Row],[Posting Date]]=1-7-2025,SUMIFS('COGS Break up'!#REF!,'COGS Break up'!#REF!,A33,'COGS Break up'!#REF!,Sales3[[#Headers],[Labour cost per unit]]),SUMIFS('COGS Break up'!#REF!,'COGS Break up'!#REF!,Sales3[[#This Row],[Material]],'COGS Break up'!#REF!,Sales3[[#Headers],[Labour cost per unit]]))</f>
        <v>#REF!</v>
      </c>
      <c r="AC33" s="12" t="e">
        <f>IF(Sales3[[#This Row],[Posting Date]]=1-7-2025,SUMIFS('COGS Break up'!#REF!,'COGS Break up'!#REF!,A33,'COGS Break up'!#REF!,Sales3[[#Headers],[Other Conversion cost pu]]),SUMIFS('COGS Break up'!#REF!,'COGS Break up'!#REF!,Sales3[[#This Row],[Material]],'COGS Break up'!#REF!,Sales3[[#Headers],[Other Conversion cost pu]]))</f>
        <v>#REF!</v>
      </c>
      <c r="AD33" s="48" t="e">
        <f>Sales3[[#This Row],[PGI per unit]]-Sales3[[#This Row],[BOM Cost]]-Sales3[[#This Row],[Labour cost per unit]]-Sales3[[#This Row],[Other Conversion cost pu]]</f>
        <v>#REF!</v>
      </c>
      <c r="AE33" s="48" t="e">
        <f>Sales3[[#This Row],[BOM Cost2]]+Sales3[[#This Row],[Labour Cost]]+Sales3[[#This Row],[Other conversion cost]]</f>
        <v>#REF!</v>
      </c>
      <c r="AF33" s="12" t="e">
        <f>Sales3[[#This Row],[Billed Quantity]]*Sales3[[#This Row],[BOM Cost]]</f>
        <v>#REF!</v>
      </c>
      <c r="AG33" s="12" t="e">
        <f>Sales3[[#This Row],[Billed Quantity]]*Sales3[[#This Row],[Labour cost per unit]]</f>
        <v>#REF!</v>
      </c>
      <c r="AH33" s="12" t="e">
        <f>Sales3[[#This Row],[Billed Quantity]]*Sales3[[#This Row],[Other Conversion cost pu]]</f>
        <v>#REF!</v>
      </c>
      <c r="AI33" s="48" t="e">
        <f>Sales3[[#This Row],[PGI Amount]]-Sales3[[#This Row],[BOM Cost2]]-Sales3[[#This Row],[Labour Cost]]-Sales3[[#This Row],[Other conversion cost]]</f>
        <v>#REF!</v>
      </c>
      <c r="AJ33" s="121" t="e">
        <f>1-Sales3[[#This Row],[PGI COST]]/Sales3[[#This Row],[Net Value]]</f>
        <v>#REF!</v>
      </c>
    </row>
    <row r="34" spans="1:36" hidden="1" x14ac:dyDescent="0.3">
      <c r="A34" s="1" t="s">
        <v>479</v>
      </c>
      <c r="B34" s="2">
        <v>45840</v>
      </c>
      <c r="C34" s="1" t="s">
        <v>677</v>
      </c>
      <c r="D34" s="1" t="s">
        <v>595</v>
      </c>
      <c r="E34" s="1" t="s">
        <v>596</v>
      </c>
      <c r="F34" s="1" t="s">
        <v>18</v>
      </c>
      <c r="G34" s="1" t="s">
        <v>34</v>
      </c>
      <c r="H34" s="1" t="s">
        <v>35</v>
      </c>
      <c r="I34" s="3">
        <v>1505</v>
      </c>
      <c r="J34" s="4">
        <v>199397.45</v>
      </c>
      <c r="K34" s="3">
        <v>1505</v>
      </c>
      <c r="L34" s="3">
        <v>1505</v>
      </c>
      <c r="M34" s="2">
        <v>45840</v>
      </c>
      <c r="N34" s="4">
        <v>199246.95</v>
      </c>
      <c r="O34" s="1" t="s">
        <v>21</v>
      </c>
      <c r="P34" s="1" t="s">
        <v>22</v>
      </c>
      <c r="Q34" s="1" t="s">
        <v>660</v>
      </c>
      <c r="R34" s="1" t="str">
        <f>VLOOKUP(Sales3[[#This Row],[Material type]],Master!$H$3:$I$8,2,0)</f>
        <v>Semi-Finished Goods</v>
      </c>
      <c r="S34" s="1" t="str">
        <f>VLOOKUP(Sales3[[#This Row],[Material Group]],Master!B:C,2,0)</f>
        <v>Sub Ass.-Mech Stator</v>
      </c>
      <c r="T34" s="9" t="b">
        <f ca="1">(TODAY()-1)=Sales3[[#This Row],[Billing Date]]</f>
        <v>0</v>
      </c>
      <c r="U34" s="10" t="e">
        <f>Sales3[[#This Row],[Net Value]]-Sales3[[#This Row],[PGI COST]]</f>
        <v>#REF!</v>
      </c>
      <c r="V34" s="11" t="e">
        <f>Sales3[[#This Row],[Gross Margin]]/Sales3[[#This Row],[Net Value]]</f>
        <v>#REF!</v>
      </c>
      <c r="W34" s="1" t="str">
        <f>TEXT(Sales3[[#This Row],[Billing Date]],"mmmm-yy")</f>
        <v>July-25</v>
      </c>
      <c r="X34" s="1">
        <f>Sales3[[#This Row],[Net Value]]/Sales3[[#This Row],[Billed Quantity]]</f>
        <v>132.39000000000001</v>
      </c>
      <c r="Y34" s="117">
        <f>Sales3[[#This Row],[Actual delivery qty]]</f>
        <v>1505</v>
      </c>
      <c r="Z34" s="12" t="e">
        <f>SUM(Sales3[[#This Row],[BOM Cost]:[Other Conversion cost pu]])</f>
        <v>#REF!</v>
      </c>
      <c r="AA34" s="12" t="e">
        <f>IF(Sales3[[#This Row],[Posting Date]]=1-7-2025,SUMIFS('COGS Break up'!#REF!,'COGS Break up'!#REF!,A34,'COGS Break up'!#REF!,Sales3[[#Headers],[BOM Cost]]),SUMIFS('COGS Break up'!#REF!,'COGS Break up'!#REF!,Sales3[[#This Row],[Material]],'COGS Break up'!#REF!,Sales3[[#Headers],[BOM Cost]]))</f>
        <v>#REF!</v>
      </c>
      <c r="AB34" s="12" t="e">
        <f>IF(Sales3[[#This Row],[Posting Date]]=1-7-2025,SUMIFS('COGS Break up'!#REF!,'COGS Break up'!#REF!,A34,'COGS Break up'!#REF!,Sales3[[#Headers],[Labour cost per unit]]),SUMIFS('COGS Break up'!#REF!,'COGS Break up'!#REF!,Sales3[[#This Row],[Material]],'COGS Break up'!#REF!,Sales3[[#Headers],[Labour cost per unit]]))</f>
        <v>#REF!</v>
      </c>
      <c r="AC34" s="12" t="e">
        <f>IF(Sales3[[#This Row],[Posting Date]]=1-7-2025,SUMIFS('COGS Break up'!#REF!,'COGS Break up'!#REF!,A34,'COGS Break up'!#REF!,Sales3[[#Headers],[Other Conversion cost pu]]),SUMIFS('COGS Break up'!#REF!,'COGS Break up'!#REF!,Sales3[[#This Row],[Material]],'COGS Break up'!#REF!,Sales3[[#Headers],[Other Conversion cost pu]]))</f>
        <v>#REF!</v>
      </c>
      <c r="AD34" s="48" t="e">
        <f>Sales3[[#This Row],[PGI per unit]]-Sales3[[#This Row],[BOM Cost]]-Sales3[[#This Row],[Labour cost per unit]]-Sales3[[#This Row],[Other Conversion cost pu]]</f>
        <v>#REF!</v>
      </c>
      <c r="AE34" s="48" t="e">
        <f>Sales3[[#This Row],[BOM Cost2]]+Sales3[[#This Row],[Labour Cost]]+Sales3[[#This Row],[Other conversion cost]]</f>
        <v>#REF!</v>
      </c>
      <c r="AF34" s="12" t="e">
        <f>Sales3[[#This Row],[Billed Quantity]]*Sales3[[#This Row],[BOM Cost]]</f>
        <v>#REF!</v>
      </c>
      <c r="AG34" s="12" t="e">
        <f>Sales3[[#This Row],[Billed Quantity]]*Sales3[[#This Row],[Labour cost per unit]]</f>
        <v>#REF!</v>
      </c>
      <c r="AH34" s="12" t="e">
        <f>Sales3[[#This Row],[Billed Quantity]]*Sales3[[#This Row],[Other Conversion cost pu]]</f>
        <v>#REF!</v>
      </c>
      <c r="AI34" s="48" t="e">
        <f>Sales3[[#This Row],[PGI Amount]]-Sales3[[#This Row],[BOM Cost2]]-Sales3[[#This Row],[Labour Cost]]-Sales3[[#This Row],[Other conversion cost]]</f>
        <v>#REF!</v>
      </c>
      <c r="AJ34" s="121" t="e">
        <f>1-Sales3[[#This Row],[PGI COST]]/Sales3[[#This Row],[Net Value]]</f>
        <v>#REF!</v>
      </c>
    </row>
    <row r="35" spans="1:36" hidden="1" x14ac:dyDescent="0.3">
      <c r="A35" s="1" t="s">
        <v>479</v>
      </c>
      <c r="B35" s="2">
        <v>45840</v>
      </c>
      <c r="C35" s="1" t="s">
        <v>678</v>
      </c>
      <c r="D35" s="1" t="s">
        <v>360</v>
      </c>
      <c r="E35" s="1" t="s">
        <v>361</v>
      </c>
      <c r="F35" s="1" t="s">
        <v>18</v>
      </c>
      <c r="G35" s="1" t="s">
        <v>19</v>
      </c>
      <c r="H35" s="1" t="s">
        <v>483</v>
      </c>
      <c r="I35" s="3">
        <v>1120</v>
      </c>
      <c r="J35" s="4">
        <v>34249.599999999999</v>
      </c>
      <c r="K35" s="3">
        <v>1120</v>
      </c>
      <c r="L35" s="3">
        <v>1120</v>
      </c>
      <c r="M35" s="2">
        <v>45840</v>
      </c>
      <c r="N35" s="4">
        <v>31080</v>
      </c>
      <c r="O35" s="1" t="s">
        <v>21</v>
      </c>
      <c r="P35" s="1" t="s">
        <v>22</v>
      </c>
      <c r="Q35" s="1" t="s">
        <v>660</v>
      </c>
      <c r="R35" s="1" t="str">
        <f>VLOOKUP(Sales3[[#This Row],[Material type]],Master!$H$3:$I$8,2,0)</f>
        <v>Finished Goods</v>
      </c>
      <c r="S35" s="1" t="str">
        <f>VLOOKUP(Sales3[[#This Row],[Material Group]],Master!B:C,2,0)</f>
        <v>FG-PCB-MG</v>
      </c>
      <c r="T35" s="9" t="b">
        <f ca="1">(TODAY()-1)=Sales3[[#This Row],[Billing Date]]</f>
        <v>0</v>
      </c>
      <c r="U35" s="10" t="e">
        <f>Sales3[[#This Row],[Net Value]]-Sales3[[#This Row],[PGI COST]]</f>
        <v>#REF!</v>
      </c>
      <c r="V35" s="11" t="e">
        <f>Sales3[[#This Row],[Gross Margin]]/Sales3[[#This Row],[Net Value]]</f>
        <v>#REF!</v>
      </c>
      <c r="W35" s="1" t="str">
        <f>TEXT(Sales3[[#This Row],[Billing Date]],"mmmm-yy")</f>
        <v>July-25</v>
      </c>
      <c r="X35" s="1">
        <f>Sales3[[#This Row],[Net Value]]/Sales3[[#This Row],[Billed Quantity]]</f>
        <v>27.75</v>
      </c>
      <c r="Y35" s="117"/>
      <c r="Z35" s="12" t="e">
        <f>SUM(Sales3[[#This Row],[BOM Cost]:[Other Conversion cost pu]])</f>
        <v>#REF!</v>
      </c>
      <c r="AA35" s="12" t="e">
        <f>IF(Sales3[[#This Row],[Posting Date]]=1-7-2025,SUMIFS('COGS Break up'!#REF!,'COGS Break up'!#REF!,A35,'COGS Break up'!#REF!,Sales3[[#Headers],[BOM Cost]]),SUMIFS('COGS Break up'!#REF!,'COGS Break up'!#REF!,Sales3[[#This Row],[Material]],'COGS Break up'!#REF!,Sales3[[#Headers],[BOM Cost]]))</f>
        <v>#REF!</v>
      </c>
      <c r="AB35" s="12" t="e">
        <f>IF(Sales3[[#This Row],[Posting Date]]=1-7-2025,SUMIFS('COGS Break up'!#REF!,'COGS Break up'!#REF!,A35,'COGS Break up'!#REF!,Sales3[[#Headers],[Labour cost per unit]]),SUMIFS('COGS Break up'!#REF!,'COGS Break up'!#REF!,Sales3[[#This Row],[Material]],'COGS Break up'!#REF!,Sales3[[#Headers],[Labour cost per unit]]))</f>
        <v>#REF!</v>
      </c>
      <c r="AC35" s="12" t="e">
        <f>IF(Sales3[[#This Row],[Posting Date]]=1-7-2025,SUMIFS('COGS Break up'!#REF!,'COGS Break up'!#REF!,A35,'COGS Break up'!#REF!,Sales3[[#Headers],[Other Conversion cost pu]]),SUMIFS('COGS Break up'!#REF!,'COGS Break up'!#REF!,Sales3[[#This Row],[Material]],'COGS Break up'!#REF!,Sales3[[#Headers],[Other Conversion cost pu]]))</f>
        <v>#REF!</v>
      </c>
      <c r="AD35" s="48" t="e">
        <f>Sales3[[#This Row],[PGI per unit]]-Sales3[[#This Row],[BOM Cost]]-Sales3[[#This Row],[Labour cost per unit]]-Sales3[[#This Row],[Other Conversion cost pu]]</f>
        <v>#REF!</v>
      </c>
      <c r="AE35" s="48" t="e">
        <f>Sales3[[#This Row],[BOM Cost2]]+Sales3[[#This Row],[Labour Cost]]+Sales3[[#This Row],[Other conversion cost]]</f>
        <v>#REF!</v>
      </c>
      <c r="AF35" s="12" t="e">
        <f>Sales3[[#This Row],[Billed Quantity]]*Sales3[[#This Row],[BOM Cost]]</f>
        <v>#REF!</v>
      </c>
      <c r="AG35" s="12" t="e">
        <f>Sales3[[#This Row],[Billed Quantity]]*Sales3[[#This Row],[Labour cost per unit]]</f>
        <v>#REF!</v>
      </c>
      <c r="AH35" s="12" t="e">
        <f>Sales3[[#This Row],[Billed Quantity]]*Sales3[[#This Row],[Other Conversion cost pu]]</f>
        <v>#REF!</v>
      </c>
      <c r="AI35" s="48" t="e">
        <f>Sales3[[#This Row],[PGI Amount]]-Sales3[[#This Row],[BOM Cost2]]-Sales3[[#This Row],[Labour Cost]]-Sales3[[#This Row],[Other conversion cost]]</f>
        <v>#REF!</v>
      </c>
      <c r="AJ35" s="121" t="e">
        <f>1-Sales3[[#This Row],[PGI COST]]/Sales3[[#This Row],[Net Value]]</f>
        <v>#REF!</v>
      </c>
    </row>
    <row r="36" spans="1:36" hidden="1" x14ac:dyDescent="0.3">
      <c r="A36" s="1" t="s">
        <v>479</v>
      </c>
      <c r="B36" s="2">
        <v>45840</v>
      </c>
      <c r="C36" s="1" t="s">
        <v>678</v>
      </c>
      <c r="D36" s="1" t="s">
        <v>364</v>
      </c>
      <c r="E36" s="1" t="s">
        <v>365</v>
      </c>
      <c r="F36" s="1" t="s">
        <v>18</v>
      </c>
      <c r="G36" s="1" t="s">
        <v>19</v>
      </c>
      <c r="H36" s="1" t="s">
        <v>483</v>
      </c>
      <c r="I36" s="3">
        <v>1120</v>
      </c>
      <c r="J36" s="4">
        <v>118641.60000000001</v>
      </c>
      <c r="K36" s="3">
        <v>1120</v>
      </c>
      <c r="L36" s="3">
        <v>1120</v>
      </c>
      <c r="M36" s="2">
        <v>45840</v>
      </c>
      <c r="N36" s="4">
        <v>113388.8</v>
      </c>
      <c r="O36" s="1" t="s">
        <v>21</v>
      </c>
      <c r="P36" s="1" t="s">
        <v>22</v>
      </c>
      <c r="Q36" s="1" t="s">
        <v>660</v>
      </c>
      <c r="R36" s="1" t="str">
        <f>VLOOKUP(Sales3[[#This Row],[Material type]],Master!$H$3:$I$8,2,0)</f>
        <v>Finished Goods</v>
      </c>
      <c r="S36" s="1" t="str">
        <f>VLOOKUP(Sales3[[#This Row],[Material Group]],Master!B:C,2,0)</f>
        <v>FG-PCB-MG</v>
      </c>
      <c r="T36" s="9" t="b">
        <f ca="1">(TODAY()-1)=Sales3[[#This Row],[Billing Date]]</f>
        <v>0</v>
      </c>
      <c r="U36" s="10" t="e">
        <f>Sales3[[#This Row],[Net Value]]-Sales3[[#This Row],[PGI COST]]</f>
        <v>#REF!</v>
      </c>
      <c r="V36" s="11" t="e">
        <f>Sales3[[#This Row],[Gross Margin]]/Sales3[[#This Row],[Net Value]]</f>
        <v>#REF!</v>
      </c>
      <c r="W36" s="1" t="str">
        <f>TEXT(Sales3[[#This Row],[Billing Date]],"mmmm-yy")</f>
        <v>July-25</v>
      </c>
      <c r="X36" s="1">
        <f>Sales3[[#This Row],[Net Value]]/Sales3[[#This Row],[Billed Quantity]]</f>
        <v>101.24000000000001</v>
      </c>
      <c r="Y36" s="117"/>
      <c r="Z36" s="12" t="e">
        <f>SUM(Sales3[[#This Row],[BOM Cost]:[Other Conversion cost pu]])</f>
        <v>#REF!</v>
      </c>
      <c r="AA36" s="12" t="e">
        <f>IF(Sales3[[#This Row],[Posting Date]]=1-7-2025,SUMIFS('COGS Break up'!#REF!,'COGS Break up'!#REF!,A36,'COGS Break up'!#REF!,Sales3[[#Headers],[BOM Cost]]),SUMIFS('COGS Break up'!#REF!,'COGS Break up'!#REF!,Sales3[[#This Row],[Material]],'COGS Break up'!#REF!,Sales3[[#Headers],[BOM Cost]]))</f>
        <v>#REF!</v>
      </c>
      <c r="AB36" s="12" t="e">
        <f>IF(Sales3[[#This Row],[Posting Date]]=1-7-2025,SUMIFS('COGS Break up'!#REF!,'COGS Break up'!#REF!,A36,'COGS Break up'!#REF!,Sales3[[#Headers],[Labour cost per unit]]),SUMIFS('COGS Break up'!#REF!,'COGS Break up'!#REF!,Sales3[[#This Row],[Material]],'COGS Break up'!#REF!,Sales3[[#Headers],[Labour cost per unit]]))</f>
        <v>#REF!</v>
      </c>
      <c r="AC36" s="12" t="e">
        <f>IF(Sales3[[#This Row],[Posting Date]]=1-7-2025,SUMIFS('COGS Break up'!#REF!,'COGS Break up'!#REF!,A36,'COGS Break up'!#REF!,Sales3[[#Headers],[Other Conversion cost pu]]),SUMIFS('COGS Break up'!#REF!,'COGS Break up'!#REF!,Sales3[[#This Row],[Material]],'COGS Break up'!#REF!,Sales3[[#Headers],[Other Conversion cost pu]]))</f>
        <v>#REF!</v>
      </c>
      <c r="AD36" s="48" t="e">
        <f>Sales3[[#This Row],[PGI per unit]]-Sales3[[#This Row],[BOM Cost]]-Sales3[[#This Row],[Labour cost per unit]]-Sales3[[#This Row],[Other Conversion cost pu]]</f>
        <v>#REF!</v>
      </c>
      <c r="AE36" s="48" t="e">
        <f>Sales3[[#This Row],[BOM Cost2]]+Sales3[[#This Row],[Labour Cost]]+Sales3[[#This Row],[Other conversion cost]]</f>
        <v>#REF!</v>
      </c>
      <c r="AF36" s="12" t="e">
        <f>Sales3[[#This Row],[Billed Quantity]]*Sales3[[#This Row],[BOM Cost]]</f>
        <v>#REF!</v>
      </c>
      <c r="AG36" s="12" t="e">
        <f>Sales3[[#This Row],[Billed Quantity]]*Sales3[[#This Row],[Labour cost per unit]]</f>
        <v>#REF!</v>
      </c>
      <c r="AH36" s="12" t="e">
        <f>Sales3[[#This Row],[Billed Quantity]]*Sales3[[#This Row],[Other Conversion cost pu]]</f>
        <v>#REF!</v>
      </c>
      <c r="AI36" s="48" t="e">
        <f>Sales3[[#This Row],[PGI Amount]]-Sales3[[#This Row],[BOM Cost2]]-Sales3[[#This Row],[Labour Cost]]-Sales3[[#This Row],[Other conversion cost]]</f>
        <v>#REF!</v>
      </c>
      <c r="AJ36" s="121" t="e">
        <f>1-Sales3[[#This Row],[PGI COST]]/Sales3[[#This Row],[Net Value]]</f>
        <v>#REF!</v>
      </c>
    </row>
    <row r="37" spans="1:36" hidden="1" x14ac:dyDescent="0.3">
      <c r="A37" s="1" t="s">
        <v>479</v>
      </c>
      <c r="B37" s="2">
        <v>45839</v>
      </c>
      <c r="C37" s="1" t="s">
        <v>679</v>
      </c>
      <c r="D37" s="1" t="s">
        <v>32</v>
      </c>
      <c r="E37" s="1" t="s">
        <v>33</v>
      </c>
      <c r="F37" s="1" t="s">
        <v>18</v>
      </c>
      <c r="G37" s="1" t="s">
        <v>34</v>
      </c>
      <c r="H37" s="1" t="s">
        <v>35</v>
      </c>
      <c r="I37" s="3">
        <v>1008</v>
      </c>
      <c r="J37" s="4">
        <v>193354.56</v>
      </c>
      <c r="K37" s="3">
        <v>1008</v>
      </c>
      <c r="L37" s="3">
        <v>1008</v>
      </c>
      <c r="M37" s="2">
        <v>45839</v>
      </c>
      <c r="N37" s="4">
        <v>209422.07999999999</v>
      </c>
      <c r="O37" s="1" t="s">
        <v>21</v>
      </c>
      <c r="P37" s="1" t="s">
        <v>22</v>
      </c>
      <c r="Q37" s="1" t="s">
        <v>660</v>
      </c>
      <c r="R37" s="1" t="str">
        <f>VLOOKUP(Sales3[[#This Row],[Material type]],Master!$H$3:$I$8,2,0)</f>
        <v>Semi-Finished Goods</v>
      </c>
      <c r="S37" s="1" t="str">
        <f>VLOOKUP(Sales3[[#This Row],[Material Group]],Master!B:C,2,0)</f>
        <v>Sub Ass.-Mech Stator</v>
      </c>
      <c r="T37" s="9" t="b">
        <f ca="1">(TODAY()-1)=Sales3[[#This Row],[Billing Date]]</f>
        <v>0</v>
      </c>
      <c r="U37" s="10" t="e">
        <f>Sales3[[#This Row],[Net Value]]-Sales3[[#This Row],[PGI COST]]</f>
        <v>#REF!</v>
      </c>
      <c r="V37" s="11" t="e">
        <f>Sales3[[#This Row],[Gross Margin]]/Sales3[[#This Row],[Net Value]]</f>
        <v>#REF!</v>
      </c>
      <c r="W37" s="1" t="str">
        <f>TEXT(Sales3[[#This Row],[Billing Date]],"mmmm-yy")</f>
        <v>July-25</v>
      </c>
      <c r="X37" s="1">
        <f>Sales3[[#This Row],[Net Value]]/Sales3[[#This Row],[Billed Quantity]]</f>
        <v>207.76</v>
      </c>
      <c r="Y37" s="117">
        <f>Sales3[[#This Row],[Actual delivery qty]]</f>
        <v>1008</v>
      </c>
      <c r="Z37" s="12" t="e">
        <f>SUM(Sales3[[#This Row],[BOM Cost]:[Other Conversion cost pu]])</f>
        <v>#REF!</v>
      </c>
      <c r="AA37" s="12" t="e">
        <f>IF(Sales3[[#This Row],[Posting Date]]=1-7-2025,SUMIFS('COGS Break up'!#REF!,'COGS Break up'!#REF!,A37,'COGS Break up'!#REF!,Sales3[[#Headers],[BOM Cost]]),SUMIFS('COGS Break up'!#REF!,'COGS Break up'!#REF!,Sales3[[#This Row],[Material]],'COGS Break up'!#REF!,Sales3[[#Headers],[BOM Cost]]))</f>
        <v>#REF!</v>
      </c>
      <c r="AB37" s="12" t="e">
        <f>IF(Sales3[[#This Row],[Posting Date]]=1-7-2025,SUMIFS('COGS Break up'!#REF!,'COGS Break up'!#REF!,A37,'COGS Break up'!#REF!,Sales3[[#Headers],[Labour cost per unit]]),SUMIFS('COGS Break up'!#REF!,'COGS Break up'!#REF!,Sales3[[#This Row],[Material]],'COGS Break up'!#REF!,Sales3[[#Headers],[Labour cost per unit]]))</f>
        <v>#REF!</v>
      </c>
      <c r="AC37" s="12" t="e">
        <f>IF(Sales3[[#This Row],[Posting Date]]=1-7-2025,SUMIFS('COGS Break up'!#REF!,'COGS Break up'!#REF!,A37,'COGS Break up'!#REF!,Sales3[[#Headers],[Other Conversion cost pu]]),SUMIFS('COGS Break up'!#REF!,'COGS Break up'!#REF!,Sales3[[#This Row],[Material]],'COGS Break up'!#REF!,Sales3[[#Headers],[Other Conversion cost pu]]))</f>
        <v>#REF!</v>
      </c>
      <c r="AD37" s="48" t="e">
        <f>Sales3[[#This Row],[PGI per unit]]-Sales3[[#This Row],[BOM Cost]]-Sales3[[#This Row],[Labour cost per unit]]-Sales3[[#This Row],[Other Conversion cost pu]]</f>
        <v>#REF!</v>
      </c>
      <c r="AE37" s="48" t="e">
        <f>Sales3[[#This Row],[BOM Cost2]]+Sales3[[#This Row],[Labour Cost]]+Sales3[[#This Row],[Other conversion cost]]</f>
        <v>#REF!</v>
      </c>
      <c r="AF37" s="12" t="e">
        <f>Sales3[[#This Row],[Billed Quantity]]*Sales3[[#This Row],[BOM Cost]]</f>
        <v>#REF!</v>
      </c>
      <c r="AG37" s="12" t="e">
        <f>Sales3[[#This Row],[Billed Quantity]]*Sales3[[#This Row],[Labour cost per unit]]</f>
        <v>#REF!</v>
      </c>
      <c r="AH37" s="12" t="e">
        <f>Sales3[[#This Row],[Billed Quantity]]*Sales3[[#This Row],[Other Conversion cost pu]]</f>
        <v>#REF!</v>
      </c>
      <c r="AI37" s="48" t="e">
        <f>Sales3[[#This Row],[PGI Amount]]-Sales3[[#This Row],[BOM Cost2]]-Sales3[[#This Row],[Labour Cost]]-Sales3[[#This Row],[Other conversion cost]]</f>
        <v>#REF!</v>
      </c>
      <c r="AJ37" s="121" t="e">
        <f>1-Sales3[[#This Row],[PGI COST]]/Sales3[[#This Row],[Net Value]]</f>
        <v>#REF!</v>
      </c>
    </row>
    <row r="38" spans="1:36" x14ac:dyDescent="0.3">
      <c r="A38" s="1" t="s">
        <v>479</v>
      </c>
      <c r="B38" s="2">
        <v>45839</v>
      </c>
      <c r="C38" s="1" t="s">
        <v>680</v>
      </c>
      <c r="D38" s="1" t="s">
        <v>358</v>
      </c>
      <c r="E38" s="1" t="s">
        <v>359</v>
      </c>
      <c r="F38" s="1" t="s">
        <v>18</v>
      </c>
      <c r="G38" s="1" t="s">
        <v>19</v>
      </c>
      <c r="H38" s="1" t="s">
        <v>483</v>
      </c>
      <c r="I38" s="3">
        <v>840</v>
      </c>
      <c r="J38" s="4">
        <v>29265.599999999999</v>
      </c>
      <c r="K38" s="3">
        <v>840</v>
      </c>
      <c r="L38" s="3">
        <v>840</v>
      </c>
      <c r="M38" s="2">
        <v>45839</v>
      </c>
      <c r="N38" s="4">
        <v>22024.799999999999</v>
      </c>
      <c r="O38" s="1" t="s">
        <v>21</v>
      </c>
      <c r="P38" s="1" t="s">
        <v>22</v>
      </c>
      <c r="Q38" s="1" t="s">
        <v>660</v>
      </c>
      <c r="R38" s="1" t="str">
        <f>VLOOKUP(Sales3[[#This Row],[Material type]],Master!$H$3:$I$8,2,0)</f>
        <v>Finished Goods</v>
      </c>
      <c r="S38" s="1" t="str">
        <f>VLOOKUP(Sales3[[#This Row],[Material Group]],Master!B:C,2,0)</f>
        <v>FG-PCB-MG</v>
      </c>
      <c r="T38" s="9" t="b">
        <f ca="1">(TODAY()-1)=Sales3[[#This Row],[Billing Date]]</f>
        <v>0</v>
      </c>
      <c r="U38" s="10" t="e">
        <f>Sales3[[#This Row],[Net Value]]-Sales3[[#This Row],[PGI COST]]</f>
        <v>#REF!</v>
      </c>
      <c r="V38" s="11" t="e">
        <f>Sales3[[#This Row],[Gross Margin]]/Sales3[[#This Row],[Net Value]]</f>
        <v>#REF!</v>
      </c>
      <c r="W38" s="1" t="str">
        <f>TEXT(Sales3[[#This Row],[Billing Date]],"mmmm-yy")</f>
        <v>July-25</v>
      </c>
      <c r="X38" s="1">
        <f>Sales3[[#This Row],[Net Value]]/Sales3[[#This Row],[Billed Quantity]]</f>
        <v>26.22</v>
      </c>
      <c r="Y38" s="117"/>
      <c r="Z38" s="12" t="e">
        <f>SUM(Sales3[[#This Row],[BOM Cost]:[Other Conversion cost pu]])</f>
        <v>#REF!</v>
      </c>
      <c r="AA38" s="12" t="e">
        <f>IF(Sales3[[#This Row],[Posting Date]]=1-7-2025,SUMIFS('COGS Break up'!#REF!,'COGS Break up'!#REF!,A38,'COGS Break up'!#REF!,Sales3[[#Headers],[BOM Cost]]),SUMIFS('COGS Break up'!#REF!,'COGS Break up'!#REF!,Sales3[[#This Row],[Material]],'COGS Break up'!#REF!,Sales3[[#Headers],[BOM Cost]]))</f>
        <v>#REF!</v>
      </c>
      <c r="AB38" s="12" t="e">
        <f>IF(Sales3[[#This Row],[Posting Date]]=1-7-2025,SUMIFS('COGS Break up'!#REF!,'COGS Break up'!#REF!,A38,'COGS Break up'!#REF!,Sales3[[#Headers],[Labour cost per unit]]),SUMIFS('COGS Break up'!#REF!,'COGS Break up'!#REF!,Sales3[[#This Row],[Material]],'COGS Break up'!#REF!,Sales3[[#Headers],[Labour cost per unit]]))</f>
        <v>#REF!</v>
      </c>
      <c r="AC38" s="12" t="e">
        <f>IF(Sales3[[#This Row],[Posting Date]]=1-7-2025,SUMIFS('COGS Break up'!#REF!,'COGS Break up'!#REF!,A38,'COGS Break up'!#REF!,Sales3[[#Headers],[Other Conversion cost pu]]),SUMIFS('COGS Break up'!#REF!,'COGS Break up'!#REF!,Sales3[[#This Row],[Material]],'COGS Break up'!#REF!,Sales3[[#Headers],[Other Conversion cost pu]]))</f>
        <v>#REF!</v>
      </c>
      <c r="AD38" s="48" t="e">
        <f>Sales3[[#This Row],[PGI per unit]]-Sales3[[#This Row],[BOM Cost]]-Sales3[[#This Row],[Labour cost per unit]]-Sales3[[#This Row],[Other Conversion cost pu]]</f>
        <v>#REF!</v>
      </c>
      <c r="AE38" s="48" t="e">
        <f>Sales3[[#This Row],[BOM Cost2]]+Sales3[[#This Row],[Labour Cost]]+Sales3[[#This Row],[Other conversion cost]]</f>
        <v>#REF!</v>
      </c>
      <c r="AF38" s="12" t="e">
        <f>Sales3[[#This Row],[Billed Quantity]]*Sales3[[#This Row],[BOM Cost]]</f>
        <v>#REF!</v>
      </c>
      <c r="AG38" s="12" t="e">
        <f>Sales3[[#This Row],[Billed Quantity]]*Sales3[[#This Row],[Labour cost per unit]]</f>
        <v>#REF!</v>
      </c>
      <c r="AH38" s="12" t="e">
        <f>Sales3[[#This Row],[Billed Quantity]]*Sales3[[#This Row],[Other Conversion cost pu]]</f>
        <v>#REF!</v>
      </c>
      <c r="AI38" s="48" t="e">
        <f>Sales3[[#This Row],[PGI Amount]]-Sales3[[#This Row],[BOM Cost2]]-Sales3[[#This Row],[Labour Cost]]-Sales3[[#This Row],[Other conversion cost]]</f>
        <v>#REF!</v>
      </c>
      <c r="AJ38" s="121" t="e">
        <f>1-Sales3[[#This Row],[PGI COST]]/Sales3[[#This Row],[Net Value]]</f>
        <v>#REF!</v>
      </c>
    </row>
    <row r="39" spans="1:36" x14ac:dyDescent="0.3">
      <c r="A39" s="1" t="s">
        <v>479</v>
      </c>
      <c r="B39" s="2">
        <v>45839</v>
      </c>
      <c r="C39" s="1" t="s">
        <v>681</v>
      </c>
      <c r="D39" s="1" t="s">
        <v>25</v>
      </c>
      <c r="E39" s="1" t="s">
        <v>26</v>
      </c>
      <c r="F39" s="1" t="s">
        <v>18</v>
      </c>
      <c r="G39" s="1" t="s">
        <v>19</v>
      </c>
      <c r="H39" s="1" t="s">
        <v>27</v>
      </c>
      <c r="I39" s="3">
        <v>3360</v>
      </c>
      <c r="J39" s="4">
        <v>1183056</v>
      </c>
      <c r="K39" s="3">
        <v>3360</v>
      </c>
      <c r="L39" s="3">
        <v>3360</v>
      </c>
      <c r="M39" s="2">
        <v>45839</v>
      </c>
      <c r="N39" s="4">
        <v>1209600</v>
      </c>
      <c r="O39" s="1" t="s">
        <v>21</v>
      </c>
      <c r="P39" s="1" t="s">
        <v>22</v>
      </c>
      <c r="Q39" s="1" t="s">
        <v>660</v>
      </c>
      <c r="R39" s="1" t="str">
        <f>VLOOKUP(Sales3[[#This Row],[Material type]],Master!$H$3:$I$8,2,0)</f>
        <v>Finished Goods</v>
      </c>
      <c r="S39" s="1" t="str">
        <f>VLOOKUP(Sales3[[#This Row],[Material Group]],Master!B:C,2,0)</f>
        <v>FG-PCB-CF</v>
      </c>
      <c r="T39" s="9" t="b">
        <f ca="1">(TODAY()-1)=Sales3[[#This Row],[Billing Date]]</f>
        <v>0</v>
      </c>
      <c r="U39" s="10" t="e">
        <f>Sales3[[#This Row],[Net Value]]-Sales3[[#This Row],[PGI COST]]</f>
        <v>#REF!</v>
      </c>
      <c r="V39" s="11" t="e">
        <f>Sales3[[#This Row],[Gross Margin]]/Sales3[[#This Row],[Net Value]]</f>
        <v>#REF!</v>
      </c>
      <c r="W39" s="1" t="str">
        <f>TEXT(Sales3[[#This Row],[Billing Date]],"mmmm-yy")</f>
        <v>July-25</v>
      </c>
      <c r="X39" s="1">
        <f>Sales3[[#This Row],[Net Value]]/Sales3[[#This Row],[Billed Quantity]]</f>
        <v>360</v>
      </c>
      <c r="Y39" s="117">
        <f>Sales3[[#This Row],[Actual delivery qty]]</f>
        <v>3360</v>
      </c>
      <c r="Z39" s="12" t="e">
        <f>SUM(Sales3[[#This Row],[BOM Cost]:[Other Conversion cost pu]])</f>
        <v>#REF!</v>
      </c>
      <c r="AA39" s="12" t="e">
        <f>IF(Sales3[[#This Row],[Posting Date]]=1-7-2025,SUMIFS('COGS Break up'!#REF!,'COGS Break up'!#REF!,A39,'COGS Break up'!#REF!,Sales3[[#Headers],[BOM Cost]]),SUMIFS('COGS Break up'!#REF!,'COGS Break up'!#REF!,Sales3[[#This Row],[Material]],'COGS Break up'!#REF!,Sales3[[#Headers],[BOM Cost]]))</f>
        <v>#REF!</v>
      </c>
      <c r="AB39" s="12" t="e">
        <f>IF(Sales3[[#This Row],[Posting Date]]=1-7-2025,SUMIFS('COGS Break up'!#REF!,'COGS Break up'!#REF!,A39,'COGS Break up'!#REF!,Sales3[[#Headers],[Labour cost per unit]]),SUMIFS('COGS Break up'!#REF!,'COGS Break up'!#REF!,Sales3[[#This Row],[Material]],'COGS Break up'!#REF!,Sales3[[#Headers],[Labour cost per unit]]))</f>
        <v>#REF!</v>
      </c>
      <c r="AC39" s="12" t="e">
        <f>IF(Sales3[[#This Row],[Posting Date]]=1-7-2025,SUMIFS('COGS Break up'!#REF!,'COGS Break up'!#REF!,A39,'COGS Break up'!#REF!,Sales3[[#Headers],[Other Conversion cost pu]]),SUMIFS('COGS Break up'!#REF!,'COGS Break up'!#REF!,Sales3[[#This Row],[Material]],'COGS Break up'!#REF!,Sales3[[#Headers],[Other Conversion cost pu]]))</f>
        <v>#REF!</v>
      </c>
      <c r="AD39" s="48" t="e">
        <f>Sales3[[#This Row],[PGI per unit]]-Sales3[[#This Row],[BOM Cost]]-Sales3[[#This Row],[Labour cost per unit]]-Sales3[[#This Row],[Other Conversion cost pu]]</f>
        <v>#REF!</v>
      </c>
      <c r="AE39" s="48" t="e">
        <f>Sales3[[#This Row],[BOM Cost2]]+Sales3[[#This Row],[Labour Cost]]+Sales3[[#This Row],[Other conversion cost]]</f>
        <v>#REF!</v>
      </c>
      <c r="AF39" s="12" t="e">
        <f>Sales3[[#This Row],[Billed Quantity]]*Sales3[[#This Row],[BOM Cost]]</f>
        <v>#REF!</v>
      </c>
      <c r="AG39" s="12" t="e">
        <f>Sales3[[#This Row],[Billed Quantity]]*Sales3[[#This Row],[Labour cost per unit]]</f>
        <v>#REF!</v>
      </c>
      <c r="AH39" s="12" t="e">
        <f>Sales3[[#This Row],[Billed Quantity]]*Sales3[[#This Row],[Other Conversion cost pu]]</f>
        <v>#REF!</v>
      </c>
      <c r="AI39" s="48" t="e">
        <f>Sales3[[#This Row],[PGI Amount]]-Sales3[[#This Row],[BOM Cost2]]-Sales3[[#This Row],[Labour Cost]]-Sales3[[#This Row],[Other conversion cost]]</f>
        <v>#REF!</v>
      </c>
      <c r="AJ39" s="121" t="e">
        <f>1-Sales3[[#This Row],[PGI COST]]/Sales3[[#This Row],[Net Value]]</f>
        <v>#REF!</v>
      </c>
    </row>
    <row r="40" spans="1:36" x14ac:dyDescent="0.3">
      <c r="A40" s="1" t="s">
        <v>479</v>
      </c>
      <c r="B40" s="2">
        <v>45839</v>
      </c>
      <c r="C40" s="1" t="s">
        <v>681</v>
      </c>
      <c r="D40" s="1" t="s">
        <v>44</v>
      </c>
      <c r="E40" s="1" t="s">
        <v>45</v>
      </c>
      <c r="F40" s="1" t="s">
        <v>18</v>
      </c>
      <c r="G40" s="1" t="s">
        <v>19</v>
      </c>
      <c r="H40" s="1" t="s">
        <v>27</v>
      </c>
      <c r="I40" s="3">
        <v>840</v>
      </c>
      <c r="J40" s="4">
        <v>294134.40000000002</v>
      </c>
      <c r="K40" s="3">
        <v>840</v>
      </c>
      <c r="L40" s="3">
        <v>840</v>
      </c>
      <c r="M40" s="2">
        <v>45839</v>
      </c>
      <c r="N40" s="4">
        <v>295814.40000000002</v>
      </c>
      <c r="O40" s="1" t="s">
        <v>21</v>
      </c>
      <c r="P40" s="1" t="s">
        <v>22</v>
      </c>
      <c r="Q40" s="1" t="s">
        <v>660</v>
      </c>
      <c r="R40" s="1" t="str">
        <f>VLOOKUP(Sales3[[#This Row],[Material type]],Master!$H$3:$I$8,2,0)</f>
        <v>Finished Goods</v>
      </c>
      <c r="S40" s="1" t="str">
        <f>VLOOKUP(Sales3[[#This Row],[Material Group]],Master!B:C,2,0)</f>
        <v>FG-PCB-CF</v>
      </c>
      <c r="T40" s="9" t="b">
        <f ca="1">(TODAY()-1)=Sales3[[#This Row],[Billing Date]]</f>
        <v>0</v>
      </c>
      <c r="U40" s="10" t="e">
        <f>Sales3[[#This Row],[Net Value]]-Sales3[[#This Row],[PGI COST]]</f>
        <v>#REF!</v>
      </c>
      <c r="V40" s="11" t="e">
        <f>Sales3[[#This Row],[Gross Margin]]/Sales3[[#This Row],[Net Value]]</f>
        <v>#REF!</v>
      </c>
      <c r="W40" s="1" t="str">
        <f>TEXT(Sales3[[#This Row],[Billing Date]],"mmmm-yy")</f>
        <v>July-25</v>
      </c>
      <c r="X40" s="1">
        <f>Sales3[[#This Row],[Net Value]]/Sales3[[#This Row],[Billed Quantity]]</f>
        <v>352.16</v>
      </c>
      <c r="Y40" s="117">
        <f>Sales3[[#This Row],[Actual delivery qty]]</f>
        <v>840</v>
      </c>
      <c r="Z40" s="12" t="e">
        <f>SUM(Sales3[[#This Row],[BOM Cost]:[Other Conversion cost pu]])</f>
        <v>#REF!</v>
      </c>
      <c r="AA40" s="12" t="e">
        <f>IF(Sales3[[#This Row],[Posting Date]]=1-7-2025,SUMIFS('COGS Break up'!#REF!,'COGS Break up'!#REF!,A40,'COGS Break up'!#REF!,Sales3[[#Headers],[BOM Cost]]),SUMIFS('COGS Break up'!#REF!,'COGS Break up'!#REF!,Sales3[[#This Row],[Material]],'COGS Break up'!#REF!,Sales3[[#Headers],[BOM Cost]]))</f>
        <v>#REF!</v>
      </c>
      <c r="AB40" s="12" t="e">
        <f>IF(Sales3[[#This Row],[Posting Date]]=1-7-2025,SUMIFS('COGS Break up'!#REF!,'COGS Break up'!#REF!,A40,'COGS Break up'!#REF!,Sales3[[#Headers],[Labour cost per unit]]),SUMIFS('COGS Break up'!#REF!,'COGS Break up'!#REF!,Sales3[[#This Row],[Material]],'COGS Break up'!#REF!,Sales3[[#Headers],[Labour cost per unit]]))</f>
        <v>#REF!</v>
      </c>
      <c r="AC40" s="12" t="e">
        <f>IF(Sales3[[#This Row],[Posting Date]]=1-7-2025,SUMIFS('COGS Break up'!#REF!,'COGS Break up'!#REF!,A40,'COGS Break up'!#REF!,Sales3[[#Headers],[Other Conversion cost pu]]),SUMIFS('COGS Break up'!#REF!,'COGS Break up'!#REF!,Sales3[[#This Row],[Material]],'COGS Break up'!#REF!,Sales3[[#Headers],[Other Conversion cost pu]]))</f>
        <v>#REF!</v>
      </c>
      <c r="AD40" s="48" t="e">
        <f>Sales3[[#This Row],[PGI per unit]]-Sales3[[#This Row],[BOM Cost]]-Sales3[[#This Row],[Labour cost per unit]]-Sales3[[#This Row],[Other Conversion cost pu]]</f>
        <v>#REF!</v>
      </c>
      <c r="AE40" s="48" t="e">
        <f>Sales3[[#This Row],[BOM Cost2]]+Sales3[[#This Row],[Labour Cost]]+Sales3[[#This Row],[Other conversion cost]]</f>
        <v>#REF!</v>
      </c>
      <c r="AF40" s="12" t="e">
        <f>Sales3[[#This Row],[Billed Quantity]]*Sales3[[#This Row],[BOM Cost]]</f>
        <v>#REF!</v>
      </c>
      <c r="AG40" s="12" t="e">
        <f>Sales3[[#This Row],[Billed Quantity]]*Sales3[[#This Row],[Labour cost per unit]]</f>
        <v>#REF!</v>
      </c>
      <c r="AH40" s="12" t="e">
        <f>Sales3[[#This Row],[Billed Quantity]]*Sales3[[#This Row],[Other Conversion cost pu]]</f>
        <v>#REF!</v>
      </c>
      <c r="AI40" s="48" t="e">
        <f>Sales3[[#This Row],[PGI Amount]]-Sales3[[#This Row],[BOM Cost2]]-Sales3[[#This Row],[Labour Cost]]-Sales3[[#This Row],[Other conversion cost]]</f>
        <v>#REF!</v>
      </c>
      <c r="AJ40" s="121" t="e">
        <f>1-Sales3[[#This Row],[PGI COST]]/Sales3[[#This Row],[Net Value]]</f>
        <v>#REF!</v>
      </c>
    </row>
    <row r="41" spans="1:36" x14ac:dyDescent="0.3">
      <c r="A41" s="1" t="s">
        <v>479</v>
      </c>
      <c r="B41" s="2">
        <v>45839</v>
      </c>
      <c r="C41" s="1" t="s">
        <v>682</v>
      </c>
      <c r="D41" s="1" t="s">
        <v>358</v>
      </c>
      <c r="E41" s="1" t="s">
        <v>359</v>
      </c>
      <c r="F41" s="1" t="s">
        <v>18</v>
      </c>
      <c r="G41" s="1" t="s">
        <v>19</v>
      </c>
      <c r="H41" s="1" t="s">
        <v>483</v>
      </c>
      <c r="I41" s="3">
        <v>1890</v>
      </c>
      <c r="J41" s="4">
        <v>65847.600000000006</v>
      </c>
      <c r="K41" s="3">
        <v>1890</v>
      </c>
      <c r="L41" s="3">
        <v>1890</v>
      </c>
      <c r="M41" s="2">
        <v>45839</v>
      </c>
      <c r="N41" s="4">
        <v>49555.8</v>
      </c>
      <c r="O41" s="1" t="s">
        <v>21</v>
      </c>
      <c r="P41" s="1" t="s">
        <v>22</v>
      </c>
      <c r="Q41" s="1" t="s">
        <v>660</v>
      </c>
      <c r="R41" s="1" t="str">
        <f>VLOOKUP(Sales3[[#This Row],[Material type]],Master!$H$3:$I$8,2,0)</f>
        <v>Finished Goods</v>
      </c>
      <c r="S41" s="1" t="str">
        <f>VLOOKUP(Sales3[[#This Row],[Material Group]],Master!B:C,2,0)</f>
        <v>FG-PCB-MG</v>
      </c>
      <c r="T41" s="9" t="b">
        <f ca="1">(TODAY()-1)=Sales3[[#This Row],[Billing Date]]</f>
        <v>0</v>
      </c>
      <c r="U41" s="10" t="e">
        <f>Sales3[[#This Row],[Net Value]]-Sales3[[#This Row],[PGI COST]]</f>
        <v>#REF!</v>
      </c>
      <c r="V41" s="11" t="e">
        <f>Sales3[[#This Row],[Gross Margin]]/Sales3[[#This Row],[Net Value]]</f>
        <v>#REF!</v>
      </c>
      <c r="W41" s="1" t="str">
        <f>TEXT(Sales3[[#This Row],[Billing Date]],"mmmm-yy")</f>
        <v>July-25</v>
      </c>
      <c r="X41" s="1">
        <f>Sales3[[#This Row],[Net Value]]/Sales3[[#This Row],[Billed Quantity]]</f>
        <v>26.220000000000002</v>
      </c>
      <c r="Y41" s="117"/>
      <c r="Z41" s="12" t="e">
        <f>SUM(Sales3[[#This Row],[BOM Cost]:[Other Conversion cost pu]])</f>
        <v>#REF!</v>
      </c>
      <c r="AA41" s="12" t="e">
        <f>IF(Sales3[[#This Row],[Posting Date]]=1-7-2025,SUMIFS('COGS Break up'!#REF!,'COGS Break up'!#REF!,A41,'COGS Break up'!#REF!,Sales3[[#Headers],[BOM Cost]]),SUMIFS('COGS Break up'!#REF!,'COGS Break up'!#REF!,Sales3[[#This Row],[Material]],'COGS Break up'!#REF!,Sales3[[#Headers],[BOM Cost]]))</f>
        <v>#REF!</v>
      </c>
      <c r="AB41" s="12" t="e">
        <f>IF(Sales3[[#This Row],[Posting Date]]=1-7-2025,SUMIFS('COGS Break up'!#REF!,'COGS Break up'!#REF!,A41,'COGS Break up'!#REF!,Sales3[[#Headers],[Labour cost per unit]]),SUMIFS('COGS Break up'!#REF!,'COGS Break up'!#REF!,Sales3[[#This Row],[Material]],'COGS Break up'!#REF!,Sales3[[#Headers],[Labour cost per unit]]))</f>
        <v>#REF!</v>
      </c>
      <c r="AC41" s="12" t="e">
        <f>IF(Sales3[[#This Row],[Posting Date]]=1-7-2025,SUMIFS('COGS Break up'!#REF!,'COGS Break up'!#REF!,A41,'COGS Break up'!#REF!,Sales3[[#Headers],[Other Conversion cost pu]]),SUMIFS('COGS Break up'!#REF!,'COGS Break up'!#REF!,Sales3[[#This Row],[Material]],'COGS Break up'!#REF!,Sales3[[#Headers],[Other Conversion cost pu]]))</f>
        <v>#REF!</v>
      </c>
      <c r="AD41" s="48" t="e">
        <f>Sales3[[#This Row],[PGI per unit]]-Sales3[[#This Row],[BOM Cost]]-Sales3[[#This Row],[Labour cost per unit]]-Sales3[[#This Row],[Other Conversion cost pu]]</f>
        <v>#REF!</v>
      </c>
      <c r="AE41" s="48" t="e">
        <f>Sales3[[#This Row],[BOM Cost2]]+Sales3[[#This Row],[Labour Cost]]+Sales3[[#This Row],[Other conversion cost]]</f>
        <v>#REF!</v>
      </c>
      <c r="AF41" s="12" t="e">
        <f>Sales3[[#This Row],[Billed Quantity]]*Sales3[[#This Row],[BOM Cost]]</f>
        <v>#REF!</v>
      </c>
      <c r="AG41" s="12" t="e">
        <f>Sales3[[#This Row],[Billed Quantity]]*Sales3[[#This Row],[Labour cost per unit]]</f>
        <v>#REF!</v>
      </c>
      <c r="AH41" s="12" t="e">
        <f>Sales3[[#This Row],[Billed Quantity]]*Sales3[[#This Row],[Other Conversion cost pu]]</f>
        <v>#REF!</v>
      </c>
      <c r="AI41" s="48" t="e">
        <f>Sales3[[#This Row],[PGI Amount]]-Sales3[[#This Row],[BOM Cost2]]-Sales3[[#This Row],[Labour Cost]]-Sales3[[#This Row],[Other conversion cost]]</f>
        <v>#REF!</v>
      </c>
      <c r="AJ41" s="121" t="e">
        <f>1-Sales3[[#This Row],[PGI COST]]/Sales3[[#This Row],[Net Value]]</f>
        <v>#REF!</v>
      </c>
    </row>
    <row r="42" spans="1:36" x14ac:dyDescent="0.3">
      <c r="A42" s="1" t="s">
        <v>479</v>
      </c>
      <c r="B42" s="2">
        <v>45839</v>
      </c>
      <c r="C42" s="1" t="s">
        <v>683</v>
      </c>
      <c r="D42" s="1" t="s">
        <v>38</v>
      </c>
      <c r="E42" s="1" t="s">
        <v>39</v>
      </c>
      <c r="F42" s="1" t="s">
        <v>18</v>
      </c>
      <c r="G42" s="1" t="s">
        <v>19</v>
      </c>
      <c r="H42" s="1" t="s">
        <v>27</v>
      </c>
      <c r="I42" s="3">
        <v>3360</v>
      </c>
      <c r="J42" s="4">
        <v>1167532.8</v>
      </c>
      <c r="K42" s="3">
        <v>3360</v>
      </c>
      <c r="L42" s="3">
        <v>3360</v>
      </c>
      <c r="M42" s="2">
        <v>45839</v>
      </c>
      <c r="N42" s="4">
        <v>1196697.6000000001</v>
      </c>
      <c r="O42" s="1" t="s">
        <v>21</v>
      </c>
      <c r="P42" s="1" t="s">
        <v>22</v>
      </c>
      <c r="Q42" s="1" t="s">
        <v>660</v>
      </c>
      <c r="R42" s="1" t="str">
        <f>VLOOKUP(Sales3[[#This Row],[Material type]],Master!$H$3:$I$8,2,0)</f>
        <v>Finished Goods</v>
      </c>
      <c r="S42" s="1" t="str">
        <f>VLOOKUP(Sales3[[#This Row],[Material Group]],Master!B:C,2,0)</f>
        <v>FG-PCB-CF</v>
      </c>
      <c r="T42" s="9" t="b">
        <f ca="1">(TODAY()-1)=Sales3[[#This Row],[Billing Date]]</f>
        <v>0</v>
      </c>
      <c r="U42" s="10" t="e">
        <f>Sales3[[#This Row],[Net Value]]-Sales3[[#This Row],[PGI COST]]</f>
        <v>#REF!</v>
      </c>
      <c r="V42" s="11" t="e">
        <f>Sales3[[#This Row],[Gross Margin]]/Sales3[[#This Row],[Net Value]]</f>
        <v>#REF!</v>
      </c>
      <c r="W42" s="1" t="str">
        <f>TEXT(Sales3[[#This Row],[Billing Date]],"mmmm-yy")</f>
        <v>July-25</v>
      </c>
      <c r="X42" s="1">
        <f>Sales3[[#This Row],[Net Value]]/Sales3[[#This Row],[Billed Quantity]]</f>
        <v>356.16</v>
      </c>
      <c r="Y42" s="117">
        <f>Sales3[[#This Row],[Actual delivery qty]]</f>
        <v>3360</v>
      </c>
      <c r="Z42" s="12" t="e">
        <f>SUM(Sales3[[#This Row],[BOM Cost]:[Other Conversion cost pu]])</f>
        <v>#REF!</v>
      </c>
      <c r="AA42" s="12" t="e">
        <f>IF(Sales3[[#This Row],[Posting Date]]=1-7-2025,SUMIFS('COGS Break up'!#REF!,'COGS Break up'!#REF!,A42,'COGS Break up'!#REF!,Sales3[[#Headers],[BOM Cost]]),SUMIFS('COGS Break up'!#REF!,'COGS Break up'!#REF!,Sales3[[#This Row],[Material]],'COGS Break up'!#REF!,Sales3[[#Headers],[BOM Cost]]))</f>
        <v>#REF!</v>
      </c>
      <c r="AB42" s="12" t="e">
        <f>IF(Sales3[[#This Row],[Posting Date]]=1-7-2025,SUMIFS('COGS Break up'!#REF!,'COGS Break up'!#REF!,A42,'COGS Break up'!#REF!,Sales3[[#Headers],[Labour cost per unit]]),SUMIFS('COGS Break up'!#REF!,'COGS Break up'!#REF!,Sales3[[#This Row],[Material]],'COGS Break up'!#REF!,Sales3[[#Headers],[Labour cost per unit]]))</f>
        <v>#REF!</v>
      </c>
      <c r="AC42" s="12" t="e">
        <f>IF(Sales3[[#This Row],[Posting Date]]=1-7-2025,SUMIFS('COGS Break up'!#REF!,'COGS Break up'!#REF!,A42,'COGS Break up'!#REF!,Sales3[[#Headers],[Other Conversion cost pu]]),SUMIFS('COGS Break up'!#REF!,'COGS Break up'!#REF!,Sales3[[#This Row],[Material]],'COGS Break up'!#REF!,Sales3[[#Headers],[Other Conversion cost pu]]))</f>
        <v>#REF!</v>
      </c>
      <c r="AD42" s="48" t="e">
        <f>Sales3[[#This Row],[PGI per unit]]-Sales3[[#This Row],[BOM Cost]]-Sales3[[#This Row],[Labour cost per unit]]-Sales3[[#This Row],[Other Conversion cost pu]]</f>
        <v>#REF!</v>
      </c>
      <c r="AE42" s="48" t="e">
        <f>Sales3[[#This Row],[BOM Cost2]]+Sales3[[#This Row],[Labour Cost]]+Sales3[[#This Row],[Other conversion cost]]</f>
        <v>#REF!</v>
      </c>
      <c r="AF42" s="12" t="e">
        <f>Sales3[[#This Row],[Billed Quantity]]*Sales3[[#This Row],[BOM Cost]]</f>
        <v>#REF!</v>
      </c>
      <c r="AG42" s="12" t="e">
        <f>Sales3[[#This Row],[Billed Quantity]]*Sales3[[#This Row],[Labour cost per unit]]</f>
        <v>#REF!</v>
      </c>
      <c r="AH42" s="12" t="e">
        <f>Sales3[[#This Row],[Billed Quantity]]*Sales3[[#This Row],[Other Conversion cost pu]]</f>
        <v>#REF!</v>
      </c>
      <c r="AI42" s="10" t="e">
        <f>Sales3[[#This Row],[PGI Amount]]-Sales3[[#This Row],[BOM Cost2]]-Sales3[[#This Row],[Labour Cost]]-Sales3[[#This Row],[Other conversion cost]]</f>
        <v>#REF!</v>
      </c>
      <c r="AJ42" s="121" t="e">
        <f>1-Sales3[[#This Row],[PGI COST]]/Sales3[[#This Row],[Net Value]]</f>
        <v>#REF!</v>
      </c>
    </row>
    <row r="43" spans="1:36" x14ac:dyDescent="0.3">
      <c r="A43" s="1" t="s">
        <v>479</v>
      </c>
      <c r="B43" s="2">
        <v>45839</v>
      </c>
      <c r="C43" s="1" t="s">
        <v>683</v>
      </c>
      <c r="D43" s="1" t="s">
        <v>42</v>
      </c>
      <c r="E43" s="1" t="s">
        <v>43</v>
      </c>
      <c r="F43" s="1" t="s">
        <v>18</v>
      </c>
      <c r="G43" s="1" t="s">
        <v>19</v>
      </c>
      <c r="H43" s="1" t="s">
        <v>27</v>
      </c>
      <c r="I43" s="3">
        <v>805</v>
      </c>
      <c r="J43" s="4">
        <v>279391.34999999998</v>
      </c>
      <c r="K43" s="3">
        <v>805</v>
      </c>
      <c r="L43" s="3">
        <v>805</v>
      </c>
      <c r="M43" s="2">
        <v>45839</v>
      </c>
      <c r="N43" s="4">
        <v>286708.8</v>
      </c>
      <c r="O43" s="1" t="s">
        <v>21</v>
      </c>
      <c r="P43" s="1" t="s">
        <v>22</v>
      </c>
      <c r="Q43" s="1" t="s">
        <v>660</v>
      </c>
      <c r="R43" s="1" t="str">
        <f>VLOOKUP(Sales3[[#This Row],[Material type]],Master!$H$3:$I$8,2,0)</f>
        <v>Finished Goods</v>
      </c>
      <c r="S43" s="1" t="str">
        <f>VLOOKUP(Sales3[[#This Row],[Material Group]],Master!B:C,2,0)</f>
        <v>FG-PCB-CF</v>
      </c>
      <c r="T43" s="9" t="b">
        <f ca="1">(TODAY()-1)=Sales3[[#This Row],[Billing Date]]</f>
        <v>0</v>
      </c>
      <c r="U43" s="10" t="e">
        <f>Sales3[[#This Row],[Net Value]]-Sales3[[#This Row],[PGI COST]]</f>
        <v>#REF!</v>
      </c>
      <c r="V43" s="11" t="e">
        <f>Sales3[[#This Row],[Gross Margin]]/Sales3[[#This Row],[Net Value]]</f>
        <v>#REF!</v>
      </c>
      <c r="W43" s="1" t="str">
        <f>TEXT(Sales3[[#This Row],[Billing Date]],"mmmm-yy")</f>
        <v>July-25</v>
      </c>
      <c r="X43" s="1">
        <f>Sales3[[#This Row],[Net Value]]/Sales3[[#This Row],[Billed Quantity]]</f>
        <v>356.15999999999997</v>
      </c>
      <c r="Y43" s="117">
        <f>Sales3[[#This Row],[Actual delivery qty]]</f>
        <v>805</v>
      </c>
      <c r="Z43" s="12" t="e">
        <f>SUM(Sales3[[#This Row],[BOM Cost]:[Other Conversion cost pu]])</f>
        <v>#REF!</v>
      </c>
      <c r="AA43" s="12" t="e">
        <f>IF(Sales3[[#This Row],[Posting Date]]=1-7-2025,SUMIFS('COGS Break up'!#REF!,'COGS Break up'!#REF!,A43,'COGS Break up'!#REF!,Sales3[[#Headers],[BOM Cost]]),SUMIFS('COGS Break up'!#REF!,'COGS Break up'!#REF!,Sales3[[#This Row],[Material]],'COGS Break up'!#REF!,Sales3[[#Headers],[BOM Cost]]))</f>
        <v>#REF!</v>
      </c>
      <c r="AB43" s="12" t="e">
        <f>IF(Sales3[[#This Row],[Posting Date]]=1-7-2025,SUMIFS('COGS Break up'!#REF!,'COGS Break up'!#REF!,A43,'COGS Break up'!#REF!,Sales3[[#Headers],[Labour cost per unit]]),SUMIFS('COGS Break up'!#REF!,'COGS Break up'!#REF!,Sales3[[#This Row],[Material]],'COGS Break up'!#REF!,Sales3[[#Headers],[Labour cost per unit]]))</f>
        <v>#REF!</v>
      </c>
      <c r="AC43" s="12" t="e">
        <f>IF(Sales3[[#This Row],[Posting Date]]=1-7-2025,SUMIFS('COGS Break up'!#REF!,'COGS Break up'!#REF!,A43,'COGS Break up'!#REF!,Sales3[[#Headers],[Other Conversion cost pu]]),SUMIFS('COGS Break up'!#REF!,'COGS Break up'!#REF!,Sales3[[#This Row],[Material]],'COGS Break up'!#REF!,Sales3[[#Headers],[Other Conversion cost pu]]))</f>
        <v>#REF!</v>
      </c>
      <c r="AD43" s="48" t="e">
        <f>Sales3[[#This Row],[PGI per unit]]-Sales3[[#This Row],[BOM Cost]]-Sales3[[#This Row],[Labour cost per unit]]-Sales3[[#This Row],[Other Conversion cost pu]]</f>
        <v>#REF!</v>
      </c>
      <c r="AE43" s="48" t="e">
        <f>Sales3[[#This Row],[BOM Cost2]]+Sales3[[#This Row],[Labour Cost]]+Sales3[[#This Row],[Other conversion cost]]</f>
        <v>#REF!</v>
      </c>
      <c r="AF43" s="12" t="e">
        <f>Sales3[[#This Row],[Billed Quantity]]*Sales3[[#This Row],[BOM Cost]]</f>
        <v>#REF!</v>
      </c>
      <c r="AG43" s="12" t="e">
        <f>Sales3[[#This Row],[Billed Quantity]]*Sales3[[#This Row],[Labour cost per unit]]</f>
        <v>#REF!</v>
      </c>
      <c r="AH43" s="12" t="e">
        <f>Sales3[[#This Row],[Billed Quantity]]*Sales3[[#This Row],[Other Conversion cost pu]]</f>
        <v>#REF!</v>
      </c>
      <c r="AI43" s="10" t="e">
        <f>Sales3[[#This Row],[PGI Amount]]-Sales3[[#This Row],[BOM Cost2]]-Sales3[[#This Row],[Labour Cost]]-Sales3[[#This Row],[Other conversion cost]]</f>
        <v>#REF!</v>
      </c>
      <c r="AJ43" s="121" t="e">
        <f>1-Sales3[[#This Row],[PGI COST]]/Sales3[[#This Row],[Net Value]]</f>
        <v>#REF!</v>
      </c>
    </row>
    <row r="44" spans="1:36" hidden="1" x14ac:dyDescent="0.3">
      <c r="A44" s="1" t="s">
        <v>479</v>
      </c>
      <c r="B44" s="2">
        <v>45839</v>
      </c>
      <c r="C44" s="1" t="s">
        <v>684</v>
      </c>
      <c r="D44" s="1" t="s">
        <v>595</v>
      </c>
      <c r="E44" s="1" t="s">
        <v>596</v>
      </c>
      <c r="F44" s="1" t="s">
        <v>18</v>
      </c>
      <c r="G44" s="1" t="s">
        <v>34</v>
      </c>
      <c r="H44" s="1" t="s">
        <v>35</v>
      </c>
      <c r="I44" s="3">
        <v>922</v>
      </c>
      <c r="J44" s="4">
        <v>122155.78</v>
      </c>
      <c r="K44" s="3">
        <v>922</v>
      </c>
      <c r="L44" s="3">
        <v>922</v>
      </c>
      <c r="M44" s="2">
        <v>45839</v>
      </c>
      <c r="N44" s="4">
        <v>122063.58</v>
      </c>
      <c r="O44" s="1" t="s">
        <v>21</v>
      </c>
      <c r="P44" s="1" t="s">
        <v>22</v>
      </c>
      <c r="Q44" s="1" t="s">
        <v>660</v>
      </c>
      <c r="R44" s="1" t="str">
        <f>VLOOKUP(Sales3[[#This Row],[Material type]],Master!$H$3:$I$8,2,0)</f>
        <v>Semi-Finished Goods</v>
      </c>
      <c r="S44" s="1" t="str">
        <f>VLOOKUP(Sales3[[#This Row],[Material Group]],Master!B:C,2,0)</f>
        <v>Sub Ass.-Mech Stator</v>
      </c>
      <c r="T44" s="9" t="b">
        <f ca="1">(TODAY()-1)=Sales3[[#This Row],[Billing Date]]</f>
        <v>0</v>
      </c>
      <c r="U44" s="10" t="e">
        <f>Sales3[[#This Row],[Net Value]]-Sales3[[#This Row],[PGI COST]]</f>
        <v>#REF!</v>
      </c>
      <c r="V44" s="11" t="e">
        <f>Sales3[[#This Row],[Gross Margin]]/Sales3[[#This Row],[Net Value]]</f>
        <v>#REF!</v>
      </c>
      <c r="W44" s="1" t="str">
        <f>TEXT(Sales3[[#This Row],[Billing Date]],"mmmm-yy")</f>
        <v>July-25</v>
      </c>
      <c r="X44" s="1">
        <f>Sales3[[#This Row],[Net Value]]/Sales3[[#This Row],[Billed Quantity]]</f>
        <v>132.39000000000001</v>
      </c>
      <c r="Y44" s="117">
        <f>Sales3[[#This Row],[Actual delivery qty]]</f>
        <v>922</v>
      </c>
      <c r="Z44" s="12" t="e">
        <f>SUM(Sales3[[#This Row],[BOM Cost]:[Other Conversion cost pu]])</f>
        <v>#REF!</v>
      </c>
      <c r="AA44" s="12" t="e">
        <f>IF(Sales3[[#This Row],[Posting Date]]=1-7-2025,SUMIFS('COGS Break up'!#REF!,'COGS Break up'!#REF!,A44,'COGS Break up'!#REF!,Sales3[[#Headers],[BOM Cost]]),SUMIFS('COGS Break up'!#REF!,'COGS Break up'!#REF!,Sales3[[#This Row],[Material]],'COGS Break up'!#REF!,Sales3[[#Headers],[BOM Cost]]))</f>
        <v>#REF!</v>
      </c>
      <c r="AB44" s="12" t="e">
        <f>IF(Sales3[[#This Row],[Posting Date]]=1-7-2025,SUMIFS('COGS Break up'!#REF!,'COGS Break up'!#REF!,A44,'COGS Break up'!#REF!,Sales3[[#Headers],[Labour cost per unit]]),SUMIFS('COGS Break up'!#REF!,'COGS Break up'!#REF!,Sales3[[#This Row],[Material]],'COGS Break up'!#REF!,Sales3[[#Headers],[Labour cost per unit]]))</f>
        <v>#REF!</v>
      </c>
      <c r="AC44" s="12" t="e">
        <f>IF(Sales3[[#This Row],[Posting Date]]=1-7-2025,SUMIFS('COGS Break up'!#REF!,'COGS Break up'!#REF!,A44,'COGS Break up'!#REF!,Sales3[[#Headers],[Other Conversion cost pu]]),SUMIFS('COGS Break up'!#REF!,'COGS Break up'!#REF!,Sales3[[#This Row],[Material]],'COGS Break up'!#REF!,Sales3[[#Headers],[Other Conversion cost pu]]))</f>
        <v>#REF!</v>
      </c>
      <c r="AD44" s="48" t="e">
        <f>Sales3[[#This Row],[PGI per unit]]-Sales3[[#This Row],[BOM Cost]]-Sales3[[#This Row],[Labour cost per unit]]-Sales3[[#This Row],[Other Conversion cost pu]]</f>
        <v>#REF!</v>
      </c>
      <c r="AE44" s="48" t="e">
        <f>Sales3[[#This Row],[BOM Cost2]]+Sales3[[#This Row],[Labour Cost]]+Sales3[[#This Row],[Other conversion cost]]</f>
        <v>#REF!</v>
      </c>
      <c r="AF44" s="12" t="e">
        <f>Sales3[[#This Row],[Billed Quantity]]*Sales3[[#This Row],[BOM Cost]]</f>
        <v>#REF!</v>
      </c>
      <c r="AG44" s="12" t="e">
        <f>Sales3[[#This Row],[Billed Quantity]]*Sales3[[#This Row],[Labour cost per unit]]</f>
        <v>#REF!</v>
      </c>
      <c r="AH44" s="12" t="e">
        <f>Sales3[[#This Row],[Billed Quantity]]*Sales3[[#This Row],[Other Conversion cost pu]]</f>
        <v>#REF!</v>
      </c>
      <c r="AI44" s="10" t="e">
        <f>Sales3[[#This Row],[PGI Amount]]-Sales3[[#This Row],[BOM Cost2]]-Sales3[[#This Row],[Labour Cost]]-Sales3[[#This Row],[Other conversion cost]]</f>
        <v>#REF!</v>
      </c>
      <c r="AJ44" s="121" t="e">
        <f>1-Sales3[[#This Row],[PGI COST]]/Sales3[[#This Row],[Net Value]]</f>
        <v>#REF!</v>
      </c>
    </row>
    <row r="45" spans="1:36" x14ac:dyDescent="0.3">
      <c r="AI45" s="10"/>
    </row>
    <row r="46" spans="1:36" x14ac:dyDescent="0.3">
      <c r="AI46" s="10"/>
    </row>
    <row r="47" spans="1:36" x14ac:dyDescent="0.3">
      <c r="K47">
        <f>J42/K42</f>
        <v>347.48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0FA7-3718-411F-9492-F0BB566687B2}">
  <sheetPr>
    <tabColor rgb="FFFFFF00"/>
  </sheetPr>
  <dimension ref="A1:AV506"/>
  <sheetViews>
    <sheetView workbookViewId="0">
      <selection activeCell="A2" sqref="A2:Q559"/>
    </sheetView>
  </sheetViews>
  <sheetFormatPr defaultRowHeight="14.4" x14ac:dyDescent="0.3"/>
  <cols>
    <col min="1" max="1" width="35.77734375" bestFit="1" customWidth="1"/>
    <col min="2" max="2" width="13.77734375" bestFit="1" customWidth="1"/>
    <col min="3" max="3" width="17.21875" customWidth="1"/>
    <col min="4" max="4" width="10.21875" bestFit="1" customWidth="1"/>
    <col min="5" max="5" width="43.77734375" bestFit="1" customWidth="1"/>
    <col min="6" max="6" width="11.21875" customWidth="1"/>
    <col min="7" max="7" width="14.33203125" customWidth="1"/>
    <col min="8" max="8" width="16" customWidth="1"/>
    <col min="9" max="9" width="12.77734375" customWidth="1"/>
    <col min="10" max="10" width="13.21875" customWidth="1"/>
    <col min="11" max="11" width="13.77734375" customWidth="1"/>
    <col min="12" max="12" width="10.44140625" customWidth="1"/>
    <col min="13" max="13" width="12.44140625" customWidth="1"/>
    <col min="14" max="14" width="11.21875" bestFit="1" customWidth="1"/>
    <col min="15" max="15" width="11.77734375" customWidth="1"/>
    <col min="16" max="16" width="16.44140625" customWidth="1"/>
    <col min="17" max="17" width="12.21875" customWidth="1"/>
    <col min="18" max="18" width="19.6640625" customWidth="1"/>
    <col min="19" max="19" width="22.77734375" customWidth="1"/>
    <col min="20" max="20" width="18.6640625" bestFit="1" customWidth="1"/>
    <col min="21" max="21" width="15.5546875" customWidth="1"/>
    <col min="22" max="22" width="14.21875" bestFit="1" customWidth="1"/>
    <col min="23" max="23" width="8" bestFit="1" customWidth="1"/>
    <col min="24" max="24" width="12.5546875" customWidth="1"/>
    <col min="25" max="25" width="7.77734375" bestFit="1" customWidth="1"/>
    <col min="26" max="26" width="14.109375" bestFit="1" customWidth="1"/>
    <col min="27" max="27" width="13.109375" bestFit="1" customWidth="1"/>
    <col min="28" max="28" width="11.44140625" bestFit="1" customWidth="1"/>
    <col min="29" max="29" width="20.109375" bestFit="1" customWidth="1"/>
    <col min="30" max="30" width="18.44140625" bestFit="1" customWidth="1"/>
    <col min="31" max="31" width="24.6640625" bestFit="1" customWidth="1"/>
    <col min="32" max="32" width="8.109375" bestFit="1" customWidth="1"/>
    <col min="33" max="33" width="10.77734375" bestFit="1" customWidth="1"/>
    <col min="34" max="34" width="12.44140625" bestFit="1" customWidth="1"/>
    <col min="35" max="35" width="13.109375" bestFit="1" customWidth="1"/>
    <col min="36" max="36" width="15.5546875" bestFit="1" customWidth="1"/>
    <col min="37" max="37" width="21.6640625" bestFit="1" customWidth="1"/>
    <col min="38" max="38" width="10" bestFit="1" customWidth="1"/>
    <col min="39" max="39" width="9" bestFit="1" customWidth="1"/>
    <col min="40" max="40" width="11.77734375" bestFit="1" customWidth="1"/>
    <col min="41" max="41" width="11.44140625" bestFit="1" customWidth="1"/>
    <col min="42" max="42" width="15.109375" bestFit="1" customWidth="1"/>
    <col min="43" max="43" width="19.33203125" bestFit="1" customWidth="1"/>
    <col min="44" max="44" width="19.33203125" customWidth="1"/>
    <col min="45" max="45" width="10.5546875" bestFit="1" customWidth="1"/>
    <col min="46" max="46" width="14.21875" bestFit="1" customWidth="1"/>
    <col min="47" max="47" width="18.44140625" bestFit="1" customWidth="1"/>
    <col min="48" max="48" width="14.21875" bestFit="1" customWidth="1"/>
  </cols>
  <sheetData>
    <row r="1" spans="1:48" ht="28.8" x14ac:dyDescent="0.3">
      <c r="A1" s="62" t="s">
        <v>0</v>
      </c>
      <c r="B1" s="62" t="s">
        <v>1</v>
      </c>
      <c r="C1" s="62" t="s">
        <v>516</v>
      </c>
      <c r="D1" s="62" t="s">
        <v>2</v>
      </c>
      <c r="E1" s="62" t="s">
        <v>3</v>
      </c>
      <c r="F1" s="62" t="s">
        <v>4</v>
      </c>
      <c r="G1" s="62" t="s">
        <v>5</v>
      </c>
      <c r="H1" s="62" t="s">
        <v>6</v>
      </c>
      <c r="I1" s="63" t="s">
        <v>7</v>
      </c>
      <c r="J1" s="62" t="s">
        <v>8</v>
      </c>
      <c r="K1" s="62" t="s">
        <v>9</v>
      </c>
      <c r="L1" s="63" t="s">
        <v>10</v>
      </c>
      <c r="M1" s="62" t="s">
        <v>11</v>
      </c>
      <c r="N1" s="62" t="s">
        <v>12</v>
      </c>
      <c r="O1" s="63" t="s">
        <v>13</v>
      </c>
      <c r="P1" s="62" t="s">
        <v>14</v>
      </c>
      <c r="Q1" s="63" t="s">
        <v>15</v>
      </c>
      <c r="R1" s="6" t="s">
        <v>336</v>
      </c>
      <c r="S1" s="6" t="s">
        <v>337</v>
      </c>
      <c r="T1" s="6" t="s">
        <v>1178</v>
      </c>
      <c r="U1" s="6" t="s">
        <v>342</v>
      </c>
      <c r="V1" s="6" t="s">
        <v>343</v>
      </c>
      <c r="W1" s="6" t="s">
        <v>344</v>
      </c>
      <c r="X1" s="6" t="s">
        <v>345</v>
      </c>
      <c r="Y1" s="6" t="s">
        <v>517</v>
      </c>
      <c r="Z1" s="6" t="s">
        <v>563</v>
      </c>
      <c r="AA1" s="6" t="s">
        <v>346</v>
      </c>
      <c r="AB1" s="6" t="s">
        <v>453</v>
      </c>
      <c r="AC1" s="6" t="s">
        <v>347</v>
      </c>
      <c r="AD1" s="6" t="s">
        <v>1293</v>
      </c>
      <c r="AE1" s="6" t="s">
        <v>348</v>
      </c>
      <c r="AF1" s="6" t="s">
        <v>430</v>
      </c>
      <c r="AG1" s="6" t="s">
        <v>560</v>
      </c>
      <c r="AH1" s="6" t="s">
        <v>464</v>
      </c>
      <c r="AI1" s="6" t="s">
        <v>468</v>
      </c>
      <c r="AJ1" s="6" t="s">
        <v>1292</v>
      </c>
      <c r="AK1" s="6" t="s">
        <v>463</v>
      </c>
      <c r="AL1" s="125" t="s">
        <v>465</v>
      </c>
      <c r="AM1" s="119" t="s">
        <v>459</v>
      </c>
      <c r="AN1" s="119" t="s">
        <v>1210</v>
      </c>
      <c r="AO1" s="153" t="s">
        <v>353</v>
      </c>
      <c r="AP1" s="153" t="s">
        <v>352</v>
      </c>
      <c r="AQ1" s="153" t="s">
        <v>350</v>
      </c>
      <c r="AR1" s="153" t="s">
        <v>1292</v>
      </c>
      <c r="AS1" s="154" t="s">
        <v>353</v>
      </c>
      <c r="AT1" s="154" t="s">
        <v>352</v>
      </c>
      <c r="AU1" s="154" t="s">
        <v>350</v>
      </c>
      <c r="AV1" s="153" t="s">
        <v>1292</v>
      </c>
    </row>
    <row r="2" spans="1:48" x14ac:dyDescent="0.3">
      <c r="A2" s="1" t="s">
        <v>1295</v>
      </c>
      <c r="B2" s="2">
        <v>45920</v>
      </c>
      <c r="C2" s="1">
        <v>3271272329</v>
      </c>
      <c r="D2" s="1" t="s">
        <v>36</v>
      </c>
      <c r="E2" s="1" t="s">
        <v>37</v>
      </c>
      <c r="F2" s="1" t="s">
        <v>18</v>
      </c>
      <c r="G2" s="1" t="s">
        <v>19</v>
      </c>
      <c r="H2" s="1" t="s">
        <v>20</v>
      </c>
      <c r="I2" s="3">
        <v>1100</v>
      </c>
      <c r="J2" s="4">
        <v>517814</v>
      </c>
      <c r="K2" s="3">
        <v>1100</v>
      </c>
      <c r="L2" s="3">
        <v>1100</v>
      </c>
      <c r="M2" s="2">
        <v>45920</v>
      </c>
      <c r="N2" s="4">
        <v>721941</v>
      </c>
      <c r="O2" s="1" t="s">
        <v>21</v>
      </c>
      <c r="P2" s="1" t="s">
        <v>22</v>
      </c>
      <c r="Q2" s="1">
        <v>1</v>
      </c>
      <c r="R2" s="1" t="str">
        <f>VLOOKUP(Sales4[[#This Row],[Material type]],Master!$H$3:$I$8,2,0)</f>
        <v>Finished Goods</v>
      </c>
      <c r="S2" s="1" t="str">
        <f>VLOOKUP(Sales4[[#This Row],[Material Group]],Master!B:C,2,0)</f>
        <v>FG-PCB-Ref</v>
      </c>
      <c r="T2" s="1" t="str">
        <f>VLOOKUP(Sales4[[#This Row],[Material Group Descrip]],Master!E:F,2,0)</f>
        <v>FG-PCB-Ref</v>
      </c>
      <c r="U2" s="9" t="b">
        <f ca="1">(TODAY()-1)=Sales4[[#This Row],[Billing Date]]</f>
        <v>0</v>
      </c>
      <c r="V2" s="10" t="e">
        <f>Sales4[[#This Row],[Net Value]]-Sales4[[#This Row],[PGI COST]]</f>
        <v>#REF!</v>
      </c>
      <c r="W2" s="11" t="e">
        <f>Sales4[[#This Row],[Gross Margin]]/Sales4[[#This Row],[Net Value]]</f>
        <v>#REF!</v>
      </c>
      <c r="X2" s="1" t="str">
        <f>TEXT(Sales4[[#This Row],[Billing Date]],"mmmm-yy")</f>
        <v>September-25</v>
      </c>
      <c r="Y2" s="12">
        <f>Sales4[[#This Row],[Net Value]]/Sales4[[#This Row],[Billed Quantity]]</f>
        <v>656.31</v>
      </c>
      <c r="Z2" s="117">
        <f>Sales4[[#This Row],[Actual delivery qty]]</f>
        <v>1100</v>
      </c>
      <c r="AA2" s="12" t="e">
        <f>SUM(Sales4[[#This Row],[BOM Cost]:[Other Conversion cost pu]])</f>
        <v>#REF!</v>
      </c>
      <c r="AB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" s="12">
        <f>IFERROR(VLOOKUP(Sales4[[#This Row],[Material]],'COGS Break up'!#REF!,5,0),0)</f>
        <v>0</v>
      </c>
      <c r="AE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" s="48" t="e">
        <f>Sales4[[#This Row],[PGI per unit]]-Sales4[[#This Row],[BOM Cost]]-Sales4[[#This Row],[Labour cost per unit]]-Sales4[[#This Row],[Other Conversion cost pu]]</f>
        <v>#REF!</v>
      </c>
      <c r="AG2" s="48" t="e">
        <f>Sales4[[#This Row],[BOM Cost2]]+Sales4[[#This Row],[Labour Cost]]+Sales4[[#This Row],[Other conversion cost]]</f>
        <v>#REF!</v>
      </c>
      <c r="AH2" s="12" t="e">
        <f>Sales4[[#This Row],[Billed Quantity]]*Sales4[[#This Row],[BOM Cost]]</f>
        <v>#REF!</v>
      </c>
      <c r="AI2" s="12" t="e">
        <f>Sales4[[#This Row],[Billed Quantity]]*Sales4[[#This Row],[Labour cost per unit]]</f>
        <v>#REF!</v>
      </c>
      <c r="AJ2" s="12">
        <f>Sales4[[#This Row],[Droppage per unit]]*Sales4[[#This Row],[Billed Quantity]]</f>
        <v>0</v>
      </c>
      <c r="AK2" s="12" t="e">
        <f>Sales4[[#This Row],[Billed Quantity]]*Sales4[[#This Row],[Other Conversion cost pu]]</f>
        <v>#REF!</v>
      </c>
      <c r="AL2" s="48" t="e">
        <f>Sales4[[#This Row],[PGI Amount]]-Sales4[[#This Row],[BOM Cost2]]-Sales4[[#This Row],[Labour Cost]]-Sales4[[#This Row],[Other conversion cost]]</f>
        <v>#REF!</v>
      </c>
      <c r="AM2" s="121" t="e">
        <f>1-Sales4[[#This Row],[PGI COST]]/Sales4[[#This Row],[Net Value]]</f>
        <v>#REF!</v>
      </c>
      <c r="AN2" s="1">
        <f>Sales4[[#This Row],[PGI Amount]]/Sales4[[#This Row],[Billed Quantity]]</f>
        <v>470.74</v>
      </c>
      <c r="AO2" s="72" t="e">
        <f>SUMIFS('COGS Break up'!#REF!,'COGS Break up'!#REF!,Sales4[[#This Row],[Material]],'COGS Break up'!#REF!,'MIS Working'!$AO$1)</f>
        <v>#REF!</v>
      </c>
      <c r="AP2" s="72" t="e">
        <f>SUMIFS('COGS Break up'!#REF!,'COGS Break up'!#REF!,Sales4[[#This Row],[Material]],'COGS Break up'!#REF!,'MIS Working'!$AP$1)</f>
        <v>#REF!</v>
      </c>
      <c r="AQ2" s="72" t="e">
        <f>SUMIFS('COGS Break up'!#REF!,'COGS Break up'!#REF!,Sales4[[#This Row],[Material]],'COGS Break up'!#REF!,'MIS Working'!$AQ$1)</f>
        <v>#REF!</v>
      </c>
      <c r="AR2" s="72">
        <f>Sales4[[#This Row],[Droppage per unit]]</f>
        <v>0</v>
      </c>
      <c r="AS2" s="15" t="e">
        <f>AO2*Sales4[[#This Row],[Billed Quantity]]</f>
        <v>#REF!</v>
      </c>
      <c r="AT2" s="72" t="e">
        <f>AP2*Sales4[[#This Row],[Billed Quantity]]</f>
        <v>#REF!</v>
      </c>
      <c r="AU2" s="72" t="e">
        <f>AQ2*Sales4[[#This Row],[Billed Quantity]]</f>
        <v>#REF!</v>
      </c>
      <c r="AV2" s="72">
        <f>AR2*Sales4[[#This Row],[Billed Quantity]]</f>
        <v>0</v>
      </c>
    </row>
    <row r="3" spans="1:48" x14ac:dyDescent="0.3">
      <c r="A3" s="1" t="s">
        <v>479</v>
      </c>
      <c r="B3" s="2">
        <v>45920</v>
      </c>
      <c r="C3" s="1">
        <v>3271272579</v>
      </c>
      <c r="D3" s="1" t="s">
        <v>38</v>
      </c>
      <c r="E3" s="1" t="s">
        <v>39</v>
      </c>
      <c r="F3" s="1" t="s">
        <v>18</v>
      </c>
      <c r="G3" s="1" t="s">
        <v>19</v>
      </c>
      <c r="H3" s="1" t="s">
        <v>27</v>
      </c>
      <c r="I3" s="3">
        <v>140</v>
      </c>
      <c r="J3" s="4">
        <v>46124.4</v>
      </c>
      <c r="K3" s="3">
        <v>140</v>
      </c>
      <c r="L3" s="3">
        <v>140</v>
      </c>
      <c r="M3" s="2">
        <v>45920</v>
      </c>
      <c r="N3" s="4">
        <v>50160.6</v>
      </c>
      <c r="O3" s="1" t="s">
        <v>21</v>
      </c>
      <c r="P3" s="1" t="s">
        <v>22</v>
      </c>
      <c r="Q3" s="1">
        <v>1</v>
      </c>
      <c r="R3" s="1" t="str">
        <f>VLOOKUP(Sales4[[#This Row],[Material type]],Master!$H$3:$I$8,2,0)</f>
        <v>Finished Goods</v>
      </c>
      <c r="S3" s="1" t="str">
        <f>VLOOKUP(Sales4[[#This Row],[Material Group]],Master!B:C,2,0)</f>
        <v>FG-PCB-CF</v>
      </c>
      <c r="T3" s="1" t="str">
        <f>VLOOKUP(Sales4[[#This Row],[Material Group Descrip]],Master!E:F,2,0)</f>
        <v>FG-PCB-CF</v>
      </c>
      <c r="U3" s="9" t="b">
        <f ca="1">(TODAY()-1)=Sales4[[#This Row],[Billing Date]]</f>
        <v>0</v>
      </c>
      <c r="V3" s="10" t="e">
        <f>Sales4[[#This Row],[Net Value]]-Sales4[[#This Row],[PGI COST]]</f>
        <v>#REF!</v>
      </c>
      <c r="W3" s="11" t="e">
        <f>Sales4[[#This Row],[Gross Margin]]/Sales4[[#This Row],[Net Value]]</f>
        <v>#REF!</v>
      </c>
      <c r="X3" s="1" t="str">
        <f>TEXT(Sales4[[#This Row],[Billing Date]],"mmmm-yy")</f>
        <v>September-25</v>
      </c>
      <c r="Y3" s="1">
        <f>Sales4[[#This Row],[Net Value]]/Sales4[[#This Row],[Billed Quantity]]</f>
        <v>358.28999999999996</v>
      </c>
      <c r="Z3" s="117">
        <f>Sales4[[#This Row],[Actual delivery qty]]</f>
        <v>140</v>
      </c>
      <c r="AA3" s="12" t="e">
        <f>SUM(Sales4[[#This Row],[BOM Cost]:[Other Conversion cost pu]])</f>
        <v>#REF!</v>
      </c>
      <c r="AB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" s="12">
        <f>IFERROR(VLOOKUP(Sales4[[#This Row],[Material]],'COGS Break up'!#REF!,5,0),0)</f>
        <v>0</v>
      </c>
      <c r="AE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" s="48" t="e">
        <f>Sales4[[#This Row],[PGI per unit]]-Sales4[[#This Row],[BOM Cost]]-Sales4[[#This Row],[Labour cost per unit]]-Sales4[[#This Row],[Other Conversion cost pu]]</f>
        <v>#REF!</v>
      </c>
      <c r="AG3" s="48" t="e">
        <f>Sales4[[#This Row],[BOM Cost2]]+Sales4[[#This Row],[Labour Cost]]+Sales4[[#This Row],[Other conversion cost]]</f>
        <v>#REF!</v>
      </c>
      <c r="AH3" s="12" t="e">
        <f>Sales4[[#This Row],[Billed Quantity]]*Sales4[[#This Row],[BOM Cost]]</f>
        <v>#REF!</v>
      </c>
      <c r="AI3" s="12" t="e">
        <f>Sales4[[#This Row],[Billed Quantity]]*Sales4[[#This Row],[Labour cost per unit]]</f>
        <v>#REF!</v>
      </c>
      <c r="AJ3" s="12">
        <f>Sales4[[#This Row],[Droppage per unit]]*Sales4[[#This Row],[Billed Quantity]]</f>
        <v>0</v>
      </c>
      <c r="AK3" s="12" t="e">
        <f>Sales4[[#This Row],[Billed Quantity]]*Sales4[[#This Row],[Other Conversion cost pu]]</f>
        <v>#REF!</v>
      </c>
      <c r="AL3" s="48" t="e">
        <f>Sales4[[#This Row],[PGI Amount]]-Sales4[[#This Row],[BOM Cost2]]-Sales4[[#This Row],[Labour Cost]]-Sales4[[#This Row],[Other conversion cost]]</f>
        <v>#REF!</v>
      </c>
      <c r="AM3" s="121" t="e">
        <f>1-Sales4[[#This Row],[PGI COST]]/Sales4[[#This Row],[Net Value]]</f>
        <v>#REF!</v>
      </c>
      <c r="AN3" s="1">
        <f>Sales4[[#This Row],[PGI Amount]]/Sales4[[#This Row],[Billed Quantity]]</f>
        <v>329.46000000000004</v>
      </c>
      <c r="AO3" s="72" t="e">
        <f>SUMIFS('COGS Break up'!#REF!,'COGS Break up'!#REF!,Sales4[[#This Row],[Material]],'COGS Break up'!#REF!,'MIS Working'!$AO$1)</f>
        <v>#REF!</v>
      </c>
      <c r="AP3" s="72" t="e">
        <f>SUMIFS('COGS Break up'!#REF!,'COGS Break up'!#REF!,Sales4[[#This Row],[Material]],'COGS Break up'!#REF!,'MIS Working'!$AP$1)</f>
        <v>#REF!</v>
      </c>
      <c r="AQ3" s="72" t="e">
        <f>SUMIFS('COGS Break up'!#REF!,'COGS Break up'!#REF!,Sales4[[#This Row],[Material]],'COGS Break up'!#REF!,'MIS Working'!$AQ$1)</f>
        <v>#REF!</v>
      </c>
      <c r="AR3" s="72">
        <f>Sales4[[#This Row],[Droppage per unit]]</f>
        <v>0</v>
      </c>
      <c r="AS3" s="15" t="e">
        <f>AO3*Sales4[[#This Row],[Billed Quantity]]</f>
        <v>#REF!</v>
      </c>
      <c r="AT3" s="72" t="e">
        <f>AP3*Sales4[[#This Row],[Billed Quantity]]</f>
        <v>#REF!</v>
      </c>
      <c r="AU3" s="72" t="e">
        <f>AQ3*Sales4[[#This Row],[Billed Quantity]]</f>
        <v>#REF!</v>
      </c>
      <c r="AV3" s="72">
        <f>AR3*Sales4[[#This Row],[Billed Quantity]]</f>
        <v>0</v>
      </c>
    </row>
    <row r="4" spans="1:48" x14ac:dyDescent="0.3">
      <c r="A4" s="1" t="s">
        <v>479</v>
      </c>
      <c r="B4" s="2">
        <v>45920</v>
      </c>
      <c r="C4" s="1">
        <v>3271272536</v>
      </c>
      <c r="D4" s="1" t="s">
        <v>38</v>
      </c>
      <c r="E4" s="1" t="s">
        <v>39</v>
      </c>
      <c r="F4" s="1" t="s">
        <v>18</v>
      </c>
      <c r="G4" s="1" t="s">
        <v>19</v>
      </c>
      <c r="H4" s="1" t="s">
        <v>27</v>
      </c>
      <c r="I4" s="3">
        <v>840</v>
      </c>
      <c r="J4" s="4">
        <v>276746.40000000002</v>
      </c>
      <c r="K4" s="3">
        <v>840</v>
      </c>
      <c r="L4" s="3">
        <v>840</v>
      </c>
      <c r="M4" s="2">
        <v>45920</v>
      </c>
      <c r="N4" s="4">
        <v>300963.59999999998</v>
      </c>
      <c r="O4" s="1" t="s">
        <v>21</v>
      </c>
      <c r="P4" s="1" t="s">
        <v>22</v>
      </c>
      <c r="Q4" s="1">
        <v>1</v>
      </c>
      <c r="R4" s="1" t="str">
        <f>VLOOKUP(Sales4[[#This Row],[Material type]],Master!$H$3:$I$8,2,0)</f>
        <v>Finished Goods</v>
      </c>
      <c r="S4" s="1" t="str">
        <f>VLOOKUP(Sales4[[#This Row],[Material Group]],Master!B:C,2,0)</f>
        <v>FG-PCB-CF</v>
      </c>
      <c r="T4" s="1" t="str">
        <f>VLOOKUP(Sales4[[#This Row],[Material Group Descrip]],Master!E:F,2,0)</f>
        <v>FG-PCB-CF</v>
      </c>
      <c r="U4" s="9" t="b">
        <f ca="1">(TODAY()-1)=Sales4[[#This Row],[Billing Date]]</f>
        <v>0</v>
      </c>
      <c r="V4" s="10" t="e">
        <f>Sales4[[#This Row],[Net Value]]-Sales4[[#This Row],[PGI COST]]</f>
        <v>#REF!</v>
      </c>
      <c r="W4" s="11" t="e">
        <f>Sales4[[#This Row],[Gross Margin]]/Sales4[[#This Row],[Net Value]]</f>
        <v>#REF!</v>
      </c>
      <c r="X4" s="1" t="str">
        <f>TEXT(Sales4[[#This Row],[Billing Date]],"mmmm-yy")</f>
        <v>September-25</v>
      </c>
      <c r="Y4" s="1">
        <f>Sales4[[#This Row],[Net Value]]/Sales4[[#This Row],[Billed Quantity]]</f>
        <v>358.28999999999996</v>
      </c>
      <c r="Z4" s="117">
        <f>Sales4[[#This Row],[Actual delivery qty]]</f>
        <v>840</v>
      </c>
      <c r="AA4" s="12" t="e">
        <f>SUM(Sales4[[#This Row],[BOM Cost]:[Other Conversion cost pu]])</f>
        <v>#REF!</v>
      </c>
      <c r="AB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" s="12">
        <f>IFERROR(VLOOKUP(Sales4[[#This Row],[Material]],'COGS Break up'!#REF!,5,0),0)</f>
        <v>0</v>
      </c>
      <c r="AE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" s="48" t="e">
        <f>Sales4[[#This Row],[PGI per unit]]-Sales4[[#This Row],[BOM Cost]]-Sales4[[#This Row],[Labour cost per unit]]-Sales4[[#This Row],[Other Conversion cost pu]]</f>
        <v>#REF!</v>
      </c>
      <c r="AG4" s="48" t="e">
        <f>Sales4[[#This Row],[BOM Cost2]]+Sales4[[#This Row],[Labour Cost]]+Sales4[[#This Row],[Other conversion cost]]</f>
        <v>#REF!</v>
      </c>
      <c r="AH4" s="12" t="e">
        <f>Sales4[[#This Row],[Billed Quantity]]*Sales4[[#This Row],[BOM Cost]]</f>
        <v>#REF!</v>
      </c>
      <c r="AI4" s="12" t="e">
        <f>Sales4[[#This Row],[Billed Quantity]]*Sales4[[#This Row],[Labour cost per unit]]</f>
        <v>#REF!</v>
      </c>
      <c r="AJ4" s="12">
        <f>Sales4[[#This Row],[Droppage per unit]]*Sales4[[#This Row],[Billed Quantity]]</f>
        <v>0</v>
      </c>
      <c r="AK4" s="12" t="e">
        <f>Sales4[[#This Row],[Billed Quantity]]*Sales4[[#This Row],[Other Conversion cost pu]]</f>
        <v>#REF!</v>
      </c>
      <c r="AL4" s="48" t="e">
        <f>Sales4[[#This Row],[PGI Amount]]-Sales4[[#This Row],[BOM Cost2]]-Sales4[[#This Row],[Labour Cost]]-Sales4[[#This Row],[Other conversion cost]]</f>
        <v>#REF!</v>
      </c>
      <c r="AM4" s="121" t="e">
        <f>1-Sales4[[#This Row],[PGI COST]]/Sales4[[#This Row],[Net Value]]</f>
        <v>#REF!</v>
      </c>
      <c r="AN4" s="1">
        <f>Sales4[[#This Row],[PGI Amount]]/Sales4[[#This Row],[Billed Quantity]]</f>
        <v>329.46000000000004</v>
      </c>
      <c r="AO4" s="72" t="e">
        <f>SUMIFS('COGS Break up'!#REF!,'COGS Break up'!#REF!,Sales4[[#This Row],[Material]],'COGS Break up'!#REF!,'MIS Working'!$AO$1)</f>
        <v>#REF!</v>
      </c>
      <c r="AP4" s="72" t="e">
        <f>SUMIFS('COGS Break up'!#REF!,'COGS Break up'!#REF!,Sales4[[#This Row],[Material]],'COGS Break up'!#REF!,'MIS Working'!$AP$1)</f>
        <v>#REF!</v>
      </c>
      <c r="AQ4" s="72" t="e">
        <f>SUMIFS('COGS Break up'!#REF!,'COGS Break up'!#REF!,Sales4[[#This Row],[Material]],'COGS Break up'!#REF!,'MIS Working'!$AQ$1)</f>
        <v>#REF!</v>
      </c>
      <c r="AR4" s="72">
        <f>Sales4[[#This Row],[Droppage per unit]]</f>
        <v>0</v>
      </c>
      <c r="AS4" s="15" t="e">
        <f>AO4*Sales4[[#This Row],[Billed Quantity]]</f>
        <v>#REF!</v>
      </c>
      <c r="AT4" s="72" t="e">
        <f>AP4*Sales4[[#This Row],[Billed Quantity]]</f>
        <v>#REF!</v>
      </c>
      <c r="AU4" s="72" t="e">
        <f>AQ4*Sales4[[#This Row],[Billed Quantity]]</f>
        <v>#REF!</v>
      </c>
      <c r="AV4" s="72">
        <f>AR4*Sales4[[#This Row],[Billed Quantity]]</f>
        <v>0</v>
      </c>
    </row>
    <row r="5" spans="1:48" x14ac:dyDescent="0.3">
      <c r="A5" s="1" t="s">
        <v>479</v>
      </c>
      <c r="B5" s="2">
        <v>45920</v>
      </c>
      <c r="C5" s="1">
        <v>3271272328</v>
      </c>
      <c r="D5" s="1" t="s">
        <v>38</v>
      </c>
      <c r="E5" s="1" t="s">
        <v>39</v>
      </c>
      <c r="F5" s="1" t="s">
        <v>18</v>
      </c>
      <c r="G5" s="1" t="s">
        <v>19</v>
      </c>
      <c r="H5" s="1" t="s">
        <v>27</v>
      </c>
      <c r="I5" s="3">
        <v>2800</v>
      </c>
      <c r="J5" s="4">
        <v>922488</v>
      </c>
      <c r="K5" s="3">
        <v>2800</v>
      </c>
      <c r="L5" s="3">
        <v>2800</v>
      </c>
      <c r="M5" s="2">
        <v>45920</v>
      </c>
      <c r="N5" s="4">
        <v>1003212</v>
      </c>
      <c r="O5" s="1" t="s">
        <v>21</v>
      </c>
      <c r="P5" s="1" t="s">
        <v>22</v>
      </c>
      <c r="Q5" s="1">
        <v>1</v>
      </c>
      <c r="R5" s="1" t="str">
        <f>VLOOKUP(Sales4[[#This Row],[Material type]],Master!$H$3:$I$8,2,0)</f>
        <v>Finished Goods</v>
      </c>
      <c r="S5" s="1" t="str">
        <f>VLOOKUP(Sales4[[#This Row],[Material Group]],Master!B:C,2,0)</f>
        <v>FG-PCB-CF</v>
      </c>
      <c r="T5" s="1" t="str">
        <f>VLOOKUP(Sales4[[#This Row],[Material Group Descrip]],Master!E:F,2,0)</f>
        <v>FG-PCB-CF</v>
      </c>
      <c r="U5" s="9" t="b">
        <f ca="1">(TODAY()-1)=Sales4[[#This Row],[Billing Date]]</f>
        <v>0</v>
      </c>
      <c r="V5" s="10" t="e">
        <f>Sales4[[#This Row],[Net Value]]-Sales4[[#This Row],[PGI COST]]</f>
        <v>#REF!</v>
      </c>
      <c r="W5" s="11" t="e">
        <f>Sales4[[#This Row],[Gross Margin]]/Sales4[[#This Row],[Net Value]]</f>
        <v>#REF!</v>
      </c>
      <c r="X5" s="1" t="str">
        <f>TEXT(Sales4[[#This Row],[Billing Date]],"mmmm-yy")</f>
        <v>September-25</v>
      </c>
      <c r="Y5" s="1">
        <f>Sales4[[#This Row],[Net Value]]/Sales4[[#This Row],[Billed Quantity]]</f>
        <v>358.29</v>
      </c>
      <c r="Z5" s="117">
        <f>Sales4[[#This Row],[Actual delivery qty]]</f>
        <v>2800</v>
      </c>
      <c r="AA5" s="12" t="e">
        <f>SUM(Sales4[[#This Row],[BOM Cost]:[Other Conversion cost pu]])</f>
        <v>#REF!</v>
      </c>
      <c r="AB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" s="12">
        <f>IFERROR(VLOOKUP(Sales4[[#This Row],[Material]],'COGS Break up'!#REF!,5,0),0)</f>
        <v>0</v>
      </c>
      <c r="AE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" s="48" t="e">
        <f>Sales4[[#This Row],[PGI per unit]]-Sales4[[#This Row],[BOM Cost]]-Sales4[[#This Row],[Labour cost per unit]]-Sales4[[#This Row],[Other Conversion cost pu]]</f>
        <v>#REF!</v>
      </c>
      <c r="AG5" s="48" t="e">
        <f>Sales4[[#This Row],[BOM Cost2]]+Sales4[[#This Row],[Labour Cost]]+Sales4[[#This Row],[Other conversion cost]]</f>
        <v>#REF!</v>
      </c>
      <c r="AH5" s="12" t="e">
        <f>Sales4[[#This Row],[Billed Quantity]]*Sales4[[#This Row],[BOM Cost]]</f>
        <v>#REF!</v>
      </c>
      <c r="AI5" s="12" t="e">
        <f>Sales4[[#This Row],[Billed Quantity]]*Sales4[[#This Row],[Labour cost per unit]]</f>
        <v>#REF!</v>
      </c>
      <c r="AJ5" s="12">
        <f>Sales4[[#This Row],[Droppage per unit]]*Sales4[[#This Row],[Billed Quantity]]</f>
        <v>0</v>
      </c>
      <c r="AK5" s="12" t="e">
        <f>Sales4[[#This Row],[Billed Quantity]]*Sales4[[#This Row],[Other Conversion cost pu]]</f>
        <v>#REF!</v>
      </c>
      <c r="AL5" s="48" t="e">
        <f>Sales4[[#This Row],[PGI Amount]]-Sales4[[#This Row],[BOM Cost2]]-Sales4[[#This Row],[Labour Cost]]-Sales4[[#This Row],[Other conversion cost]]</f>
        <v>#REF!</v>
      </c>
      <c r="AM5" s="121" t="e">
        <f>1-Sales4[[#This Row],[PGI COST]]/Sales4[[#This Row],[Net Value]]</f>
        <v>#REF!</v>
      </c>
      <c r="AN5" s="1">
        <f>Sales4[[#This Row],[PGI Amount]]/Sales4[[#This Row],[Billed Quantity]]</f>
        <v>329.46</v>
      </c>
      <c r="AO5" s="72" t="e">
        <f>SUMIFS('COGS Break up'!#REF!,'COGS Break up'!#REF!,Sales4[[#This Row],[Material]],'COGS Break up'!#REF!,'MIS Working'!$AO$1)</f>
        <v>#REF!</v>
      </c>
      <c r="AP5" s="72" t="e">
        <f>SUMIFS('COGS Break up'!#REF!,'COGS Break up'!#REF!,Sales4[[#This Row],[Material]],'COGS Break up'!#REF!,'MIS Working'!$AP$1)</f>
        <v>#REF!</v>
      </c>
      <c r="AQ5" s="72" t="e">
        <f>SUMIFS('COGS Break up'!#REF!,'COGS Break up'!#REF!,Sales4[[#This Row],[Material]],'COGS Break up'!#REF!,'MIS Working'!$AQ$1)</f>
        <v>#REF!</v>
      </c>
      <c r="AR5" s="72">
        <f>Sales4[[#This Row],[Droppage per unit]]</f>
        <v>0</v>
      </c>
      <c r="AS5" s="15" t="e">
        <f>AO5*Sales4[[#This Row],[Billed Quantity]]</f>
        <v>#REF!</v>
      </c>
      <c r="AT5" s="72" t="e">
        <f>AP5*Sales4[[#This Row],[Billed Quantity]]</f>
        <v>#REF!</v>
      </c>
      <c r="AU5" s="72" t="e">
        <f>AQ5*Sales4[[#This Row],[Billed Quantity]]</f>
        <v>#REF!</v>
      </c>
      <c r="AV5" s="72">
        <f>AR5*Sales4[[#This Row],[Billed Quantity]]</f>
        <v>0</v>
      </c>
    </row>
    <row r="6" spans="1:48" x14ac:dyDescent="0.3">
      <c r="A6" s="1" t="s">
        <v>479</v>
      </c>
      <c r="B6" s="2">
        <v>45920</v>
      </c>
      <c r="C6" s="1">
        <v>3271272536</v>
      </c>
      <c r="D6" s="1" t="s">
        <v>23</v>
      </c>
      <c r="E6" s="1" t="s">
        <v>24</v>
      </c>
      <c r="F6" s="1" t="s">
        <v>18</v>
      </c>
      <c r="G6" s="1" t="s">
        <v>19</v>
      </c>
      <c r="H6" s="1" t="s">
        <v>27</v>
      </c>
      <c r="I6" s="3">
        <v>560</v>
      </c>
      <c r="J6" s="4">
        <v>237680.8</v>
      </c>
      <c r="K6" s="3">
        <v>560</v>
      </c>
      <c r="L6" s="3">
        <v>560</v>
      </c>
      <c r="M6" s="2">
        <v>45920</v>
      </c>
      <c r="N6" s="4">
        <v>270569.59999999998</v>
      </c>
      <c r="O6" s="1" t="s">
        <v>21</v>
      </c>
      <c r="P6" s="1" t="s">
        <v>22</v>
      </c>
      <c r="Q6" s="1">
        <v>1</v>
      </c>
      <c r="R6" s="1" t="str">
        <f>VLOOKUP(Sales4[[#This Row],[Material type]],Master!$H$3:$I$8,2,0)</f>
        <v>Finished Goods</v>
      </c>
      <c r="S6" s="1" t="str">
        <f>VLOOKUP(Sales4[[#This Row],[Material Group]],Master!B:C,2,0)</f>
        <v>FG-PCB-CF</v>
      </c>
      <c r="T6" s="1" t="str">
        <f>VLOOKUP(Sales4[[#This Row],[Material Group Descrip]],Master!E:F,2,0)</f>
        <v>FG-PCB-CF</v>
      </c>
      <c r="U6" s="9" t="b">
        <f ca="1">(TODAY()-1)=Sales4[[#This Row],[Billing Date]]</f>
        <v>0</v>
      </c>
      <c r="V6" s="10" t="e">
        <f>Sales4[[#This Row],[Net Value]]-Sales4[[#This Row],[PGI COST]]</f>
        <v>#REF!</v>
      </c>
      <c r="W6" s="11" t="e">
        <f>Sales4[[#This Row],[Gross Margin]]/Sales4[[#This Row],[Net Value]]</f>
        <v>#REF!</v>
      </c>
      <c r="X6" s="1" t="str">
        <f>TEXT(Sales4[[#This Row],[Billing Date]],"mmmm-yy")</f>
        <v>September-25</v>
      </c>
      <c r="Y6" s="1">
        <f>Sales4[[#This Row],[Net Value]]/Sales4[[#This Row],[Billed Quantity]]</f>
        <v>483.15999999999997</v>
      </c>
      <c r="Z6" s="117">
        <f>Sales4[[#This Row],[Actual delivery qty]]</f>
        <v>560</v>
      </c>
      <c r="AA6" s="12" t="e">
        <f>SUM(Sales4[[#This Row],[BOM Cost]:[Other Conversion cost pu]])</f>
        <v>#REF!</v>
      </c>
      <c r="AB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6" s="12">
        <f>IFERROR(VLOOKUP(Sales4[[#This Row],[Material]],'COGS Break up'!#REF!,5,0),0)</f>
        <v>0</v>
      </c>
      <c r="AE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6" s="48" t="e">
        <f>Sales4[[#This Row],[PGI per unit]]-Sales4[[#This Row],[BOM Cost]]-Sales4[[#This Row],[Labour cost per unit]]-Sales4[[#This Row],[Other Conversion cost pu]]</f>
        <v>#REF!</v>
      </c>
      <c r="AG6" s="48" t="e">
        <f>Sales4[[#This Row],[BOM Cost2]]+Sales4[[#This Row],[Labour Cost]]+Sales4[[#This Row],[Other conversion cost]]</f>
        <v>#REF!</v>
      </c>
      <c r="AH6" s="12" t="e">
        <f>Sales4[[#This Row],[Billed Quantity]]*Sales4[[#This Row],[BOM Cost]]</f>
        <v>#REF!</v>
      </c>
      <c r="AI6" s="12" t="e">
        <f>Sales4[[#This Row],[Billed Quantity]]*Sales4[[#This Row],[Labour cost per unit]]</f>
        <v>#REF!</v>
      </c>
      <c r="AJ6" s="12">
        <f>Sales4[[#This Row],[Droppage per unit]]*Sales4[[#This Row],[Billed Quantity]]</f>
        <v>0</v>
      </c>
      <c r="AK6" s="12" t="e">
        <f>Sales4[[#This Row],[Billed Quantity]]*Sales4[[#This Row],[Other Conversion cost pu]]</f>
        <v>#REF!</v>
      </c>
      <c r="AL6" s="48" t="e">
        <f>Sales4[[#This Row],[PGI Amount]]-Sales4[[#This Row],[BOM Cost2]]-Sales4[[#This Row],[Labour Cost]]-Sales4[[#This Row],[Other conversion cost]]</f>
        <v>#REF!</v>
      </c>
      <c r="AM6" s="120" t="e">
        <f>1-Sales4[[#This Row],[PGI COST]]/Sales4[[#This Row],[Net Value]]</f>
        <v>#REF!</v>
      </c>
      <c r="AN6" s="1">
        <f>Sales4[[#This Row],[PGI Amount]]/Sales4[[#This Row],[Billed Quantity]]</f>
        <v>424.43</v>
      </c>
      <c r="AO6" s="72" t="e">
        <f>SUMIFS('COGS Break up'!#REF!,'COGS Break up'!#REF!,Sales4[[#This Row],[Material]],'COGS Break up'!#REF!,'MIS Working'!$AO$1)</f>
        <v>#REF!</v>
      </c>
      <c r="AP6" s="72" t="e">
        <f>SUMIFS('COGS Break up'!#REF!,'COGS Break up'!#REF!,Sales4[[#This Row],[Material]],'COGS Break up'!#REF!,'MIS Working'!$AP$1)</f>
        <v>#REF!</v>
      </c>
      <c r="AQ6" s="72" t="e">
        <f>SUMIFS('COGS Break up'!#REF!,'COGS Break up'!#REF!,Sales4[[#This Row],[Material]],'COGS Break up'!#REF!,'MIS Working'!$AQ$1)</f>
        <v>#REF!</v>
      </c>
      <c r="AR6" s="72">
        <f>Sales4[[#This Row],[Droppage per unit]]</f>
        <v>0</v>
      </c>
      <c r="AS6" s="15" t="e">
        <f>AO6*Sales4[[#This Row],[Billed Quantity]]</f>
        <v>#REF!</v>
      </c>
      <c r="AT6" s="72" t="e">
        <f>AP6*Sales4[[#This Row],[Billed Quantity]]</f>
        <v>#REF!</v>
      </c>
      <c r="AU6" s="72" t="e">
        <f>AQ6*Sales4[[#This Row],[Billed Quantity]]</f>
        <v>#REF!</v>
      </c>
      <c r="AV6" s="72">
        <f>AR6*Sales4[[#This Row],[Billed Quantity]]</f>
        <v>0</v>
      </c>
    </row>
    <row r="7" spans="1:48" x14ac:dyDescent="0.3">
      <c r="A7" s="1" t="s">
        <v>479</v>
      </c>
      <c r="B7" s="2">
        <v>45920</v>
      </c>
      <c r="C7" s="1">
        <v>3271272308</v>
      </c>
      <c r="D7" s="1" t="s">
        <v>23</v>
      </c>
      <c r="E7" s="1" t="s">
        <v>24</v>
      </c>
      <c r="F7" s="1" t="s">
        <v>18</v>
      </c>
      <c r="G7" s="1" t="s">
        <v>19</v>
      </c>
      <c r="H7" s="1" t="s">
        <v>27</v>
      </c>
      <c r="I7" s="3">
        <v>70</v>
      </c>
      <c r="J7" s="4">
        <v>29710.1</v>
      </c>
      <c r="K7" s="3">
        <v>70</v>
      </c>
      <c r="L7" s="3">
        <v>70</v>
      </c>
      <c r="M7" s="2">
        <v>45920</v>
      </c>
      <c r="N7" s="4">
        <v>33821.199999999997</v>
      </c>
      <c r="O7" s="1" t="s">
        <v>21</v>
      </c>
      <c r="P7" s="1" t="s">
        <v>22</v>
      </c>
      <c r="Q7" s="1">
        <v>1</v>
      </c>
      <c r="R7" s="1" t="str">
        <f>VLOOKUP(Sales4[[#This Row],[Material type]],Master!$H$3:$I$8,2,0)</f>
        <v>Finished Goods</v>
      </c>
      <c r="S7" s="1" t="str">
        <f>VLOOKUP(Sales4[[#This Row],[Material Group]],Master!B:C,2,0)</f>
        <v>FG-PCB-CF</v>
      </c>
      <c r="T7" s="1" t="str">
        <f>VLOOKUP(Sales4[[#This Row],[Material Group Descrip]],Master!E:F,2,0)</f>
        <v>FG-PCB-CF</v>
      </c>
      <c r="U7" s="9" t="b">
        <f ca="1">(TODAY()-1)=Sales4[[#This Row],[Billing Date]]</f>
        <v>0</v>
      </c>
      <c r="V7" s="10" t="e">
        <f>Sales4[[#This Row],[Net Value]]-Sales4[[#This Row],[PGI COST]]</f>
        <v>#REF!</v>
      </c>
      <c r="W7" s="11" t="e">
        <f>Sales4[[#This Row],[Gross Margin]]/Sales4[[#This Row],[Net Value]]</f>
        <v>#REF!</v>
      </c>
      <c r="X7" s="1" t="str">
        <f>TEXT(Sales4[[#This Row],[Billing Date]],"mmmm-yy")</f>
        <v>September-25</v>
      </c>
      <c r="Y7" s="1">
        <f>Sales4[[#This Row],[Net Value]]/Sales4[[#This Row],[Billed Quantity]]</f>
        <v>483.15999999999997</v>
      </c>
      <c r="Z7" s="117">
        <f>Sales4[[#This Row],[Actual delivery qty]]</f>
        <v>70</v>
      </c>
      <c r="AA7" s="12" t="e">
        <f>SUM(Sales4[[#This Row],[BOM Cost]:[Other Conversion cost pu]])</f>
        <v>#REF!</v>
      </c>
      <c r="AB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7" s="12">
        <f>IFERROR(VLOOKUP(Sales4[[#This Row],[Material]],'COGS Break up'!#REF!,5,0),0)</f>
        <v>0</v>
      </c>
      <c r="AE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7" s="48" t="e">
        <f>Sales4[[#This Row],[PGI per unit]]-Sales4[[#This Row],[BOM Cost]]-Sales4[[#This Row],[Labour cost per unit]]-Sales4[[#This Row],[Other Conversion cost pu]]</f>
        <v>#REF!</v>
      </c>
      <c r="AG7" s="48" t="e">
        <f>Sales4[[#This Row],[BOM Cost2]]+Sales4[[#This Row],[Labour Cost]]+Sales4[[#This Row],[Other conversion cost]]</f>
        <v>#REF!</v>
      </c>
      <c r="AH7" s="12" t="e">
        <f>Sales4[[#This Row],[Billed Quantity]]*Sales4[[#This Row],[BOM Cost]]</f>
        <v>#REF!</v>
      </c>
      <c r="AI7" s="12" t="e">
        <f>Sales4[[#This Row],[Billed Quantity]]*Sales4[[#This Row],[Labour cost per unit]]</f>
        <v>#REF!</v>
      </c>
      <c r="AJ7" s="12">
        <f>Sales4[[#This Row],[Droppage per unit]]*Sales4[[#This Row],[Billed Quantity]]</f>
        <v>0</v>
      </c>
      <c r="AK7" s="12" t="e">
        <f>Sales4[[#This Row],[Billed Quantity]]*Sales4[[#This Row],[Other Conversion cost pu]]</f>
        <v>#REF!</v>
      </c>
      <c r="AL7" s="48" t="e">
        <f>Sales4[[#This Row],[PGI Amount]]-Sales4[[#This Row],[BOM Cost2]]-Sales4[[#This Row],[Labour Cost]]-Sales4[[#This Row],[Other conversion cost]]</f>
        <v>#REF!</v>
      </c>
      <c r="AM7" s="121" t="e">
        <f>1-Sales4[[#This Row],[PGI COST]]/Sales4[[#This Row],[Net Value]]</f>
        <v>#REF!</v>
      </c>
      <c r="AN7" s="1">
        <f>Sales4[[#This Row],[PGI Amount]]/Sales4[[#This Row],[Billed Quantity]]</f>
        <v>424.43</v>
      </c>
      <c r="AO7" s="72" t="e">
        <f>SUMIFS('COGS Break up'!#REF!,'COGS Break up'!#REF!,Sales4[[#This Row],[Material]],'COGS Break up'!#REF!,'MIS Working'!$AO$1)</f>
        <v>#REF!</v>
      </c>
      <c r="AP7" s="72" t="e">
        <f>SUMIFS('COGS Break up'!#REF!,'COGS Break up'!#REF!,Sales4[[#This Row],[Material]],'COGS Break up'!#REF!,'MIS Working'!$AP$1)</f>
        <v>#REF!</v>
      </c>
      <c r="AQ7" s="72" t="e">
        <f>SUMIFS('COGS Break up'!#REF!,'COGS Break up'!#REF!,Sales4[[#This Row],[Material]],'COGS Break up'!#REF!,'MIS Working'!$AQ$1)</f>
        <v>#REF!</v>
      </c>
      <c r="AR7" s="72">
        <f>Sales4[[#This Row],[Droppage per unit]]</f>
        <v>0</v>
      </c>
      <c r="AS7" s="15" t="e">
        <f>AO7*Sales4[[#This Row],[Billed Quantity]]</f>
        <v>#REF!</v>
      </c>
      <c r="AT7" s="72" t="e">
        <f>AP7*Sales4[[#This Row],[Billed Quantity]]</f>
        <v>#REF!</v>
      </c>
      <c r="AU7" s="72" t="e">
        <f>AQ7*Sales4[[#This Row],[Billed Quantity]]</f>
        <v>#REF!</v>
      </c>
      <c r="AV7" s="72">
        <f>AR7*Sales4[[#This Row],[Billed Quantity]]</f>
        <v>0</v>
      </c>
    </row>
    <row r="8" spans="1:48" x14ac:dyDescent="0.3">
      <c r="A8" s="1" t="s">
        <v>479</v>
      </c>
      <c r="B8" s="2">
        <v>45920</v>
      </c>
      <c r="C8" s="1">
        <v>3271272273</v>
      </c>
      <c r="D8" s="1" t="s">
        <v>23</v>
      </c>
      <c r="E8" s="1" t="s">
        <v>24</v>
      </c>
      <c r="F8" s="1" t="s">
        <v>18</v>
      </c>
      <c r="G8" s="1" t="s">
        <v>19</v>
      </c>
      <c r="H8" s="1" t="s">
        <v>27</v>
      </c>
      <c r="I8" s="3">
        <v>595</v>
      </c>
      <c r="J8" s="4">
        <v>252535.85</v>
      </c>
      <c r="K8" s="3">
        <v>595</v>
      </c>
      <c r="L8" s="3">
        <v>595</v>
      </c>
      <c r="M8" s="2">
        <v>45920</v>
      </c>
      <c r="N8" s="4">
        <v>287480.2</v>
      </c>
      <c r="O8" s="1" t="s">
        <v>21</v>
      </c>
      <c r="P8" s="1" t="s">
        <v>22</v>
      </c>
      <c r="Q8" s="1">
        <v>1</v>
      </c>
      <c r="R8" s="1" t="str">
        <f>VLOOKUP(Sales4[[#This Row],[Material type]],Master!$H$3:$I$8,2,0)</f>
        <v>Finished Goods</v>
      </c>
      <c r="S8" s="1" t="str">
        <f>VLOOKUP(Sales4[[#This Row],[Material Group]],Master!B:C,2,0)</f>
        <v>FG-PCB-CF</v>
      </c>
      <c r="T8" s="1" t="str">
        <f>VLOOKUP(Sales4[[#This Row],[Material Group Descrip]],Master!E:F,2,0)</f>
        <v>FG-PCB-CF</v>
      </c>
      <c r="U8" s="9" t="b">
        <f ca="1">(TODAY()-1)=Sales4[[#This Row],[Billing Date]]</f>
        <v>0</v>
      </c>
      <c r="V8" s="10" t="e">
        <f>Sales4[[#This Row],[Net Value]]-Sales4[[#This Row],[PGI COST]]</f>
        <v>#REF!</v>
      </c>
      <c r="W8" s="11" t="e">
        <f>Sales4[[#This Row],[Gross Margin]]/Sales4[[#This Row],[Net Value]]</f>
        <v>#REF!</v>
      </c>
      <c r="X8" s="1" t="str">
        <f>TEXT(Sales4[[#This Row],[Billing Date]],"mmmm-yy")</f>
        <v>September-25</v>
      </c>
      <c r="Y8" s="1">
        <f>Sales4[[#This Row],[Net Value]]/Sales4[[#This Row],[Billed Quantity]]</f>
        <v>483.16</v>
      </c>
      <c r="Z8" s="117">
        <f>Sales4[[#This Row],[Actual delivery qty]]</f>
        <v>595</v>
      </c>
      <c r="AA8" s="12" t="e">
        <f>SUM(Sales4[[#This Row],[BOM Cost]:[Other Conversion cost pu]])</f>
        <v>#REF!</v>
      </c>
      <c r="AB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8" s="12">
        <f>IFERROR(VLOOKUP(Sales4[[#This Row],[Material]],'COGS Break up'!#REF!,5,0),0)</f>
        <v>0</v>
      </c>
      <c r="AE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8" s="48" t="e">
        <f>Sales4[[#This Row],[PGI per unit]]-Sales4[[#This Row],[BOM Cost]]-Sales4[[#This Row],[Labour cost per unit]]-Sales4[[#This Row],[Other Conversion cost pu]]</f>
        <v>#REF!</v>
      </c>
      <c r="AG8" s="48" t="e">
        <f>Sales4[[#This Row],[BOM Cost2]]+Sales4[[#This Row],[Labour Cost]]+Sales4[[#This Row],[Other conversion cost]]</f>
        <v>#REF!</v>
      </c>
      <c r="AH8" s="12" t="e">
        <f>Sales4[[#This Row],[Billed Quantity]]*Sales4[[#This Row],[BOM Cost]]</f>
        <v>#REF!</v>
      </c>
      <c r="AI8" s="12" t="e">
        <f>Sales4[[#This Row],[Billed Quantity]]*Sales4[[#This Row],[Labour cost per unit]]</f>
        <v>#REF!</v>
      </c>
      <c r="AJ8" s="12">
        <f>Sales4[[#This Row],[Droppage per unit]]*Sales4[[#This Row],[Billed Quantity]]</f>
        <v>0</v>
      </c>
      <c r="AK8" s="12" t="e">
        <f>Sales4[[#This Row],[Billed Quantity]]*Sales4[[#This Row],[Other Conversion cost pu]]</f>
        <v>#REF!</v>
      </c>
      <c r="AL8" s="48" t="e">
        <f>Sales4[[#This Row],[PGI Amount]]-Sales4[[#This Row],[BOM Cost2]]-Sales4[[#This Row],[Labour Cost]]-Sales4[[#This Row],[Other conversion cost]]</f>
        <v>#REF!</v>
      </c>
      <c r="AM8" s="121" t="e">
        <f>1-Sales4[[#This Row],[PGI COST]]/Sales4[[#This Row],[Net Value]]</f>
        <v>#REF!</v>
      </c>
      <c r="AN8" s="1">
        <f>Sales4[[#This Row],[PGI Amount]]/Sales4[[#This Row],[Billed Quantity]]</f>
        <v>424.43</v>
      </c>
      <c r="AO8" s="72" t="e">
        <f>SUMIFS('COGS Break up'!#REF!,'COGS Break up'!#REF!,Sales4[[#This Row],[Material]],'COGS Break up'!#REF!,'MIS Working'!$AO$1)</f>
        <v>#REF!</v>
      </c>
      <c r="AP8" s="72" t="e">
        <f>SUMIFS('COGS Break up'!#REF!,'COGS Break up'!#REF!,Sales4[[#This Row],[Material]],'COGS Break up'!#REF!,'MIS Working'!$AP$1)</f>
        <v>#REF!</v>
      </c>
      <c r="AQ8" s="72" t="e">
        <f>SUMIFS('COGS Break up'!#REF!,'COGS Break up'!#REF!,Sales4[[#This Row],[Material]],'COGS Break up'!#REF!,'MIS Working'!$AQ$1)</f>
        <v>#REF!</v>
      </c>
      <c r="AR8" s="72">
        <f>Sales4[[#This Row],[Droppage per unit]]</f>
        <v>0</v>
      </c>
      <c r="AS8" s="15" t="e">
        <f>AO8*Sales4[[#This Row],[Billed Quantity]]</f>
        <v>#REF!</v>
      </c>
      <c r="AT8" s="72" t="e">
        <f>AP8*Sales4[[#This Row],[Billed Quantity]]</f>
        <v>#REF!</v>
      </c>
      <c r="AU8" s="72" t="e">
        <f>AQ8*Sales4[[#This Row],[Billed Quantity]]</f>
        <v>#REF!</v>
      </c>
      <c r="AV8" s="72">
        <f>AR8*Sales4[[#This Row],[Billed Quantity]]</f>
        <v>0</v>
      </c>
    </row>
    <row r="9" spans="1:48" x14ac:dyDescent="0.3">
      <c r="A9" s="1" t="s">
        <v>479</v>
      </c>
      <c r="B9" s="2">
        <v>45920</v>
      </c>
      <c r="C9" s="1">
        <v>3271272273</v>
      </c>
      <c r="D9" s="1" t="s">
        <v>362</v>
      </c>
      <c r="E9" s="1" t="s">
        <v>363</v>
      </c>
      <c r="F9" s="1" t="s">
        <v>18</v>
      </c>
      <c r="G9" s="1" t="s">
        <v>19</v>
      </c>
      <c r="H9" s="1" t="s">
        <v>483</v>
      </c>
      <c r="I9" s="3">
        <v>385</v>
      </c>
      <c r="J9" s="4">
        <v>282247.34999999998</v>
      </c>
      <c r="K9" s="3">
        <v>385</v>
      </c>
      <c r="L9" s="3">
        <v>385</v>
      </c>
      <c r="M9" s="2">
        <v>45920</v>
      </c>
      <c r="N9" s="4">
        <v>331962.40000000002</v>
      </c>
      <c r="O9" s="1" t="s">
        <v>21</v>
      </c>
      <c r="P9" s="1" t="s">
        <v>22</v>
      </c>
      <c r="Q9" s="1">
        <v>1</v>
      </c>
      <c r="R9" s="1" t="str">
        <f>VLOOKUP(Sales4[[#This Row],[Material type]],Master!$H$3:$I$8,2,0)</f>
        <v>Finished Goods</v>
      </c>
      <c r="S9" s="1" t="str">
        <f>VLOOKUP(Sales4[[#This Row],[Material Group]],Master!B:C,2,0)</f>
        <v>FG-PCB-MG</v>
      </c>
      <c r="T9" s="1" t="str">
        <f>VLOOKUP(Sales4[[#This Row],[Material Group Descrip]],Master!E:F,2,0)</f>
        <v>FG-PCB-MG</v>
      </c>
      <c r="U9" s="9" t="b">
        <f ca="1">(TODAY()-1)=Sales4[[#This Row],[Billing Date]]</f>
        <v>0</v>
      </c>
      <c r="V9" s="10" t="e">
        <f>Sales4[[#This Row],[Net Value]]-Sales4[[#This Row],[PGI COST]]</f>
        <v>#REF!</v>
      </c>
      <c r="W9" s="11" t="e">
        <f>Sales4[[#This Row],[Gross Margin]]/Sales4[[#This Row],[Net Value]]</f>
        <v>#REF!</v>
      </c>
      <c r="X9" s="1" t="str">
        <f>TEXT(Sales4[[#This Row],[Billing Date]],"mmmm-yy")</f>
        <v>September-25</v>
      </c>
      <c r="Y9" s="1">
        <f>Sales4[[#This Row],[Net Value]]/Sales4[[#This Row],[Billed Quantity]]</f>
        <v>862.24</v>
      </c>
      <c r="Z9" s="117">
        <f>Sales4[[#This Row],[Actual delivery qty]]</f>
        <v>385</v>
      </c>
      <c r="AA9" s="12" t="e">
        <f>SUM(Sales4[[#This Row],[BOM Cost]:[Other Conversion cost pu]])</f>
        <v>#REF!</v>
      </c>
      <c r="AB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9" s="12">
        <f>IFERROR(VLOOKUP(Sales4[[#This Row],[Material]],'COGS Break up'!#REF!,5,0),0)</f>
        <v>0</v>
      </c>
      <c r="AE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9" s="48" t="e">
        <f>Sales4[[#This Row],[PGI per unit]]-Sales4[[#This Row],[BOM Cost]]-Sales4[[#This Row],[Labour cost per unit]]-Sales4[[#This Row],[Other Conversion cost pu]]</f>
        <v>#REF!</v>
      </c>
      <c r="AG9" s="48" t="e">
        <f>Sales4[[#This Row],[BOM Cost2]]+Sales4[[#This Row],[Labour Cost]]+Sales4[[#This Row],[Other conversion cost]]</f>
        <v>#REF!</v>
      </c>
      <c r="AH9" s="12" t="e">
        <f>Sales4[[#This Row],[Billed Quantity]]*Sales4[[#This Row],[BOM Cost]]</f>
        <v>#REF!</v>
      </c>
      <c r="AI9" s="12" t="e">
        <f>Sales4[[#This Row],[Billed Quantity]]*Sales4[[#This Row],[Labour cost per unit]]</f>
        <v>#REF!</v>
      </c>
      <c r="AJ9" s="12">
        <f>Sales4[[#This Row],[Droppage per unit]]*Sales4[[#This Row],[Billed Quantity]]</f>
        <v>0</v>
      </c>
      <c r="AK9" s="12" t="e">
        <f>Sales4[[#This Row],[Billed Quantity]]*Sales4[[#This Row],[Other Conversion cost pu]]</f>
        <v>#REF!</v>
      </c>
      <c r="AL9" s="48" t="e">
        <f>Sales4[[#This Row],[PGI Amount]]-Sales4[[#This Row],[BOM Cost2]]-Sales4[[#This Row],[Labour Cost]]-Sales4[[#This Row],[Other conversion cost]]</f>
        <v>#REF!</v>
      </c>
      <c r="AM9" s="121" t="e">
        <f>1-Sales4[[#This Row],[PGI COST]]/Sales4[[#This Row],[Net Value]]</f>
        <v>#REF!</v>
      </c>
      <c r="AN9" s="1">
        <f>Sales4[[#This Row],[PGI Amount]]/Sales4[[#This Row],[Billed Quantity]]</f>
        <v>733.1099999999999</v>
      </c>
      <c r="AO9" s="72" t="e">
        <f>SUMIFS('COGS Break up'!#REF!,'COGS Break up'!#REF!,Sales4[[#This Row],[Material]],'COGS Break up'!#REF!,'MIS Working'!$AO$1)</f>
        <v>#REF!</v>
      </c>
      <c r="AP9" s="72" t="e">
        <f>SUMIFS('COGS Break up'!#REF!,'COGS Break up'!#REF!,Sales4[[#This Row],[Material]],'COGS Break up'!#REF!,'MIS Working'!$AP$1)</f>
        <v>#REF!</v>
      </c>
      <c r="AQ9" s="72" t="e">
        <f>SUMIFS('COGS Break up'!#REF!,'COGS Break up'!#REF!,Sales4[[#This Row],[Material]],'COGS Break up'!#REF!,'MIS Working'!$AQ$1)</f>
        <v>#REF!</v>
      </c>
      <c r="AR9" s="72">
        <f>Sales4[[#This Row],[Droppage per unit]]</f>
        <v>0</v>
      </c>
      <c r="AS9" s="15" t="e">
        <f>AO9*Sales4[[#This Row],[Billed Quantity]]</f>
        <v>#REF!</v>
      </c>
      <c r="AT9" s="72" t="e">
        <f>AP9*Sales4[[#This Row],[Billed Quantity]]</f>
        <v>#REF!</v>
      </c>
      <c r="AU9" s="72" t="e">
        <f>AQ9*Sales4[[#This Row],[Billed Quantity]]</f>
        <v>#REF!</v>
      </c>
      <c r="AV9" s="72">
        <f>AR9*Sales4[[#This Row],[Billed Quantity]]</f>
        <v>0</v>
      </c>
    </row>
    <row r="10" spans="1:48" x14ac:dyDescent="0.3">
      <c r="A10" s="1" t="s">
        <v>479</v>
      </c>
      <c r="B10" s="2">
        <v>45920</v>
      </c>
      <c r="C10" s="1">
        <v>3271272308</v>
      </c>
      <c r="D10" s="1" t="s">
        <v>362</v>
      </c>
      <c r="E10" s="1" t="s">
        <v>363</v>
      </c>
      <c r="F10" s="1" t="s">
        <v>18</v>
      </c>
      <c r="G10" s="1" t="s">
        <v>19</v>
      </c>
      <c r="H10" s="1" t="s">
        <v>483</v>
      </c>
      <c r="I10" s="3">
        <v>315</v>
      </c>
      <c r="J10" s="4">
        <v>230929.65</v>
      </c>
      <c r="K10" s="3">
        <v>315</v>
      </c>
      <c r="L10" s="3">
        <v>315</v>
      </c>
      <c r="M10" s="2">
        <v>45920</v>
      </c>
      <c r="N10" s="4">
        <v>271605.59999999998</v>
      </c>
      <c r="O10" s="1" t="s">
        <v>21</v>
      </c>
      <c r="P10" s="1" t="s">
        <v>22</v>
      </c>
      <c r="Q10" s="1">
        <v>1</v>
      </c>
      <c r="R10" s="1" t="str">
        <f>VLOOKUP(Sales4[[#This Row],[Material type]],Master!$H$3:$I$8,2,0)</f>
        <v>Finished Goods</v>
      </c>
      <c r="S10" s="1" t="str">
        <f>VLOOKUP(Sales4[[#This Row],[Material Group]],Master!B:C,2,0)</f>
        <v>FG-PCB-MG</v>
      </c>
      <c r="T10" s="1" t="str">
        <f>VLOOKUP(Sales4[[#This Row],[Material Group Descrip]],Master!E:F,2,0)</f>
        <v>FG-PCB-MG</v>
      </c>
      <c r="U10" s="9" t="b">
        <f ca="1">(TODAY()-1)=Sales4[[#This Row],[Billing Date]]</f>
        <v>0</v>
      </c>
      <c r="V10" s="10" t="e">
        <f>Sales4[[#This Row],[Net Value]]-Sales4[[#This Row],[PGI COST]]</f>
        <v>#REF!</v>
      </c>
      <c r="W10" s="11" t="e">
        <f>Sales4[[#This Row],[Gross Margin]]/Sales4[[#This Row],[Net Value]]</f>
        <v>#REF!</v>
      </c>
      <c r="X10" s="1" t="str">
        <f>TEXT(Sales4[[#This Row],[Billing Date]],"mmmm-yy")</f>
        <v>September-25</v>
      </c>
      <c r="Y10" s="1">
        <f>Sales4[[#This Row],[Net Value]]/Sales4[[#This Row],[Billed Quantity]]</f>
        <v>862.2399999999999</v>
      </c>
      <c r="Z10" s="117">
        <f>Sales4[[#This Row],[Actual delivery qty]]</f>
        <v>315</v>
      </c>
      <c r="AA10" s="12" t="e">
        <f>SUM(Sales4[[#This Row],[BOM Cost]:[Other Conversion cost pu]])</f>
        <v>#REF!</v>
      </c>
      <c r="AB1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0" s="12">
        <f>IFERROR(VLOOKUP(Sales4[[#This Row],[Material]],'COGS Break up'!#REF!,5,0),0)</f>
        <v>0</v>
      </c>
      <c r="AE1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0" s="48" t="e">
        <f>Sales4[[#This Row],[PGI per unit]]-Sales4[[#This Row],[BOM Cost]]-Sales4[[#This Row],[Labour cost per unit]]-Sales4[[#This Row],[Other Conversion cost pu]]</f>
        <v>#REF!</v>
      </c>
      <c r="AG10" s="48" t="e">
        <f>Sales4[[#This Row],[BOM Cost2]]+Sales4[[#This Row],[Labour Cost]]+Sales4[[#This Row],[Other conversion cost]]</f>
        <v>#REF!</v>
      </c>
      <c r="AH10" s="12" t="e">
        <f>Sales4[[#This Row],[Billed Quantity]]*Sales4[[#This Row],[BOM Cost]]</f>
        <v>#REF!</v>
      </c>
      <c r="AI10" s="12" t="e">
        <f>Sales4[[#This Row],[Billed Quantity]]*Sales4[[#This Row],[Labour cost per unit]]</f>
        <v>#REF!</v>
      </c>
      <c r="AJ10" s="12">
        <f>Sales4[[#This Row],[Droppage per unit]]*Sales4[[#This Row],[Billed Quantity]]</f>
        <v>0</v>
      </c>
      <c r="AK10" s="12" t="e">
        <f>Sales4[[#This Row],[Billed Quantity]]*Sales4[[#This Row],[Other Conversion cost pu]]</f>
        <v>#REF!</v>
      </c>
      <c r="AL10" s="48" t="e">
        <f>Sales4[[#This Row],[PGI Amount]]-Sales4[[#This Row],[BOM Cost2]]-Sales4[[#This Row],[Labour Cost]]-Sales4[[#This Row],[Other conversion cost]]</f>
        <v>#REF!</v>
      </c>
      <c r="AM10" s="121" t="e">
        <f>1-Sales4[[#This Row],[PGI COST]]/Sales4[[#This Row],[Net Value]]</f>
        <v>#REF!</v>
      </c>
      <c r="AN10" s="1">
        <f>Sales4[[#This Row],[PGI Amount]]/Sales4[[#This Row],[Billed Quantity]]</f>
        <v>733.11</v>
      </c>
      <c r="AO10" s="72" t="e">
        <f>SUMIFS('COGS Break up'!#REF!,'COGS Break up'!#REF!,Sales4[[#This Row],[Material]],'COGS Break up'!#REF!,'MIS Working'!$AO$1)</f>
        <v>#REF!</v>
      </c>
      <c r="AP10" s="72" t="e">
        <f>SUMIFS('COGS Break up'!#REF!,'COGS Break up'!#REF!,Sales4[[#This Row],[Material]],'COGS Break up'!#REF!,'MIS Working'!$AP$1)</f>
        <v>#REF!</v>
      </c>
      <c r="AQ10" s="72" t="e">
        <f>SUMIFS('COGS Break up'!#REF!,'COGS Break up'!#REF!,Sales4[[#This Row],[Material]],'COGS Break up'!#REF!,'MIS Working'!$AQ$1)</f>
        <v>#REF!</v>
      </c>
      <c r="AR10" s="72">
        <f>Sales4[[#This Row],[Droppage per unit]]</f>
        <v>0</v>
      </c>
      <c r="AS10" s="15" t="e">
        <f>AO10*Sales4[[#This Row],[Billed Quantity]]</f>
        <v>#REF!</v>
      </c>
      <c r="AT10" s="72" t="e">
        <f>AP10*Sales4[[#This Row],[Billed Quantity]]</f>
        <v>#REF!</v>
      </c>
      <c r="AU10" s="72" t="e">
        <f>AQ10*Sales4[[#This Row],[Billed Quantity]]</f>
        <v>#REF!</v>
      </c>
      <c r="AV10" s="72">
        <f>AR10*Sales4[[#This Row],[Billed Quantity]]</f>
        <v>0</v>
      </c>
    </row>
    <row r="11" spans="1:48" x14ac:dyDescent="0.3">
      <c r="A11" s="1" t="s">
        <v>479</v>
      </c>
      <c r="B11" s="2">
        <v>45920</v>
      </c>
      <c r="C11" s="1">
        <v>3271272536</v>
      </c>
      <c r="D11" s="1" t="s">
        <v>362</v>
      </c>
      <c r="E11" s="1" t="s">
        <v>363</v>
      </c>
      <c r="F11" s="1" t="s">
        <v>18</v>
      </c>
      <c r="G11" s="1" t="s">
        <v>19</v>
      </c>
      <c r="H11" s="1" t="s">
        <v>483</v>
      </c>
      <c r="I11" s="3">
        <v>175</v>
      </c>
      <c r="J11" s="4">
        <v>128294.25</v>
      </c>
      <c r="K11" s="3">
        <v>175</v>
      </c>
      <c r="L11" s="3">
        <v>175</v>
      </c>
      <c r="M11" s="2">
        <v>45920</v>
      </c>
      <c r="N11" s="4">
        <v>150892</v>
      </c>
      <c r="O11" s="1" t="s">
        <v>21</v>
      </c>
      <c r="P11" s="1" t="s">
        <v>22</v>
      </c>
      <c r="Q11" s="1">
        <v>1</v>
      </c>
      <c r="R11" s="1" t="str">
        <f>VLOOKUP(Sales4[[#This Row],[Material type]],Master!$H$3:$I$8,2,0)</f>
        <v>Finished Goods</v>
      </c>
      <c r="S11" s="1" t="str">
        <f>VLOOKUP(Sales4[[#This Row],[Material Group]],Master!B:C,2,0)</f>
        <v>FG-PCB-MG</v>
      </c>
      <c r="T11" s="1" t="str">
        <f>VLOOKUP(Sales4[[#This Row],[Material Group Descrip]],Master!E:F,2,0)</f>
        <v>FG-PCB-MG</v>
      </c>
      <c r="U11" s="9" t="b">
        <f ca="1">(TODAY()-1)=Sales4[[#This Row],[Billing Date]]</f>
        <v>0</v>
      </c>
      <c r="V11" s="10" t="e">
        <f>Sales4[[#This Row],[Net Value]]-Sales4[[#This Row],[PGI COST]]</f>
        <v>#REF!</v>
      </c>
      <c r="W11" s="11" t="e">
        <f>Sales4[[#This Row],[Gross Margin]]/Sales4[[#This Row],[Net Value]]</f>
        <v>#REF!</v>
      </c>
      <c r="X11" s="1" t="str">
        <f>TEXT(Sales4[[#This Row],[Billing Date]],"mmmm-yy")</f>
        <v>September-25</v>
      </c>
      <c r="Y11" s="1">
        <f>Sales4[[#This Row],[Net Value]]/Sales4[[#This Row],[Billed Quantity]]</f>
        <v>862.24</v>
      </c>
      <c r="Z11" s="117">
        <f>Sales4[[#This Row],[Actual delivery qty]]</f>
        <v>175</v>
      </c>
      <c r="AA11" s="12" t="e">
        <f>SUM(Sales4[[#This Row],[BOM Cost]:[Other Conversion cost pu]])</f>
        <v>#REF!</v>
      </c>
      <c r="AB1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1" s="12">
        <f>IFERROR(VLOOKUP(Sales4[[#This Row],[Material]],'COGS Break up'!#REF!,5,0),0)</f>
        <v>0</v>
      </c>
      <c r="AE1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1" s="48" t="e">
        <f>Sales4[[#This Row],[PGI per unit]]-Sales4[[#This Row],[BOM Cost]]-Sales4[[#This Row],[Labour cost per unit]]-Sales4[[#This Row],[Other Conversion cost pu]]</f>
        <v>#REF!</v>
      </c>
      <c r="AG11" s="48" t="e">
        <f>Sales4[[#This Row],[BOM Cost2]]+Sales4[[#This Row],[Labour Cost]]+Sales4[[#This Row],[Other conversion cost]]</f>
        <v>#REF!</v>
      </c>
      <c r="AH11" s="12" t="e">
        <f>Sales4[[#This Row],[Billed Quantity]]*Sales4[[#This Row],[BOM Cost]]</f>
        <v>#REF!</v>
      </c>
      <c r="AI11" s="12" t="e">
        <f>Sales4[[#This Row],[Billed Quantity]]*Sales4[[#This Row],[Labour cost per unit]]</f>
        <v>#REF!</v>
      </c>
      <c r="AJ11" s="12">
        <f>Sales4[[#This Row],[Droppage per unit]]*Sales4[[#This Row],[Billed Quantity]]</f>
        <v>0</v>
      </c>
      <c r="AK11" s="12" t="e">
        <f>Sales4[[#This Row],[Billed Quantity]]*Sales4[[#This Row],[Other Conversion cost pu]]</f>
        <v>#REF!</v>
      </c>
      <c r="AL11" s="48" t="e">
        <f>Sales4[[#This Row],[PGI Amount]]-Sales4[[#This Row],[BOM Cost2]]-Sales4[[#This Row],[Labour Cost]]-Sales4[[#This Row],[Other conversion cost]]</f>
        <v>#REF!</v>
      </c>
      <c r="AM11" s="121" t="e">
        <f>1-Sales4[[#This Row],[PGI COST]]/Sales4[[#This Row],[Net Value]]</f>
        <v>#REF!</v>
      </c>
      <c r="AN11" s="1">
        <f>Sales4[[#This Row],[PGI Amount]]/Sales4[[#This Row],[Billed Quantity]]</f>
        <v>733.11</v>
      </c>
      <c r="AO11" s="72" t="e">
        <f>SUMIFS('COGS Break up'!#REF!,'COGS Break up'!#REF!,Sales4[[#This Row],[Material]],'COGS Break up'!#REF!,'MIS Working'!$AO$1)</f>
        <v>#REF!</v>
      </c>
      <c r="AP11" s="72" t="e">
        <f>SUMIFS('COGS Break up'!#REF!,'COGS Break up'!#REF!,Sales4[[#This Row],[Material]],'COGS Break up'!#REF!,'MIS Working'!$AP$1)</f>
        <v>#REF!</v>
      </c>
      <c r="AQ11" s="72" t="e">
        <f>SUMIFS('COGS Break up'!#REF!,'COGS Break up'!#REF!,Sales4[[#This Row],[Material]],'COGS Break up'!#REF!,'MIS Working'!$AQ$1)</f>
        <v>#REF!</v>
      </c>
      <c r="AR11" s="72">
        <f>Sales4[[#This Row],[Droppage per unit]]</f>
        <v>0</v>
      </c>
      <c r="AS11" s="15" t="e">
        <f>AO11*Sales4[[#This Row],[Billed Quantity]]</f>
        <v>#REF!</v>
      </c>
      <c r="AT11" s="72" t="e">
        <f>AP11*Sales4[[#This Row],[Billed Quantity]]</f>
        <v>#REF!</v>
      </c>
      <c r="AU11" s="72" t="e">
        <f>AQ11*Sales4[[#This Row],[Billed Quantity]]</f>
        <v>#REF!</v>
      </c>
      <c r="AV11" s="72">
        <f>AR11*Sales4[[#This Row],[Billed Quantity]]</f>
        <v>0</v>
      </c>
    </row>
    <row r="12" spans="1:48" x14ac:dyDescent="0.3">
      <c r="A12" s="1" t="s">
        <v>479</v>
      </c>
      <c r="B12" s="2">
        <v>45920</v>
      </c>
      <c r="C12" s="1">
        <v>3271272308</v>
      </c>
      <c r="D12" s="1" t="s">
        <v>364</v>
      </c>
      <c r="E12" s="1" t="s">
        <v>365</v>
      </c>
      <c r="F12" s="1" t="s">
        <v>18</v>
      </c>
      <c r="G12" s="1" t="s">
        <v>19</v>
      </c>
      <c r="H12" s="1" t="s">
        <v>771</v>
      </c>
      <c r="I12" s="3">
        <v>215</v>
      </c>
      <c r="J12" s="4">
        <v>23441.45</v>
      </c>
      <c r="K12" s="3">
        <v>215</v>
      </c>
      <c r="L12" s="3">
        <v>215</v>
      </c>
      <c r="M12" s="2">
        <v>45920</v>
      </c>
      <c r="N12" s="4">
        <v>21766.6</v>
      </c>
      <c r="O12" s="1" t="s">
        <v>21</v>
      </c>
      <c r="P12" s="1" t="s">
        <v>22</v>
      </c>
      <c r="Q12" s="1">
        <v>1</v>
      </c>
      <c r="R12" s="1" t="str">
        <f>VLOOKUP(Sales4[[#This Row],[Material type]],Master!$H$3:$I$8,2,0)</f>
        <v>Finished Goods</v>
      </c>
      <c r="S12" s="1" t="str">
        <f>VLOOKUP(Sales4[[#This Row],[Material Group]],Master!B:C,2,0)</f>
        <v>FG-PCB-MG Interface</v>
      </c>
      <c r="T12" s="1" t="str">
        <f>VLOOKUP(Sales4[[#This Row],[Material Group Descrip]],Master!E:F,2,0)</f>
        <v>FG-PCB-MG</v>
      </c>
      <c r="U12" s="9" t="b">
        <f ca="1">(TODAY()-1)=Sales4[[#This Row],[Billing Date]]</f>
        <v>0</v>
      </c>
      <c r="V12" s="10" t="e">
        <f>Sales4[[#This Row],[Net Value]]-Sales4[[#This Row],[PGI COST]]</f>
        <v>#REF!</v>
      </c>
      <c r="W12" s="11" t="e">
        <f>Sales4[[#This Row],[Gross Margin]]/Sales4[[#This Row],[Net Value]]</f>
        <v>#REF!</v>
      </c>
      <c r="X12" s="1" t="str">
        <f>TEXT(Sales4[[#This Row],[Billing Date]],"mmmm-yy")</f>
        <v>September-25</v>
      </c>
      <c r="Y12" s="1">
        <f>Sales4[[#This Row],[Net Value]]/Sales4[[#This Row],[Billed Quantity]]</f>
        <v>101.24</v>
      </c>
      <c r="Z12" s="117"/>
      <c r="AA12" s="12" t="e">
        <f>SUM(Sales4[[#This Row],[BOM Cost]:[Other Conversion cost pu]])</f>
        <v>#REF!</v>
      </c>
      <c r="AB1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2" s="12">
        <f>IFERROR(VLOOKUP(Sales4[[#This Row],[Material]],'COGS Break up'!#REF!,5,0),0)</f>
        <v>0</v>
      </c>
      <c r="AE1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2" s="48" t="e">
        <f>Sales4[[#This Row],[PGI per unit]]-Sales4[[#This Row],[BOM Cost]]-Sales4[[#This Row],[Labour cost per unit]]-Sales4[[#This Row],[Other Conversion cost pu]]</f>
        <v>#REF!</v>
      </c>
      <c r="AG12" s="48" t="e">
        <f>Sales4[[#This Row],[BOM Cost2]]+Sales4[[#This Row],[Labour Cost]]+Sales4[[#This Row],[Other conversion cost]]</f>
        <v>#REF!</v>
      </c>
      <c r="AH12" s="12" t="e">
        <f>Sales4[[#This Row],[Billed Quantity]]*Sales4[[#This Row],[BOM Cost]]</f>
        <v>#REF!</v>
      </c>
      <c r="AI12" s="12" t="e">
        <f>Sales4[[#This Row],[Billed Quantity]]*Sales4[[#This Row],[Labour cost per unit]]</f>
        <v>#REF!</v>
      </c>
      <c r="AJ12" s="12">
        <f>Sales4[[#This Row],[Droppage per unit]]*Sales4[[#This Row],[Billed Quantity]]</f>
        <v>0</v>
      </c>
      <c r="AK12" s="12" t="e">
        <f>Sales4[[#This Row],[Billed Quantity]]*Sales4[[#This Row],[Other Conversion cost pu]]</f>
        <v>#REF!</v>
      </c>
      <c r="AL12" s="48" t="e">
        <f>Sales4[[#This Row],[PGI Amount]]-Sales4[[#This Row],[BOM Cost2]]-Sales4[[#This Row],[Labour Cost]]-Sales4[[#This Row],[Other conversion cost]]</f>
        <v>#REF!</v>
      </c>
      <c r="AM12" s="121" t="e">
        <f>1-Sales4[[#This Row],[PGI COST]]/Sales4[[#This Row],[Net Value]]</f>
        <v>#REF!</v>
      </c>
      <c r="AN12" s="1">
        <f>Sales4[[#This Row],[PGI Amount]]/Sales4[[#This Row],[Billed Quantity]]</f>
        <v>109.03</v>
      </c>
      <c r="AO12" s="72" t="e">
        <f>SUMIFS('COGS Break up'!#REF!,'COGS Break up'!#REF!,Sales4[[#This Row],[Material]],'COGS Break up'!#REF!,'MIS Working'!$AO$1)</f>
        <v>#REF!</v>
      </c>
      <c r="AP12" s="72" t="e">
        <f>SUMIFS('COGS Break up'!#REF!,'COGS Break up'!#REF!,Sales4[[#This Row],[Material]],'COGS Break up'!#REF!,'MIS Working'!$AP$1)</f>
        <v>#REF!</v>
      </c>
      <c r="AQ12" s="72" t="e">
        <f>SUMIFS('COGS Break up'!#REF!,'COGS Break up'!#REF!,Sales4[[#This Row],[Material]],'COGS Break up'!#REF!,'MIS Working'!$AQ$1)</f>
        <v>#REF!</v>
      </c>
      <c r="AR12" s="72">
        <f>Sales4[[#This Row],[Droppage per unit]]</f>
        <v>0</v>
      </c>
      <c r="AS12" s="15" t="e">
        <f>AO12*Sales4[[#This Row],[Billed Quantity]]</f>
        <v>#REF!</v>
      </c>
      <c r="AT12" s="72" t="e">
        <f>AP12*Sales4[[#This Row],[Billed Quantity]]</f>
        <v>#REF!</v>
      </c>
      <c r="AU12" s="72" t="e">
        <f>AQ12*Sales4[[#This Row],[Billed Quantity]]</f>
        <v>#REF!</v>
      </c>
      <c r="AV12" s="72">
        <f>AR12*Sales4[[#This Row],[Billed Quantity]]</f>
        <v>0</v>
      </c>
    </row>
    <row r="13" spans="1:48" x14ac:dyDescent="0.3">
      <c r="A13" s="1" t="s">
        <v>479</v>
      </c>
      <c r="B13" s="2">
        <v>45920</v>
      </c>
      <c r="C13" s="1">
        <v>3271272273</v>
      </c>
      <c r="D13" s="1" t="s">
        <v>364</v>
      </c>
      <c r="E13" s="1" t="s">
        <v>365</v>
      </c>
      <c r="F13" s="1" t="s">
        <v>18</v>
      </c>
      <c r="G13" s="1" t="s">
        <v>19</v>
      </c>
      <c r="H13" s="1" t="s">
        <v>771</v>
      </c>
      <c r="I13" s="3">
        <v>1120</v>
      </c>
      <c r="J13" s="4">
        <v>122113.60000000001</v>
      </c>
      <c r="K13" s="3">
        <v>1120</v>
      </c>
      <c r="L13" s="3">
        <v>1120</v>
      </c>
      <c r="M13" s="2">
        <v>45920</v>
      </c>
      <c r="N13" s="4">
        <v>113388.8</v>
      </c>
      <c r="O13" s="1" t="s">
        <v>21</v>
      </c>
      <c r="P13" s="1" t="s">
        <v>22</v>
      </c>
      <c r="Q13" s="1">
        <v>1</v>
      </c>
      <c r="R13" s="1" t="str">
        <f>VLOOKUP(Sales4[[#This Row],[Material type]],Master!$H$3:$I$8,2,0)</f>
        <v>Finished Goods</v>
      </c>
      <c r="S13" s="1" t="str">
        <f>VLOOKUP(Sales4[[#This Row],[Material Group]],Master!B:C,2,0)</f>
        <v>FG-PCB-MG Interface</v>
      </c>
      <c r="T13" s="1" t="str">
        <f>VLOOKUP(Sales4[[#This Row],[Material Group Descrip]],Master!E:F,2,0)</f>
        <v>FG-PCB-MG</v>
      </c>
      <c r="U13" s="9" t="b">
        <f ca="1">(TODAY()-1)=Sales4[[#This Row],[Billing Date]]</f>
        <v>0</v>
      </c>
      <c r="V13" s="10" t="e">
        <f>Sales4[[#This Row],[Net Value]]-Sales4[[#This Row],[PGI COST]]</f>
        <v>#REF!</v>
      </c>
      <c r="W13" s="11" t="e">
        <f>Sales4[[#This Row],[Gross Margin]]/Sales4[[#This Row],[Net Value]]</f>
        <v>#REF!</v>
      </c>
      <c r="X13" s="1" t="str">
        <f>TEXT(Sales4[[#This Row],[Billing Date]],"mmmm-yy")</f>
        <v>September-25</v>
      </c>
      <c r="Y13" s="1">
        <f>Sales4[[#This Row],[Net Value]]/Sales4[[#This Row],[Billed Quantity]]</f>
        <v>101.24000000000001</v>
      </c>
      <c r="Z13" s="117"/>
      <c r="AA13" s="12" t="e">
        <f>SUM(Sales4[[#This Row],[BOM Cost]:[Other Conversion cost pu]])</f>
        <v>#REF!</v>
      </c>
      <c r="AB1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3" s="12">
        <f>IFERROR(VLOOKUP(Sales4[[#This Row],[Material]],'COGS Break up'!#REF!,5,0),0)</f>
        <v>0</v>
      </c>
      <c r="AE1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3" s="48" t="e">
        <f>Sales4[[#This Row],[PGI per unit]]-Sales4[[#This Row],[BOM Cost]]-Sales4[[#This Row],[Labour cost per unit]]-Sales4[[#This Row],[Other Conversion cost pu]]</f>
        <v>#REF!</v>
      </c>
      <c r="AG13" s="48" t="e">
        <f>Sales4[[#This Row],[BOM Cost2]]+Sales4[[#This Row],[Labour Cost]]+Sales4[[#This Row],[Other conversion cost]]</f>
        <v>#REF!</v>
      </c>
      <c r="AH13" s="12" t="e">
        <f>Sales4[[#This Row],[Billed Quantity]]*Sales4[[#This Row],[BOM Cost]]</f>
        <v>#REF!</v>
      </c>
      <c r="AI13" s="12" t="e">
        <f>Sales4[[#This Row],[Billed Quantity]]*Sales4[[#This Row],[Labour cost per unit]]</f>
        <v>#REF!</v>
      </c>
      <c r="AJ13" s="12">
        <f>Sales4[[#This Row],[Droppage per unit]]*Sales4[[#This Row],[Billed Quantity]]</f>
        <v>0</v>
      </c>
      <c r="AK13" s="12" t="e">
        <f>Sales4[[#This Row],[Billed Quantity]]*Sales4[[#This Row],[Other Conversion cost pu]]</f>
        <v>#REF!</v>
      </c>
      <c r="AL13" s="48" t="e">
        <f>Sales4[[#This Row],[PGI Amount]]-Sales4[[#This Row],[BOM Cost2]]-Sales4[[#This Row],[Labour Cost]]-Sales4[[#This Row],[Other conversion cost]]</f>
        <v>#REF!</v>
      </c>
      <c r="AM13" s="121" t="e">
        <f>1-Sales4[[#This Row],[PGI COST]]/Sales4[[#This Row],[Net Value]]</f>
        <v>#REF!</v>
      </c>
      <c r="AN13" s="1">
        <f>Sales4[[#This Row],[PGI Amount]]/Sales4[[#This Row],[Billed Quantity]]</f>
        <v>109.03</v>
      </c>
      <c r="AO13" s="72" t="e">
        <f>SUMIFS('COGS Break up'!#REF!,'COGS Break up'!#REF!,Sales4[[#This Row],[Material]],'COGS Break up'!#REF!,'MIS Working'!$AO$1)</f>
        <v>#REF!</v>
      </c>
      <c r="AP13" s="72" t="e">
        <f>SUMIFS('COGS Break up'!#REF!,'COGS Break up'!#REF!,Sales4[[#This Row],[Material]],'COGS Break up'!#REF!,'MIS Working'!$AP$1)</f>
        <v>#REF!</v>
      </c>
      <c r="AQ13" s="72" t="e">
        <f>SUMIFS('COGS Break up'!#REF!,'COGS Break up'!#REF!,Sales4[[#This Row],[Material]],'COGS Break up'!#REF!,'MIS Working'!$AQ$1)</f>
        <v>#REF!</v>
      </c>
      <c r="AR13" s="72">
        <f>Sales4[[#This Row],[Droppage per unit]]</f>
        <v>0</v>
      </c>
      <c r="AS13" s="15" t="e">
        <f>AO13*Sales4[[#This Row],[Billed Quantity]]</f>
        <v>#REF!</v>
      </c>
      <c r="AT13" s="72" t="e">
        <f>AP13*Sales4[[#This Row],[Billed Quantity]]</f>
        <v>#REF!</v>
      </c>
      <c r="AU13" s="72" t="e">
        <f>AQ13*Sales4[[#This Row],[Billed Quantity]]</f>
        <v>#REF!</v>
      </c>
      <c r="AV13" s="72">
        <f>AR13*Sales4[[#This Row],[Billed Quantity]]</f>
        <v>0</v>
      </c>
    </row>
    <row r="14" spans="1:48" x14ac:dyDescent="0.3">
      <c r="A14" s="1" t="s">
        <v>479</v>
      </c>
      <c r="B14" s="2">
        <v>45920</v>
      </c>
      <c r="C14" s="1">
        <v>3271272328</v>
      </c>
      <c r="D14" s="1" t="s">
        <v>46</v>
      </c>
      <c r="E14" s="1" t="s">
        <v>47</v>
      </c>
      <c r="F14" s="1" t="s">
        <v>18</v>
      </c>
      <c r="G14" s="1" t="s">
        <v>19</v>
      </c>
      <c r="H14" s="1" t="s">
        <v>27</v>
      </c>
      <c r="I14" s="3">
        <v>595</v>
      </c>
      <c r="J14" s="4">
        <v>196010.85</v>
      </c>
      <c r="K14" s="3">
        <v>595</v>
      </c>
      <c r="L14" s="3">
        <v>595</v>
      </c>
      <c r="M14" s="2">
        <v>45920</v>
      </c>
      <c r="N14" s="4">
        <v>213182.55</v>
      </c>
      <c r="O14" s="1" t="s">
        <v>21</v>
      </c>
      <c r="P14" s="1" t="s">
        <v>22</v>
      </c>
      <c r="Q14" s="1">
        <v>1</v>
      </c>
      <c r="R14" s="1" t="str">
        <f>VLOOKUP(Sales4[[#This Row],[Material type]],Master!$H$3:$I$8,2,0)</f>
        <v>Finished Goods</v>
      </c>
      <c r="S14" s="1" t="str">
        <f>VLOOKUP(Sales4[[#This Row],[Material Group]],Master!B:C,2,0)</f>
        <v>FG-PCB-CF</v>
      </c>
      <c r="T14" s="1" t="str">
        <f>VLOOKUP(Sales4[[#This Row],[Material Group Descrip]],Master!E:F,2,0)</f>
        <v>FG-PCB-CF</v>
      </c>
      <c r="U14" s="9" t="b">
        <f ca="1">(TODAY()-1)=Sales4[[#This Row],[Billing Date]]</f>
        <v>0</v>
      </c>
      <c r="V14" s="10" t="e">
        <f>Sales4[[#This Row],[Net Value]]-Sales4[[#This Row],[PGI COST]]</f>
        <v>#REF!</v>
      </c>
      <c r="W14" s="11" t="e">
        <f>Sales4[[#This Row],[Gross Margin]]/Sales4[[#This Row],[Net Value]]</f>
        <v>#REF!</v>
      </c>
      <c r="X14" s="1" t="str">
        <f>TEXT(Sales4[[#This Row],[Billing Date]],"mmmm-yy")</f>
        <v>September-25</v>
      </c>
      <c r="Y14" s="1">
        <f>Sales4[[#This Row],[Net Value]]/Sales4[[#This Row],[Billed Quantity]]</f>
        <v>358.28999999999996</v>
      </c>
      <c r="Z14" s="117">
        <f>Sales4[[#This Row],[Actual delivery qty]]</f>
        <v>595</v>
      </c>
      <c r="AA14" s="12" t="e">
        <f>SUM(Sales4[[#This Row],[BOM Cost]:[Other Conversion cost pu]])</f>
        <v>#REF!</v>
      </c>
      <c r="AB1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4" s="12">
        <f>IFERROR(VLOOKUP(Sales4[[#This Row],[Material]],'COGS Break up'!#REF!,5,0),0)</f>
        <v>0</v>
      </c>
      <c r="AE1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4" s="48" t="e">
        <f>Sales4[[#This Row],[PGI per unit]]-Sales4[[#This Row],[BOM Cost]]-Sales4[[#This Row],[Labour cost per unit]]-Sales4[[#This Row],[Other Conversion cost pu]]</f>
        <v>#REF!</v>
      </c>
      <c r="AG14" s="48" t="e">
        <f>Sales4[[#This Row],[BOM Cost2]]+Sales4[[#This Row],[Labour Cost]]+Sales4[[#This Row],[Other conversion cost]]</f>
        <v>#REF!</v>
      </c>
      <c r="AH14" s="12" t="e">
        <f>Sales4[[#This Row],[Billed Quantity]]*Sales4[[#This Row],[BOM Cost]]</f>
        <v>#REF!</v>
      </c>
      <c r="AI14" s="12" t="e">
        <f>Sales4[[#This Row],[Billed Quantity]]*Sales4[[#This Row],[Labour cost per unit]]</f>
        <v>#REF!</v>
      </c>
      <c r="AJ14" s="12">
        <f>Sales4[[#This Row],[Droppage per unit]]*Sales4[[#This Row],[Billed Quantity]]</f>
        <v>0</v>
      </c>
      <c r="AK14" s="12" t="e">
        <f>Sales4[[#This Row],[Billed Quantity]]*Sales4[[#This Row],[Other Conversion cost pu]]</f>
        <v>#REF!</v>
      </c>
      <c r="AL14" s="48" t="e">
        <f>Sales4[[#This Row],[PGI Amount]]-Sales4[[#This Row],[BOM Cost2]]-Sales4[[#This Row],[Labour Cost]]-Sales4[[#This Row],[Other conversion cost]]</f>
        <v>#REF!</v>
      </c>
      <c r="AM14" s="121" t="e">
        <f>1-Sales4[[#This Row],[PGI COST]]/Sales4[[#This Row],[Net Value]]</f>
        <v>#REF!</v>
      </c>
      <c r="AN14" s="1">
        <f>Sales4[[#This Row],[PGI Amount]]/Sales4[[#This Row],[Billed Quantity]]</f>
        <v>329.43</v>
      </c>
      <c r="AO14" s="72" t="e">
        <f>SUMIFS('COGS Break up'!#REF!,'COGS Break up'!#REF!,Sales4[[#This Row],[Material]],'COGS Break up'!#REF!,'MIS Working'!$AO$1)</f>
        <v>#REF!</v>
      </c>
      <c r="AP14" s="72" t="e">
        <f>SUMIFS('COGS Break up'!#REF!,'COGS Break up'!#REF!,Sales4[[#This Row],[Material]],'COGS Break up'!#REF!,'MIS Working'!$AP$1)</f>
        <v>#REF!</v>
      </c>
      <c r="AQ14" s="72" t="e">
        <f>SUMIFS('COGS Break up'!#REF!,'COGS Break up'!#REF!,Sales4[[#This Row],[Material]],'COGS Break up'!#REF!,'MIS Working'!$AQ$1)</f>
        <v>#REF!</v>
      </c>
      <c r="AR14" s="72">
        <f>Sales4[[#This Row],[Droppage per unit]]</f>
        <v>0</v>
      </c>
      <c r="AS14" s="15" t="e">
        <f>AO14*Sales4[[#This Row],[Billed Quantity]]</f>
        <v>#REF!</v>
      </c>
      <c r="AT14" s="72" t="e">
        <f>AP14*Sales4[[#This Row],[Billed Quantity]]</f>
        <v>#REF!</v>
      </c>
      <c r="AU14" s="72" t="e">
        <f>AQ14*Sales4[[#This Row],[Billed Quantity]]</f>
        <v>#REF!</v>
      </c>
      <c r="AV14" s="72">
        <f>AR14*Sales4[[#This Row],[Billed Quantity]]</f>
        <v>0</v>
      </c>
    </row>
    <row r="15" spans="1:48" x14ac:dyDescent="0.3">
      <c r="A15" s="1" t="s">
        <v>479</v>
      </c>
      <c r="B15" s="2">
        <v>45920</v>
      </c>
      <c r="C15" s="1">
        <v>3271272579</v>
      </c>
      <c r="D15" s="1" t="s">
        <v>637</v>
      </c>
      <c r="E15" s="1" t="s">
        <v>638</v>
      </c>
      <c r="F15" s="1" t="s">
        <v>18</v>
      </c>
      <c r="G15" s="1" t="s">
        <v>19</v>
      </c>
      <c r="H15" s="1" t="s">
        <v>27</v>
      </c>
      <c r="I15" s="3">
        <v>690</v>
      </c>
      <c r="J15" s="4">
        <v>220813.8</v>
      </c>
      <c r="K15" s="3">
        <v>690</v>
      </c>
      <c r="L15" s="3">
        <v>690</v>
      </c>
      <c r="M15" s="2">
        <v>45920</v>
      </c>
      <c r="N15" s="4">
        <v>252457.2</v>
      </c>
      <c r="O15" s="1" t="s">
        <v>21</v>
      </c>
      <c r="P15" s="1" t="s">
        <v>22</v>
      </c>
      <c r="Q15" s="1">
        <v>1</v>
      </c>
      <c r="R15" s="1" t="str">
        <f>VLOOKUP(Sales4[[#This Row],[Material type]],Master!$H$3:$I$8,2,0)</f>
        <v>Finished Goods</v>
      </c>
      <c r="S15" s="1" t="str">
        <f>VLOOKUP(Sales4[[#This Row],[Material Group]],Master!B:C,2,0)</f>
        <v>FG-PCB-CF</v>
      </c>
      <c r="T15" s="1" t="str">
        <f>VLOOKUP(Sales4[[#This Row],[Material Group Descrip]],Master!E:F,2,0)</f>
        <v>FG-PCB-CF</v>
      </c>
      <c r="U15" s="9" t="b">
        <f ca="1">(TODAY()-1)=Sales4[[#This Row],[Billing Date]]</f>
        <v>0</v>
      </c>
      <c r="V15" s="10" t="e">
        <f>Sales4[[#This Row],[Net Value]]-Sales4[[#This Row],[PGI COST]]</f>
        <v>#REF!</v>
      </c>
      <c r="W15" s="11" t="e">
        <f>Sales4[[#This Row],[Gross Margin]]/Sales4[[#This Row],[Net Value]]</f>
        <v>#REF!</v>
      </c>
      <c r="X15" s="1" t="str">
        <f>TEXT(Sales4[[#This Row],[Billing Date]],"mmmm-yy")</f>
        <v>September-25</v>
      </c>
      <c r="Y15" s="1">
        <f>Sales4[[#This Row],[Net Value]]/Sales4[[#This Row],[Billed Quantity]]</f>
        <v>365.88</v>
      </c>
      <c r="Z15" s="117">
        <f>Sales4[[#This Row],[Actual delivery qty]]</f>
        <v>690</v>
      </c>
      <c r="AA15" s="12" t="e">
        <f>SUM(Sales4[[#This Row],[BOM Cost]:[Other Conversion cost pu]])</f>
        <v>#REF!</v>
      </c>
      <c r="AB1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5" s="12">
        <f>IFERROR(VLOOKUP(Sales4[[#This Row],[Material]],'COGS Break up'!#REF!,5,0),0)</f>
        <v>0</v>
      </c>
      <c r="AE1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5" s="48" t="e">
        <f>Sales4[[#This Row],[PGI per unit]]-Sales4[[#This Row],[BOM Cost]]-Sales4[[#This Row],[Labour cost per unit]]-Sales4[[#This Row],[Other Conversion cost pu]]</f>
        <v>#REF!</v>
      </c>
      <c r="AG15" s="48" t="e">
        <f>Sales4[[#This Row],[BOM Cost2]]+Sales4[[#This Row],[Labour Cost]]+Sales4[[#This Row],[Other conversion cost]]</f>
        <v>#REF!</v>
      </c>
      <c r="AH15" s="12" t="e">
        <f>Sales4[[#This Row],[Billed Quantity]]*Sales4[[#This Row],[BOM Cost]]</f>
        <v>#REF!</v>
      </c>
      <c r="AI15" s="12" t="e">
        <f>Sales4[[#This Row],[Billed Quantity]]*Sales4[[#This Row],[Labour cost per unit]]</f>
        <v>#REF!</v>
      </c>
      <c r="AJ15" s="12">
        <f>Sales4[[#This Row],[Droppage per unit]]*Sales4[[#This Row],[Billed Quantity]]</f>
        <v>0</v>
      </c>
      <c r="AK15" s="12" t="e">
        <f>Sales4[[#This Row],[Billed Quantity]]*Sales4[[#This Row],[Other Conversion cost pu]]</f>
        <v>#REF!</v>
      </c>
      <c r="AL15" s="48" t="e">
        <f>Sales4[[#This Row],[PGI Amount]]-Sales4[[#This Row],[BOM Cost2]]-Sales4[[#This Row],[Labour Cost]]-Sales4[[#This Row],[Other conversion cost]]</f>
        <v>#REF!</v>
      </c>
      <c r="AM15" s="121" t="e">
        <f>1-Sales4[[#This Row],[PGI COST]]/Sales4[[#This Row],[Net Value]]</f>
        <v>#REF!</v>
      </c>
      <c r="AN15" s="1">
        <f>Sales4[[#This Row],[PGI Amount]]/Sales4[[#This Row],[Billed Quantity]]</f>
        <v>320.02</v>
      </c>
      <c r="AO15" s="72" t="e">
        <f>SUMIFS('COGS Break up'!#REF!,'COGS Break up'!#REF!,Sales4[[#This Row],[Material]],'COGS Break up'!#REF!,'MIS Working'!$AO$1)</f>
        <v>#REF!</v>
      </c>
      <c r="AP15" s="72" t="e">
        <f>SUMIFS('COGS Break up'!#REF!,'COGS Break up'!#REF!,Sales4[[#This Row],[Material]],'COGS Break up'!#REF!,'MIS Working'!$AP$1)</f>
        <v>#REF!</v>
      </c>
      <c r="AQ15" s="72" t="e">
        <f>SUMIFS('COGS Break up'!#REF!,'COGS Break up'!#REF!,Sales4[[#This Row],[Material]],'COGS Break up'!#REF!,'MIS Working'!$AQ$1)</f>
        <v>#REF!</v>
      </c>
      <c r="AR15" s="72">
        <f>Sales4[[#This Row],[Droppage per unit]]</f>
        <v>0</v>
      </c>
      <c r="AS15" s="15" t="e">
        <f>AO15*Sales4[[#This Row],[Billed Quantity]]</f>
        <v>#REF!</v>
      </c>
      <c r="AT15" s="72" t="e">
        <f>AP15*Sales4[[#This Row],[Billed Quantity]]</f>
        <v>#REF!</v>
      </c>
      <c r="AU15" s="72" t="e">
        <f>AQ15*Sales4[[#This Row],[Billed Quantity]]</f>
        <v>#REF!</v>
      </c>
      <c r="AV15" s="72">
        <f>AR15*Sales4[[#This Row],[Billed Quantity]]</f>
        <v>0</v>
      </c>
    </row>
    <row r="16" spans="1:48" x14ac:dyDescent="0.3">
      <c r="A16" s="1" t="s">
        <v>479</v>
      </c>
      <c r="B16" s="2">
        <v>45920</v>
      </c>
      <c r="C16" s="1">
        <v>3271272328</v>
      </c>
      <c r="D16" s="1" t="s">
        <v>637</v>
      </c>
      <c r="E16" s="1" t="s">
        <v>638</v>
      </c>
      <c r="F16" s="1" t="s">
        <v>18</v>
      </c>
      <c r="G16" s="1" t="s">
        <v>19</v>
      </c>
      <c r="H16" s="1" t="s">
        <v>27</v>
      </c>
      <c r="I16" s="3">
        <v>105</v>
      </c>
      <c r="J16" s="4">
        <v>33602.1</v>
      </c>
      <c r="K16" s="3">
        <v>105</v>
      </c>
      <c r="L16" s="3">
        <v>105</v>
      </c>
      <c r="M16" s="2">
        <v>45920</v>
      </c>
      <c r="N16" s="4">
        <v>38417.4</v>
      </c>
      <c r="O16" s="1" t="s">
        <v>21</v>
      </c>
      <c r="P16" s="1" t="s">
        <v>22</v>
      </c>
      <c r="Q16" s="1">
        <v>1</v>
      </c>
      <c r="R16" s="1" t="str">
        <f>VLOOKUP(Sales4[[#This Row],[Material type]],Master!$H$3:$I$8,2,0)</f>
        <v>Finished Goods</v>
      </c>
      <c r="S16" s="1" t="str">
        <f>VLOOKUP(Sales4[[#This Row],[Material Group]],Master!B:C,2,0)</f>
        <v>FG-PCB-CF</v>
      </c>
      <c r="T16" s="1" t="str">
        <f>VLOOKUP(Sales4[[#This Row],[Material Group Descrip]],Master!E:F,2,0)</f>
        <v>FG-PCB-CF</v>
      </c>
      <c r="U16" s="9" t="b">
        <f ca="1">(TODAY()-1)=Sales4[[#This Row],[Billing Date]]</f>
        <v>0</v>
      </c>
      <c r="V16" s="10" t="e">
        <f>Sales4[[#This Row],[Net Value]]-Sales4[[#This Row],[PGI COST]]</f>
        <v>#REF!</v>
      </c>
      <c r="W16" s="11" t="e">
        <f>Sales4[[#This Row],[Gross Margin]]/Sales4[[#This Row],[Net Value]]</f>
        <v>#REF!</v>
      </c>
      <c r="X16" s="1" t="str">
        <f>TEXT(Sales4[[#This Row],[Billing Date]],"mmmm-yy")</f>
        <v>September-25</v>
      </c>
      <c r="Y16" s="1">
        <f>Sales4[[#This Row],[Net Value]]/Sales4[[#This Row],[Billed Quantity]]</f>
        <v>365.88</v>
      </c>
      <c r="Z16" s="117">
        <f>Sales4[[#This Row],[Actual delivery qty]]</f>
        <v>105</v>
      </c>
      <c r="AA16" s="12" t="e">
        <f>SUM(Sales4[[#This Row],[BOM Cost]:[Other Conversion cost pu]])</f>
        <v>#REF!</v>
      </c>
      <c r="AB1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6" s="12">
        <f>IFERROR(VLOOKUP(Sales4[[#This Row],[Material]],'COGS Break up'!#REF!,5,0),0)</f>
        <v>0</v>
      </c>
      <c r="AE1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6" s="48" t="e">
        <f>Sales4[[#This Row],[PGI per unit]]-Sales4[[#This Row],[BOM Cost]]-Sales4[[#This Row],[Labour cost per unit]]-Sales4[[#This Row],[Other Conversion cost pu]]</f>
        <v>#REF!</v>
      </c>
      <c r="AG16" s="48" t="e">
        <f>Sales4[[#This Row],[BOM Cost2]]+Sales4[[#This Row],[Labour Cost]]+Sales4[[#This Row],[Other conversion cost]]</f>
        <v>#REF!</v>
      </c>
      <c r="AH16" s="12" t="e">
        <f>Sales4[[#This Row],[Billed Quantity]]*Sales4[[#This Row],[BOM Cost]]</f>
        <v>#REF!</v>
      </c>
      <c r="AI16" s="12" t="e">
        <f>Sales4[[#This Row],[Billed Quantity]]*Sales4[[#This Row],[Labour cost per unit]]</f>
        <v>#REF!</v>
      </c>
      <c r="AJ16" s="12">
        <f>Sales4[[#This Row],[Droppage per unit]]*Sales4[[#This Row],[Billed Quantity]]</f>
        <v>0</v>
      </c>
      <c r="AK16" s="12" t="e">
        <f>Sales4[[#This Row],[Billed Quantity]]*Sales4[[#This Row],[Other Conversion cost pu]]</f>
        <v>#REF!</v>
      </c>
      <c r="AL16" s="48" t="e">
        <f>Sales4[[#This Row],[PGI Amount]]-Sales4[[#This Row],[BOM Cost2]]-Sales4[[#This Row],[Labour Cost]]-Sales4[[#This Row],[Other conversion cost]]</f>
        <v>#REF!</v>
      </c>
      <c r="AM16" s="121" t="e">
        <f>1-Sales4[[#This Row],[PGI COST]]/Sales4[[#This Row],[Net Value]]</f>
        <v>#REF!</v>
      </c>
      <c r="AN16" s="1">
        <f>Sales4[[#This Row],[PGI Amount]]/Sales4[[#This Row],[Billed Quantity]]</f>
        <v>320.02</v>
      </c>
      <c r="AO16" s="72" t="e">
        <f>SUMIFS('COGS Break up'!#REF!,'COGS Break up'!#REF!,Sales4[[#This Row],[Material]],'COGS Break up'!#REF!,'MIS Working'!$AO$1)</f>
        <v>#REF!</v>
      </c>
      <c r="AP16" s="72" t="e">
        <f>SUMIFS('COGS Break up'!#REF!,'COGS Break up'!#REF!,Sales4[[#This Row],[Material]],'COGS Break up'!#REF!,'MIS Working'!$AP$1)</f>
        <v>#REF!</v>
      </c>
      <c r="AQ16" s="72" t="e">
        <f>SUMIFS('COGS Break up'!#REF!,'COGS Break up'!#REF!,Sales4[[#This Row],[Material]],'COGS Break up'!#REF!,'MIS Working'!$AQ$1)</f>
        <v>#REF!</v>
      </c>
      <c r="AR16" s="72">
        <f>Sales4[[#This Row],[Droppage per unit]]</f>
        <v>0</v>
      </c>
      <c r="AS16" s="15" t="e">
        <f>AO16*Sales4[[#This Row],[Billed Quantity]]</f>
        <v>#REF!</v>
      </c>
      <c r="AT16" s="72" t="e">
        <f>AP16*Sales4[[#This Row],[Billed Quantity]]</f>
        <v>#REF!</v>
      </c>
      <c r="AU16" s="72" t="e">
        <f>AQ16*Sales4[[#This Row],[Billed Quantity]]</f>
        <v>#REF!</v>
      </c>
      <c r="AV16" s="72">
        <f>AR16*Sales4[[#This Row],[Billed Quantity]]</f>
        <v>0</v>
      </c>
    </row>
    <row r="17" spans="1:48" x14ac:dyDescent="0.3">
      <c r="A17" s="1" t="s">
        <v>479</v>
      </c>
      <c r="B17" s="2">
        <v>45920</v>
      </c>
      <c r="C17" s="1">
        <v>3271272308</v>
      </c>
      <c r="D17" s="1" t="s">
        <v>637</v>
      </c>
      <c r="E17" s="1" t="s">
        <v>638</v>
      </c>
      <c r="F17" s="1" t="s">
        <v>18</v>
      </c>
      <c r="G17" s="1" t="s">
        <v>19</v>
      </c>
      <c r="H17" s="1" t="s">
        <v>27</v>
      </c>
      <c r="I17" s="3">
        <v>490</v>
      </c>
      <c r="J17" s="4">
        <v>156809.79999999999</v>
      </c>
      <c r="K17" s="3">
        <v>490</v>
      </c>
      <c r="L17" s="3">
        <v>490</v>
      </c>
      <c r="M17" s="2">
        <v>45920</v>
      </c>
      <c r="N17" s="4">
        <v>179281.2</v>
      </c>
      <c r="O17" s="1" t="s">
        <v>21</v>
      </c>
      <c r="P17" s="1" t="s">
        <v>22</v>
      </c>
      <c r="Q17" s="1">
        <v>1</v>
      </c>
      <c r="R17" s="1" t="str">
        <f>VLOOKUP(Sales4[[#This Row],[Material type]],Master!$H$3:$I$8,2,0)</f>
        <v>Finished Goods</v>
      </c>
      <c r="S17" s="1" t="str">
        <f>VLOOKUP(Sales4[[#This Row],[Material Group]],Master!B:C,2,0)</f>
        <v>FG-PCB-CF</v>
      </c>
      <c r="T17" s="1" t="str">
        <f>VLOOKUP(Sales4[[#This Row],[Material Group Descrip]],Master!E:F,2,0)</f>
        <v>FG-PCB-CF</v>
      </c>
      <c r="U17" s="9" t="b">
        <f ca="1">(TODAY()-1)=Sales4[[#This Row],[Billing Date]]</f>
        <v>0</v>
      </c>
      <c r="V17" s="10" t="e">
        <f>Sales4[[#This Row],[Net Value]]-Sales4[[#This Row],[PGI COST]]</f>
        <v>#REF!</v>
      </c>
      <c r="W17" s="11" t="e">
        <f>Sales4[[#This Row],[Gross Margin]]/Sales4[[#This Row],[Net Value]]</f>
        <v>#REF!</v>
      </c>
      <c r="X17" s="1" t="str">
        <f>TEXT(Sales4[[#This Row],[Billing Date]],"mmmm-yy")</f>
        <v>September-25</v>
      </c>
      <c r="Y17" s="1">
        <f>Sales4[[#This Row],[Net Value]]/Sales4[[#This Row],[Billed Quantity]]</f>
        <v>365.88</v>
      </c>
      <c r="Z17" s="117">
        <f>Sales4[[#This Row],[Actual delivery qty]]</f>
        <v>490</v>
      </c>
      <c r="AA17" s="12" t="e">
        <f>SUM(Sales4[[#This Row],[BOM Cost]:[Other Conversion cost pu]])</f>
        <v>#REF!</v>
      </c>
      <c r="AB1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7" s="12">
        <f>IFERROR(VLOOKUP(Sales4[[#This Row],[Material]],'COGS Break up'!#REF!,5,0),0)</f>
        <v>0</v>
      </c>
      <c r="AE1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7" s="48" t="e">
        <f>Sales4[[#This Row],[PGI per unit]]-Sales4[[#This Row],[BOM Cost]]-Sales4[[#This Row],[Labour cost per unit]]-Sales4[[#This Row],[Other Conversion cost pu]]</f>
        <v>#REF!</v>
      </c>
      <c r="AG17" s="48" t="e">
        <f>Sales4[[#This Row],[BOM Cost2]]+Sales4[[#This Row],[Labour Cost]]+Sales4[[#This Row],[Other conversion cost]]</f>
        <v>#REF!</v>
      </c>
      <c r="AH17" s="12" t="e">
        <f>Sales4[[#This Row],[Billed Quantity]]*Sales4[[#This Row],[BOM Cost]]</f>
        <v>#REF!</v>
      </c>
      <c r="AI17" s="12" t="e">
        <f>Sales4[[#This Row],[Billed Quantity]]*Sales4[[#This Row],[Labour cost per unit]]</f>
        <v>#REF!</v>
      </c>
      <c r="AJ17" s="12">
        <f>Sales4[[#This Row],[Droppage per unit]]*Sales4[[#This Row],[Billed Quantity]]</f>
        <v>0</v>
      </c>
      <c r="AK17" s="12" t="e">
        <f>Sales4[[#This Row],[Billed Quantity]]*Sales4[[#This Row],[Other Conversion cost pu]]</f>
        <v>#REF!</v>
      </c>
      <c r="AL17" s="48" t="e">
        <f>Sales4[[#This Row],[PGI Amount]]-Sales4[[#This Row],[BOM Cost2]]-Sales4[[#This Row],[Labour Cost]]-Sales4[[#This Row],[Other conversion cost]]</f>
        <v>#REF!</v>
      </c>
      <c r="AM17" s="121" t="e">
        <f>1-Sales4[[#This Row],[PGI COST]]/Sales4[[#This Row],[Net Value]]</f>
        <v>#REF!</v>
      </c>
      <c r="AN17" s="1">
        <f>Sales4[[#This Row],[PGI Amount]]/Sales4[[#This Row],[Billed Quantity]]</f>
        <v>320.02</v>
      </c>
      <c r="AO17" s="72" t="e">
        <f>SUMIFS('COGS Break up'!#REF!,'COGS Break up'!#REF!,Sales4[[#This Row],[Material]],'COGS Break up'!#REF!,'MIS Working'!$AO$1)</f>
        <v>#REF!</v>
      </c>
      <c r="AP17" s="72" t="e">
        <f>SUMIFS('COGS Break up'!#REF!,'COGS Break up'!#REF!,Sales4[[#This Row],[Material]],'COGS Break up'!#REF!,'MIS Working'!$AP$1)</f>
        <v>#REF!</v>
      </c>
      <c r="AQ17" s="72" t="e">
        <f>SUMIFS('COGS Break up'!#REF!,'COGS Break up'!#REF!,Sales4[[#This Row],[Material]],'COGS Break up'!#REF!,'MIS Working'!$AQ$1)</f>
        <v>#REF!</v>
      </c>
      <c r="AR17" s="72">
        <f>Sales4[[#This Row],[Droppage per unit]]</f>
        <v>0</v>
      </c>
      <c r="AS17" s="15" t="e">
        <f>AO17*Sales4[[#This Row],[Billed Quantity]]</f>
        <v>#REF!</v>
      </c>
      <c r="AT17" s="72" t="e">
        <f>AP17*Sales4[[#This Row],[Billed Quantity]]</f>
        <v>#REF!</v>
      </c>
      <c r="AU17" s="72" t="e">
        <f>AQ17*Sales4[[#This Row],[Billed Quantity]]</f>
        <v>#REF!</v>
      </c>
      <c r="AV17" s="72">
        <f>AR17*Sales4[[#This Row],[Billed Quantity]]</f>
        <v>0</v>
      </c>
    </row>
    <row r="18" spans="1:48" x14ac:dyDescent="0.3">
      <c r="A18" s="1" t="s">
        <v>479</v>
      </c>
      <c r="B18" s="2">
        <v>45920</v>
      </c>
      <c r="C18" s="1">
        <v>3271272536</v>
      </c>
      <c r="D18" s="1" t="s">
        <v>641</v>
      </c>
      <c r="E18" s="1" t="s">
        <v>642</v>
      </c>
      <c r="F18" s="1" t="s">
        <v>18</v>
      </c>
      <c r="G18" s="1" t="s">
        <v>19</v>
      </c>
      <c r="H18" s="1" t="s">
        <v>27</v>
      </c>
      <c r="I18" s="3">
        <v>70</v>
      </c>
      <c r="J18" s="4">
        <v>32011</v>
      </c>
      <c r="K18" s="3">
        <v>70</v>
      </c>
      <c r="L18" s="3">
        <v>70</v>
      </c>
      <c r="M18" s="2">
        <v>45920</v>
      </c>
      <c r="N18" s="4">
        <v>34650</v>
      </c>
      <c r="O18" s="1" t="s">
        <v>21</v>
      </c>
      <c r="P18" s="1" t="s">
        <v>22</v>
      </c>
      <c r="Q18" s="1">
        <v>1</v>
      </c>
      <c r="R18" s="1" t="str">
        <f>VLOOKUP(Sales4[[#This Row],[Material type]],Master!$H$3:$I$8,2,0)</f>
        <v>Finished Goods</v>
      </c>
      <c r="S18" s="1" t="str">
        <f>VLOOKUP(Sales4[[#This Row],[Material Group]],Master!B:C,2,0)</f>
        <v>FG-PCB-CF</v>
      </c>
      <c r="T18" s="1" t="str">
        <f>VLOOKUP(Sales4[[#This Row],[Material Group Descrip]],Master!E:F,2,0)</f>
        <v>FG-PCB-CF</v>
      </c>
      <c r="U18" s="9" t="b">
        <f ca="1">(TODAY()-1)=Sales4[[#This Row],[Billing Date]]</f>
        <v>0</v>
      </c>
      <c r="V18" s="10" t="e">
        <f>Sales4[[#This Row],[Net Value]]-Sales4[[#This Row],[PGI COST]]</f>
        <v>#REF!</v>
      </c>
      <c r="W18" s="11" t="e">
        <f>Sales4[[#This Row],[Gross Margin]]/Sales4[[#This Row],[Net Value]]</f>
        <v>#REF!</v>
      </c>
      <c r="X18" s="1" t="str">
        <f>TEXT(Sales4[[#This Row],[Billing Date]],"mmmm-yy")</f>
        <v>September-25</v>
      </c>
      <c r="Y18" s="1">
        <f>Sales4[[#This Row],[Net Value]]/Sales4[[#This Row],[Billed Quantity]]</f>
        <v>495</v>
      </c>
      <c r="Z18" s="117">
        <f>Sales4[[#This Row],[Actual delivery qty]]</f>
        <v>70</v>
      </c>
      <c r="AA18" s="12" t="e">
        <f>SUM(Sales4[[#This Row],[BOM Cost]:[Other Conversion cost pu]])</f>
        <v>#REF!</v>
      </c>
      <c r="AB1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8" s="12">
        <f>IFERROR(VLOOKUP(Sales4[[#This Row],[Material]],'COGS Break up'!#REF!,5,0),0)</f>
        <v>0</v>
      </c>
      <c r="AE1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8" s="48" t="e">
        <f>Sales4[[#This Row],[PGI per unit]]-Sales4[[#This Row],[BOM Cost]]-Sales4[[#This Row],[Labour cost per unit]]-Sales4[[#This Row],[Other Conversion cost pu]]</f>
        <v>#REF!</v>
      </c>
      <c r="AG18" s="48" t="e">
        <f>Sales4[[#This Row],[BOM Cost2]]+Sales4[[#This Row],[Labour Cost]]+Sales4[[#This Row],[Other conversion cost]]</f>
        <v>#REF!</v>
      </c>
      <c r="AH18" s="12" t="e">
        <f>Sales4[[#This Row],[Billed Quantity]]*Sales4[[#This Row],[BOM Cost]]</f>
        <v>#REF!</v>
      </c>
      <c r="AI18" s="12" t="e">
        <f>Sales4[[#This Row],[Billed Quantity]]*Sales4[[#This Row],[Labour cost per unit]]</f>
        <v>#REF!</v>
      </c>
      <c r="AJ18" s="12">
        <f>Sales4[[#This Row],[Droppage per unit]]*Sales4[[#This Row],[Billed Quantity]]</f>
        <v>0</v>
      </c>
      <c r="AK18" s="12" t="e">
        <f>Sales4[[#This Row],[Billed Quantity]]*Sales4[[#This Row],[Other Conversion cost pu]]</f>
        <v>#REF!</v>
      </c>
      <c r="AL18" s="48" t="e">
        <f>Sales4[[#This Row],[PGI Amount]]-Sales4[[#This Row],[BOM Cost2]]-Sales4[[#This Row],[Labour Cost]]-Sales4[[#This Row],[Other conversion cost]]</f>
        <v>#REF!</v>
      </c>
      <c r="AM18" s="121" t="e">
        <f>1-Sales4[[#This Row],[PGI COST]]/Sales4[[#This Row],[Net Value]]</f>
        <v>#REF!</v>
      </c>
      <c r="AN18" s="1">
        <f>Sales4[[#This Row],[PGI Amount]]/Sales4[[#This Row],[Billed Quantity]]</f>
        <v>457.3</v>
      </c>
      <c r="AO18" s="72" t="e">
        <f>SUMIFS('COGS Break up'!#REF!,'COGS Break up'!#REF!,Sales4[[#This Row],[Material]],'COGS Break up'!#REF!,'MIS Working'!$AO$1)</f>
        <v>#REF!</v>
      </c>
      <c r="AP18" s="72" t="e">
        <f>SUMIFS('COGS Break up'!#REF!,'COGS Break up'!#REF!,Sales4[[#This Row],[Material]],'COGS Break up'!#REF!,'MIS Working'!$AP$1)</f>
        <v>#REF!</v>
      </c>
      <c r="AQ18" s="72" t="e">
        <f>SUMIFS('COGS Break up'!#REF!,'COGS Break up'!#REF!,Sales4[[#This Row],[Material]],'COGS Break up'!#REF!,'MIS Working'!$AQ$1)</f>
        <v>#REF!</v>
      </c>
      <c r="AR18" s="72">
        <f>Sales4[[#This Row],[Droppage per unit]]</f>
        <v>0</v>
      </c>
      <c r="AS18" s="15" t="e">
        <f>AO18*Sales4[[#This Row],[Billed Quantity]]</f>
        <v>#REF!</v>
      </c>
      <c r="AT18" s="72" t="e">
        <f>AP18*Sales4[[#This Row],[Billed Quantity]]</f>
        <v>#REF!</v>
      </c>
      <c r="AU18" s="72" t="e">
        <f>AQ18*Sales4[[#This Row],[Billed Quantity]]</f>
        <v>#REF!</v>
      </c>
      <c r="AV18" s="72">
        <f>AR18*Sales4[[#This Row],[Billed Quantity]]</f>
        <v>0</v>
      </c>
    </row>
    <row r="19" spans="1:48" x14ac:dyDescent="0.3">
      <c r="A19" s="1" t="s">
        <v>479</v>
      </c>
      <c r="B19" s="2">
        <v>45920</v>
      </c>
      <c r="C19" s="1">
        <v>3271272579</v>
      </c>
      <c r="D19" s="1" t="s">
        <v>641</v>
      </c>
      <c r="E19" s="1" t="s">
        <v>642</v>
      </c>
      <c r="F19" s="1" t="s">
        <v>18</v>
      </c>
      <c r="G19" s="1" t="s">
        <v>19</v>
      </c>
      <c r="H19" s="1" t="s">
        <v>27</v>
      </c>
      <c r="I19" s="3">
        <v>105</v>
      </c>
      <c r="J19" s="4">
        <v>48016.5</v>
      </c>
      <c r="K19" s="3">
        <v>105</v>
      </c>
      <c r="L19" s="3">
        <v>105</v>
      </c>
      <c r="M19" s="2">
        <v>45920</v>
      </c>
      <c r="N19" s="4">
        <v>51975</v>
      </c>
      <c r="O19" s="1" t="s">
        <v>21</v>
      </c>
      <c r="P19" s="1" t="s">
        <v>22</v>
      </c>
      <c r="Q19" s="1">
        <v>1</v>
      </c>
      <c r="R19" s="1" t="str">
        <f>VLOOKUP(Sales4[[#This Row],[Material type]],Master!$H$3:$I$8,2,0)</f>
        <v>Finished Goods</v>
      </c>
      <c r="S19" s="1" t="str">
        <f>VLOOKUP(Sales4[[#This Row],[Material Group]],Master!B:C,2,0)</f>
        <v>FG-PCB-CF</v>
      </c>
      <c r="T19" s="1" t="str">
        <f>VLOOKUP(Sales4[[#This Row],[Material Group Descrip]],Master!E:F,2,0)</f>
        <v>FG-PCB-CF</v>
      </c>
      <c r="U19" s="9" t="b">
        <f ca="1">(TODAY()-1)=Sales4[[#This Row],[Billing Date]]</f>
        <v>0</v>
      </c>
      <c r="V19" s="10" t="e">
        <f>Sales4[[#This Row],[Net Value]]-Sales4[[#This Row],[PGI COST]]</f>
        <v>#REF!</v>
      </c>
      <c r="W19" s="11" t="e">
        <f>Sales4[[#This Row],[Gross Margin]]/Sales4[[#This Row],[Net Value]]</f>
        <v>#REF!</v>
      </c>
      <c r="X19" s="1" t="str">
        <f>TEXT(Sales4[[#This Row],[Billing Date]],"mmmm-yy")</f>
        <v>September-25</v>
      </c>
      <c r="Y19" s="1">
        <f>Sales4[[#This Row],[Net Value]]/Sales4[[#This Row],[Billed Quantity]]</f>
        <v>495</v>
      </c>
      <c r="Z19" s="117">
        <f>Sales4[[#This Row],[Actual delivery qty]]</f>
        <v>105</v>
      </c>
      <c r="AA19" s="12" t="e">
        <f>SUM(Sales4[[#This Row],[BOM Cost]:[Other Conversion cost pu]])</f>
        <v>#REF!</v>
      </c>
      <c r="AB1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9" s="12">
        <f>IFERROR(VLOOKUP(Sales4[[#This Row],[Material]],'COGS Break up'!#REF!,5,0),0)</f>
        <v>0</v>
      </c>
      <c r="AE1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9" s="48" t="e">
        <f>Sales4[[#This Row],[PGI per unit]]-Sales4[[#This Row],[BOM Cost]]-Sales4[[#This Row],[Labour cost per unit]]-Sales4[[#This Row],[Other Conversion cost pu]]</f>
        <v>#REF!</v>
      </c>
      <c r="AG19" s="48" t="e">
        <f>Sales4[[#This Row],[BOM Cost2]]+Sales4[[#This Row],[Labour Cost]]+Sales4[[#This Row],[Other conversion cost]]</f>
        <v>#REF!</v>
      </c>
      <c r="AH19" s="12" t="e">
        <f>Sales4[[#This Row],[Billed Quantity]]*Sales4[[#This Row],[BOM Cost]]</f>
        <v>#REF!</v>
      </c>
      <c r="AI19" s="12" t="e">
        <f>Sales4[[#This Row],[Billed Quantity]]*Sales4[[#This Row],[Labour cost per unit]]</f>
        <v>#REF!</v>
      </c>
      <c r="AJ19" s="12">
        <f>Sales4[[#This Row],[Droppage per unit]]*Sales4[[#This Row],[Billed Quantity]]</f>
        <v>0</v>
      </c>
      <c r="AK19" s="12" t="e">
        <f>Sales4[[#This Row],[Billed Quantity]]*Sales4[[#This Row],[Other Conversion cost pu]]</f>
        <v>#REF!</v>
      </c>
      <c r="AL19" s="48" t="e">
        <f>Sales4[[#This Row],[PGI Amount]]-Sales4[[#This Row],[BOM Cost2]]-Sales4[[#This Row],[Labour Cost]]-Sales4[[#This Row],[Other conversion cost]]</f>
        <v>#REF!</v>
      </c>
      <c r="AM19" s="121" t="e">
        <f>1-Sales4[[#This Row],[PGI COST]]/Sales4[[#This Row],[Net Value]]</f>
        <v>#REF!</v>
      </c>
      <c r="AN19" s="1">
        <f>Sales4[[#This Row],[PGI Amount]]/Sales4[[#This Row],[Billed Quantity]]</f>
        <v>457.3</v>
      </c>
      <c r="AO19" s="72" t="e">
        <f>SUMIFS('COGS Break up'!#REF!,'COGS Break up'!#REF!,Sales4[[#This Row],[Material]],'COGS Break up'!#REF!,'MIS Working'!$AO$1)</f>
        <v>#REF!</v>
      </c>
      <c r="AP19" s="72" t="e">
        <f>SUMIFS('COGS Break up'!#REF!,'COGS Break up'!#REF!,Sales4[[#This Row],[Material]],'COGS Break up'!#REF!,'MIS Working'!$AP$1)</f>
        <v>#REF!</v>
      </c>
      <c r="AQ19" s="72" t="e">
        <f>SUMIFS('COGS Break up'!#REF!,'COGS Break up'!#REF!,Sales4[[#This Row],[Material]],'COGS Break up'!#REF!,'MIS Working'!$AQ$1)</f>
        <v>#REF!</v>
      </c>
      <c r="AR19" s="72">
        <f>Sales4[[#This Row],[Droppage per unit]]</f>
        <v>0</v>
      </c>
      <c r="AS19" s="15" t="e">
        <f>AO19*Sales4[[#This Row],[Billed Quantity]]</f>
        <v>#REF!</v>
      </c>
      <c r="AT19" s="72" t="e">
        <f>AP19*Sales4[[#This Row],[Billed Quantity]]</f>
        <v>#REF!</v>
      </c>
      <c r="AU19" s="72" t="e">
        <f>AQ19*Sales4[[#This Row],[Billed Quantity]]</f>
        <v>#REF!</v>
      </c>
      <c r="AV19" s="72">
        <f>AR19*Sales4[[#This Row],[Billed Quantity]]</f>
        <v>0</v>
      </c>
    </row>
    <row r="20" spans="1:48" x14ac:dyDescent="0.3">
      <c r="A20" s="1" t="s">
        <v>479</v>
      </c>
      <c r="B20" s="2">
        <v>45920</v>
      </c>
      <c r="C20" s="1">
        <v>3271272328</v>
      </c>
      <c r="D20" s="1" t="s">
        <v>641</v>
      </c>
      <c r="E20" s="1" t="s">
        <v>642</v>
      </c>
      <c r="F20" s="1" t="s">
        <v>18</v>
      </c>
      <c r="G20" s="1" t="s">
        <v>19</v>
      </c>
      <c r="H20" s="1" t="s">
        <v>27</v>
      </c>
      <c r="I20" s="3">
        <v>350</v>
      </c>
      <c r="J20" s="4">
        <v>160055</v>
      </c>
      <c r="K20" s="3">
        <v>350</v>
      </c>
      <c r="L20" s="3">
        <v>350</v>
      </c>
      <c r="M20" s="2">
        <v>45920</v>
      </c>
      <c r="N20" s="4">
        <v>173250</v>
      </c>
      <c r="O20" s="1" t="s">
        <v>21</v>
      </c>
      <c r="P20" s="1" t="s">
        <v>22</v>
      </c>
      <c r="Q20" s="1">
        <v>1</v>
      </c>
      <c r="R20" s="1" t="str">
        <f>VLOOKUP(Sales4[[#This Row],[Material type]],Master!$H$3:$I$8,2,0)</f>
        <v>Finished Goods</v>
      </c>
      <c r="S20" s="1" t="str">
        <f>VLOOKUP(Sales4[[#This Row],[Material Group]],Master!B:C,2,0)</f>
        <v>FG-PCB-CF</v>
      </c>
      <c r="T20" s="1" t="str">
        <f>VLOOKUP(Sales4[[#This Row],[Material Group Descrip]],Master!E:F,2,0)</f>
        <v>FG-PCB-CF</v>
      </c>
      <c r="U20" s="9" t="b">
        <f ca="1">(TODAY()-1)=Sales4[[#This Row],[Billing Date]]</f>
        <v>0</v>
      </c>
      <c r="V20" s="10" t="e">
        <f>Sales4[[#This Row],[Net Value]]-Sales4[[#This Row],[PGI COST]]</f>
        <v>#REF!</v>
      </c>
      <c r="W20" s="11" t="e">
        <f>Sales4[[#This Row],[Gross Margin]]/Sales4[[#This Row],[Net Value]]</f>
        <v>#REF!</v>
      </c>
      <c r="X20" s="1" t="str">
        <f>TEXT(Sales4[[#This Row],[Billing Date]],"mmmm-yy")</f>
        <v>September-25</v>
      </c>
      <c r="Y20" s="1">
        <f>Sales4[[#This Row],[Net Value]]/Sales4[[#This Row],[Billed Quantity]]</f>
        <v>495</v>
      </c>
      <c r="Z20" s="117">
        <f>Sales4[[#This Row],[Actual delivery qty]]</f>
        <v>350</v>
      </c>
      <c r="AA20" s="12" t="e">
        <f>SUM(Sales4[[#This Row],[BOM Cost]:[Other Conversion cost pu]])</f>
        <v>#REF!</v>
      </c>
      <c r="AB2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0" s="12">
        <f>IFERROR(VLOOKUP(Sales4[[#This Row],[Material]],'COGS Break up'!#REF!,5,0),0)</f>
        <v>0</v>
      </c>
      <c r="AE2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0" s="48" t="e">
        <f>Sales4[[#This Row],[PGI per unit]]-Sales4[[#This Row],[BOM Cost]]-Sales4[[#This Row],[Labour cost per unit]]-Sales4[[#This Row],[Other Conversion cost pu]]</f>
        <v>#REF!</v>
      </c>
      <c r="AG20" s="48" t="e">
        <f>Sales4[[#This Row],[BOM Cost2]]+Sales4[[#This Row],[Labour Cost]]+Sales4[[#This Row],[Other conversion cost]]</f>
        <v>#REF!</v>
      </c>
      <c r="AH20" s="12" t="e">
        <f>Sales4[[#This Row],[Billed Quantity]]*Sales4[[#This Row],[BOM Cost]]</f>
        <v>#REF!</v>
      </c>
      <c r="AI20" s="12" t="e">
        <f>Sales4[[#This Row],[Billed Quantity]]*Sales4[[#This Row],[Labour cost per unit]]</f>
        <v>#REF!</v>
      </c>
      <c r="AJ20" s="12">
        <f>Sales4[[#This Row],[Droppage per unit]]*Sales4[[#This Row],[Billed Quantity]]</f>
        <v>0</v>
      </c>
      <c r="AK20" s="12" t="e">
        <f>Sales4[[#This Row],[Billed Quantity]]*Sales4[[#This Row],[Other Conversion cost pu]]</f>
        <v>#REF!</v>
      </c>
      <c r="AL20" s="48" t="e">
        <f>Sales4[[#This Row],[PGI Amount]]-Sales4[[#This Row],[BOM Cost2]]-Sales4[[#This Row],[Labour Cost]]-Sales4[[#This Row],[Other conversion cost]]</f>
        <v>#REF!</v>
      </c>
      <c r="AM20" s="121" t="e">
        <f>1-Sales4[[#This Row],[PGI COST]]/Sales4[[#This Row],[Net Value]]</f>
        <v>#REF!</v>
      </c>
      <c r="AN20" s="1">
        <f>Sales4[[#This Row],[PGI Amount]]/Sales4[[#This Row],[Billed Quantity]]</f>
        <v>457.3</v>
      </c>
      <c r="AO20" s="72" t="e">
        <f>SUMIFS('COGS Break up'!#REF!,'COGS Break up'!#REF!,Sales4[[#This Row],[Material]],'COGS Break up'!#REF!,'MIS Working'!$AO$1)</f>
        <v>#REF!</v>
      </c>
      <c r="AP20" s="72" t="e">
        <f>SUMIFS('COGS Break up'!#REF!,'COGS Break up'!#REF!,Sales4[[#This Row],[Material]],'COGS Break up'!#REF!,'MIS Working'!$AP$1)</f>
        <v>#REF!</v>
      </c>
      <c r="AQ20" s="72" t="e">
        <f>SUMIFS('COGS Break up'!#REF!,'COGS Break up'!#REF!,Sales4[[#This Row],[Material]],'COGS Break up'!#REF!,'MIS Working'!$AQ$1)</f>
        <v>#REF!</v>
      </c>
      <c r="AR20" s="72">
        <f>Sales4[[#This Row],[Droppage per unit]]</f>
        <v>0</v>
      </c>
      <c r="AS20" s="15" t="e">
        <f>AO20*Sales4[[#This Row],[Billed Quantity]]</f>
        <v>#REF!</v>
      </c>
      <c r="AT20" s="72" t="e">
        <f>AP20*Sales4[[#This Row],[Billed Quantity]]</f>
        <v>#REF!</v>
      </c>
      <c r="AU20" s="72" t="e">
        <f>AQ20*Sales4[[#This Row],[Billed Quantity]]</f>
        <v>#REF!</v>
      </c>
      <c r="AV20" s="72">
        <f>AR20*Sales4[[#This Row],[Billed Quantity]]</f>
        <v>0</v>
      </c>
    </row>
    <row r="21" spans="1:48" x14ac:dyDescent="0.3">
      <c r="A21" s="1" t="s">
        <v>479</v>
      </c>
      <c r="B21" s="2">
        <v>45920</v>
      </c>
      <c r="C21" s="1">
        <v>3271272308</v>
      </c>
      <c r="D21" s="1" t="s">
        <v>641</v>
      </c>
      <c r="E21" s="1" t="s">
        <v>642</v>
      </c>
      <c r="F21" s="1" t="s">
        <v>18</v>
      </c>
      <c r="G21" s="1" t="s">
        <v>19</v>
      </c>
      <c r="H21" s="1" t="s">
        <v>27</v>
      </c>
      <c r="I21" s="3">
        <v>560</v>
      </c>
      <c r="J21" s="4">
        <v>256088</v>
      </c>
      <c r="K21" s="3">
        <v>560</v>
      </c>
      <c r="L21" s="3">
        <v>560</v>
      </c>
      <c r="M21" s="2">
        <v>45920</v>
      </c>
      <c r="N21" s="4">
        <v>277200</v>
      </c>
      <c r="O21" s="1" t="s">
        <v>21</v>
      </c>
      <c r="P21" s="1" t="s">
        <v>22</v>
      </c>
      <c r="Q21" s="1">
        <v>1</v>
      </c>
      <c r="R21" s="1" t="str">
        <f>VLOOKUP(Sales4[[#This Row],[Material type]],Master!$H$3:$I$8,2,0)</f>
        <v>Finished Goods</v>
      </c>
      <c r="S21" s="1" t="str">
        <f>VLOOKUP(Sales4[[#This Row],[Material Group]],Master!B:C,2,0)</f>
        <v>FG-PCB-CF</v>
      </c>
      <c r="T21" s="1" t="str">
        <f>VLOOKUP(Sales4[[#This Row],[Material Group Descrip]],Master!E:F,2,0)</f>
        <v>FG-PCB-CF</v>
      </c>
      <c r="U21" s="9" t="b">
        <f ca="1">(TODAY()-1)=Sales4[[#This Row],[Billing Date]]</f>
        <v>0</v>
      </c>
      <c r="V21" s="10" t="e">
        <f>Sales4[[#This Row],[Net Value]]-Sales4[[#This Row],[PGI COST]]</f>
        <v>#REF!</v>
      </c>
      <c r="W21" s="11" t="e">
        <f>Sales4[[#This Row],[Gross Margin]]/Sales4[[#This Row],[Net Value]]</f>
        <v>#REF!</v>
      </c>
      <c r="X21" s="1" t="str">
        <f>TEXT(Sales4[[#This Row],[Billing Date]],"mmmm-yy")</f>
        <v>September-25</v>
      </c>
      <c r="Y21" s="1">
        <f>Sales4[[#This Row],[Net Value]]/Sales4[[#This Row],[Billed Quantity]]</f>
        <v>495</v>
      </c>
      <c r="Z21" s="117">
        <f>Sales4[[#This Row],[Actual delivery qty]]</f>
        <v>560</v>
      </c>
      <c r="AA21" s="12" t="e">
        <f>SUM(Sales4[[#This Row],[BOM Cost]:[Other Conversion cost pu]])</f>
        <v>#REF!</v>
      </c>
      <c r="AB2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1" s="12">
        <f>IFERROR(VLOOKUP(Sales4[[#This Row],[Material]],'COGS Break up'!#REF!,5,0),0)</f>
        <v>0</v>
      </c>
      <c r="AE2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1" s="48" t="e">
        <f>Sales4[[#This Row],[PGI per unit]]-Sales4[[#This Row],[BOM Cost]]-Sales4[[#This Row],[Labour cost per unit]]-Sales4[[#This Row],[Other Conversion cost pu]]</f>
        <v>#REF!</v>
      </c>
      <c r="AG21" s="48" t="e">
        <f>Sales4[[#This Row],[BOM Cost2]]+Sales4[[#This Row],[Labour Cost]]+Sales4[[#This Row],[Other conversion cost]]</f>
        <v>#REF!</v>
      </c>
      <c r="AH21" s="12" t="e">
        <f>Sales4[[#This Row],[Billed Quantity]]*Sales4[[#This Row],[BOM Cost]]</f>
        <v>#REF!</v>
      </c>
      <c r="AI21" s="12" t="e">
        <f>Sales4[[#This Row],[Billed Quantity]]*Sales4[[#This Row],[Labour cost per unit]]</f>
        <v>#REF!</v>
      </c>
      <c r="AJ21" s="12">
        <f>Sales4[[#This Row],[Droppage per unit]]*Sales4[[#This Row],[Billed Quantity]]</f>
        <v>0</v>
      </c>
      <c r="AK21" s="12" t="e">
        <f>Sales4[[#This Row],[Billed Quantity]]*Sales4[[#This Row],[Other Conversion cost pu]]</f>
        <v>#REF!</v>
      </c>
      <c r="AL21" s="48" t="e">
        <f>Sales4[[#This Row],[PGI Amount]]-Sales4[[#This Row],[BOM Cost2]]-Sales4[[#This Row],[Labour Cost]]-Sales4[[#This Row],[Other conversion cost]]</f>
        <v>#REF!</v>
      </c>
      <c r="AM21" s="121" t="e">
        <f>1-Sales4[[#This Row],[PGI COST]]/Sales4[[#This Row],[Net Value]]</f>
        <v>#REF!</v>
      </c>
      <c r="AN21" s="1">
        <f>Sales4[[#This Row],[PGI Amount]]/Sales4[[#This Row],[Billed Quantity]]</f>
        <v>457.3</v>
      </c>
      <c r="AO21" s="72" t="e">
        <f>SUMIFS('COGS Break up'!#REF!,'COGS Break up'!#REF!,Sales4[[#This Row],[Material]],'COGS Break up'!#REF!,'MIS Working'!$AO$1)</f>
        <v>#REF!</v>
      </c>
      <c r="AP21" s="72" t="e">
        <f>SUMIFS('COGS Break up'!#REF!,'COGS Break up'!#REF!,Sales4[[#This Row],[Material]],'COGS Break up'!#REF!,'MIS Working'!$AP$1)</f>
        <v>#REF!</v>
      </c>
      <c r="AQ21" s="72" t="e">
        <f>SUMIFS('COGS Break up'!#REF!,'COGS Break up'!#REF!,Sales4[[#This Row],[Material]],'COGS Break up'!#REF!,'MIS Working'!$AQ$1)</f>
        <v>#REF!</v>
      </c>
      <c r="AR21" s="72">
        <f>Sales4[[#This Row],[Droppage per unit]]</f>
        <v>0</v>
      </c>
      <c r="AS21" s="15" t="e">
        <f>AO21*Sales4[[#This Row],[Billed Quantity]]</f>
        <v>#REF!</v>
      </c>
      <c r="AT21" s="72" t="e">
        <f>AP21*Sales4[[#This Row],[Billed Quantity]]</f>
        <v>#REF!</v>
      </c>
      <c r="AU21" s="72" t="e">
        <f>AQ21*Sales4[[#This Row],[Billed Quantity]]</f>
        <v>#REF!</v>
      </c>
      <c r="AV21" s="72">
        <f>AR21*Sales4[[#This Row],[Billed Quantity]]</f>
        <v>0</v>
      </c>
    </row>
    <row r="22" spans="1:48" x14ac:dyDescent="0.3">
      <c r="A22" s="1" t="s">
        <v>479</v>
      </c>
      <c r="B22" s="2">
        <v>45920</v>
      </c>
      <c r="C22" s="1">
        <v>3271272536</v>
      </c>
      <c r="D22" s="1" t="s">
        <v>42</v>
      </c>
      <c r="E22" s="1" t="s">
        <v>43</v>
      </c>
      <c r="F22" s="1" t="s">
        <v>18</v>
      </c>
      <c r="G22" s="1" t="s">
        <v>19</v>
      </c>
      <c r="H22" s="1" t="s">
        <v>27</v>
      </c>
      <c r="I22" s="3">
        <v>105</v>
      </c>
      <c r="J22" s="4">
        <v>34594.35</v>
      </c>
      <c r="K22" s="3">
        <v>105</v>
      </c>
      <c r="L22" s="3">
        <v>105</v>
      </c>
      <c r="M22" s="2">
        <v>45920</v>
      </c>
      <c r="N22" s="4">
        <v>37620.449999999997</v>
      </c>
      <c r="O22" s="1" t="s">
        <v>21</v>
      </c>
      <c r="P22" s="1" t="s">
        <v>22</v>
      </c>
      <c r="Q22" s="1">
        <v>1</v>
      </c>
      <c r="R22" s="1" t="str">
        <f>VLOOKUP(Sales4[[#This Row],[Material type]],Master!$H$3:$I$8,2,0)</f>
        <v>Finished Goods</v>
      </c>
      <c r="S22" s="1" t="str">
        <f>VLOOKUP(Sales4[[#This Row],[Material Group]],Master!B:C,2,0)</f>
        <v>FG-PCB-CF</v>
      </c>
      <c r="T22" s="1" t="str">
        <f>VLOOKUP(Sales4[[#This Row],[Material Group Descrip]],Master!E:F,2,0)</f>
        <v>FG-PCB-CF</v>
      </c>
      <c r="U22" s="9" t="b">
        <f ca="1">(TODAY()-1)=Sales4[[#This Row],[Billing Date]]</f>
        <v>0</v>
      </c>
      <c r="V22" s="10" t="e">
        <f>Sales4[[#This Row],[Net Value]]-Sales4[[#This Row],[PGI COST]]</f>
        <v>#REF!</v>
      </c>
      <c r="W22" s="11" t="e">
        <f>Sales4[[#This Row],[Gross Margin]]/Sales4[[#This Row],[Net Value]]</f>
        <v>#REF!</v>
      </c>
      <c r="X22" s="1" t="str">
        <f>TEXT(Sales4[[#This Row],[Billing Date]],"mmmm-yy")</f>
        <v>September-25</v>
      </c>
      <c r="Y22" s="1">
        <f>Sales4[[#This Row],[Net Value]]/Sales4[[#This Row],[Billed Quantity]]</f>
        <v>358.28999999999996</v>
      </c>
      <c r="Z22" s="117">
        <f>Sales4[[#This Row],[Actual delivery qty]]</f>
        <v>105</v>
      </c>
      <c r="AA22" s="12" t="e">
        <f>SUM(Sales4[[#This Row],[BOM Cost]:[Other Conversion cost pu]])</f>
        <v>#REF!</v>
      </c>
      <c r="AB2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2" s="12">
        <f>IFERROR(VLOOKUP(Sales4[[#This Row],[Material]],'COGS Break up'!#REF!,5,0),0)</f>
        <v>0</v>
      </c>
      <c r="AE2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2" s="48" t="e">
        <f>Sales4[[#This Row],[PGI per unit]]-Sales4[[#This Row],[BOM Cost]]-Sales4[[#This Row],[Labour cost per unit]]-Sales4[[#This Row],[Other Conversion cost pu]]</f>
        <v>#REF!</v>
      </c>
      <c r="AG22" s="48" t="e">
        <f>Sales4[[#This Row],[BOM Cost2]]+Sales4[[#This Row],[Labour Cost]]+Sales4[[#This Row],[Other conversion cost]]</f>
        <v>#REF!</v>
      </c>
      <c r="AH22" s="12" t="e">
        <f>Sales4[[#This Row],[Billed Quantity]]*Sales4[[#This Row],[BOM Cost]]</f>
        <v>#REF!</v>
      </c>
      <c r="AI22" s="12" t="e">
        <f>Sales4[[#This Row],[Billed Quantity]]*Sales4[[#This Row],[Labour cost per unit]]</f>
        <v>#REF!</v>
      </c>
      <c r="AJ22" s="12">
        <f>Sales4[[#This Row],[Droppage per unit]]*Sales4[[#This Row],[Billed Quantity]]</f>
        <v>0</v>
      </c>
      <c r="AK22" s="12" t="e">
        <f>Sales4[[#This Row],[Billed Quantity]]*Sales4[[#This Row],[Other Conversion cost pu]]</f>
        <v>#REF!</v>
      </c>
      <c r="AL22" s="48" t="e">
        <f>Sales4[[#This Row],[PGI Amount]]-Sales4[[#This Row],[BOM Cost2]]-Sales4[[#This Row],[Labour Cost]]-Sales4[[#This Row],[Other conversion cost]]</f>
        <v>#REF!</v>
      </c>
      <c r="AM22" s="121" t="e">
        <f>1-Sales4[[#This Row],[PGI COST]]/Sales4[[#This Row],[Net Value]]</f>
        <v>#REF!</v>
      </c>
      <c r="AN22" s="1">
        <f>Sales4[[#This Row],[PGI Amount]]/Sales4[[#This Row],[Billed Quantity]]</f>
        <v>329.46999999999997</v>
      </c>
      <c r="AO22" s="72" t="e">
        <f>SUMIFS('COGS Break up'!#REF!,'COGS Break up'!#REF!,Sales4[[#This Row],[Material]],'COGS Break up'!#REF!,'MIS Working'!$AO$1)</f>
        <v>#REF!</v>
      </c>
      <c r="AP22" s="72" t="e">
        <f>SUMIFS('COGS Break up'!#REF!,'COGS Break up'!#REF!,Sales4[[#This Row],[Material]],'COGS Break up'!#REF!,'MIS Working'!$AP$1)</f>
        <v>#REF!</v>
      </c>
      <c r="AQ22" s="72" t="e">
        <f>SUMIFS('COGS Break up'!#REF!,'COGS Break up'!#REF!,Sales4[[#This Row],[Material]],'COGS Break up'!#REF!,'MIS Working'!$AQ$1)</f>
        <v>#REF!</v>
      </c>
      <c r="AR22" s="72">
        <f>Sales4[[#This Row],[Droppage per unit]]</f>
        <v>0</v>
      </c>
      <c r="AS22" s="15" t="e">
        <f>AO22*Sales4[[#This Row],[Billed Quantity]]</f>
        <v>#REF!</v>
      </c>
      <c r="AT22" s="72" t="e">
        <f>AP22*Sales4[[#This Row],[Billed Quantity]]</f>
        <v>#REF!</v>
      </c>
      <c r="AU22" s="72" t="e">
        <f>AQ22*Sales4[[#This Row],[Billed Quantity]]</f>
        <v>#REF!</v>
      </c>
      <c r="AV22" s="72">
        <f>AR22*Sales4[[#This Row],[Billed Quantity]]</f>
        <v>0</v>
      </c>
    </row>
    <row r="23" spans="1:48" x14ac:dyDescent="0.3">
      <c r="A23" s="1" t="s">
        <v>479</v>
      </c>
      <c r="B23" s="2">
        <v>45920</v>
      </c>
      <c r="C23" s="1">
        <v>3271272328</v>
      </c>
      <c r="D23" s="1" t="s">
        <v>42</v>
      </c>
      <c r="E23" s="1" t="s">
        <v>43</v>
      </c>
      <c r="F23" s="1" t="s">
        <v>18</v>
      </c>
      <c r="G23" s="1" t="s">
        <v>19</v>
      </c>
      <c r="H23" s="1" t="s">
        <v>27</v>
      </c>
      <c r="I23" s="3">
        <v>663</v>
      </c>
      <c r="J23" s="4">
        <v>218438.61</v>
      </c>
      <c r="K23" s="3">
        <v>663</v>
      </c>
      <c r="L23" s="3">
        <v>663</v>
      </c>
      <c r="M23" s="2">
        <v>45920</v>
      </c>
      <c r="N23" s="4">
        <v>237546.27</v>
      </c>
      <c r="O23" s="1" t="s">
        <v>21</v>
      </c>
      <c r="P23" s="1" t="s">
        <v>22</v>
      </c>
      <c r="Q23" s="1">
        <v>1</v>
      </c>
      <c r="R23" s="1" t="str">
        <f>VLOOKUP(Sales4[[#This Row],[Material type]],Master!$H$3:$I$8,2,0)</f>
        <v>Finished Goods</v>
      </c>
      <c r="S23" s="1" t="str">
        <f>VLOOKUP(Sales4[[#This Row],[Material Group]],Master!B:C,2,0)</f>
        <v>FG-PCB-CF</v>
      </c>
      <c r="T23" s="1" t="str">
        <f>VLOOKUP(Sales4[[#This Row],[Material Group Descrip]],Master!E:F,2,0)</f>
        <v>FG-PCB-CF</v>
      </c>
      <c r="U23" s="9" t="b">
        <f ca="1">(TODAY()-1)=Sales4[[#This Row],[Billing Date]]</f>
        <v>0</v>
      </c>
      <c r="V23" s="10" t="e">
        <f>Sales4[[#This Row],[Net Value]]-Sales4[[#This Row],[PGI COST]]</f>
        <v>#REF!</v>
      </c>
      <c r="W23" s="11" t="e">
        <f>Sales4[[#This Row],[Gross Margin]]/Sales4[[#This Row],[Net Value]]</f>
        <v>#REF!</v>
      </c>
      <c r="X23" s="1" t="str">
        <f>TEXT(Sales4[[#This Row],[Billing Date]],"mmmm-yy")</f>
        <v>September-25</v>
      </c>
      <c r="Y23" s="1">
        <f>Sales4[[#This Row],[Net Value]]/Sales4[[#This Row],[Billed Quantity]]</f>
        <v>358.28999999999996</v>
      </c>
      <c r="Z23" s="117">
        <f>Sales4[[#This Row],[Actual delivery qty]]</f>
        <v>663</v>
      </c>
      <c r="AA23" s="12" t="e">
        <f>SUM(Sales4[[#This Row],[BOM Cost]:[Other Conversion cost pu]])</f>
        <v>#REF!</v>
      </c>
      <c r="AB2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3" s="12">
        <f>IFERROR(VLOOKUP(Sales4[[#This Row],[Material]],'COGS Break up'!#REF!,5,0),0)</f>
        <v>0</v>
      </c>
      <c r="AE2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3" s="48" t="e">
        <f>Sales4[[#This Row],[PGI per unit]]-Sales4[[#This Row],[BOM Cost]]-Sales4[[#This Row],[Labour cost per unit]]-Sales4[[#This Row],[Other Conversion cost pu]]</f>
        <v>#REF!</v>
      </c>
      <c r="AG23" s="48" t="e">
        <f>Sales4[[#This Row],[BOM Cost2]]+Sales4[[#This Row],[Labour Cost]]+Sales4[[#This Row],[Other conversion cost]]</f>
        <v>#REF!</v>
      </c>
      <c r="AH23" s="12" t="e">
        <f>Sales4[[#This Row],[Billed Quantity]]*Sales4[[#This Row],[BOM Cost]]</f>
        <v>#REF!</v>
      </c>
      <c r="AI23" s="12" t="e">
        <f>Sales4[[#This Row],[Billed Quantity]]*Sales4[[#This Row],[Labour cost per unit]]</f>
        <v>#REF!</v>
      </c>
      <c r="AJ23" s="12">
        <f>Sales4[[#This Row],[Droppage per unit]]*Sales4[[#This Row],[Billed Quantity]]</f>
        <v>0</v>
      </c>
      <c r="AK23" s="12" t="e">
        <f>Sales4[[#This Row],[Billed Quantity]]*Sales4[[#This Row],[Other Conversion cost pu]]</f>
        <v>#REF!</v>
      </c>
      <c r="AL23" s="48" t="e">
        <f>Sales4[[#This Row],[PGI Amount]]-Sales4[[#This Row],[BOM Cost2]]-Sales4[[#This Row],[Labour Cost]]-Sales4[[#This Row],[Other conversion cost]]</f>
        <v>#REF!</v>
      </c>
      <c r="AM23" s="121" t="e">
        <f>1-Sales4[[#This Row],[PGI COST]]/Sales4[[#This Row],[Net Value]]</f>
        <v>#REF!</v>
      </c>
      <c r="AN23" s="1">
        <f>Sales4[[#This Row],[PGI Amount]]/Sales4[[#This Row],[Billed Quantity]]</f>
        <v>329.46999999999997</v>
      </c>
      <c r="AO23" s="72" t="e">
        <f>SUMIFS('COGS Break up'!#REF!,'COGS Break up'!#REF!,Sales4[[#This Row],[Material]],'COGS Break up'!#REF!,'MIS Working'!$AO$1)</f>
        <v>#REF!</v>
      </c>
      <c r="AP23" s="72" t="e">
        <f>SUMIFS('COGS Break up'!#REF!,'COGS Break up'!#REF!,Sales4[[#This Row],[Material]],'COGS Break up'!#REF!,'MIS Working'!$AP$1)</f>
        <v>#REF!</v>
      </c>
      <c r="AQ23" s="72" t="e">
        <f>SUMIFS('COGS Break up'!#REF!,'COGS Break up'!#REF!,Sales4[[#This Row],[Material]],'COGS Break up'!#REF!,'MIS Working'!$AQ$1)</f>
        <v>#REF!</v>
      </c>
      <c r="AR23" s="72">
        <f>Sales4[[#This Row],[Droppage per unit]]</f>
        <v>0</v>
      </c>
      <c r="AS23" s="15" t="e">
        <f>AO23*Sales4[[#This Row],[Billed Quantity]]</f>
        <v>#REF!</v>
      </c>
      <c r="AT23" s="72" t="e">
        <f>AP23*Sales4[[#This Row],[Billed Quantity]]</f>
        <v>#REF!</v>
      </c>
      <c r="AU23" s="72" t="e">
        <f>AQ23*Sales4[[#This Row],[Billed Quantity]]</f>
        <v>#REF!</v>
      </c>
      <c r="AV23" s="72">
        <f>AR23*Sales4[[#This Row],[Billed Quantity]]</f>
        <v>0</v>
      </c>
    </row>
    <row r="24" spans="1:48" x14ac:dyDescent="0.3">
      <c r="A24" s="1" t="s">
        <v>479</v>
      </c>
      <c r="B24" s="2">
        <v>45920</v>
      </c>
      <c r="C24" s="1">
        <v>3271272308</v>
      </c>
      <c r="D24" s="1" t="s">
        <v>368</v>
      </c>
      <c r="E24" s="1" t="s">
        <v>369</v>
      </c>
      <c r="F24" s="1" t="s">
        <v>18</v>
      </c>
      <c r="G24" s="1" t="s">
        <v>19</v>
      </c>
      <c r="H24" s="1" t="s">
        <v>483</v>
      </c>
      <c r="I24" s="3">
        <v>140</v>
      </c>
      <c r="J24" s="4">
        <v>48084.4</v>
      </c>
      <c r="K24" s="3">
        <v>140</v>
      </c>
      <c r="L24" s="3">
        <v>140</v>
      </c>
      <c r="M24" s="2">
        <v>45920</v>
      </c>
      <c r="N24" s="4">
        <v>43311.8</v>
      </c>
      <c r="O24" s="1" t="s">
        <v>21</v>
      </c>
      <c r="P24" s="1" t="s">
        <v>22</v>
      </c>
      <c r="Q24" s="1">
        <v>1</v>
      </c>
      <c r="R24" s="1" t="str">
        <f>VLOOKUP(Sales4[[#This Row],[Material type]],Master!$H$3:$I$8,2,0)</f>
        <v>Finished Goods</v>
      </c>
      <c r="S24" s="1" t="str">
        <f>VLOOKUP(Sales4[[#This Row],[Material Group]],Master!B:C,2,0)</f>
        <v>FG-PCB-MG</v>
      </c>
      <c r="T24" s="1" t="str">
        <f>VLOOKUP(Sales4[[#This Row],[Material Group Descrip]],Master!E:F,2,0)</f>
        <v>FG-PCB-MG</v>
      </c>
      <c r="U24" s="9" t="b">
        <f ca="1">(TODAY()-1)=Sales4[[#This Row],[Billing Date]]</f>
        <v>0</v>
      </c>
      <c r="V24" s="10" t="e">
        <f>Sales4[[#This Row],[Net Value]]-Sales4[[#This Row],[PGI COST]]</f>
        <v>#REF!</v>
      </c>
      <c r="W24" s="11" t="e">
        <f>Sales4[[#This Row],[Gross Margin]]/Sales4[[#This Row],[Net Value]]</f>
        <v>#REF!</v>
      </c>
      <c r="X24" s="1" t="str">
        <f>TEXT(Sales4[[#This Row],[Billing Date]],"mmmm-yy")</f>
        <v>September-25</v>
      </c>
      <c r="Y24" s="1">
        <f>Sales4[[#This Row],[Net Value]]/Sales4[[#This Row],[Billed Quantity]]</f>
        <v>309.37</v>
      </c>
      <c r="Z24" s="117">
        <f>Sales4[[#This Row],[Actual delivery qty]]</f>
        <v>140</v>
      </c>
      <c r="AA24" s="12" t="e">
        <f>SUM(Sales4[[#This Row],[BOM Cost]:[Other Conversion cost pu]])</f>
        <v>#REF!</v>
      </c>
      <c r="AB2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4" s="12">
        <f>IFERROR(VLOOKUP(Sales4[[#This Row],[Material]],'COGS Break up'!#REF!,5,0),0)</f>
        <v>0</v>
      </c>
      <c r="AE2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4" s="48" t="e">
        <f>Sales4[[#This Row],[PGI per unit]]-Sales4[[#This Row],[BOM Cost]]-Sales4[[#This Row],[Labour cost per unit]]-Sales4[[#This Row],[Other Conversion cost pu]]</f>
        <v>#REF!</v>
      </c>
      <c r="AG24" s="48" t="e">
        <f>Sales4[[#This Row],[BOM Cost2]]+Sales4[[#This Row],[Labour Cost]]+Sales4[[#This Row],[Other conversion cost]]</f>
        <v>#REF!</v>
      </c>
      <c r="AH24" s="12" t="e">
        <f>Sales4[[#This Row],[Billed Quantity]]*Sales4[[#This Row],[BOM Cost]]</f>
        <v>#REF!</v>
      </c>
      <c r="AI24" s="12" t="e">
        <f>Sales4[[#This Row],[Billed Quantity]]*Sales4[[#This Row],[Labour cost per unit]]</f>
        <v>#REF!</v>
      </c>
      <c r="AJ24" s="12">
        <f>Sales4[[#This Row],[Droppage per unit]]*Sales4[[#This Row],[Billed Quantity]]</f>
        <v>0</v>
      </c>
      <c r="AK24" s="12" t="e">
        <f>Sales4[[#This Row],[Billed Quantity]]*Sales4[[#This Row],[Other Conversion cost pu]]</f>
        <v>#REF!</v>
      </c>
      <c r="AL24" s="48" t="e">
        <f>Sales4[[#This Row],[PGI Amount]]-Sales4[[#This Row],[BOM Cost2]]-Sales4[[#This Row],[Labour Cost]]-Sales4[[#This Row],[Other conversion cost]]</f>
        <v>#REF!</v>
      </c>
      <c r="AM24" s="121" t="e">
        <f>1-Sales4[[#This Row],[PGI COST]]/Sales4[[#This Row],[Net Value]]</f>
        <v>#REF!</v>
      </c>
      <c r="AN24" s="1">
        <f>Sales4[[#This Row],[PGI Amount]]/Sales4[[#This Row],[Billed Quantity]]</f>
        <v>343.46000000000004</v>
      </c>
      <c r="AO24" s="72" t="e">
        <f>SUMIFS('COGS Break up'!#REF!,'COGS Break up'!#REF!,Sales4[[#This Row],[Material]],'COGS Break up'!#REF!,'MIS Working'!$AO$1)</f>
        <v>#REF!</v>
      </c>
      <c r="AP24" s="72" t="e">
        <f>SUMIFS('COGS Break up'!#REF!,'COGS Break up'!#REF!,Sales4[[#This Row],[Material]],'COGS Break up'!#REF!,'MIS Working'!$AP$1)</f>
        <v>#REF!</v>
      </c>
      <c r="AQ24" s="72" t="e">
        <f>SUMIFS('COGS Break up'!#REF!,'COGS Break up'!#REF!,Sales4[[#This Row],[Material]],'COGS Break up'!#REF!,'MIS Working'!$AQ$1)</f>
        <v>#REF!</v>
      </c>
      <c r="AR24" s="72">
        <f>Sales4[[#This Row],[Droppage per unit]]</f>
        <v>0</v>
      </c>
      <c r="AS24" s="15" t="e">
        <f>AO24*Sales4[[#This Row],[Billed Quantity]]</f>
        <v>#REF!</v>
      </c>
      <c r="AT24" s="72" t="e">
        <f>AP24*Sales4[[#This Row],[Billed Quantity]]</f>
        <v>#REF!</v>
      </c>
      <c r="AU24" s="72" t="e">
        <f>AQ24*Sales4[[#This Row],[Billed Quantity]]</f>
        <v>#REF!</v>
      </c>
      <c r="AV24" s="72">
        <f>AR24*Sales4[[#This Row],[Billed Quantity]]</f>
        <v>0</v>
      </c>
    </row>
    <row r="25" spans="1:48" x14ac:dyDescent="0.3">
      <c r="A25" s="1" t="s">
        <v>479</v>
      </c>
      <c r="B25" s="2">
        <v>45920</v>
      </c>
      <c r="C25" s="1">
        <v>3271272328</v>
      </c>
      <c r="D25" s="1" t="s">
        <v>366</v>
      </c>
      <c r="E25" s="1" t="s">
        <v>367</v>
      </c>
      <c r="F25" s="1" t="s">
        <v>18</v>
      </c>
      <c r="G25" s="1" t="s">
        <v>19</v>
      </c>
      <c r="H25" s="1" t="s">
        <v>483</v>
      </c>
      <c r="I25" s="3">
        <v>175</v>
      </c>
      <c r="J25" s="4">
        <v>60648</v>
      </c>
      <c r="K25" s="3">
        <v>175</v>
      </c>
      <c r="L25" s="3">
        <v>175</v>
      </c>
      <c r="M25" s="2">
        <v>45920</v>
      </c>
      <c r="N25" s="4">
        <v>54965.75</v>
      </c>
      <c r="O25" s="1" t="s">
        <v>21</v>
      </c>
      <c r="P25" s="1" t="s">
        <v>22</v>
      </c>
      <c r="Q25" s="1">
        <v>1</v>
      </c>
      <c r="R25" s="1" t="str">
        <f>VLOOKUP(Sales4[[#This Row],[Material type]],Master!$H$3:$I$8,2,0)</f>
        <v>Finished Goods</v>
      </c>
      <c r="S25" s="1" t="str">
        <f>VLOOKUP(Sales4[[#This Row],[Material Group]],Master!B:C,2,0)</f>
        <v>FG-PCB-MG</v>
      </c>
      <c r="T25" s="1" t="str">
        <f>VLOOKUP(Sales4[[#This Row],[Material Group Descrip]],Master!E:F,2,0)</f>
        <v>FG-PCB-MG</v>
      </c>
      <c r="U25" s="9" t="b">
        <f ca="1">(TODAY()-1)=Sales4[[#This Row],[Billing Date]]</f>
        <v>0</v>
      </c>
      <c r="V25" s="10" t="e">
        <f>Sales4[[#This Row],[Net Value]]-Sales4[[#This Row],[PGI COST]]</f>
        <v>#REF!</v>
      </c>
      <c r="W25" s="11" t="e">
        <f>Sales4[[#This Row],[Gross Margin]]/Sales4[[#This Row],[Net Value]]</f>
        <v>#REF!</v>
      </c>
      <c r="X25" s="1" t="str">
        <f>TEXT(Sales4[[#This Row],[Billing Date]],"mmmm-yy")</f>
        <v>September-25</v>
      </c>
      <c r="Y25" s="1">
        <f>Sales4[[#This Row],[Net Value]]/Sales4[[#This Row],[Billed Quantity]]</f>
        <v>314.08999999999997</v>
      </c>
      <c r="Z25" s="117">
        <f>Sales4[[#This Row],[Actual delivery qty]]</f>
        <v>175</v>
      </c>
      <c r="AA25" s="12" t="e">
        <f>SUM(Sales4[[#This Row],[BOM Cost]:[Other Conversion cost pu]])</f>
        <v>#REF!</v>
      </c>
      <c r="AB2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5" s="12">
        <f>IFERROR(VLOOKUP(Sales4[[#This Row],[Material]],'COGS Break up'!#REF!,5,0),0)</f>
        <v>0</v>
      </c>
      <c r="AE2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5" s="48" t="e">
        <f>Sales4[[#This Row],[PGI per unit]]-Sales4[[#This Row],[BOM Cost]]-Sales4[[#This Row],[Labour cost per unit]]-Sales4[[#This Row],[Other Conversion cost pu]]</f>
        <v>#REF!</v>
      </c>
      <c r="AG25" s="48" t="e">
        <f>Sales4[[#This Row],[BOM Cost2]]+Sales4[[#This Row],[Labour Cost]]+Sales4[[#This Row],[Other conversion cost]]</f>
        <v>#REF!</v>
      </c>
      <c r="AH25" s="12" t="e">
        <f>Sales4[[#This Row],[Billed Quantity]]*Sales4[[#This Row],[BOM Cost]]</f>
        <v>#REF!</v>
      </c>
      <c r="AI25" s="12" t="e">
        <f>Sales4[[#This Row],[Billed Quantity]]*Sales4[[#This Row],[Labour cost per unit]]</f>
        <v>#REF!</v>
      </c>
      <c r="AJ25" s="12">
        <f>Sales4[[#This Row],[Droppage per unit]]*Sales4[[#This Row],[Billed Quantity]]</f>
        <v>0</v>
      </c>
      <c r="AK25" s="12" t="e">
        <f>Sales4[[#This Row],[Billed Quantity]]*Sales4[[#This Row],[Other Conversion cost pu]]</f>
        <v>#REF!</v>
      </c>
      <c r="AL25" s="48" t="e">
        <f>Sales4[[#This Row],[PGI Amount]]-Sales4[[#This Row],[BOM Cost2]]-Sales4[[#This Row],[Labour Cost]]-Sales4[[#This Row],[Other conversion cost]]</f>
        <v>#REF!</v>
      </c>
      <c r="AM25" s="121" t="e">
        <f>1-Sales4[[#This Row],[PGI COST]]/Sales4[[#This Row],[Net Value]]</f>
        <v>#REF!</v>
      </c>
      <c r="AN25" s="1">
        <f>Sales4[[#This Row],[PGI Amount]]/Sales4[[#This Row],[Billed Quantity]]</f>
        <v>346.56</v>
      </c>
      <c r="AO25" s="72" t="e">
        <f>SUMIFS('COGS Break up'!#REF!,'COGS Break up'!#REF!,Sales4[[#This Row],[Material]],'COGS Break up'!#REF!,'MIS Working'!$AO$1)</f>
        <v>#REF!</v>
      </c>
      <c r="AP25" s="72" t="e">
        <f>SUMIFS('COGS Break up'!#REF!,'COGS Break up'!#REF!,Sales4[[#This Row],[Material]],'COGS Break up'!#REF!,'MIS Working'!$AP$1)</f>
        <v>#REF!</v>
      </c>
      <c r="AQ25" s="72" t="e">
        <f>SUMIFS('COGS Break up'!#REF!,'COGS Break up'!#REF!,Sales4[[#This Row],[Material]],'COGS Break up'!#REF!,'MIS Working'!$AQ$1)</f>
        <v>#REF!</v>
      </c>
      <c r="AR25" s="72">
        <f>Sales4[[#This Row],[Droppage per unit]]</f>
        <v>0</v>
      </c>
      <c r="AS25" s="15" t="e">
        <f>AO25*Sales4[[#This Row],[Billed Quantity]]</f>
        <v>#REF!</v>
      </c>
      <c r="AT25" s="72" t="e">
        <f>AP25*Sales4[[#This Row],[Billed Quantity]]</f>
        <v>#REF!</v>
      </c>
      <c r="AU25" s="72" t="e">
        <f>AQ25*Sales4[[#This Row],[Billed Quantity]]</f>
        <v>#REF!</v>
      </c>
      <c r="AV25" s="72">
        <f>AR25*Sales4[[#This Row],[Billed Quantity]]</f>
        <v>0</v>
      </c>
    </row>
    <row r="26" spans="1:48" x14ac:dyDescent="0.3">
      <c r="A26" s="1" t="s">
        <v>479</v>
      </c>
      <c r="B26" s="2">
        <v>45920</v>
      </c>
      <c r="C26" s="1">
        <v>3271272579</v>
      </c>
      <c r="D26" s="1" t="s">
        <v>755</v>
      </c>
      <c r="E26" s="1" t="s">
        <v>756</v>
      </c>
      <c r="F26" s="1" t="s">
        <v>18</v>
      </c>
      <c r="G26" s="1" t="s">
        <v>19</v>
      </c>
      <c r="H26" s="1" t="s">
        <v>27</v>
      </c>
      <c r="I26" s="3">
        <v>140</v>
      </c>
      <c r="J26" s="4">
        <v>46771.199999999997</v>
      </c>
      <c r="K26" s="3">
        <v>140</v>
      </c>
      <c r="L26" s="3">
        <v>140</v>
      </c>
      <c r="M26" s="2">
        <v>45920</v>
      </c>
      <c r="N26" s="4">
        <v>50698.2</v>
      </c>
      <c r="O26" s="1" t="s">
        <v>21</v>
      </c>
      <c r="P26" s="1" t="s">
        <v>22</v>
      </c>
      <c r="Q26" s="1">
        <v>1</v>
      </c>
      <c r="R26" s="1" t="str">
        <f>VLOOKUP(Sales4[[#This Row],[Material type]],Master!$H$3:$I$8,2,0)</f>
        <v>Finished Goods</v>
      </c>
      <c r="S26" s="1" t="str">
        <f>VLOOKUP(Sales4[[#This Row],[Material Group]],Master!B:C,2,0)</f>
        <v>FG-PCB-CF</v>
      </c>
      <c r="T26" s="1" t="str">
        <f>VLOOKUP(Sales4[[#This Row],[Material Group Descrip]],Master!E:F,2,0)</f>
        <v>FG-PCB-CF</v>
      </c>
      <c r="U26" s="9" t="b">
        <f ca="1">(TODAY()-1)=Sales4[[#This Row],[Billing Date]]</f>
        <v>0</v>
      </c>
      <c r="V26" s="10" t="e">
        <f>Sales4[[#This Row],[Net Value]]-Sales4[[#This Row],[PGI COST]]</f>
        <v>#REF!</v>
      </c>
      <c r="W26" s="11" t="e">
        <f>Sales4[[#This Row],[Gross Margin]]/Sales4[[#This Row],[Net Value]]</f>
        <v>#REF!</v>
      </c>
      <c r="X26" s="1" t="str">
        <f>TEXT(Sales4[[#This Row],[Billing Date]],"mmmm-yy")</f>
        <v>September-25</v>
      </c>
      <c r="Y26" s="1">
        <f>Sales4[[#This Row],[Net Value]]/Sales4[[#This Row],[Billed Quantity]]</f>
        <v>362.13</v>
      </c>
      <c r="Z26" s="117">
        <f>Sales4[[#This Row],[Actual delivery qty]]</f>
        <v>140</v>
      </c>
      <c r="AA26" s="12" t="e">
        <f>SUM(Sales4[[#This Row],[BOM Cost]:[Other Conversion cost pu]])</f>
        <v>#REF!</v>
      </c>
      <c r="AB2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6" s="12">
        <f>IFERROR(VLOOKUP(Sales4[[#This Row],[Material]],'COGS Break up'!#REF!,5,0),0)</f>
        <v>0</v>
      </c>
      <c r="AE2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6" s="48" t="e">
        <f>Sales4[[#This Row],[PGI per unit]]-Sales4[[#This Row],[BOM Cost]]-Sales4[[#This Row],[Labour cost per unit]]-Sales4[[#This Row],[Other Conversion cost pu]]</f>
        <v>#REF!</v>
      </c>
      <c r="AG26" s="48" t="e">
        <f>Sales4[[#This Row],[BOM Cost2]]+Sales4[[#This Row],[Labour Cost]]+Sales4[[#This Row],[Other conversion cost]]</f>
        <v>#REF!</v>
      </c>
      <c r="AH26" s="12" t="e">
        <f>Sales4[[#This Row],[Billed Quantity]]*Sales4[[#This Row],[BOM Cost]]</f>
        <v>#REF!</v>
      </c>
      <c r="AI26" s="12" t="e">
        <f>Sales4[[#This Row],[Billed Quantity]]*Sales4[[#This Row],[Labour cost per unit]]</f>
        <v>#REF!</v>
      </c>
      <c r="AJ26" s="12">
        <f>Sales4[[#This Row],[Droppage per unit]]*Sales4[[#This Row],[Billed Quantity]]</f>
        <v>0</v>
      </c>
      <c r="AK26" s="12" t="e">
        <f>Sales4[[#This Row],[Billed Quantity]]*Sales4[[#This Row],[Other Conversion cost pu]]</f>
        <v>#REF!</v>
      </c>
      <c r="AL26" s="48" t="e">
        <f>Sales4[[#This Row],[PGI Amount]]-Sales4[[#This Row],[BOM Cost2]]-Sales4[[#This Row],[Labour Cost]]-Sales4[[#This Row],[Other conversion cost]]</f>
        <v>#REF!</v>
      </c>
      <c r="AM26" s="121" t="e">
        <f>1-Sales4[[#This Row],[PGI COST]]/Sales4[[#This Row],[Net Value]]</f>
        <v>#REF!</v>
      </c>
      <c r="AN26" s="1">
        <f>Sales4[[#This Row],[PGI Amount]]/Sales4[[#This Row],[Billed Quantity]]</f>
        <v>334.08</v>
      </c>
      <c r="AO26" s="72" t="e">
        <f>SUMIFS('COGS Break up'!#REF!,'COGS Break up'!#REF!,Sales4[[#This Row],[Material]],'COGS Break up'!#REF!,'MIS Working'!$AO$1)</f>
        <v>#REF!</v>
      </c>
      <c r="AP26" s="72" t="e">
        <f>SUMIFS('COGS Break up'!#REF!,'COGS Break up'!#REF!,Sales4[[#This Row],[Material]],'COGS Break up'!#REF!,'MIS Working'!$AP$1)</f>
        <v>#REF!</v>
      </c>
      <c r="AQ26" s="72" t="e">
        <f>SUMIFS('COGS Break up'!#REF!,'COGS Break up'!#REF!,Sales4[[#This Row],[Material]],'COGS Break up'!#REF!,'MIS Working'!$AQ$1)</f>
        <v>#REF!</v>
      </c>
      <c r="AR26" s="72">
        <f>Sales4[[#This Row],[Droppage per unit]]</f>
        <v>0</v>
      </c>
      <c r="AS26" s="15" t="e">
        <f>AO26*Sales4[[#This Row],[Billed Quantity]]</f>
        <v>#REF!</v>
      </c>
      <c r="AT26" s="72" t="e">
        <f>AP26*Sales4[[#This Row],[Billed Quantity]]</f>
        <v>#REF!</v>
      </c>
      <c r="AU26" s="72" t="e">
        <f>AQ26*Sales4[[#This Row],[Billed Quantity]]</f>
        <v>#REF!</v>
      </c>
      <c r="AV26" s="72">
        <f>AR26*Sales4[[#This Row],[Billed Quantity]]</f>
        <v>0</v>
      </c>
    </row>
    <row r="27" spans="1:48" x14ac:dyDescent="0.3">
      <c r="A27" s="1" t="s">
        <v>479</v>
      </c>
      <c r="B27" s="2">
        <v>45920</v>
      </c>
      <c r="C27" s="1">
        <v>3271272308</v>
      </c>
      <c r="D27" s="1" t="s">
        <v>370</v>
      </c>
      <c r="E27" s="1" t="s">
        <v>371</v>
      </c>
      <c r="F27" s="1" t="s">
        <v>18</v>
      </c>
      <c r="G27" s="1" t="s">
        <v>19</v>
      </c>
      <c r="H27" s="1" t="s">
        <v>774</v>
      </c>
      <c r="I27" s="3">
        <v>245</v>
      </c>
      <c r="J27" s="4">
        <v>8298.15</v>
      </c>
      <c r="K27" s="3">
        <v>245</v>
      </c>
      <c r="L27" s="3">
        <v>245</v>
      </c>
      <c r="M27" s="2">
        <v>45920</v>
      </c>
      <c r="N27" s="4">
        <v>6448.4</v>
      </c>
      <c r="O27" s="1" t="s">
        <v>21</v>
      </c>
      <c r="P27" s="1" t="s">
        <v>22</v>
      </c>
      <c r="Q27" s="1">
        <v>1</v>
      </c>
      <c r="R27" s="1" t="str">
        <f>VLOOKUP(Sales4[[#This Row],[Material type]],Master!$H$3:$I$8,2,0)</f>
        <v>Finished Goods</v>
      </c>
      <c r="S27" s="1" t="str">
        <f>VLOOKUP(Sales4[[#This Row],[Material Group]],Master!B:C,2,0)</f>
        <v>FG-PCB-MG Sensor</v>
      </c>
      <c r="T27" s="1" t="str">
        <f>VLOOKUP(Sales4[[#This Row],[Material Group Descrip]],Master!E:F,2,0)</f>
        <v>FG-PCB-MG</v>
      </c>
      <c r="U27" s="9" t="b">
        <f ca="1">(TODAY()-1)=Sales4[[#This Row],[Billing Date]]</f>
        <v>0</v>
      </c>
      <c r="V27" s="10" t="e">
        <f>Sales4[[#This Row],[Net Value]]-Sales4[[#This Row],[PGI COST]]</f>
        <v>#REF!</v>
      </c>
      <c r="W27" s="11" t="e">
        <f>Sales4[[#This Row],[Gross Margin]]/Sales4[[#This Row],[Net Value]]</f>
        <v>#REF!</v>
      </c>
      <c r="X27" s="1" t="str">
        <f>TEXT(Sales4[[#This Row],[Billing Date]],"mmmm-yy")</f>
        <v>September-25</v>
      </c>
      <c r="Y27" s="1">
        <f>Sales4[[#This Row],[Net Value]]/Sales4[[#This Row],[Billed Quantity]]</f>
        <v>26.32</v>
      </c>
      <c r="Z27" s="117"/>
      <c r="AA27" s="12" t="e">
        <f>SUM(Sales4[[#This Row],[BOM Cost]:[Other Conversion cost pu]])</f>
        <v>#REF!</v>
      </c>
      <c r="AB2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7" s="12">
        <f>IFERROR(VLOOKUP(Sales4[[#This Row],[Material]],'COGS Break up'!#REF!,5,0),0)</f>
        <v>0</v>
      </c>
      <c r="AE2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7" s="48" t="e">
        <f>Sales4[[#This Row],[PGI per unit]]-Sales4[[#This Row],[BOM Cost]]-Sales4[[#This Row],[Labour cost per unit]]-Sales4[[#This Row],[Other Conversion cost pu]]</f>
        <v>#REF!</v>
      </c>
      <c r="AG27" s="48" t="e">
        <f>Sales4[[#This Row],[BOM Cost2]]+Sales4[[#This Row],[Labour Cost]]+Sales4[[#This Row],[Other conversion cost]]</f>
        <v>#REF!</v>
      </c>
      <c r="AH27" s="12" t="e">
        <f>Sales4[[#This Row],[Billed Quantity]]*Sales4[[#This Row],[BOM Cost]]</f>
        <v>#REF!</v>
      </c>
      <c r="AI27" s="12" t="e">
        <f>Sales4[[#This Row],[Billed Quantity]]*Sales4[[#This Row],[Labour cost per unit]]</f>
        <v>#REF!</v>
      </c>
      <c r="AJ27" s="12">
        <f>Sales4[[#This Row],[Droppage per unit]]*Sales4[[#This Row],[Billed Quantity]]</f>
        <v>0</v>
      </c>
      <c r="AK27" s="12" t="e">
        <f>Sales4[[#This Row],[Billed Quantity]]*Sales4[[#This Row],[Other Conversion cost pu]]</f>
        <v>#REF!</v>
      </c>
      <c r="AL27" s="48" t="e">
        <f>Sales4[[#This Row],[PGI Amount]]-Sales4[[#This Row],[BOM Cost2]]-Sales4[[#This Row],[Labour Cost]]-Sales4[[#This Row],[Other conversion cost]]</f>
        <v>#REF!</v>
      </c>
      <c r="AM27" s="121" t="e">
        <f>1-Sales4[[#This Row],[PGI COST]]/Sales4[[#This Row],[Net Value]]</f>
        <v>#REF!</v>
      </c>
      <c r="AN27" s="1">
        <f>Sales4[[#This Row],[PGI Amount]]/Sales4[[#This Row],[Billed Quantity]]</f>
        <v>33.869999999999997</v>
      </c>
      <c r="AO27" s="72" t="e">
        <f>SUMIFS('COGS Break up'!#REF!,'COGS Break up'!#REF!,Sales4[[#This Row],[Material]],'COGS Break up'!#REF!,'MIS Working'!$AO$1)</f>
        <v>#REF!</v>
      </c>
      <c r="AP27" s="72" t="e">
        <f>SUMIFS('COGS Break up'!#REF!,'COGS Break up'!#REF!,Sales4[[#This Row],[Material]],'COGS Break up'!#REF!,'MIS Working'!$AP$1)</f>
        <v>#REF!</v>
      </c>
      <c r="AQ27" s="72" t="e">
        <f>SUMIFS('COGS Break up'!#REF!,'COGS Break up'!#REF!,Sales4[[#This Row],[Material]],'COGS Break up'!#REF!,'MIS Working'!$AQ$1)</f>
        <v>#REF!</v>
      </c>
      <c r="AR27" s="72">
        <f>Sales4[[#This Row],[Droppage per unit]]</f>
        <v>0</v>
      </c>
      <c r="AS27" s="15" t="e">
        <f>AO27*Sales4[[#This Row],[Billed Quantity]]</f>
        <v>#REF!</v>
      </c>
      <c r="AT27" s="72" t="e">
        <f>AP27*Sales4[[#This Row],[Billed Quantity]]</f>
        <v>#REF!</v>
      </c>
      <c r="AU27" s="72" t="e">
        <f>AQ27*Sales4[[#This Row],[Billed Quantity]]</f>
        <v>#REF!</v>
      </c>
      <c r="AV27" s="72">
        <f>AR27*Sales4[[#This Row],[Billed Quantity]]</f>
        <v>0</v>
      </c>
    </row>
    <row r="28" spans="1:48" x14ac:dyDescent="0.3">
      <c r="A28" s="1" t="s">
        <v>479</v>
      </c>
      <c r="B28" s="2">
        <v>45920</v>
      </c>
      <c r="C28" s="1">
        <v>3271272579</v>
      </c>
      <c r="D28" s="1" t="s">
        <v>378</v>
      </c>
      <c r="E28" s="1" t="s">
        <v>379</v>
      </c>
      <c r="F28" s="1" t="s">
        <v>18</v>
      </c>
      <c r="G28" s="1" t="s">
        <v>19</v>
      </c>
      <c r="H28" s="1" t="s">
        <v>27</v>
      </c>
      <c r="I28" s="3">
        <v>229</v>
      </c>
      <c r="J28" s="4">
        <v>77069.95</v>
      </c>
      <c r="K28" s="3">
        <v>229</v>
      </c>
      <c r="L28" s="3">
        <v>229</v>
      </c>
      <c r="M28" s="2">
        <v>45920</v>
      </c>
      <c r="N28" s="4">
        <v>83786.52</v>
      </c>
      <c r="O28" s="1" t="s">
        <v>21</v>
      </c>
      <c r="P28" s="1" t="s">
        <v>22</v>
      </c>
      <c r="Q28" s="1">
        <v>1</v>
      </c>
      <c r="R28" s="1" t="str">
        <f>VLOOKUP(Sales4[[#This Row],[Material type]],Master!$H$3:$I$8,2,0)</f>
        <v>Finished Goods</v>
      </c>
      <c r="S28" s="1" t="str">
        <f>VLOOKUP(Sales4[[#This Row],[Material Group]],Master!B:C,2,0)</f>
        <v>FG-PCB-CF</v>
      </c>
      <c r="T28" s="1" t="str">
        <f>VLOOKUP(Sales4[[#This Row],[Material Group Descrip]],Master!E:F,2,0)</f>
        <v>FG-PCB-CF</v>
      </c>
      <c r="U28" s="9" t="b">
        <f ca="1">(TODAY()-1)=Sales4[[#This Row],[Billing Date]]</f>
        <v>0</v>
      </c>
      <c r="V28" s="10" t="e">
        <f>Sales4[[#This Row],[Net Value]]-Sales4[[#This Row],[PGI COST]]</f>
        <v>#REF!</v>
      </c>
      <c r="W28" s="11" t="e">
        <f>Sales4[[#This Row],[Gross Margin]]/Sales4[[#This Row],[Net Value]]</f>
        <v>#REF!</v>
      </c>
      <c r="X28" s="1" t="str">
        <f>TEXT(Sales4[[#This Row],[Billing Date]],"mmmm-yy")</f>
        <v>September-25</v>
      </c>
      <c r="Y28" s="1">
        <f>Sales4[[#This Row],[Net Value]]/Sales4[[#This Row],[Billed Quantity]]</f>
        <v>365.88</v>
      </c>
      <c r="Z28" s="117">
        <f>Sales4[[#This Row],[Actual delivery qty]]</f>
        <v>229</v>
      </c>
      <c r="AA28" s="12" t="e">
        <f>SUM(Sales4[[#This Row],[BOM Cost]:[Other Conversion cost pu]])</f>
        <v>#REF!</v>
      </c>
      <c r="AB2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8" s="12">
        <f>IFERROR(VLOOKUP(Sales4[[#This Row],[Material]],'COGS Break up'!#REF!,5,0),0)</f>
        <v>0</v>
      </c>
      <c r="AE2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8" s="48" t="e">
        <f>Sales4[[#This Row],[PGI per unit]]-Sales4[[#This Row],[BOM Cost]]-Sales4[[#This Row],[Labour cost per unit]]-Sales4[[#This Row],[Other Conversion cost pu]]</f>
        <v>#REF!</v>
      </c>
      <c r="AG28" s="48" t="e">
        <f>Sales4[[#This Row],[BOM Cost2]]+Sales4[[#This Row],[Labour Cost]]+Sales4[[#This Row],[Other conversion cost]]</f>
        <v>#REF!</v>
      </c>
      <c r="AH28" s="12" t="e">
        <f>Sales4[[#This Row],[Billed Quantity]]*Sales4[[#This Row],[BOM Cost]]</f>
        <v>#REF!</v>
      </c>
      <c r="AI28" s="12" t="e">
        <f>Sales4[[#This Row],[Billed Quantity]]*Sales4[[#This Row],[Labour cost per unit]]</f>
        <v>#REF!</v>
      </c>
      <c r="AJ28" s="12">
        <f>Sales4[[#This Row],[Droppage per unit]]*Sales4[[#This Row],[Billed Quantity]]</f>
        <v>0</v>
      </c>
      <c r="AK28" s="12" t="e">
        <f>Sales4[[#This Row],[Billed Quantity]]*Sales4[[#This Row],[Other Conversion cost pu]]</f>
        <v>#REF!</v>
      </c>
      <c r="AL28" s="48" t="e">
        <f>Sales4[[#This Row],[PGI Amount]]-Sales4[[#This Row],[BOM Cost2]]-Sales4[[#This Row],[Labour Cost]]-Sales4[[#This Row],[Other conversion cost]]</f>
        <v>#REF!</v>
      </c>
      <c r="AM28" s="121" t="e">
        <f>1-Sales4[[#This Row],[PGI COST]]/Sales4[[#This Row],[Net Value]]</f>
        <v>#REF!</v>
      </c>
      <c r="AN28" s="1">
        <f>Sales4[[#This Row],[PGI Amount]]/Sales4[[#This Row],[Billed Quantity]]</f>
        <v>336.55</v>
      </c>
      <c r="AO28" s="72" t="e">
        <f>SUMIFS('COGS Break up'!#REF!,'COGS Break up'!#REF!,Sales4[[#This Row],[Material]],'COGS Break up'!#REF!,'MIS Working'!$AO$1)</f>
        <v>#REF!</v>
      </c>
      <c r="AP28" s="72" t="e">
        <f>SUMIFS('COGS Break up'!#REF!,'COGS Break up'!#REF!,Sales4[[#This Row],[Material]],'COGS Break up'!#REF!,'MIS Working'!$AP$1)</f>
        <v>#REF!</v>
      </c>
      <c r="AQ28" s="72" t="e">
        <f>SUMIFS('COGS Break up'!#REF!,'COGS Break up'!#REF!,Sales4[[#This Row],[Material]],'COGS Break up'!#REF!,'MIS Working'!$AQ$1)</f>
        <v>#REF!</v>
      </c>
      <c r="AR28" s="72">
        <f>Sales4[[#This Row],[Droppage per unit]]</f>
        <v>0</v>
      </c>
      <c r="AS28" s="15" t="e">
        <f>AO28*Sales4[[#This Row],[Billed Quantity]]</f>
        <v>#REF!</v>
      </c>
      <c r="AT28" s="72" t="e">
        <f>AP28*Sales4[[#This Row],[Billed Quantity]]</f>
        <v>#REF!</v>
      </c>
      <c r="AU28" s="72" t="e">
        <f>AQ28*Sales4[[#This Row],[Billed Quantity]]</f>
        <v>#REF!</v>
      </c>
      <c r="AV28" s="72">
        <f>AR28*Sales4[[#This Row],[Billed Quantity]]</f>
        <v>0</v>
      </c>
    </row>
    <row r="29" spans="1:48" x14ac:dyDescent="0.3">
      <c r="A29" s="1" t="s">
        <v>479</v>
      </c>
      <c r="B29" s="2">
        <v>45920</v>
      </c>
      <c r="C29" s="1">
        <v>3271272338</v>
      </c>
      <c r="D29" s="1" t="s">
        <v>40</v>
      </c>
      <c r="E29" s="1" t="s">
        <v>41</v>
      </c>
      <c r="F29" s="1" t="s">
        <v>18</v>
      </c>
      <c r="G29" s="1" t="s">
        <v>34</v>
      </c>
      <c r="H29" s="1" t="s">
        <v>772</v>
      </c>
      <c r="I29" s="3">
        <v>1960</v>
      </c>
      <c r="J29" s="4">
        <v>289178.40000000002</v>
      </c>
      <c r="K29" s="3">
        <v>1960</v>
      </c>
      <c r="L29" s="3">
        <v>1960</v>
      </c>
      <c r="M29" s="2">
        <v>45920</v>
      </c>
      <c r="N29" s="4">
        <v>319362.40000000002</v>
      </c>
      <c r="O29" s="1" t="s">
        <v>21</v>
      </c>
      <c r="P29" s="1" t="s">
        <v>22</v>
      </c>
      <c r="Q29" s="1">
        <v>1</v>
      </c>
      <c r="R29" s="1" t="str">
        <f>VLOOKUP(Sales4[[#This Row],[Material type]],Master!$H$3:$I$8,2,0)</f>
        <v>Semi-Finished Goods</v>
      </c>
      <c r="S29" s="1" t="str">
        <f>VLOOKUP(Sales4[[#This Row],[Material Group]],Master!B:C,2,0)</f>
        <v>SFG-GV5 Stator</v>
      </c>
      <c r="T29" s="1" t="str">
        <f>VLOOKUP(Sales4[[#This Row],[Material Group Descrip]],Master!E:F,2,0)</f>
        <v>Sub Ass.-Mech Stator</v>
      </c>
      <c r="U29" s="9" t="b">
        <f ca="1">(TODAY()-1)=Sales4[[#This Row],[Billing Date]]</f>
        <v>0</v>
      </c>
      <c r="V29" s="10" t="e">
        <f>Sales4[[#This Row],[Net Value]]-Sales4[[#This Row],[PGI COST]]</f>
        <v>#REF!</v>
      </c>
      <c r="W29" s="11" t="e">
        <f>Sales4[[#This Row],[Gross Margin]]/Sales4[[#This Row],[Net Value]]</f>
        <v>#REF!</v>
      </c>
      <c r="X29" s="1" t="str">
        <f>TEXT(Sales4[[#This Row],[Billing Date]],"mmmm-yy")</f>
        <v>September-25</v>
      </c>
      <c r="Y29" s="1">
        <f>Sales4[[#This Row],[Net Value]]/Sales4[[#This Row],[Billed Quantity]]</f>
        <v>162.94</v>
      </c>
      <c r="Z29" s="117">
        <f>Sales4[[#This Row],[Actual delivery qty]]</f>
        <v>1960</v>
      </c>
      <c r="AA29" s="12" t="e">
        <f>SUM(Sales4[[#This Row],[BOM Cost]:[Other Conversion cost pu]])</f>
        <v>#REF!</v>
      </c>
      <c r="AB2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9" s="12">
        <f>IFERROR(VLOOKUP(Sales4[[#This Row],[Material]],'COGS Break up'!#REF!,5,0),0)</f>
        <v>0</v>
      </c>
      <c r="AE2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9" s="48" t="e">
        <f>Sales4[[#This Row],[PGI per unit]]-Sales4[[#This Row],[BOM Cost]]-Sales4[[#This Row],[Labour cost per unit]]-Sales4[[#This Row],[Other Conversion cost pu]]</f>
        <v>#REF!</v>
      </c>
      <c r="AG29" s="48" t="e">
        <f>Sales4[[#This Row],[BOM Cost2]]+Sales4[[#This Row],[Labour Cost]]+Sales4[[#This Row],[Other conversion cost]]</f>
        <v>#REF!</v>
      </c>
      <c r="AH29" s="12" t="e">
        <f>Sales4[[#This Row],[Billed Quantity]]*Sales4[[#This Row],[BOM Cost]]</f>
        <v>#REF!</v>
      </c>
      <c r="AI29" s="12" t="e">
        <f>Sales4[[#This Row],[Billed Quantity]]*Sales4[[#This Row],[Labour cost per unit]]</f>
        <v>#REF!</v>
      </c>
      <c r="AJ29" s="12">
        <f>Sales4[[#This Row],[Droppage per unit]]*Sales4[[#This Row],[Billed Quantity]]</f>
        <v>0</v>
      </c>
      <c r="AK29" s="12" t="e">
        <f>Sales4[[#This Row],[Billed Quantity]]*Sales4[[#This Row],[Other Conversion cost pu]]</f>
        <v>#REF!</v>
      </c>
      <c r="AL29" s="48" t="e">
        <f>Sales4[[#This Row],[PGI Amount]]-Sales4[[#This Row],[BOM Cost2]]-Sales4[[#This Row],[Labour Cost]]-Sales4[[#This Row],[Other conversion cost]]</f>
        <v>#REF!</v>
      </c>
      <c r="AM29" s="121" t="e">
        <f>1-Sales4[[#This Row],[PGI COST]]/Sales4[[#This Row],[Net Value]]</f>
        <v>#REF!</v>
      </c>
      <c r="AN29" s="1">
        <f>Sales4[[#This Row],[PGI Amount]]/Sales4[[#This Row],[Billed Quantity]]</f>
        <v>147.54000000000002</v>
      </c>
      <c r="AO29" s="72" t="e">
        <f>SUMIFS('COGS Break up'!#REF!,'COGS Break up'!#REF!,Sales4[[#This Row],[Material]],'COGS Break up'!#REF!,'MIS Working'!$AO$1)</f>
        <v>#REF!</v>
      </c>
      <c r="AP29" s="72" t="e">
        <f>SUMIFS('COGS Break up'!#REF!,'COGS Break up'!#REF!,Sales4[[#This Row],[Material]],'COGS Break up'!#REF!,'MIS Working'!$AP$1)</f>
        <v>#REF!</v>
      </c>
      <c r="AQ29" s="72" t="e">
        <f>SUMIFS('COGS Break up'!#REF!,'COGS Break up'!#REF!,Sales4[[#This Row],[Material]],'COGS Break up'!#REF!,'MIS Working'!$AQ$1)</f>
        <v>#REF!</v>
      </c>
      <c r="AR29" s="72">
        <f>Sales4[[#This Row],[Droppage per unit]]</f>
        <v>0</v>
      </c>
      <c r="AS29" s="15" t="e">
        <f>AO29*Sales4[[#This Row],[Billed Quantity]]</f>
        <v>#REF!</v>
      </c>
      <c r="AT29" s="72" t="e">
        <f>AP29*Sales4[[#This Row],[Billed Quantity]]</f>
        <v>#REF!</v>
      </c>
      <c r="AU29" s="72" t="e">
        <f>AQ29*Sales4[[#This Row],[Billed Quantity]]</f>
        <v>#REF!</v>
      </c>
      <c r="AV29" s="72">
        <f>AR29*Sales4[[#This Row],[Billed Quantity]]</f>
        <v>0</v>
      </c>
    </row>
    <row r="30" spans="1:48" x14ac:dyDescent="0.3">
      <c r="A30" s="1" t="s">
        <v>479</v>
      </c>
      <c r="B30" s="2">
        <v>45920</v>
      </c>
      <c r="C30" s="1">
        <v>3271272325</v>
      </c>
      <c r="D30" s="1" t="s">
        <v>40</v>
      </c>
      <c r="E30" s="1" t="s">
        <v>41</v>
      </c>
      <c r="F30" s="1" t="s">
        <v>18</v>
      </c>
      <c r="G30" s="1" t="s">
        <v>34</v>
      </c>
      <c r="H30" s="1" t="s">
        <v>772</v>
      </c>
      <c r="I30" s="3">
        <v>4364</v>
      </c>
      <c r="J30" s="4">
        <v>643864.56000000006</v>
      </c>
      <c r="K30" s="3">
        <v>4364</v>
      </c>
      <c r="L30" s="3">
        <v>4364</v>
      </c>
      <c r="M30" s="2">
        <v>45920</v>
      </c>
      <c r="N30" s="4">
        <v>711070.16</v>
      </c>
      <c r="O30" s="1" t="s">
        <v>21</v>
      </c>
      <c r="P30" s="1" t="s">
        <v>22</v>
      </c>
      <c r="Q30" s="1">
        <v>1</v>
      </c>
      <c r="R30" s="1" t="str">
        <f>VLOOKUP(Sales4[[#This Row],[Material type]],Master!$H$3:$I$8,2,0)</f>
        <v>Semi-Finished Goods</v>
      </c>
      <c r="S30" s="1" t="str">
        <f>VLOOKUP(Sales4[[#This Row],[Material Group]],Master!B:C,2,0)</f>
        <v>SFG-GV5 Stator</v>
      </c>
      <c r="T30" s="1" t="str">
        <f>VLOOKUP(Sales4[[#This Row],[Material Group Descrip]],Master!E:F,2,0)</f>
        <v>Sub Ass.-Mech Stator</v>
      </c>
      <c r="U30" s="9" t="b">
        <f ca="1">(TODAY()-1)=Sales4[[#This Row],[Billing Date]]</f>
        <v>0</v>
      </c>
      <c r="V30" s="10" t="e">
        <f>Sales4[[#This Row],[Net Value]]-Sales4[[#This Row],[PGI COST]]</f>
        <v>#REF!</v>
      </c>
      <c r="W30" s="11" t="e">
        <f>Sales4[[#This Row],[Gross Margin]]/Sales4[[#This Row],[Net Value]]</f>
        <v>#REF!</v>
      </c>
      <c r="X30" s="1" t="str">
        <f>TEXT(Sales4[[#This Row],[Billing Date]],"mmmm-yy")</f>
        <v>September-25</v>
      </c>
      <c r="Y30" s="1">
        <f>Sales4[[#This Row],[Net Value]]/Sales4[[#This Row],[Billed Quantity]]</f>
        <v>162.94</v>
      </c>
      <c r="Z30" s="117">
        <f>Sales4[[#This Row],[Actual delivery qty]]</f>
        <v>4364</v>
      </c>
      <c r="AA30" s="12" t="e">
        <f>SUM(Sales4[[#This Row],[BOM Cost]:[Other Conversion cost pu]])</f>
        <v>#REF!</v>
      </c>
      <c r="AB3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0" s="12">
        <f>IFERROR(VLOOKUP(Sales4[[#This Row],[Material]],'COGS Break up'!#REF!,5,0),0)</f>
        <v>0</v>
      </c>
      <c r="AE3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0" s="48" t="e">
        <f>Sales4[[#This Row],[PGI per unit]]-Sales4[[#This Row],[BOM Cost]]-Sales4[[#This Row],[Labour cost per unit]]-Sales4[[#This Row],[Other Conversion cost pu]]</f>
        <v>#REF!</v>
      </c>
      <c r="AG30" s="48" t="e">
        <f>Sales4[[#This Row],[BOM Cost2]]+Sales4[[#This Row],[Labour Cost]]+Sales4[[#This Row],[Other conversion cost]]</f>
        <v>#REF!</v>
      </c>
      <c r="AH30" s="12" t="e">
        <f>Sales4[[#This Row],[Billed Quantity]]*Sales4[[#This Row],[BOM Cost]]</f>
        <v>#REF!</v>
      </c>
      <c r="AI30" s="12" t="e">
        <f>Sales4[[#This Row],[Billed Quantity]]*Sales4[[#This Row],[Labour cost per unit]]</f>
        <v>#REF!</v>
      </c>
      <c r="AJ30" s="12">
        <f>Sales4[[#This Row],[Droppage per unit]]*Sales4[[#This Row],[Billed Quantity]]</f>
        <v>0</v>
      </c>
      <c r="AK30" s="12" t="e">
        <f>Sales4[[#This Row],[Billed Quantity]]*Sales4[[#This Row],[Other Conversion cost pu]]</f>
        <v>#REF!</v>
      </c>
      <c r="AL30" s="48" t="e">
        <f>Sales4[[#This Row],[PGI Amount]]-Sales4[[#This Row],[BOM Cost2]]-Sales4[[#This Row],[Labour Cost]]-Sales4[[#This Row],[Other conversion cost]]</f>
        <v>#REF!</v>
      </c>
      <c r="AM30" s="121" t="e">
        <f>1-Sales4[[#This Row],[PGI COST]]/Sales4[[#This Row],[Net Value]]</f>
        <v>#REF!</v>
      </c>
      <c r="AN30" s="1">
        <f>Sales4[[#This Row],[PGI Amount]]/Sales4[[#This Row],[Billed Quantity]]</f>
        <v>147.54000000000002</v>
      </c>
      <c r="AO30" s="72" t="e">
        <f>SUMIFS('COGS Break up'!#REF!,'COGS Break up'!#REF!,Sales4[[#This Row],[Material]],'COGS Break up'!#REF!,'MIS Working'!$AO$1)</f>
        <v>#REF!</v>
      </c>
      <c r="AP30" s="72" t="e">
        <f>SUMIFS('COGS Break up'!#REF!,'COGS Break up'!#REF!,Sales4[[#This Row],[Material]],'COGS Break up'!#REF!,'MIS Working'!$AP$1)</f>
        <v>#REF!</v>
      </c>
      <c r="AQ30" s="72" t="e">
        <f>SUMIFS('COGS Break up'!#REF!,'COGS Break up'!#REF!,Sales4[[#This Row],[Material]],'COGS Break up'!#REF!,'MIS Working'!$AQ$1)</f>
        <v>#REF!</v>
      </c>
      <c r="AR30" s="72">
        <f>Sales4[[#This Row],[Droppage per unit]]</f>
        <v>0</v>
      </c>
      <c r="AS30" s="15" t="e">
        <f>AO30*Sales4[[#This Row],[Billed Quantity]]</f>
        <v>#REF!</v>
      </c>
      <c r="AT30" s="72" t="e">
        <f>AP30*Sales4[[#This Row],[Billed Quantity]]</f>
        <v>#REF!</v>
      </c>
      <c r="AU30" s="72" t="e">
        <f>AQ30*Sales4[[#This Row],[Billed Quantity]]</f>
        <v>#REF!</v>
      </c>
      <c r="AV30" s="72">
        <f>AR30*Sales4[[#This Row],[Billed Quantity]]</f>
        <v>0</v>
      </c>
    </row>
    <row r="31" spans="1:48" x14ac:dyDescent="0.3">
      <c r="A31" s="1" t="s">
        <v>1394</v>
      </c>
      <c r="B31" s="2">
        <v>45920</v>
      </c>
      <c r="C31" s="1">
        <v>3271272345</v>
      </c>
      <c r="D31" s="1" t="s">
        <v>38</v>
      </c>
      <c r="E31" s="1" t="s">
        <v>39</v>
      </c>
      <c r="F31" s="1" t="s">
        <v>18</v>
      </c>
      <c r="G31" s="1" t="s">
        <v>19</v>
      </c>
      <c r="H31" s="1" t="s">
        <v>27</v>
      </c>
      <c r="I31" s="3">
        <v>1035</v>
      </c>
      <c r="J31" s="4">
        <v>340991.1</v>
      </c>
      <c r="K31" s="3">
        <v>1035</v>
      </c>
      <c r="L31" s="3">
        <v>1035</v>
      </c>
      <c r="M31" s="2">
        <v>45920</v>
      </c>
      <c r="N31" s="4">
        <v>377940.6</v>
      </c>
      <c r="O31" s="1" t="s">
        <v>21</v>
      </c>
      <c r="P31" s="1" t="s">
        <v>22</v>
      </c>
      <c r="Q31" s="1">
        <v>3</v>
      </c>
      <c r="R31" s="1" t="str">
        <f>VLOOKUP(Sales4[[#This Row],[Material type]],Master!$H$3:$I$8,2,0)</f>
        <v>Finished Goods</v>
      </c>
      <c r="S31" s="1" t="str">
        <f>VLOOKUP(Sales4[[#This Row],[Material Group]],Master!B:C,2,0)</f>
        <v>FG-PCB-CF</v>
      </c>
      <c r="T31" s="1" t="str">
        <f>VLOOKUP(Sales4[[#This Row],[Material Group Descrip]],Master!E:F,2,0)</f>
        <v>FG-PCB-CF</v>
      </c>
      <c r="U31" s="9" t="b">
        <f ca="1">(TODAY()-1)=Sales4[[#This Row],[Billing Date]]</f>
        <v>0</v>
      </c>
      <c r="V31" s="10" t="e">
        <f>Sales4[[#This Row],[Net Value]]-Sales4[[#This Row],[PGI COST]]</f>
        <v>#REF!</v>
      </c>
      <c r="W31" s="11" t="e">
        <f>Sales4[[#This Row],[Gross Margin]]/Sales4[[#This Row],[Net Value]]</f>
        <v>#REF!</v>
      </c>
      <c r="X31" s="1" t="str">
        <f>TEXT(Sales4[[#This Row],[Billing Date]],"mmmm-yy")</f>
        <v>September-25</v>
      </c>
      <c r="Y31" s="1">
        <f>Sales4[[#This Row],[Net Value]]/Sales4[[#This Row],[Billed Quantity]]</f>
        <v>365.15999999999997</v>
      </c>
      <c r="Z31" s="117">
        <f>Sales4[[#This Row],[Actual delivery qty]]</f>
        <v>1035</v>
      </c>
      <c r="AA31" s="12" t="e">
        <f>SUM(Sales4[[#This Row],[BOM Cost]:[Other Conversion cost pu]])</f>
        <v>#REF!</v>
      </c>
      <c r="AB3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1" s="12">
        <f>IFERROR(VLOOKUP(Sales4[[#This Row],[Material]],'COGS Break up'!#REF!,5,0),0)</f>
        <v>0</v>
      </c>
      <c r="AE3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1" s="48" t="e">
        <f>Sales4[[#This Row],[PGI per unit]]-Sales4[[#This Row],[BOM Cost]]-Sales4[[#This Row],[Labour cost per unit]]-Sales4[[#This Row],[Other Conversion cost pu]]</f>
        <v>#REF!</v>
      </c>
      <c r="AG31" s="48" t="e">
        <f>Sales4[[#This Row],[BOM Cost2]]+Sales4[[#This Row],[Labour Cost]]+Sales4[[#This Row],[Other conversion cost]]</f>
        <v>#REF!</v>
      </c>
      <c r="AH31" s="12" t="e">
        <f>Sales4[[#This Row],[Billed Quantity]]*Sales4[[#This Row],[BOM Cost]]</f>
        <v>#REF!</v>
      </c>
      <c r="AI31" s="12" t="e">
        <f>Sales4[[#This Row],[Billed Quantity]]*Sales4[[#This Row],[Labour cost per unit]]</f>
        <v>#REF!</v>
      </c>
      <c r="AJ31" s="12">
        <f>Sales4[[#This Row],[Droppage per unit]]*Sales4[[#This Row],[Billed Quantity]]</f>
        <v>0</v>
      </c>
      <c r="AK31" s="12" t="e">
        <f>Sales4[[#This Row],[Billed Quantity]]*Sales4[[#This Row],[Other Conversion cost pu]]</f>
        <v>#REF!</v>
      </c>
      <c r="AL31" s="48" t="e">
        <f>Sales4[[#This Row],[PGI Amount]]-Sales4[[#This Row],[BOM Cost2]]-Sales4[[#This Row],[Labour Cost]]-Sales4[[#This Row],[Other conversion cost]]</f>
        <v>#REF!</v>
      </c>
      <c r="AM31" s="121" t="e">
        <f>1-Sales4[[#This Row],[PGI COST]]/Sales4[[#This Row],[Net Value]]</f>
        <v>#REF!</v>
      </c>
      <c r="AN31" s="1">
        <f>Sales4[[#This Row],[PGI Amount]]/Sales4[[#This Row],[Billed Quantity]]</f>
        <v>329.46</v>
      </c>
      <c r="AO31" s="72" t="e">
        <f>SUMIFS('COGS Break up'!#REF!,'COGS Break up'!#REF!,Sales4[[#This Row],[Material]],'COGS Break up'!#REF!,'MIS Working'!$AO$1)</f>
        <v>#REF!</v>
      </c>
      <c r="AP31" s="72" t="e">
        <f>SUMIFS('COGS Break up'!#REF!,'COGS Break up'!#REF!,Sales4[[#This Row],[Material]],'COGS Break up'!#REF!,'MIS Working'!$AP$1)</f>
        <v>#REF!</v>
      </c>
      <c r="AQ31" s="72" t="e">
        <f>SUMIFS('COGS Break up'!#REF!,'COGS Break up'!#REF!,Sales4[[#This Row],[Material]],'COGS Break up'!#REF!,'MIS Working'!$AQ$1)</f>
        <v>#REF!</v>
      </c>
      <c r="AR31" s="72">
        <f>Sales4[[#This Row],[Droppage per unit]]</f>
        <v>0</v>
      </c>
      <c r="AS31" s="15" t="e">
        <f>AO31*Sales4[[#This Row],[Billed Quantity]]</f>
        <v>#REF!</v>
      </c>
      <c r="AT31" s="72" t="e">
        <f>AP31*Sales4[[#This Row],[Billed Quantity]]</f>
        <v>#REF!</v>
      </c>
      <c r="AU31" s="72" t="e">
        <f>AQ31*Sales4[[#This Row],[Billed Quantity]]</f>
        <v>#REF!</v>
      </c>
      <c r="AV31" s="72">
        <f>AR31*Sales4[[#This Row],[Billed Quantity]]</f>
        <v>0</v>
      </c>
    </row>
    <row r="32" spans="1:48" x14ac:dyDescent="0.3">
      <c r="A32" s="1" t="s">
        <v>479</v>
      </c>
      <c r="B32" s="2">
        <v>45920</v>
      </c>
      <c r="C32" s="1">
        <v>3271272289</v>
      </c>
      <c r="D32" s="1" t="s">
        <v>1407</v>
      </c>
      <c r="E32" s="1" t="s">
        <v>1408</v>
      </c>
      <c r="F32" s="1" t="s">
        <v>18</v>
      </c>
      <c r="G32" s="1" t="s">
        <v>48</v>
      </c>
      <c r="H32" s="1" t="s">
        <v>204</v>
      </c>
      <c r="I32" s="3">
        <v>2000</v>
      </c>
      <c r="J32" s="4">
        <v>3900</v>
      </c>
      <c r="K32" s="3">
        <v>2000</v>
      </c>
      <c r="L32" s="3">
        <v>2000</v>
      </c>
      <c r="M32" s="2">
        <v>45920</v>
      </c>
      <c r="N32" s="4">
        <v>3900</v>
      </c>
      <c r="O32" s="1" t="s">
        <v>21</v>
      </c>
      <c r="P32" s="1" t="s">
        <v>22</v>
      </c>
      <c r="Q32" s="1">
        <v>1</v>
      </c>
      <c r="R32" s="1" t="str">
        <f>VLOOKUP(Sales4[[#This Row],[Material type]],Master!$H$3:$I$8,2,0)</f>
        <v>Raw Material</v>
      </c>
      <c r="S32" s="1" t="str">
        <f>VLOOKUP(Sales4[[#This Row],[Material Group]],Master!B:C,2,0)</f>
        <v>RM-Eletro-Resistor</v>
      </c>
      <c r="T32" s="1" t="str">
        <f>VLOOKUP(Sales4[[#This Row],[Material Group Descrip]],Master!E:F,2,0)</f>
        <v>Raw Material</v>
      </c>
      <c r="U32" s="9" t="b">
        <f ca="1">(TODAY()-1)=Sales4[[#This Row],[Billing Date]]</f>
        <v>0</v>
      </c>
      <c r="V32" s="10" t="e">
        <f>Sales4[[#This Row],[Net Value]]-Sales4[[#This Row],[PGI COST]]</f>
        <v>#REF!</v>
      </c>
      <c r="W32" s="11" t="e">
        <f>Sales4[[#This Row],[Gross Margin]]/Sales4[[#This Row],[Net Value]]</f>
        <v>#REF!</v>
      </c>
      <c r="X32" s="1" t="str">
        <f>TEXT(Sales4[[#This Row],[Billing Date]],"mmmm-yy")</f>
        <v>September-25</v>
      </c>
      <c r="Y32" s="1">
        <f>Sales4[[#This Row],[Net Value]]/Sales4[[#This Row],[Billed Quantity]]</f>
        <v>1.95</v>
      </c>
      <c r="Z32" s="117">
        <f>Sales4[[#This Row],[Actual delivery qty]]</f>
        <v>2000</v>
      </c>
      <c r="AA32" s="12" t="e">
        <f>SUM(Sales4[[#This Row],[BOM Cost]:[Other Conversion cost pu]])</f>
        <v>#REF!</v>
      </c>
      <c r="AB3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2" s="12">
        <f>IFERROR(VLOOKUP(Sales4[[#This Row],[Material]],'COGS Break up'!#REF!,5,0),0)</f>
        <v>0</v>
      </c>
      <c r="AE3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2" s="48" t="e">
        <f>Sales4[[#This Row],[PGI per unit]]-Sales4[[#This Row],[BOM Cost]]-Sales4[[#This Row],[Labour cost per unit]]-Sales4[[#This Row],[Other Conversion cost pu]]</f>
        <v>#REF!</v>
      </c>
      <c r="AG32" s="48" t="e">
        <f>Sales4[[#This Row],[BOM Cost2]]+Sales4[[#This Row],[Labour Cost]]+Sales4[[#This Row],[Other conversion cost]]</f>
        <v>#REF!</v>
      </c>
      <c r="AH32" s="12" t="e">
        <f>Sales4[[#This Row],[Billed Quantity]]*Sales4[[#This Row],[BOM Cost]]</f>
        <v>#REF!</v>
      </c>
      <c r="AI32" s="12" t="e">
        <f>Sales4[[#This Row],[Billed Quantity]]*Sales4[[#This Row],[Labour cost per unit]]</f>
        <v>#REF!</v>
      </c>
      <c r="AJ32" s="12">
        <f>Sales4[[#This Row],[Droppage per unit]]*Sales4[[#This Row],[Billed Quantity]]</f>
        <v>0</v>
      </c>
      <c r="AK32" s="12" t="e">
        <f>Sales4[[#This Row],[Billed Quantity]]*Sales4[[#This Row],[Other Conversion cost pu]]</f>
        <v>#REF!</v>
      </c>
      <c r="AL32" s="48" t="e">
        <f>Sales4[[#This Row],[PGI Amount]]-Sales4[[#This Row],[BOM Cost2]]-Sales4[[#This Row],[Labour Cost]]-Sales4[[#This Row],[Other conversion cost]]</f>
        <v>#REF!</v>
      </c>
      <c r="AM32" s="121" t="e">
        <f>1-Sales4[[#This Row],[PGI COST]]/Sales4[[#This Row],[Net Value]]</f>
        <v>#REF!</v>
      </c>
      <c r="AN32" s="1">
        <f>Sales4[[#This Row],[PGI Amount]]/Sales4[[#This Row],[Billed Quantity]]</f>
        <v>1.95</v>
      </c>
      <c r="AO32" s="72" t="e">
        <f>SUMIFS('COGS Break up'!#REF!,'COGS Break up'!#REF!,Sales4[[#This Row],[Material]],'COGS Break up'!#REF!,'MIS Working'!$AO$1)</f>
        <v>#REF!</v>
      </c>
      <c r="AP32" s="72" t="e">
        <f>SUMIFS('COGS Break up'!#REF!,'COGS Break up'!#REF!,Sales4[[#This Row],[Material]],'COGS Break up'!#REF!,'MIS Working'!$AP$1)</f>
        <v>#REF!</v>
      </c>
      <c r="AQ32" s="72" t="e">
        <f>SUMIFS('COGS Break up'!#REF!,'COGS Break up'!#REF!,Sales4[[#This Row],[Material]],'COGS Break up'!#REF!,'MIS Working'!$AQ$1)</f>
        <v>#REF!</v>
      </c>
      <c r="AR32" s="72">
        <f>Sales4[[#This Row],[Droppage per unit]]</f>
        <v>0</v>
      </c>
      <c r="AS32" s="15" t="e">
        <f>AO32*Sales4[[#This Row],[Billed Quantity]]</f>
        <v>#REF!</v>
      </c>
      <c r="AT32" s="72" t="e">
        <f>AP32*Sales4[[#This Row],[Billed Quantity]]</f>
        <v>#REF!</v>
      </c>
      <c r="AU32" s="72" t="e">
        <f>AQ32*Sales4[[#This Row],[Billed Quantity]]</f>
        <v>#REF!</v>
      </c>
      <c r="AV32" s="72">
        <f>AR32*Sales4[[#This Row],[Billed Quantity]]</f>
        <v>0</v>
      </c>
    </row>
    <row r="33" spans="1:48" x14ac:dyDescent="0.3">
      <c r="A33" s="1" t="s">
        <v>479</v>
      </c>
      <c r="B33" s="2">
        <v>45920</v>
      </c>
      <c r="C33" s="1">
        <v>3271272289</v>
      </c>
      <c r="D33" s="1" t="s">
        <v>1413</v>
      </c>
      <c r="E33" s="1" t="s">
        <v>1414</v>
      </c>
      <c r="F33" s="1" t="s">
        <v>18</v>
      </c>
      <c r="G33" s="1" t="s">
        <v>48</v>
      </c>
      <c r="H33" s="1" t="s">
        <v>204</v>
      </c>
      <c r="I33" s="3">
        <v>2000</v>
      </c>
      <c r="J33" s="4">
        <v>112</v>
      </c>
      <c r="K33" s="3">
        <v>2000</v>
      </c>
      <c r="L33" s="3">
        <v>2000</v>
      </c>
      <c r="M33" s="2">
        <v>45920</v>
      </c>
      <c r="N33" s="4">
        <v>120</v>
      </c>
      <c r="O33" s="1" t="s">
        <v>21</v>
      </c>
      <c r="P33" s="1" t="s">
        <v>22</v>
      </c>
      <c r="Q33" s="1">
        <v>1</v>
      </c>
      <c r="R33" s="1" t="str">
        <f>VLOOKUP(Sales4[[#This Row],[Material type]],Master!$H$3:$I$8,2,0)</f>
        <v>Raw Material</v>
      </c>
      <c r="S33" s="1" t="str">
        <f>VLOOKUP(Sales4[[#This Row],[Material Group]],Master!B:C,2,0)</f>
        <v>RM-Eletro-Resistor</v>
      </c>
      <c r="T33" s="1" t="str">
        <f>VLOOKUP(Sales4[[#This Row],[Material Group Descrip]],Master!E:F,2,0)</f>
        <v>Raw Material</v>
      </c>
      <c r="U33" s="9" t="b">
        <f ca="1">(TODAY()-1)=Sales4[[#This Row],[Billing Date]]</f>
        <v>0</v>
      </c>
      <c r="V33" s="10" t="e">
        <f>Sales4[[#This Row],[Net Value]]-Sales4[[#This Row],[PGI COST]]</f>
        <v>#REF!</v>
      </c>
      <c r="W33" s="11" t="e">
        <f>Sales4[[#This Row],[Gross Margin]]/Sales4[[#This Row],[Net Value]]</f>
        <v>#REF!</v>
      </c>
      <c r="X33" s="1" t="str">
        <f>TEXT(Sales4[[#This Row],[Billing Date]],"mmmm-yy")</f>
        <v>September-25</v>
      </c>
      <c r="Y33" s="1">
        <f>Sales4[[#This Row],[Net Value]]/Sales4[[#This Row],[Billed Quantity]]</f>
        <v>0.06</v>
      </c>
      <c r="Z33" s="117">
        <f>Sales4[[#This Row],[Actual delivery qty]]</f>
        <v>2000</v>
      </c>
      <c r="AA33" s="12" t="e">
        <f>SUM(Sales4[[#This Row],[BOM Cost]:[Other Conversion cost pu]])</f>
        <v>#REF!</v>
      </c>
      <c r="AB3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3" s="12">
        <f>IFERROR(VLOOKUP(Sales4[[#This Row],[Material]],'COGS Break up'!#REF!,5,0),0)</f>
        <v>0</v>
      </c>
      <c r="AE3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3" s="48" t="e">
        <f>Sales4[[#This Row],[PGI per unit]]-Sales4[[#This Row],[BOM Cost]]-Sales4[[#This Row],[Labour cost per unit]]-Sales4[[#This Row],[Other Conversion cost pu]]</f>
        <v>#REF!</v>
      </c>
      <c r="AG33" s="48" t="e">
        <f>Sales4[[#This Row],[BOM Cost2]]+Sales4[[#This Row],[Labour Cost]]+Sales4[[#This Row],[Other conversion cost]]</f>
        <v>#REF!</v>
      </c>
      <c r="AH33" s="12" t="e">
        <f>Sales4[[#This Row],[Billed Quantity]]*Sales4[[#This Row],[BOM Cost]]</f>
        <v>#REF!</v>
      </c>
      <c r="AI33" s="12" t="e">
        <f>Sales4[[#This Row],[Billed Quantity]]*Sales4[[#This Row],[Labour cost per unit]]</f>
        <v>#REF!</v>
      </c>
      <c r="AJ33" s="12">
        <f>Sales4[[#This Row],[Droppage per unit]]*Sales4[[#This Row],[Billed Quantity]]</f>
        <v>0</v>
      </c>
      <c r="AK33" s="12" t="e">
        <f>Sales4[[#This Row],[Billed Quantity]]*Sales4[[#This Row],[Other Conversion cost pu]]</f>
        <v>#REF!</v>
      </c>
      <c r="AL33" s="48" t="e">
        <f>Sales4[[#This Row],[PGI Amount]]-Sales4[[#This Row],[BOM Cost2]]-Sales4[[#This Row],[Labour Cost]]-Sales4[[#This Row],[Other conversion cost]]</f>
        <v>#REF!</v>
      </c>
      <c r="AM33" s="121" t="e">
        <f>1-Sales4[[#This Row],[PGI COST]]/Sales4[[#This Row],[Net Value]]</f>
        <v>#REF!</v>
      </c>
      <c r="AN33" s="1">
        <f>Sales4[[#This Row],[PGI Amount]]/Sales4[[#This Row],[Billed Quantity]]</f>
        <v>5.6000000000000001E-2</v>
      </c>
      <c r="AO33" s="72" t="e">
        <f>SUMIFS('COGS Break up'!#REF!,'COGS Break up'!#REF!,Sales4[[#This Row],[Material]],'COGS Break up'!#REF!,'MIS Working'!$AO$1)</f>
        <v>#REF!</v>
      </c>
      <c r="AP33" s="72" t="e">
        <f>SUMIFS('COGS Break up'!#REF!,'COGS Break up'!#REF!,Sales4[[#This Row],[Material]],'COGS Break up'!#REF!,'MIS Working'!$AP$1)</f>
        <v>#REF!</v>
      </c>
      <c r="AQ33" s="72" t="e">
        <f>SUMIFS('COGS Break up'!#REF!,'COGS Break up'!#REF!,Sales4[[#This Row],[Material]],'COGS Break up'!#REF!,'MIS Working'!$AQ$1)</f>
        <v>#REF!</v>
      </c>
      <c r="AR33" s="72">
        <f>Sales4[[#This Row],[Droppage per unit]]</f>
        <v>0</v>
      </c>
      <c r="AS33" s="15" t="e">
        <f>AO33*Sales4[[#This Row],[Billed Quantity]]</f>
        <v>#REF!</v>
      </c>
      <c r="AT33" s="72" t="e">
        <f>AP33*Sales4[[#This Row],[Billed Quantity]]</f>
        <v>#REF!</v>
      </c>
      <c r="AU33" s="72" t="e">
        <f>AQ33*Sales4[[#This Row],[Billed Quantity]]</f>
        <v>#REF!</v>
      </c>
      <c r="AV33" s="72">
        <f>AR33*Sales4[[#This Row],[Billed Quantity]]</f>
        <v>0</v>
      </c>
    </row>
    <row r="34" spans="1:48" x14ac:dyDescent="0.3">
      <c r="A34" s="1" t="s">
        <v>479</v>
      </c>
      <c r="B34" s="2">
        <v>45920</v>
      </c>
      <c r="C34" s="1">
        <v>3271272289</v>
      </c>
      <c r="D34" s="1" t="s">
        <v>1241</v>
      </c>
      <c r="E34" s="1" t="s">
        <v>1242</v>
      </c>
      <c r="F34" s="1" t="s">
        <v>18</v>
      </c>
      <c r="G34" s="1" t="s">
        <v>48</v>
      </c>
      <c r="H34" s="1" t="s">
        <v>204</v>
      </c>
      <c r="I34" s="3">
        <v>2000</v>
      </c>
      <c r="J34" s="4">
        <v>112</v>
      </c>
      <c r="K34" s="3">
        <v>2000</v>
      </c>
      <c r="L34" s="3">
        <v>2000</v>
      </c>
      <c r="M34" s="2">
        <v>45920</v>
      </c>
      <c r="N34" s="4">
        <v>120</v>
      </c>
      <c r="O34" s="1" t="s">
        <v>21</v>
      </c>
      <c r="P34" s="1" t="s">
        <v>22</v>
      </c>
      <c r="Q34" s="1">
        <v>1</v>
      </c>
      <c r="R34" s="1" t="str">
        <f>VLOOKUP(Sales4[[#This Row],[Material type]],Master!$H$3:$I$8,2,0)</f>
        <v>Raw Material</v>
      </c>
      <c r="S34" s="1" t="str">
        <f>VLOOKUP(Sales4[[#This Row],[Material Group]],Master!B:C,2,0)</f>
        <v>RM-Eletro-Resistor</v>
      </c>
      <c r="T34" s="1" t="str">
        <f>VLOOKUP(Sales4[[#This Row],[Material Group Descrip]],Master!E:F,2,0)</f>
        <v>Raw Material</v>
      </c>
      <c r="U34" s="9" t="b">
        <f ca="1">(TODAY()-1)=Sales4[[#This Row],[Billing Date]]</f>
        <v>0</v>
      </c>
      <c r="V34" s="10" t="e">
        <f>Sales4[[#This Row],[Net Value]]-Sales4[[#This Row],[PGI COST]]</f>
        <v>#REF!</v>
      </c>
      <c r="W34" s="11" t="e">
        <f>Sales4[[#This Row],[Gross Margin]]/Sales4[[#This Row],[Net Value]]</f>
        <v>#REF!</v>
      </c>
      <c r="X34" s="1" t="str">
        <f>TEXT(Sales4[[#This Row],[Billing Date]],"mmmm-yy")</f>
        <v>September-25</v>
      </c>
      <c r="Y34" s="1">
        <f>Sales4[[#This Row],[Net Value]]/Sales4[[#This Row],[Billed Quantity]]</f>
        <v>0.06</v>
      </c>
      <c r="Z34" s="117">
        <f>Sales4[[#This Row],[Actual delivery qty]]</f>
        <v>2000</v>
      </c>
      <c r="AA34" s="12" t="e">
        <f>SUM(Sales4[[#This Row],[BOM Cost]:[Other Conversion cost pu]])</f>
        <v>#REF!</v>
      </c>
      <c r="AB3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4" s="12">
        <f>IFERROR(VLOOKUP(Sales4[[#This Row],[Material]],'COGS Break up'!#REF!,5,0),0)</f>
        <v>0</v>
      </c>
      <c r="AE3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4" s="48" t="e">
        <f>Sales4[[#This Row],[PGI per unit]]-Sales4[[#This Row],[BOM Cost]]-Sales4[[#This Row],[Labour cost per unit]]-Sales4[[#This Row],[Other Conversion cost pu]]</f>
        <v>#REF!</v>
      </c>
      <c r="AG34" s="48" t="e">
        <f>Sales4[[#This Row],[BOM Cost2]]+Sales4[[#This Row],[Labour Cost]]+Sales4[[#This Row],[Other conversion cost]]</f>
        <v>#REF!</v>
      </c>
      <c r="AH34" s="12" t="e">
        <f>Sales4[[#This Row],[Billed Quantity]]*Sales4[[#This Row],[BOM Cost]]</f>
        <v>#REF!</v>
      </c>
      <c r="AI34" s="12" t="e">
        <f>Sales4[[#This Row],[Billed Quantity]]*Sales4[[#This Row],[Labour cost per unit]]</f>
        <v>#REF!</v>
      </c>
      <c r="AJ34" s="12">
        <f>Sales4[[#This Row],[Droppage per unit]]*Sales4[[#This Row],[Billed Quantity]]</f>
        <v>0</v>
      </c>
      <c r="AK34" s="12" t="e">
        <f>Sales4[[#This Row],[Billed Quantity]]*Sales4[[#This Row],[Other Conversion cost pu]]</f>
        <v>#REF!</v>
      </c>
      <c r="AL34" s="48" t="e">
        <f>Sales4[[#This Row],[PGI Amount]]-Sales4[[#This Row],[BOM Cost2]]-Sales4[[#This Row],[Labour Cost]]-Sales4[[#This Row],[Other conversion cost]]</f>
        <v>#REF!</v>
      </c>
      <c r="AM34" s="121" t="e">
        <f>1-Sales4[[#This Row],[PGI COST]]/Sales4[[#This Row],[Net Value]]</f>
        <v>#REF!</v>
      </c>
      <c r="AN34" s="1">
        <f>Sales4[[#This Row],[PGI Amount]]/Sales4[[#This Row],[Billed Quantity]]</f>
        <v>5.6000000000000001E-2</v>
      </c>
      <c r="AO34" s="72" t="e">
        <f>SUMIFS('COGS Break up'!#REF!,'COGS Break up'!#REF!,Sales4[[#This Row],[Material]],'COGS Break up'!#REF!,'MIS Working'!$AO$1)</f>
        <v>#REF!</v>
      </c>
      <c r="AP34" s="72" t="e">
        <f>SUMIFS('COGS Break up'!#REF!,'COGS Break up'!#REF!,Sales4[[#This Row],[Material]],'COGS Break up'!#REF!,'MIS Working'!$AP$1)</f>
        <v>#REF!</v>
      </c>
      <c r="AQ34" s="72" t="e">
        <f>SUMIFS('COGS Break up'!#REF!,'COGS Break up'!#REF!,Sales4[[#This Row],[Material]],'COGS Break up'!#REF!,'MIS Working'!$AQ$1)</f>
        <v>#REF!</v>
      </c>
      <c r="AR34" s="72">
        <f>Sales4[[#This Row],[Droppage per unit]]</f>
        <v>0</v>
      </c>
      <c r="AS34" s="15" t="e">
        <f>AO34*Sales4[[#This Row],[Billed Quantity]]</f>
        <v>#REF!</v>
      </c>
      <c r="AT34" s="72" t="e">
        <f>AP34*Sales4[[#This Row],[Billed Quantity]]</f>
        <v>#REF!</v>
      </c>
      <c r="AU34" s="72" t="e">
        <f>AQ34*Sales4[[#This Row],[Billed Quantity]]</f>
        <v>#REF!</v>
      </c>
      <c r="AV34" s="72">
        <f>AR34*Sales4[[#This Row],[Billed Quantity]]</f>
        <v>0</v>
      </c>
    </row>
    <row r="35" spans="1:48" x14ac:dyDescent="0.3">
      <c r="A35" s="1" t="s">
        <v>479</v>
      </c>
      <c r="B35" s="2">
        <v>45920</v>
      </c>
      <c r="C35" s="1">
        <v>3271272289</v>
      </c>
      <c r="D35" s="1" t="s">
        <v>1423</v>
      </c>
      <c r="E35" s="1" t="s">
        <v>1424</v>
      </c>
      <c r="F35" s="1" t="s">
        <v>18</v>
      </c>
      <c r="G35" s="1" t="s">
        <v>48</v>
      </c>
      <c r="H35" s="1" t="s">
        <v>201</v>
      </c>
      <c r="I35" s="3">
        <v>3500</v>
      </c>
      <c r="J35" s="4">
        <v>1739.7</v>
      </c>
      <c r="K35" s="3">
        <v>3500</v>
      </c>
      <c r="L35" s="3">
        <v>3500</v>
      </c>
      <c r="M35" s="2">
        <v>45920</v>
      </c>
      <c r="N35" s="4">
        <v>1715</v>
      </c>
      <c r="O35" s="1" t="s">
        <v>21</v>
      </c>
      <c r="P35" s="1" t="s">
        <v>22</v>
      </c>
      <c r="Q35" s="1">
        <v>1</v>
      </c>
      <c r="R35" s="1" t="str">
        <f>VLOOKUP(Sales4[[#This Row],[Material type]],Master!$H$3:$I$8,2,0)</f>
        <v>Raw Material</v>
      </c>
      <c r="S35" s="1" t="str">
        <f>VLOOKUP(Sales4[[#This Row],[Material Group]],Master!B:C,2,0)</f>
        <v>RM-Eletro-Diodes</v>
      </c>
      <c r="T35" s="1" t="str">
        <f>VLOOKUP(Sales4[[#This Row],[Material Group Descrip]],Master!E:F,2,0)</f>
        <v>Raw Material</v>
      </c>
      <c r="U35" s="9" t="b">
        <f ca="1">(TODAY()-1)=Sales4[[#This Row],[Billing Date]]</f>
        <v>0</v>
      </c>
      <c r="V35" s="10" t="e">
        <f>Sales4[[#This Row],[Net Value]]-Sales4[[#This Row],[PGI COST]]</f>
        <v>#REF!</v>
      </c>
      <c r="W35" s="11" t="e">
        <f>Sales4[[#This Row],[Gross Margin]]/Sales4[[#This Row],[Net Value]]</f>
        <v>#REF!</v>
      </c>
      <c r="X35" s="1" t="str">
        <f>TEXT(Sales4[[#This Row],[Billing Date]],"mmmm-yy")</f>
        <v>September-25</v>
      </c>
      <c r="Y35" s="1">
        <f>Sales4[[#This Row],[Net Value]]/Sales4[[#This Row],[Billed Quantity]]</f>
        <v>0.49</v>
      </c>
      <c r="Z35" s="117">
        <f>Sales4[[#This Row],[Actual delivery qty]]</f>
        <v>3500</v>
      </c>
      <c r="AA35" s="12" t="e">
        <f>SUM(Sales4[[#This Row],[BOM Cost]:[Other Conversion cost pu]])</f>
        <v>#REF!</v>
      </c>
      <c r="AB3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5" s="12">
        <f>IFERROR(VLOOKUP(Sales4[[#This Row],[Material]],'COGS Break up'!#REF!,5,0),0)</f>
        <v>0</v>
      </c>
      <c r="AE3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5" s="48" t="e">
        <f>Sales4[[#This Row],[PGI per unit]]-Sales4[[#This Row],[BOM Cost]]-Sales4[[#This Row],[Labour cost per unit]]-Sales4[[#This Row],[Other Conversion cost pu]]</f>
        <v>#REF!</v>
      </c>
      <c r="AG35" s="48" t="e">
        <f>Sales4[[#This Row],[BOM Cost2]]+Sales4[[#This Row],[Labour Cost]]+Sales4[[#This Row],[Other conversion cost]]</f>
        <v>#REF!</v>
      </c>
      <c r="AH35" s="12" t="e">
        <f>Sales4[[#This Row],[Billed Quantity]]*Sales4[[#This Row],[BOM Cost]]</f>
        <v>#REF!</v>
      </c>
      <c r="AI35" s="12" t="e">
        <f>Sales4[[#This Row],[Billed Quantity]]*Sales4[[#This Row],[Labour cost per unit]]</f>
        <v>#REF!</v>
      </c>
      <c r="AJ35" s="12">
        <f>Sales4[[#This Row],[Droppage per unit]]*Sales4[[#This Row],[Billed Quantity]]</f>
        <v>0</v>
      </c>
      <c r="AK35" s="12" t="e">
        <f>Sales4[[#This Row],[Billed Quantity]]*Sales4[[#This Row],[Other Conversion cost pu]]</f>
        <v>#REF!</v>
      </c>
      <c r="AL35" s="48" t="e">
        <f>Sales4[[#This Row],[PGI Amount]]-Sales4[[#This Row],[BOM Cost2]]-Sales4[[#This Row],[Labour Cost]]-Sales4[[#This Row],[Other conversion cost]]</f>
        <v>#REF!</v>
      </c>
      <c r="AM35" s="121" t="e">
        <f>1-Sales4[[#This Row],[PGI COST]]/Sales4[[#This Row],[Net Value]]</f>
        <v>#REF!</v>
      </c>
      <c r="AN35" s="1">
        <f>Sales4[[#This Row],[PGI Amount]]/Sales4[[#This Row],[Billed Quantity]]</f>
        <v>0.49705714285714286</v>
      </c>
      <c r="AO35" s="72" t="e">
        <f>SUMIFS('COGS Break up'!#REF!,'COGS Break up'!#REF!,Sales4[[#This Row],[Material]],'COGS Break up'!#REF!,'MIS Working'!$AO$1)</f>
        <v>#REF!</v>
      </c>
      <c r="AP35" s="72" t="e">
        <f>SUMIFS('COGS Break up'!#REF!,'COGS Break up'!#REF!,Sales4[[#This Row],[Material]],'COGS Break up'!#REF!,'MIS Working'!$AP$1)</f>
        <v>#REF!</v>
      </c>
      <c r="AQ35" s="72" t="e">
        <f>SUMIFS('COGS Break up'!#REF!,'COGS Break up'!#REF!,Sales4[[#This Row],[Material]],'COGS Break up'!#REF!,'MIS Working'!$AQ$1)</f>
        <v>#REF!</v>
      </c>
      <c r="AR35" s="72">
        <f>Sales4[[#This Row],[Droppage per unit]]</f>
        <v>0</v>
      </c>
      <c r="AS35" s="15" t="e">
        <f>AO35*Sales4[[#This Row],[Billed Quantity]]</f>
        <v>#REF!</v>
      </c>
      <c r="AT35" s="72" t="e">
        <f>AP35*Sales4[[#This Row],[Billed Quantity]]</f>
        <v>#REF!</v>
      </c>
      <c r="AU35" s="72" t="e">
        <f>AQ35*Sales4[[#This Row],[Billed Quantity]]</f>
        <v>#REF!</v>
      </c>
      <c r="AV35" s="72">
        <f>AR35*Sales4[[#This Row],[Billed Quantity]]</f>
        <v>0</v>
      </c>
    </row>
    <row r="36" spans="1:48" x14ac:dyDescent="0.3">
      <c r="A36" s="1" t="s">
        <v>479</v>
      </c>
      <c r="B36" s="2">
        <v>45920</v>
      </c>
      <c r="C36" s="1">
        <v>3271272289</v>
      </c>
      <c r="D36" s="1" t="s">
        <v>1350</v>
      </c>
      <c r="E36" s="1" t="s">
        <v>1351</v>
      </c>
      <c r="F36" s="1" t="s">
        <v>18</v>
      </c>
      <c r="G36" s="1" t="s">
        <v>48</v>
      </c>
      <c r="H36" s="1" t="s">
        <v>204</v>
      </c>
      <c r="I36" s="3">
        <v>1000</v>
      </c>
      <c r="J36" s="4">
        <v>60</v>
      </c>
      <c r="K36" s="3">
        <v>1000</v>
      </c>
      <c r="L36" s="3">
        <v>1000</v>
      </c>
      <c r="M36" s="2">
        <v>45920</v>
      </c>
      <c r="N36" s="4">
        <v>60</v>
      </c>
      <c r="O36" s="1" t="s">
        <v>21</v>
      </c>
      <c r="P36" s="1" t="s">
        <v>22</v>
      </c>
      <c r="Q36" s="1">
        <v>1</v>
      </c>
      <c r="R36" s="1" t="str">
        <f>VLOOKUP(Sales4[[#This Row],[Material type]],Master!$H$3:$I$8,2,0)</f>
        <v>Raw Material</v>
      </c>
      <c r="S36" s="1" t="str">
        <f>VLOOKUP(Sales4[[#This Row],[Material Group]],Master!B:C,2,0)</f>
        <v>RM-Eletro-Resistor</v>
      </c>
      <c r="T36" s="1" t="str">
        <f>VLOOKUP(Sales4[[#This Row],[Material Group Descrip]],Master!E:F,2,0)</f>
        <v>Raw Material</v>
      </c>
      <c r="U36" s="9" t="b">
        <f ca="1">(TODAY()-1)=Sales4[[#This Row],[Billing Date]]</f>
        <v>0</v>
      </c>
      <c r="V36" s="10" t="e">
        <f>Sales4[[#This Row],[Net Value]]-Sales4[[#This Row],[PGI COST]]</f>
        <v>#REF!</v>
      </c>
      <c r="W36" s="11" t="e">
        <f>Sales4[[#This Row],[Gross Margin]]/Sales4[[#This Row],[Net Value]]</f>
        <v>#REF!</v>
      </c>
      <c r="X36" s="1" t="str">
        <f>TEXT(Sales4[[#This Row],[Billing Date]],"mmmm-yy")</f>
        <v>September-25</v>
      </c>
      <c r="Y36" s="1">
        <f>Sales4[[#This Row],[Net Value]]/Sales4[[#This Row],[Billed Quantity]]</f>
        <v>0.06</v>
      </c>
      <c r="Z36" s="117">
        <f>Sales4[[#This Row],[Actual delivery qty]]</f>
        <v>1000</v>
      </c>
      <c r="AA36" s="12" t="e">
        <f>SUM(Sales4[[#This Row],[BOM Cost]:[Other Conversion cost pu]])</f>
        <v>#REF!</v>
      </c>
      <c r="AB3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6" s="12">
        <f>IFERROR(VLOOKUP(Sales4[[#This Row],[Material]],'COGS Break up'!#REF!,5,0),0)</f>
        <v>0</v>
      </c>
      <c r="AE3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6" s="48" t="e">
        <f>Sales4[[#This Row],[PGI per unit]]-Sales4[[#This Row],[BOM Cost]]-Sales4[[#This Row],[Labour cost per unit]]-Sales4[[#This Row],[Other Conversion cost pu]]</f>
        <v>#REF!</v>
      </c>
      <c r="AG36" s="48" t="e">
        <f>Sales4[[#This Row],[BOM Cost2]]+Sales4[[#This Row],[Labour Cost]]+Sales4[[#This Row],[Other conversion cost]]</f>
        <v>#REF!</v>
      </c>
      <c r="AH36" s="12" t="e">
        <f>Sales4[[#This Row],[Billed Quantity]]*Sales4[[#This Row],[BOM Cost]]</f>
        <v>#REF!</v>
      </c>
      <c r="AI36" s="12" t="e">
        <f>Sales4[[#This Row],[Billed Quantity]]*Sales4[[#This Row],[Labour cost per unit]]</f>
        <v>#REF!</v>
      </c>
      <c r="AJ36" s="12">
        <f>Sales4[[#This Row],[Droppage per unit]]*Sales4[[#This Row],[Billed Quantity]]</f>
        <v>0</v>
      </c>
      <c r="AK36" s="12" t="e">
        <f>Sales4[[#This Row],[Billed Quantity]]*Sales4[[#This Row],[Other Conversion cost pu]]</f>
        <v>#REF!</v>
      </c>
      <c r="AL36" s="48" t="e">
        <f>Sales4[[#This Row],[PGI Amount]]-Sales4[[#This Row],[BOM Cost2]]-Sales4[[#This Row],[Labour Cost]]-Sales4[[#This Row],[Other conversion cost]]</f>
        <v>#REF!</v>
      </c>
      <c r="AM36" s="121" t="e">
        <f>1-Sales4[[#This Row],[PGI COST]]/Sales4[[#This Row],[Net Value]]</f>
        <v>#REF!</v>
      </c>
      <c r="AN36" s="1">
        <f>Sales4[[#This Row],[PGI Amount]]/Sales4[[#This Row],[Billed Quantity]]</f>
        <v>0.06</v>
      </c>
      <c r="AO36" s="72" t="e">
        <f>SUMIFS('COGS Break up'!#REF!,'COGS Break up'!#REF!,Sales4[[#This Row],[Material]],'COGS Break up'!#REF!,'MIS Working'!$AO$1)</f>
        <v>#REF!</v>
      </c>
      <c r="AP36" s="72" t="e">
        <f>SUMIFS('COGS Break up'!#REF!,'COGS Break up'!#REF!,Sales4[[#This Row],[Material]],'COGS Break up'!#REF!,'MIS Working'!$AP$1)</f>
        <v>#REF!</v>
      </c>
      <c r="AQ36" s="72" t="e">
        <f>SUMIFS('COGS Break up'!#REF!,'COGS Break up'!#REF!,Sales4[[#This Row],[Material]],'COGS Break up'!#REF!,'MIS Working'!$AQ$1)</f>
        <v>#REF!</v>
      </c>
      <c r="AR36" s="72">
        <f>Sales4[[#This Row],[Droppage per unit]]</f>
        <v>0</v>
      </c>
      <c r="AS36" s="15" t="e">
        <f>AO36*Sales4[[#This Row],[Billed Quantity]]</f>
        <v>#REF!</v>
      </c>
      <c r="AT36" s="72" t="e">
        <f>AP36*Sales4[[#This Row],[Billed Quantity]]</f>
        <v>#REF!</v>
      </c>
      <c r="AU36" s="72" t="e">
        <f>AQ36*Sales4[[#This Row],[Billed Quantity]]</f>
        <v>#REF!</v>
      </c>
      <c r="AV36" s="72">
        <f>AR36*Sales4[[#This Row],[Billed Quantity]]</f>
        <v>0</v>
      </c>
    </row>
    <row r="37" spans="1:48" x14ac:dyDescent="0.3">
      <c r="A37" s="1" t="s">
        <v>479</v>
      </c>
      <c r="B37" s="2">
        <v>45920</v>
      </c>
      <c r="C37" s="1">
        <v>3271272327</v>
      </c>
      <c r="D37" s="1" t="s">
        <v>633</v>
      </c>
      <c r="E37" s="1" t="s">
        <v>634</v>
      </c>
      <c r="F37" s="1" t="s">
        <v>18</v>
      </c>
      <c r="G37" s="1" t="s">
        <v>19</v>
      </c>
      <c r="H37" s="1" t="s">
        <v>27</v>
      </c>
      <c r="I37" s="3">
        <v>630</v>
      </c>
      <c r="J37" s="4">
        <v>209160</v>
      </c>
      <c r="K37" s="3">
        <v>630</v>
      </c>
      <c r="L37" s="3">
        <v>630</v>
      </c>
      <c r="M37" s="2">
        <v>45920</v>
      </c>
      <c r="N37" s="4">
        <v>225722.7</v>
      </c>
      <c r="O37" s="1" t="s">
        <v>21</v>
      </c>
      <c r="P37" s="1" t="s">
        <v>22</v>
      </c>
      <c r="Q37" s="1">
        <v>1</v>
      </c>
      <c r="R37" s="1" t="str">
        <f>VLOOKUP(Sales4[[#This Row],[Material type]],Master!$H$3:$I$8,2,0)</f>
        <v>Finished Goods</v>
      </c>
      <c r="S37" s="1" t="str">
        <f>VLOOKUP(Sales4[[#This Row],[Material Group]],Master!B:C,2,0)</f>
        <v>FG-PCB-CF</v>
      </c>
      <c r="T37" s="1" t="str">
        <f>VLOOKUP(Sales4[[#This Row],[Material Group Descrip]],Master!E:F,2,0)</f>
        <v>FG-PCB-CF</v>
      </c>
      <c r="U37" s="9" t="b">
        <f ca="1">(TODAY()-1)=Sales4[[#This Row],[Billing Date]]</f>
        <v>0</v>
      </c>
      <c r="V37" s="10" t="e">
        <f>Sales4[[#This Row],[Net Value]]-Sales4[[#This Row],[PGI COST]]</f>
        <v>#REF!</v>
      </c>
      <c r="W37" s="11" t="e">
        <f>Sales4[[#This Row],[Gross Margin]]/Sales4[[#This Row],[Net Value]]</f>
        <v>#REF!</v>
      </c>
      <c r="X37" s="1" t="str">
        <f>TEXT(Sales4[[#This Row],[Billing Date]],"mmmm-yy")</f>
        <v>September-25</v>
      </c>
      <c r="Y37" s="1">
        <f>Sales4[[#This Row],[Net Value]]/Sales4[[#This Row],[Billed Quantity]]</f>
        <v>358.29</v>
      </c>
      <c r="Z37" s="117">
        <f>Sales4[[#This Row],[Actual delivery qty]]</f>
        <v>630</v>
      </c>
      <c r="AA37" s="12" t="e">
        <f>SUM(Sales4[[#This Row],[BOM Cost]:[Other Conversion cost pu]])</f>
        <v>#REF!</v>
      </c>
      <c r="AB3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7" s="12">
        <f>IFERROR(VLOOKUP(Sales4[[#This Row],[Material]],'COGS Break up'!#REF!,5,0),0)</f>
        <v>0</v>
      </c>
      <c r="AE3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7" s="48" t="e">
        <f>Sales4[[#This Row],[PGI per unit]]-Sales4[[#This Row],[BOM Cost]]-Sales4[[#This Row],[Labour cost per unit]]-Sales4[[#This Row],[Other Conversion cost pu]]</f>
        <v>#REF!</v>
      </c>
      <c r="AG37" s="48" t="e">
        <f>Sales4[[#This Row],[BOM Cost2]]+Sales4[[#This Row],[Labour Cost]]+Sales4[[#This Row],[Other conversion cost]]</f>
        <v>#REF!</v>
      </c>
      <c r="AH37" s="12" t="e">
        <f>Sales4[[#This Row],[Billed Quantity]]*Sales4[[#This Row],[BOM Cost]]</f>
        <v>#REF!</v>
      </c>
      <c r="AI37" s="12" t="e">
        <f>Sales4[[#This Row],[Billed Quantity]]*Sales4[[#This Row],[Labour cost per unit]]</f>
        <v>#REF!</v>
      </c>
      <c r="AJ37" s="12">
        <f>Sales4[[#This Row],[Droppage per unit]]*Sales4[[#This Row],[Billed Quantity]]</f>
        <v>0</v>
      </c>
      <c r="AK37" s="12" t="e">
        <f>Sales4[[#This Row],[Billed Quantity]]*Sales4[[#This Row],[Other Conversion cost pu]]</f>
        <v>#REF!</v>
      </c>
      <c r="AL37" s="48" t="e">
        <f>Sales4[[#This Row],[PGI Amount]]-Sales4[[#This Row],[BOM Cost2]]-Sales4[[#This Row],[Labour Cost]]-Sales4[[#This Row],[Other conversion cost]]</f>
        <v>#REF!</v>
      </c>
      <c r="AM37" s="121" t="e">
        <f>1-Sales4[[#This Row],[PGI COST]]/Sales4[[#This Row],[Net Value]]</f>
        <v>#REF!</v>
      </c>
      <c r="AN37" s="1">
        <f>Sales4[[#This Row],[PGI Amount]]/Sales4[[#This Row],[Billed Quantity]]</f>
        <v>332</v>
      </c>
      <c r="AO37" s="72" t="e">
        <f>SUMIFS('COGS Break up'!#REF!,'COGS Break up'!#REF!,Sales4[[#This Row],[Material]],'COGS Break up'!#REF!,'MIS Working'!$AO$1)</f>
        <v>#REF!</v>
      </c>
      <c r="AP37" s="72" t="e">
        <f>SUMIFS('COGS Break up'!#REF!,'COGS Break up'!#REF!,Sales4[[#This Row],[Material]],'COGS Break up'!#REF!,'MIS Working'!$AP$1)</f>
        <v>#REF!</v>
      </c>
      <c r="AQ37" s="72" t="e">
        <f>SUMIFS('COGS Break up'!#REF!,'COGS Break up'!#REF!,Sales4[[#This Row],[Material]],'COGS Break up'!#REF!,'MIS Working'!$AQ$1)</f>
        <v>#REF!</v>
      </c>
      <c r="AR37" s="72">
        <f>Sales4[[#This Row],[Droppage per unit]]</f>
        <v>0</v>
      </c>
      <c r="AS37" s="15" t="e">
        <f>AO37*Sales4[[#This Row],[Billed Quantity]]</f>
        <v>#REF!</v>
      </c>
      <c r="AT37" s="72" t="e">
        <f>AP37*Sales4[[#This Row],[Billed Quantity]]</f>
        <v>#REF!</v>
      </c>
      <c r="AU37" s="72" t="e">
        <f>AQ37*Sales4[[#This Row],[Billed Quantity]]</f>
        <v>#REF!</v>
      </c>
      <c r="AV37" s="72">
        <f>AR37*Sales4[[#This Row],[Billed Quantity]]</f>
        <v>0</v>
      </c>
    </row>
    <row r="38" spans="1:48" x14ac:dyDescent="0.3">
      <c r="A38" s="1" t="s">
        <v>479</v>
      </c>
      <c r="B38" s="2">
        <v>45920</v>
      </c>
      <c r="C38" s="1">
        <v>3271272319</v>
      </c>
      <c r="D38" s="1" t="s">
        <v>633</v>
      </c>
      <c r="E38" s="1" t="s">
        <v>634</v>
      </c>
      <c r="F38" s="1" t="s">
        <v>18</v>
      </c>
      <c r="G38" s="1" t="s">
        <v>19</v>
      </c>
      <c r="H38" s="1" t="s">
        <v>27</v>
      </c>
      <c r="I38" s="3">
        <v>1120</v>
      </c>
      <c r="J38" s="4">
        <v>371840</v>
      </c>
      <c r="K38" s="3">
        <v>1120</v>
      </c>
      <c r="L38" s="3">
        <v>1120</v>
      </c>
      <c r="M38" s="2">
        <v>45920</v>
      </c>
      <c r="N38" s="4">
        <v>401284.8</v>
      </c>
      <c r="O38" s="1" t="s">
        <v>21</v>
      </c>
      <c r="P38" s="1" t="s">
        <v>22</v>
      </c>
      <c r="Q38" s="1">
        <v>1</v>
      </c>
      <c r="R38" s="1" t="str">
        <f>VLOOKUP(Sales4[[#This Row],[Material type]],Master!$H$3:$I$8,2,0)</f>
        <v>Finished Goods</v>
      </c>
      <c r="S38" s="1" t="str">
        <f>VLOOKUP(Sales4[[#This Row],[Material Group]],Master!B:C,2,0)</f>
        <v>FG-PCB-CF</v>
      </c>
      <c r="T38" s="1" t="str">
        <f>VLOOKUP(Sales4[[#This Row],[Material Group Descrip]],Master!E:F,2,0)</f>
        <v>FG-PCB-CF</v>
      </c>
      <c r="U38" s="9" t="b">
        <f ca="1">(TODAY()-1)=Sales4[[#This Row],[Billing Date]]</f>
        <v>0</v>
      </c>
      <c r="V38" s="10" t="e">
        <f>Sales4[[#This Row],[Net Value]]-Sales4[[#This Row],[PGI COST]]</f>
        <v>#REF!</v>
      </c>
      <c r="W38" s="11" t="e">
        <f>Sales4[[#This Row],[Gross Margin]]/Sales4[[#This Row],[Net Value]]</f>
        <v>#REF!</v>
      </c>
      <c r="X38" s="1" t="str">
        <f>TEXT(Sales4[[#This Row],[Billing Date]],"mmmm-yy")</f>
        <v>September-25</v>
      </c>
      <c r="Y38" s="1">
        <f>Sales4[[#This Row],[Net Value]]/Sales4[[#This Row],[Billed Quantity]]</f>
        <v>358.28999999999996</v>
      </c>
      <c r="Z38" s="117">
        <f>Sales4[[#This Row],[Actual delivery qty]]</f>
        <v>1120</v>
      </c>
      <c r="AA38" s="12" t="e">
        <f>SUM(Sales4[[#This Row],[BOM Cost]:[Other Conversion cost pu]])</f>
        <v>#REF!</v>
      </c>
      <c r="AB3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8" s="12">
        <f>IFERROR(VLOOKUP(Sales4[[#This Row],[Material]],'COGS Break up'!#REF!,5,0),0)</f>
        <v>0</v>
      </c>
      <c r="AE3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8" s="48" t="e">
        <f>Sales4[[#This Row],[PGI per unit]]-Sales4[[#This Row],[BOM Cost]]-Sales4[[#This Row],[Labour cost per unit]]-Sales4[[#This Row],[Other Conversion cost pu]]</f>
        <v>#REF!</v>
      </c>
      <c r="AG38" s="48" t="e">
        <f>Sales4[[#This Row],[BOM Cost2]]+Sales4[[#This Row],[Labour Cost]]+Sales4[[#This Row],[Other conversion cost]]</f>
        <v>#REF!</v>
      </c>
      <c r="AH38" s="12" t="e">
        <f>Sales4[[#This Row],[Billed Quantity]]*Sales4[[#This Row],[BOM Cost]]</f>
        <v>#REF!</v>
      </c>
      <c r="AI38" s="12" t="e">
        <f>Sales4[[#This Row],[Billed Quantity]]*Sales4[[#This Row],[Labour cost per unit]]</f>
        <v>#REF!</v>
      </c>
      <c r="AJ38" s="12">
        <f>Sales4[[#This Row],[Droppage per unit]]*Sales4[[#This Row],[Billed Quantity]]</f>
        <v>0</v>
      </c>
      <c r="AK38" s="12" t="e">
        <f>Sales4[[#This Row],[Billed Quantity]]*Sales4[[#This Row],[Other Conversion cost pu]]</f>
        <v>#REF!</v>
      </c>
      <c r="AL38" s="48" t="e">
        <f>Sales4[[#This Row],[PGI Amount]]-Sales4[[#This Row],[BOM Cost2]]-Sales4[[#This Row],[Labour Cost]]-Sales4[[#This Row],[Other conversion cost]]</f>
        <v>#REF!</v>
      </c>
      <c r="AM38" s="121" t="e">
        <f>1-Sales4[[#This Row],[PGI COST]]/Sales4[[#This Row],[Net Value]]</f>
        <v>#REF!</v>
      </c>
      <c r="AN38" s="1">
        <f>Sales4[[#This Row],[PGI Amount]]/Sales4[[#This Row],[Billed Quantity]]</f>
        <v>332</v>
      </c>
      <c r="AO38" s="72" t="e">
        <f>SUMIFS('COGS Break up'!#REF!,'COGS Break up'!#REF!,Sales4[[#This Row],[Material]],'COGS Break up'!#REF!,'MIS Working'!$AO$1)</f>
        <v>#REF!</v>
      </c>
      <c r="AP38" s="72" t="e">
        <f>SUMIFS('COGS Break up'!#REF!,'COGS Break up'!#REF!,Sales4[[#This Row],[Material]],'COGS Break up'!#REF!,'MIS Working'!$AP$1)</f>
        <v>#REF!</v>
      </c>
      <c r="AQ38" s="72" t="e">
        <f>SUMIFS('COGS Break up'!#REF!,'COGS Break up'!#REF!,Sales4[[#This Row],[Material]],'COGS Break up'!#REF!,'MIS Working'!$AQ$1)</f>
        <v>#REF!</v>
      </c>
      <c r="AR38" s="72">
        <f>Sales4[[#This Row],[Droppage per unit]]</f>
        <v>0</v>
      </c>
      <c r="AS38" s="15" t="e">
        <f>AO38*Sales4[[#This Row],[Billed Quantity]]</f>
        <v>#REF!</v>
      </c>
      <c r="AT38" s="72" t="e">
        <f>AP38*Sales4[[#This Row],[Billed Quantity]]</f>
        <v>#REF!</v>
      </c>
      <c r="AU38" s="72" t="e">
        <f>AQ38*Sales4[[#This Row],[Billed Quantity]]</f>
        <v>#REF!</v>
      </c>
      <c r="AV38" s="72">
        <f>AR38*Sales4[[#This Row],[Billed Quantity]]</f>
        <v>0</v>
      </c>
    </row>
    <row r="39" spans="1:48" x14ac:dyDescent="0.3">
      <c r="A39" s="1" t="s">
        <v>479</v>
      </c>
      <c r="B39" s="2">
        <v>45920</v>
      </c>
      <c r="C39" s="1">
        <v>3271272537</v>
      </c>
      <c r="D39" s="1" t="s">
        <v>633</v>
      </c>
      <c r="E39" s="1" t="s">
        <v>634</v>
      </c>
      <c r="F39" s="1" t="s">
        <v>18</v>
      </c>
      <c r="G39" s="1" t="s">
        <v>19</v>
      </c>
      <c r="H39" s="1" t="s">
        <v>27</v>
      </c>
      <c r="I39" s="3">
        <v>840</v>
      </c>
      <c r="J39" s="4">
        <v>278880</v>
      </c>
      <c r="K39" s="3">
        <v>840</v>
      </c>
      <c r="L39" s="3">
        <v>840</v>
      </c>
      <c r="M39" s="2">
        <v>45920</v>
      </c>
      <c r="N39" s="4">
        <v>300963.59999999998</v>
      </c>
      <c r="O39" s="1" t="s">
        <v>21</v>
      </c>
      <c r="P39" s="1" t="s">
        <v>22</v>
      </c>
      <c r="Q39" s="1">
        <v>1</v>
      </c>
      <c r="R39" s="1" t="str">
        <f>VLOOKUP(Sales4[[#This Row],[Material type]],Master!$H$3:$I$8,2,0)</f>
        <v>Finished Goods</v>
      </c>
      <c r="S39" s="1" t="str">
        <f>VLOOKUP(Sales4[[#This Row],[Material Group]],Master!B:C,2,0)</f>
        <v>FG-PCB-CF</v>
      </c>
      <c r="T39" s="1" t="str">
        <f>VLOOKUP(Sales4[[#This Row],[Material Group Descrip]],Master!E:F,2,0)</f>
        <v>FG-PCB-CF</v>
      </c>
      <c r="U39" s="9" t="b">
        <f ca="1">(TODAY()-1)=Sales4[[#This Row],[Billing Date]]</f>
        <v>0</v>
      </c>
      <c r="V39" s="10" t="e">
        <f>Sales4[[#This Row],[Net Value]]-Sales4[[#This Row],[PGI COST]]</f>
        <v>#REF!</v>
      </c>
      <c r="W39" s="11" t="e">
        <f>Sales4[[#This Row],[Gross Margin]]/Sales4[[#This Row],[Net Value]]</f>
        <v>#REF!</v>
      </c>
      <c r="X39" s="1" t="str">
        <f>TEXT(Sales4[[#This Row],[Billing Date]],"mmmm-yy")</f>
        <v>September-25</v>
      </c>
      <c r="Y39" s="1">
        <f>Sales4[[#This Row],[Net Value]]/Sales4[[#This Row],[Billed Quantity]]</f>
        <v>358.28999999999996</v>
      </c>
      <c r="Z39" s="117">
        <f>Sales4[[#This Row],[Actual delivery qty]]</f>
        <v>840</v>
      </c>
      <c r="AA39" s="12" t="e">
        <f>SUM(Sales4[[#This Row],[BOM Cost]:[Other Conversion cost pu]])</f>
        <v>#REF!</v>
      </c>
      <c r="AB3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9" s="12">
        <f>IFERROR(VLOOKUP(Sales4[[#This Row],[Material]],'COGS Break up'!#REF!,5,0),0)</f>
        <v>0</v>
      </c>
      <c r="AE3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9" s="48" t="e">
        <f>Sales4[[#This Row],[PGI per unit]]-Sales4[[#This Row],[BOM Cost]]-Sales4[[#This Row],[Labour cost per unit]]-Sales4[[#This Row],[Other Conversion cost pu]]</f>
        <v>#REF!</v>
      </c>
      <c r="AG39" s="48" t="e">
        <f>Sales4[[#This Row],[BOM Cost2]]+Sales4[[#This Row],[Labour Cost]]+Sales4[[#This Row],[Other conversion cost]]</f>
        <v>#REF!</v>
      </c>
      <c r="AH39" s="12" t="e">
        <f>Sales4[[#This Row],[Billed Quantity]]*Sales4[[#This Row],[BOM Cost]]</f>
        <v>#REF!</v>
      </c>
      <c r="AI39" s="12" t="e">
        <f>Sales4[[#This Row],[Billed Quantity]]*Sales4[[#This Row],[Labour cost per unit]]</f>
        <v>#REF!</v>
      </c>
      <c r="AJ39" s="12">
        <f>Sales4[[#This Row],[Droppage per unit]]*Sales4[[#This Row],[Billed Quantity]]</f>
        <v>0</v>
      </c>
      <c r="AK39" s="12" t="e">
        <f>Sales4[[#This Row],[Billed Quantity]]*Sales4[[#This Row],[Other Conversion cost pu]]</f>
        <v>#REF!</v>
      </c>
      <c r="AL39" s="48" t="e">
        <f>Sales4[[#This Row],[PGI Amount]]-Sales4[[#This Row],[BOM Cost2]]-Sales4[[#This Row],[Labour Cost]]-Sales4[[#This Row],[Other conversion cost]]</f>
        <v>#REF!</v>
      </c>
      <c r="AM39" s="121" t="e">
        <f>1-Sales4[[#This Row],[PGI COST]]/Sales4[[#This Row],[Net Value]]</f>
        <v>#REF!</v>
      </c>
      <c r="AN39" s="1">
        <f>Sales4[[#This Row],[PGI Amount]]/Sales4[[#This Row],[Billed Quantity]]</f>
        <v>332</v>
      </c>
      <c r="AO39" s="72" t="e">
        <f>SUMIFS('COGS Break up'!#REF!,'COGS Break up'!#REF!,Sales4[[#This Row],[Material]],'COGS Break up'!#REF!,'MIS Working'!$AO$1)</f>
        <v>#REF!</v>
      </c>
      <c r="AP39" s="72" t="e">
        <f>SUMIFS('COGS Break up'!#REF!,'COGS Break up'!#REF!,Sales4[[#This Row],[Material]],'COGS Break up'!#REF!,'MIS Working'!$AP$1)</f>
        <v>#REF!</v>
      </c>
      <c r="AQ39" s="72" t="e">
        <f>SUMIFS('COGS Break up'!#REF!,'COGS Break up'!#REF!,Sales4[[#This Row],[Material]],'COGS Break up'!#REF!,'MIS Working'!$AQ$1)</f>
        <v>#REF!</v>
      </c>
      <c r="AR39" s="72">
        <f>Sales4[[#This Row],[Droppage per unit]]</f>
        <v>0</v>
      </c>
      <c r="AS39" s="15" t="e">
        <f>AO39*Sales4[[#This Row],[Billed Quantity]]</f>
        <v>#REF!</v>
      </c>
      <c r="AT39" s="72" t="e">
        <f>AP39*Sales4[[#This Row],[Billed Quantity]]</f>
        <v>#REF!</v>
      </c>
      <c r="AU39" s="72" t="e">
        <f>AQ39*Sales4[[#This Row],[Billed Quantity]]</f>
        <v>#REF!</v>
      </c>
      <c r="AV39" s="72">
        <f>AR39*Sales4[[#This Row],[Billed Quantity]]</f>
        <v>0</v>
      </c>
    </row>
    <row r="40" spans="1:48" x14ac:dyDescent="0.3">
      <c r="A40" s="1" t="s">
        <v>479</v>
      </c>
      <c r="B40" s="2">
        <v>45919</v>
      </c>
      <c r="C40" s="1">
        <v>3271271893</v>
      </c>
      <c r="D40" s="1" t="s">
        <v>23</v>
      </c>
      <c r="E40" s="1" t="s">
        <v>24</v>
      </c>
      <c r="F40" s="1" t="s">
        <v>18</v>
      </c>
      <c r="G40" s="1" t="s">
        <v>19</v>
      </c>
      <c r="H40" s="1" t="s">
        <v>27</v>
      </c>
      <c r="I40" s="3">
        <v>385</v>
      </c>
      <c r="J40" s="4">
        <v>163405.54999999999</v>
      </c>
      <c r="K40" s="3">
        <v>385</v>
      </c>
      <c r="L40" s="3">
        <v>385</v>
      </c>
      <c r="M40" s="2">
        <v>45919</v>
      </c>
      <c r="N40" s="4">
        <v>186016.6</v>
      </c>
      <c r="O40" s="1" t="s">
        <v>21</v>
      </c>
      <c r="P40" s="1" t="s">
        <v>22</v>
      </c>
      <c r="Q40" s="1">
        <v>1</v>
      </c>
      <c r="R40" s="1" t="str">
        <f>VLOOKUP(Sales4[[#This Row],[Material type]],Master!$H$3:$I$8,2,0)</f>
        <v>Finished Goods</v>
      </c>
      <c r="S40" s="1" t="str">
        <f>VLOOKUP(Sales4[[#This Row],[Material Group]],Master!B:C,2,0)</f>
        <v>FG-PCB-CF</v>
      </c>
      <c r="T40" s="1" t="str">
        <f>VLOOKUP(Sales4[[#This Row],[Material Group Descrip]],Master!E:F,2,0)</f>
        <v>FG-PCB-CF</v>
      </c>
      <c r="U40" s="9" t="b">
        <f ca="1">(TODAY()-1)=Sales4[[#This Row],[Billing Date]]</f>
        <v>0</v>
      </c>
      <c r="V40" s="10" t="e">
        <f>Sales4[[#This Row],[Net Value]]-Sales4[[#This Row],[PGI COST]]</f>
        <v>#REF!</v>
      </c>
      <c r="W40" s="11" t="e">
        <f>Sales4[[#This Row],[Gross Margin]]/Sales4[[#This Row],[Net Value]]</f>
        <v>#REF!</v>
      </c>
      <c r="X40" s="1" t="str">
        <f>TEXT(Sales4[[#This Row],[Billing Date]],"mmmm-yy")</f>
        <v>September-25</v>
      </c>
      <c r="Y40" s="1">
        <f>Sales4[[#This Row],[Net Value]]/Sales4[[#This Row],[Billed Quantity]]</f>
        <v>483.16</v>
      </c>
      <c r="Z40" s="117">
        <f>Sales4[[#This Row],[Actual delivery qty]]</f>
        <v>385</v>
      </c>
      <c r="AA40" s="12" t="e">
        <f>SUM(Sales4[[#This Row],[BOM Cost]:[Other Conversion cost pu]])</f>
        <v>#REF!</v>
      </c>
      <c r="AB4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0" s="12">
        <f>IFERROR(VLOOKUP(Sales4[[#This Row],[Material]],'COGS Break up'!#REF!,5,0),0)</f>
        <v>0</v>
      </c>
      <c r="AE4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0" s="48" t="e">
        <f>Sales4[[#This Row],[PGI per unit]]-Sales4[[#This Row],[BOM Cost]]-Sales4[[#This Row],[Labour cost per unit]]-Sales4[[#This Row],[Other Conversion cost pu]]</f>
        <v>#REF!</v>
      </c>
      <c r="AG40" s="48" t="e">
        <f>Sales4[[#This Row],[BOM Cost2]]+Sales4[[#This Row],[Labour Cost]]+Sales4[[#This Row],[Other conversion cost]]</f>
        <v>#REF!</v>
      </c>
      <c r="AH40" s="12" t="e">
        <f>Sales4[[#This Row],[Billed Quantity]]*Sales4[[#This Row],[BOM Cost]]</f>
        <v>#REF!</v>
      </c>
      <c r="AI40" s="12" t="e">
        <f>Sales4[[#This Row],[Billed Quantity]]*Sales4[[#This Row],[Labour cost per unit]]</f>
        <v>#REF!</v>
      </c>
      <c r="AJ40" s="12">
        <f>Sales4[[#This Row],[Droppage per unit]]*Sales4[[#This Row],[Billed Quantity]]</f>
        <v>0</v>
      </c>
      <c r="AK40" s="12" t="e">
        <f>Sales4[[#This Row],[Billed Quantity]]*Sales4[[#This Row],[Other Conversion cost pu]]</f>
        <v>#REF!</v>
      </c>
      <c r="AL40" s="48" t="e">
        <f>Sales4[[#This Row],[PGI Amount]]-Sales4[[#This Row],[BOM Cost2]]-Sales4[[#This Row],[Labour Cost]]-Sales4[[#This Row],[Other conversion cost]]</f>
        <v>#REF!</v>
      </c>
      <c r="AM40" s="121" t="e">
        <f>1-Sales4[[#This Row],[PGI COST]]/Sales4[[#This Row],[Net Value]]</f>
        <v>#REF!</v>
      </c>
      <c r="AN40" s="1">
        <f>Sales4[[#This Row],[PGI Amount]]/Sales4[[#This Row],[Billed Quantity]]</f>
        <v>424.42999999999995</v>
      </c>
      <c r="AO40" s="72" t="e">
        <f>SUMIFS('COGS Break up'!#REF!,'COGS Break up'!#REF!,Sales4[[#This Row],[Material]],'COGS Break up'!#REF!,'MIS Working'!$AO$1)</f>
        <v>#REF!</v>
      </c>
      <c r="AP40" s="72" t="e">
        <f>SUMIFS('COGS Break up'!#REF!,'COGS Break up'!#REF!,Sales4[[#This Row],[Material]],'COGS Break up'!#REF!,'MIS Working'!$AP$1)</f>
        <v>#REF!</v>
      </c>
      <c r="AQ40" s="72" t="e">
        <f>SUMIFS('COGS Break up'!#REF!,'COGS Break up'!#REF!,Sales4[[#This Row],[Material]],'COGS Break up'!#REF!,'MIS Working'!$AQ$1)</f>
        <v>#REF!</v>
      </c>
      <c r="AR40" s="72">
        <f>Sales4[[#This Row],[Droppage per unit]]</f>
        <v>0</v>
      </c>
      <c r="AS40" s="15" t="e">
        <f>AO40*Sales4[[#This Row],[Billed Quantity]]</f>
        <v>#REF!</v>
      </c>
      <c r="AT40" s="72" t="e">
        <f>AP40*Sales4[[#This Row],[Billed Quantity]]</f>
        <v>#REF!</v>
      </c>
      <c r="AU40" s="72" t="e">
        <f>AQ40*Sales4[[#This Row],[Billed Quantity]]</f>
        <v>#REF!</v>
      </c>
      <c r="AV40" s="72">
        <f>AR40*Sales4[[#This Row],[Billed Quantity]]</f>
        <v>0</v>
      </c>
    </row>
    <row r="41" spans="1:48" x14ac:dyDescent="0.3">
      <c r="A41" s="1" t="s">
        <v>479</v>
      </c>
      <c r="B41" s="2">
        <v>45919</v>
      </c>
      <c r="C41" s="1">
        <v>3271271927</v>
      </c>
      <c r="D41" s="1" t="s">
        <v>23</v>
      </c>
      <c r="E41" s="1" t="s">
        <v>24</v>
      </c>
      <c r="F41" s="1" t="s">
        <v>18</v>
      </c>
      <c r="G41" s="1" t="s">
        <v>19</v>
      </c>
      <c r="H41" s="1" t="s">
        <v>27</v>
      </c>
      <c r="I41" s="3">
        <v>300</v>
      </c>
      <c r="J41" s="4">
        <v>127329</v>
      </c>
      <c r="K41" s="3">
        <v>300</v>
      </c>
      <c r="L41" s="3">
        <v>300</v>
      </c>
      <c r="M41" s="2">
        <v>45919</v>
      </c>
      <c r="N41" s="4">
        <v>144948</v>
      </c>
      <c r="O41" s="1" t="s">
        <v>21</v>
      </c>
      <c r="P41" s="1" t="s">
        <v>22</v>
      </c>
      <c r="Q41" s="1">
        <v>1</v>
      </c>
      <c r="R41" s="1" t="str">
        <f>VLOOKUP(Sales4[[#This Row],[Material type]],Master!$H$3:$I$8,2,0)</f>
        <v>Finished Goods</v>
      </c>
      <c r="S41" s="1" t="str">
        <f>VLOOKUP(Sales4[[#This Row],[Material Group]],Master!B:C,2,0)</f>
        <v>FG-PCB-CF</v>
      </c>
      <c r="T41" s="1" t="str">
        <f>VLOOKUP(Sales4[[#This Row],[Material Group Descrip]],Master!E:F,2,0)</f>
        <v>FG-PCB-CF</v>
      </c>
      <c r="U41" s="9" t="b">
        <f ca="1">(TODAY()-1)=Sales4[[#This Row],[Billing Date]]</f>
        <v>0</v>
      </c>
      <c r="V41" s="10" t="e">
        <f>Sales4[[#This Row],[Net Value]]-Sales4[[#This Row],[PGI COST]]</f>
        <v>#REF!</v>
      </c>
      <c r="W41" s="11" t="e">
        <f>Sales4[[#This Row],[Gross Margin]]/Sales4[[#This Row],[Net Value]]</f>
        <v>#REF!</v>
      </c>
      <c r="X41" s="1" t="str">
        <f>TEXT(Sales4[[#This Row],[Billing Date]],"mmmm-yy")</f>
        <v>September-25</v>
      </c>
      <c r="Y41" s="1">
        <f>Sales4[[#This Row],[Net Value]]/Sales4[[#This Row],[Billed Quantity]]</f>
        <v>483.16</v>
      </c>
      <c r="Z41" s="117">
        <f>Sales4[[#This Row],[Actual delivery qty]]</f>
        <v>300</v>
      </c>
      <c r="AA41" s="12" t="e">
        <f>SUM(Sales4[[#This Row],[BOM Cost]:[Other Conversion cost pu]])</f>
        <v>#REF!</v>
      </c>
      <c r="AB4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1" s="12">
        <f>IFERROR(VLOOKUP(Sales4[[#This Row],[Material]],'COGS Break up'!#REF!,5,0),0)</f>
        <v>0</v>
      </c>
      <c r="AE4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1" s="48" t="e">
        <f>Sales4[[#This Row],[PGI per unit]]-Sales4[[#This Row],[BOM Cost]]-Sales4[[#This Row],[Labour cost per unit]]-Sales4[[#This Row],[Other Conversion cost pu]]</f>
        <v>#REF!</v>
      </c>
      <c r="AG41" s="48" t="e">
        <f>Sales4[[#This Row],[BOM Cost2]]+Sales4[[#This Row],[Labour Cost]]+Sales4[[#This Row],[Other conversion cost]]</f>
        <v>#REF!</v>
      </c>
      <c r="AH41" s="12" t="e">
        <f>Sales4[[#This Row],[Billed Quantity]]*Sales4[[#This Row],[BOM Cost]]</f>
        <v>#REF!</v>
      </c>
      <c r="AI41" s="12" t="e">
        <f>Sales4[[#This Row],[Billed Quantity]]*Sales4[[#This Row],[Labour cost per unit]]</f>
        <v>#REF!</v>
      </c>
      <c r="AJ41" s="12">
        <f>Sales4[[#This Row],[Droppage per unit]]*Sales4[[#This Row],[Billed Quantity]]</f>
        <v>0</v>
      </c>
      <c r="AK41" s="12" t="e">
        <f>Sales4[[#This Row],[Billed Quantity]]*Sales4[[#This Row],[Other Conversion cost pu]]</f>
        <v>#REF!</v>
      </c>
      <c r="AL41" s="48" t="e">
        <f>Sales4[[#This Row],[PGI Amount]]-Sales4[[#This Row],[BOM Cost2]]-Sales4[[#This Row],[Labour Cost]]-Sales4[[#This Row],[Other conversion cost]]</f>
        <v>#REF!</v>
      </c>
      <c r="AM41" s="121" t="e">
        <f>1-Sales4[[#This Row],[PGI COST]]/Sales4[[#This Row],[Net Value]]</f>
        <v>#REF!</v>
      </c>
      <c r="AN41" s="1">
        <f>Sales4[[#This Row],[PGI Amount]]/Sales4[[#This Row],[Billed Quantity]]</f>
        <v>424.43</v>
      </c>
      <c r="AO41" s="72" t="e">
        <f>SUMIFS('COGS Break up'!#REF!,'COGS Break up'!#REF!,Sales4[[#This Row],[Material]],'COGS Break up'!#REF!,'MIS Working'!$AO$1)</f>
        <v>#REF!</v>
      </c>
      <c r="AP41" s="72" t="e">
        <f>SUMIFS('COGS Break up'!#REF!,'COGS Break up'!#REF!,Sales4[[#This Row],[Material]],'COGS Break up'!#REF!,'MIS Working'!$AP$1)</f>
        <v>#REF!</v>
      </c>
      <c r="AQ41" s="72" t="e">
        <f>SUMIFS('COGS Break up'!#REF!,'COGS Break up'!#REF!,Sales4[[#This Row],[Material]],'COGS Break up'!#REF!,'MIS Working'!$AQ$1)</f>
        <v>#REF!</v>
      </c>
      <c r="AR41" s="72">
        <f>Sales4[[#This Row],[Droppage per unit]]</f>
        <v>0</v>
      </c>
      <c r="AS41" s="15" t="e">
        <f>AO41*Sales4[[#This Row],[Billed Quantity]]</f>
        <v>#REF!</v>
      </c>
      <c r="AT41" s="72" t="e">
        <f>AP41*Sales4[[#This Row],[Billed Quantity]]</f>
        <v>#REF!</v>
      </c>
      <c r="AU41" s="72" t="e">
        <f>AQ41*Sales4[[#This Row],[Billed Quantity]]</f>
        <v>#REF!</v>
      </c>
      <c r="AV41" s="72">
        <f>AR41*Sales4[[#This Row],[Billed Quantity]]</f>
        <v>0</v>
      </c>
    </row>
    <row r="42" spans="1:48" x14ac:dyDescent="0.3">
      <c r="A42" s="1" t="s">
        <v>479</v>
      </c>
      <c r="B42" s="2">
        <v>45919</v>
      </c>
      <c r="C42" s="1">
        <v>3271272105</v>
      </c>
      <c r="D42" s="1" t="s">
        <v>23</v>
      </c>
      <c r="E42" s="1" t="s">
        <v>24</v>
      </c>
      <c r="F42" s="1" t="s">
        <v>18</v>
      </c>
      <c r="G42" s="1" t="s">
        <v>19</v>
      </c>
      <c r="H42" s="1" t="s">
        <v>27</v>
      </c>
      <c r="I42" s="3">
        <v>350</v>
      </c>
      <c r="J42" s="4">
        <v>148550.5</v>
      </c>
      <c r="K42" s="3">
        <v>350</v>
      </c>
      <c r="L42" s="3">
        <v>350</v>
      </c>
      <c r="M42" s="2">
        <v>45919</v>
      </c>
      <c r="N42" s="4">
        <v>169106</v>
      </c>
      <c r="O42" s="1" t="s">
        <v>21</v>
      </c>
      <c r="P42" s="1" t="s">
        <v>22</v>
      </c>
      <c r="Q42" s="1">
        <v>1</v>
      </c>
      <c r="R42" s="1" t="str">
        <f>VLOOKUP(Sales4[[#This Row],[Material type]],Master!$H$3:$I$8,2,0)</f>
        <v>Finished Goods</v>
      </c>
      <c r="S42" s="1" t="str">
        <f>VLOOKUP(Sales4[[#This Row],[Material Group]],Master!B:C,2,0)</f>
        <v>FG-PCB-CF</v>
      </c>
      <c r="T42" s="1" t="str">
        <f>VLOOKUP(Sales4[[#This Row],[Material Group Descrip]],Master!E:F,2,0)</f>
        <v>FG-PCB-CF</v>
      </c>
      <c r="U42" s="9" t="b">
        <f ca="1">(TODAY()-1)=Sales4[[#This Row],[Billing Date]]</f>
        <v>0</v>
      </c>
      <c r="V42" s="10" t="e">
        <f>Sales4[[#This Row],[Net Value]]-Sales4[[#This Row],[PGI COST]]</f>
        <v>#REF!</v>
      </c>
      <c r="W42" s="11" t="e">
        <f>Sales4[[#This Row],[Gross Margin]]/Sales4[[#This Row],[Net Value]]</f>
        <v>#REF!</v>
      </c>
      <c r="X42" s="1" t="str">
        <f>TEXT(Sales4[[#This Row],[Billing Date]],"mmmm-yy")</f>
        <v>September-25</v>
      </c>
      <c r="Y42" s="1">
        <f>Sales4[[#This Row],[Net Value]]/Sales4[[#This Row],[Billed Quantity]]</f>
        <v>483.16</v>
      </c>
      <c r="Z42" s="117">
        <f>Sales4[[#This Row],[Actual delivery qty]]</f>
        <v>350</v>
      </c>
      <c r="AA42" s="12" t="e">
        <f>SUM(Sales4[[#This Row],[BOM Cost]:[Other Conversion cost pu]])</f>
        <v>#REF!</v>
      </c>
      <c r="AB4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2" s="12">
        <f>IFERROR(VLOOKUP(Sales4[[#This Row],[Material]],'COGS Break up'!#REF!,5,0),0)</f>
        <v>0</v>
      </c>
      <c r="AE4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2" s="48" t="e">
        <f>Sales4[[#This Row],[PGI per unit]]-Sales4[[#This Row],[BOM Cost]]-Sales4[[#This Row],[Labour cost per unit]]-Sales4[[#This Row],[Other Conversion cost pu]]</f>
        <v>#REF!</v>
      </c>
      <c r="AG42" s="48" t="e">
        <f>Sales4[[#This Row],[BOM Cost2]]+Sales4[[#This Row],[Labour Cost]]+Sales4[[#This Row],[Other conversion cost]]</f>
        <v>#REF!</v>
      </c>
      <c r="AH42" s="12" t="e">
        <f>Sales4[[#This Row],[Billed Quantity]]*Sales4[[#This Row],[BOM Cost]]</f>
        <v>#REF!</v>
      </c>
      <c r="AI42" s="12" t="e">
        <f>Sales4[[#This Row],[Billed Quantity]]*Sales4[[#This Row],[Labour cost per unit]]</f>
        <v>#REF!</v>
      </c>
      <c r="AJ42" s="12">
        <f>Sales4[[#This Row],[Droppage per unit]]*Sales4[[#This Row],[Billed Quantity]]</f>
        <v>0</v>
      </c>
      <c r="AK42" s="12" t="e">
        <f>Sales4[[#This Row],[Billed Quantity]]*Sales4[[#This Row],[Other Conversion cost pu]]</f>
        <v>#REF!</v>
      </c>
      <c r="AL42" s="48" t="e">
        <f>Sales4[[#This Row],[PGI Amount]]-Sales4[[#This Row],[BOM Cost2]]-Sales4[[#This Row],[Labour Cost]]-Sales4[[#This Row],[Other conversion cost]]</f>
        <v>#REF!</v>
      </c>
      <c r="AM42" s="121" t="e">
        <f>1-Sales4[[#This Row],[PGI COST]]/Sales4[[#This Row],[Net Value]]</f>
        <v>#REF!</v>
      </c>
      <c r="AN42" s="1">
        <f>Sales4[[#This Row],[PGI Amount]]/Sales4[[#This Row],[Billed Quantity]]</f>
        <v>424.43</v>
      </c>
      <c r="AO42" s="72" t="e">
        <f>SUMIFS('COGS Break up'!#REF!,'COGS Break up'!#REF!,Sales4[[#This Row],[Material]],'COGS Break up'!#REF!,'MIS Working'!$AO$1)</f>
        <v>#REF!</v>
      </c>
      <c r="AP42" s="72" t="e">
        <f>SUMIFS('COGS Break up'!#REF!,'COGS Break up'!#REF!,Sales4[[#This Row],[Material]],'COGS Break up'!#REF!,'MIS Working'!$AP$1)</f>
        <v>#REF!</v>
      </c>
      <c r="AQ42" s="72" t="e">
        <f>SUMIFS('COGS Break up'!#REF!,'COGS Break up'!#REF!,Sales4[[#This Row],[Material]],'COGS Break up'!#REF!,'MIS Working'!$AQ$1)</f>
        <v>#REF!</v>
      </c>
      <c r="AR42" s="72">
        <f>Sales4[[#This Row],[Droppage per unit]]</f>
        <v>0</v>
      </c>
      <c r="AS42" s="15" t="e">
        <f>AO42*Sales4[[#This Row],[Billed Quantity]]</f>
        <v>#REF!</v>
      </c>
      <c r="AT42" s="72" t="e">
        <f>AP42*Sales4[[#This Row],[Billed Quantity]]</f>
        <v>#REF!</v>
      </c>
      <c r="AU42" s="72" t="e">
        <f>AQ42*Sales4[[#This Row],[Billed Quantity]]</f>
        <v>#REF!</v>
      </c>
      <c r="AV42" s="72">
        <f>AR42*Sales4[[#This Row],[Billed Quantity]]</f>
        <v>0</v>
      </c>
    </row>
    <row r="43" spans="1:48" x14ac:dyDescent="0.3">
      <c r="A43" s="1" t="s">
        <v>479</v>
      </c>
      <c r="B43" s="2">
        <v>45919</v>
      </c>
      <c r="C43" s="1">
        <v>3271272270</v>
      </c>
      <c r="D43" s="1" t="s">
        <v>23</v>
      </c>
      <c r="E43" s="1" t="s">
        <v>24</v>
      </c>
      <c r="F43" s="1" t="s">
        <v>18</v>
      </c>
      <c r="G43" s="1" t="s">
        <v>19</v>
      </c>
      <c r="H43" s="1" t="s">
        <v>27</v>
      </c>
      <c r="I43" s="3">
        <v>280</v>
      </c>
      <c r="J43" s="4">
        <v>118840.4</v>
      </c>
      <c r="K43" s="3">
        <v>280</v>
      </c>
      <c r="L43" s="3">
        <v>280</v>
      </c>
      <c r="M43" s="2">
        <v>45919</v>
      </c>
      <c r="N43" s="4">
        <v>135284.79999999999</v>
      </c>
      <c r="O43" s="1" t="s">
        <v>21</v>
      </c>
      <c r="P43" s="1" t="s">
        <v>22</v>
      </c>
      <c r="Q43" s="1">
        <v>1</v>
      </c>
      <c r="R43" s="1" t="str">
        <f>VLOOKUP(Sales4[[#This Row],[Material type]],Master!$H$3:$I$8,2,0)</f>
        <v>Finished Goods</v>
      </c>
      <c r="S43" s="1" t="str">
        <f>VLOOKUP(Sales4[[#This Row],[Material Group]],Master!B:C,2,0)</f>
        <v>FG-PCB-CF</v>
      </c>
      <c r="T43" s="1" t="str">
        <f>VLOOKUP(Sales4[[#This Row],[Material Group Descrip]],Master!E:F,2,0)</f>
        <v>FG-PCB-CF</v>
      </c>
      <c r="U43" s="9" t="b">
        <f ca="1">(TODAY()-1)=Sales4[[#This Row],[Billing Date]]</f>
        <v>0</v>
      </c>
      <c r="V43" s="10" t="e">
        <f>Sales4[[#This Row],[Net Value]]-Sales4[[#This Row],[PGI COST]]</f>
        <v>#REF!</v>
      </c>
      <c r="W43" s="11" t="e">
        <f>Sales4[[#This Row],[Gross Margin]]/Sales4[[#This Row],[Net Value]]</f>
        <v>#REF!</v>
      </c>
      <c r="X43" s="1" t="str">
        <f>TEXT(Sales4[[#This Row],[Billing Date]],"mmmm-yy")</f>
        <v>September-25</v>
      </c>
      <c r="Y43" s="1">
        <f>Sales4[[#This Row],[Net Value]]/Sales4[[#This Row],[Billed Quantity]]</f>
        <v>483.15999999999997</v>
      </c>
      <c r="Z43" s="117">
        <f>Sales4[[#This Row],[Actual delivery qty]]</f>
        <v>280</v>
      </c>
      <c r="AA43" s="12" t="e">
        <f>SUM(Sales4[[#This Row],[BOM Cost]:[Other Conversion cost pu]])</f>
        <v>#REF!</v>
      </c>
      <c r="AB4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3" s="12">
        <f>IFERROR(VLOOKUP(Sales4[[#This Row],[Material]],'COGS Break up'!#REF!,5,0),0)</f>
        <v>0</v>
      </c>
      <c r="AE4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3" s="48" t="e">
        <f>Sales4[[#This Row],[PGI per unit]]-Sales4[[#This Row],[BOM Cost]]-Sales4[[#This Row],[Labour cost per unit]]-Sales4[[#This Row],[Other Conversion cost pu]]</f>
        <v>#REF!</v>
      </c>
      <c r="AG43" s="48" t="e">
        <f>Sales4[[#This Row],[BOM Cost2]]+Sales4[[#This Row],[Labour Cost]]+Sales4[[#This Row],[Other conversion cost]]</f>
        <v>#REF!</v>
      </c>
      <c r="AH43" s="12" t="e">
        <f>Sales4[[#This Row],[Billed Quantity]]*Sales4[[#This Row],[BOM Cost]]</f>
        <v>#REF!</v>
      </c>
      <c r="AI43" s="12" t="e">
        <f>Sales4[[#This Row],[Billed Quantity]]*Sales4[[#This Row],[Labour cost per unit]]</f>
        <v>#REF!</v>
      </c>
      <c r="AJ43" s="12">
        <f>Sales4[[#This Row],[Droppage per unit]]*Sales4[[#This Row],[Billed Quantity]]</f>
        <v>0</v>
      </c>
      <c r="AK43" s="12" t="e">
        <f>Sales4[[#This Row],[Billed Quantity]]*Sales4[[#This Row],[Other Conversion cost pu]]</f>
        <v>#REF!</v>
      </c>
      <c r="AL43" s="48" t="e">
        <f>Sales4[[#This Row],[PGI Amount]]-Sales4[[#This Row],[BOM Cost2]]-Sales4[[#This Row],[Labour Cost]]-Sales4[[#This Row],[Other conversion cost]]</f>
        <v>#REF!</v>
      </c>
      <c r="AM43" s="121" t="e">
        <f>1-Sales4[[#This Row],[PGI COST]]/Sales4[[#This Row],[Net Value]]</f>
        <v>#REF!</v>
      </c>
      <c r="AN43" s="1">
        <f>Sales4[[#This Row],[PGI Amount]]/Sales4[[#This Row],[Billed Quantity]]</f>
        <v>424.43</v>
      </c>
      <c r="AO43" s="72" t="e">
        <f>SUMIFS('COGS Break up'!#REF!,'COGS Break up'!#REF!,Sales4[[#This Row],[Material]],'COGS Break up'!#REF!,'MIS Working'!$AO$1)</f>
        <v>#REF!</v>
      </c>
      <c r="AP43" s="72" t="e">
        <f>SUMIFS('COGS Break up'!#REF!,'COGS Break up'!#REF!,Sales4[[#This Row],[Material]],'COGS Break up'!#REF!,'MIS Working'!$AP$1)</f>
        <v>#REF!</v>
      </c>
      <c r="AQ43" s="72" t="e">
        <f>SUMIFS('COGS Break up'!#REF!,'COGS Break up'!#REF!,Sales4[[#This Row],[Material]],'COGS Break up'!#REF!,'MIS Working'!$AQ$1)</f>
        <v>#REF!</v>
      </c>
      <c r="AR43" s="72">
        <f>Sales4[[#This Row],[Droppage per unit]]</f>
        <v>0</v>
      </c>
      <c r="AS43" s="15" t="e">
        <f>AO43*Sales4[[#This Row],[Billed Quantity]]</f>
        <v>#REF!</v>
      </c>
      <c r="AT43" s="72" t="e">
        <f>AP43*Sales4[[#This Row],[Billed Quantity]]</f>
        <v>#REF!</v>
      </c>
      <c r="AU43" s="72" t="e">
        <f>AQ43*Sales4[[#This Row],[Billed Quantity]]</f>
        <v>#REF!</v>
      </c>
      <c r="AV43" s="72">
        <f>AR43*Sales4[[#This Row],[Billed Quantity]]</f>
        <v>0</v>
      </c>
    </row>
    <row r="44" spans="1:48" x14ac:dyDescent="0.3">
      <c r="A44" s="1" t="s">
        <v>479</v>
      </c>
      <c r="B44" s="2">
        <v>45919</v>
      </c>
      <c r="C44" s="1">
        <v>3271272270</v>
      </c>
      <c r="D44" s="1" t="s">
        <v>362</v>
      </c>
      <c r="E44" s="1" t="s">
        <v>363</v>
      </c>
      <c r="F44" s="1" t="s">
        <v>18</v>
      </c>
      <c r="G44" s="1" t="s">
        <v>19</v>
      </c>
      <c r="H44" s="1" t="s">
        <v>483</v>
      </c>
      <c r="I44" s="3">
        <v>140</v>
      </c>
      <c r="J44" s="4">
        <v>102635.4</v>
      </c>
      <c r="K44" s="3">
        <v>140</v>
      </c>
      <c r="L44" s="3">
        <v>140</v>
      </c>
      <c r="M44" s="2">
        <v>45919</v>
      </c>
      <c r="N44" s="4">
        <v>120713.60000000001</v>
      </c>
      <c r="O44" s="1" t="s">
        <v>21</v>
      </c>
      <c r="P44" s="1" t="s">
        <v>22</v>
      </c>
      <c r="Q44" s="1">
        <v>1</v>
      </c>
      <c r="R44" s="1" t="str">
        <f>VLOOKUP(Sales4[[#This Row],[Material type]],Master!$H$3:$I$8,2,0)</f>
        <v>Finished Goods</v>
      </c>
      <c r="S44" s="1" t="str">
        <f>VLOOKUP(Sales4[[#This Row],[Material Group]],Master!B:C,2,0)</f>
        <v>FG-PCB-MG</v>
      </c>
      <c r="T44" s="1" t="str">
        <f>VLOOKUP(Sales4[[#This Row],[Material Group Descrip]],Master!E:F,2,0)</f>
        <v>FG-PCB-MG</v>
      </c>
      <c r="U44" s="9" t="b">
        <f ca="1">(TODAY()-1)=Sales4[[#This Row],[Billing Date]]</f>
        <v>0</v>
      </c>
      <c r="V44" s="10" t="e">
        <f>Sales4[[#This Row],[Net Value]]-Sales4[[#This Row],[PGI COST]]</f>
        <v>#REF!</v>
      </c>
      <c r="W44" s="11" t="e">
        <f>Sales4[[#This Row],[Gross Margin]]/Sales4[[#This Row],[Net Value]]</f>
        <v>#REF!</v>
      </c>
      <c r="X44" s="1" t="str">
        <f>TEXT(Sales4[[#This Row],[Billing Date]],"mmmm-yy")</f>
        <v>September-25</v>
      </c>
      <c r="Y44" s="1">
        <f>Sales4[[#This Row],[Net Value]]/Sales4[[#This Row],[Billed Quantity]]</f>
        <v>862.24</v>
      </c>
      <c r="Z44" s="117">
        <f>Sales4[[#This Row],[Actual delivery qty]]</f>
        <v>140</v>
      </c>
      <c r="AA44" s="12" t="e">
        <f>SUM(Sales4[[#This Row],[BOM Cost]:[Other Conversion cost pu]])</f>
        <v>#REF!</v>
      </c>
      <c r="AB4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4" s="12">
        <f>IFERROR(VLOOKUP(Sales4[[#This Row],[Material]],'COGS Break up'!#REF!,5,0),0)</f>
        <v>0</v>
      </c>
      <c r="AE4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4" s="48" t="e">
        <f>Sales4[[#This Row],[PGI per unit]]-Sales4[[#This Row],[BOM Cost]]-Sales4[[#This Row],[Labour cost per unit]]-Sales4[[#This Row],[Other Conversion cost pu]]</f>
        <v>#REF!</v>
      </c>
      <c r="AG44" s="48" t="e">
        <f>Sales4[[#This Row],[BOM Cost2]]+Sales4[[#This Row],[Labour Cost]]+Sales4[[#This Row],[Other conversion cost]]</f>
        <v>#REF!</v>
      </c>
      <c r="AH44" s="12" t="e">
        <f>Sales4[[#This Row],[Billed Quantity]]*Sales4[[#This Row],[BOM Cost]]</f>
        <v>#REF!</v>
      </c>
      <c r="AI44" s="12" t="e">
        <f>Sales4[[#This Row],[Billed Quantity]]*Sales4[[#This Row],[Labour cost per unit]]</f>
        <v>#REF!</v>
      </c>
      <c r="AJ44" s="12">
        <f>Sales4[[#This Row],[Droppage per unit]]*Sales4[[#This Row],[Billed Quantity]]</f>
        <v>0</v>
      </c>
      <c r="AK44" s="12" t="e">
        <f>Sales4[[#This Row],[Billed Quantity]]*Sales4[[#This Row],[Other Conversion cost pu]]</f>
        <v>#REF!</v>
      </c>
      <c r="AL44" s="48" t="e">
        <f>Sales4[[#This Row],[PGI Amount]]-Sales4[[#This Row],[BOM Cost2]]-Sales4[[#This Row],[Labour Cost]]-Sales4[[#This Row],[Other conversion cost]]</f>
        <v>#REF!</v>
      </c>
      <c r="AM44" s="121" t="e">
        <f>1-Sales4[[#This Row],[PGI COST]]/Sales4[[#This Row],[Net Value]]</f>
        <v>#REF!</v>
      </c>
      <c r="AN44" s="1">
        <f>Sales4[[#This Row],[PGI Amount]]/Sales4[[#This Row],[Billed Quantity]]</f>
        <v>733.11</v>
      </c>
      <c r="AO44" s="72" t="e">
        <f>SUMIFS('COGS Break up'!#REF!,'COGS Break up'!#REF!,Sales4[[#This Row],[Material]],'COGS Break up'!#REF!,'MIS Working'!$AO$1)</f>
        <v>#REF!</v>
      </c>
      <c r="AP44" s="72" t="e">
        <f>SUMIFS('COGS Break up'!#REF!,'COGS Break up'!#REF!,Sales4[[#This Row],[Material]],'COGS Break up'!#REF!,'MIS Working'!$AP$1)</f>
        <v>#REF!</v>
      </c>
      <c r="AQ44" s="72" t="e">
        <f>SUMIFS('COGS Break up'!#REF!,'COGS Break up'!#REF!,Sales4[[#This Row],[Material]],'COGS Break up'!#REF!,'MIS Working'!$AQ$1)</f>
        <v>#REF!</v>
      </c>
      <c r="AR44" s="72">
        <f>Sales4[[#This Row],[Droppage per unit]]</f>
        <v>0</v>
      </c>
      <c r="AS44" s="15" t="e">
        <f>AO44*Sales4[[#This Row],[Billed Quantity]]</f>
        <v>#REF!</v>
      </c>
      <c r="AT44" s="72" t="e">
        <f>AP44*Sales4[[#This Row],[Billed Quantity]]</f>
        <v>#REF!</v>
      </c>
      <c r="AU44" s="72" t="e">
        <f>AQ44*Sales4[[#This Row],[Billed Quantity]]</f>
        <v>#REF!</v>
      </c>
      <c r="AV44" s="72">
        <f>AR44*Sales4[[#This Row],[Billed Quantity]]</f>
        <v>0</v>
      </c>
    </row>
    <row r="45" spans="1:48" x14ac:dyDescent="0.3">
      <c r="A45" s="1" t="s">
        <v>479</v>
      </c>
      <c r="B45" s="2">
        <v>45919</v>
      </c>
      <c r="C45" s="1">
        <v>3271271927</v>
      </c>
      <c r="D45" s="1" t="s">
        <v>362</v>
      </c>
      <c r="E45" s="1" t="s">
        <v>363</v>
      </c>
      <c r="F45" s="1" t="s">
        <v>18</v>
      </c>
      <c r="G45" s="1" t="s">
        <v>19</v>
      </c>
      <c r="H45" s="1" t="s">
        <v>483</v>
      </c>
      <c r="I45" s="3">
        <v>559</v>
      </c>
      <c r="J45" s="4">
        <v>409808.49</v>
      </c>
      <c r="K45" s="3">
        <v>559</v>
      </c>
      <c r="L45" s="3">
        <v>559</v>
      </c>
      <c r="M45" s="2">
        <v>45919</v>
      </c>
      <c r="N45" s="4">
        <v>481992.16</v>
      </c>
      <c r="O45" s="1" t="s">
        <v>21</v>
      </c>
      <c r="P45" s="1" t="s">
        <v>22</v>
      </c>
      <c r="Q45" s="1">
        <v>1</v>
      </c>
      <c r="R45" s="1" t="str">
        <f>VLOOKUP(Sales4[[#This Row],[Material type]],Master!$H$3:$I$8,2,0)</f>
        <v>Finished Goods</v>
      </c>
      <c r="S45" s="1" t="str">
        <f>VLOOKUP(Sales4[[#This Row],[Material Group]],Master!B:C,2,0)</f>
        <v>FG-PCB-MG</v>
      </c>
      <c r="T45" s="1" t="str">
        <f>VLOOKUP(Sales4[[#This Row],[Material Group Descrip]],Master!E:F,2,0)</f>
        <v>FG-PCB-MG</v>
      </c>
      <c r="U45" s="9" t="b">
        <f ca="1">(TODAY()-1)=Sales4[[#This Row],[Billing Date]]</f>
        <v>0</v>
      </c>
      <c r="V45" s="10" t="e">
        <f>Sales4[[#This Row],[Net Value]]-Sales4[[#This Row],[PGI COST]]</f>
        <v>#REF!</v>
      </c>
      <c r="W45" s="11" t="e">
        <f>Sales4[[#This Row],[Gross Margin]]/Sales4[[#This Row],[Net Value]]</f>
        <v>#REF!</v>
      </c>
      <c r="X45" s="1" t="str">
        <f>TEXT(Sales4[[#This Row],[Billing Date]],"mmmm-yy")</f>
        <v>September-25</v>
      </c>
      <c r="Y45" s="1">
        <f>Sales4[[#This Row],[Net Value]]/Sales4[[#This Row],[Billed Quantity]]</f>
        <v>862.24</v>
      </c>
      <c r="Z45" s="117">
        <f>Sales4[[#This Row],[Actual delivery qty]]</f>
        <v>559</v>
      </c>
      <c r="AA45" s="12" t="e">
        <f>SUM(Sales4[[#This Row],[BOM Cost]:[Other Conversion cost pu]])</f>
        <v>#REF!</v>
      </c>
      <c r="AB4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5" s="12">
        <f>IFERROR(VLOOKUP(Sales4[[#This Row],[Material]],'COGS Break up'!#REF!,5,0),0)</f>
        <v>0</v>
      </c>
      <c r="AE4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5" s="48" t="e">
        <f>Sales4[[#This Row],[PGI per unit]]-Sales4[[#This Row],[BOM Cost]]-Sales4[[#This Row],[Labour cost per unit]]-Sales4[[#This Row],[Other Conversion cost pu]]</f>
        <v>#REF!</v>
      </c>
      <c r="AG45" s="48" t="e">
        <f>Sales4[[#This Row],[BOM Cost2]]+Sales4[[#This Row],[Labour Cost]]+Sales4[[#This Row],[Other conversion cost]]</f>
        <v>#REF!</v>
      </c>
      <c r="AH45" s="12" t="e">
        <f>Sales4[[#This Row],[Billed Quantity]]*Sales4[[#This Row],[BOM Cost]]</f>
        <v>#REF!</v>
      </c>
      <c r="AI45" s="12" t="e">
        <f>Sales4[[#This Row],[Billed Quantity]]*Sales4[[#This Row],[Labour cost per unit]]</f>
        <v>#REF!</v>
      </c>
      <c r="AJ45" s="12">
        <f>Sales4[[#This Row],[Droppage per unit]]*Sales4[[#This Row],[Billed Quantity]]</f>
        <v>0</v>
      </c>
      <c r="AK45" s="12" t="e">
        <f>Sales4[[#This Row],[Billed Quantity]]*Sales4[[#This Row],[Other Conversion cost pu]]</f>
        <v>#REF!</v>
      </c>
      <c r="AL45" s="48" t="e">
        <f>Sales4[[#This Row],[PGI Amount]]-Sales4[[#This Row],[BOM Cost2]]-Sales4[[#This Row],[Labour Cost]]-Sales4[[#This Row],[Other conversion cost]]</f>
        <v>#REF!</v>
      </c>
      <c r="AM45" s="121" t="e">
        <f>1-Sales4[[#This Row],[PGI COST]]/Sales4[[#This Row],[Net Value]]</f>
        <v>#REF!</v>
      </c>
      <c r="AN45" s="1">
        <f>Sales4[[#This Row],[PGI Amount]]/Sales4[[#This Row],[Billed Quantity]]</f>
        <v>733.11</v>
      </c>
      <c r="AO45" s="72" t="e">
        <f>SUMIFS('COGS Break up'!#REF!,'COGS Break up'!#REF!,Sales4[[#This Row],[Material]],'COGS Break up'!#REF!,'MIS Working'!$AO$1)</f>
        <v>#REF!</v>
      </c>
      <c r="AP45" s="72" t="e">
        <f>SUMIFS('COGS Break up'!#REF!,'COGS Break up'!#REF!,Sales4[[#This Row],[Material]],'COGS Break up'!#REF!,'MIS Working'!$AP$1)</f>
        <v>#REF!</v>
      </c>
      <c r="AQ45" s="72" t="e">
        <f>SUMIFS('COGS Break up'!#REF!,'COGS Break up'!#REF!,Sales4[[#This Row],[Material]],'COGS Break up'!#REF!,'MIS Working'!$AQ$1)</f>
        <v>#REF!</v>
      </c>
      <c r="AR45" s="72">
        <f>Sales4[[#This Row],[Droppage per unit]]</f>
        <v>0</v>
      </c>
      <c r="AS45" s="15" t="e">
        <f>AO45*Sales4[[#This Row],[Billed Quantity]]</f>
        <v>#REF!</v>
      </c>
      <c r="AT45" s="72" t="e">
        <f>AP45*Sales4[[#This Row],[Billed Quantity]]</f>
        <v>#REF!</v>
      </c>
      <c r="AU45" s="72" t="e">
        <f>AQ45*Sales4[[#This Row],[Billed Quantity]]</f>
        <v>#REF!</v>
      </c>
      <c r="AV45" s="72">
        <f>AR45*Sales4[[#This Row],[Billed Quantity]]</f>
        <v>0</v>
      </c>
    </row>
    <row r="46" spans="1:48" x14ac:dyDescent="0.3">
      <c r="A46" s="1" t="s">
        <v>479</v>
      </c>
      <c r="B46" s="2">
        <v>45919</v>
      </c>
      <c r="C46" s="1">
        <v>3271271927</v>
      </c>
      <c r="D46" s="1" t="s">
        <v>364</v>
      </c>
      <c r="E46" s="1" t="s">
        <v>365</v>
      </c>
      <c r="F46" s="1" t="s">
        <v>18</v>
      </c>
      <c r="G46" s="1" t="s">
        <v>19</v>
      </c>
      <c r="H46" s="1" t="s">
        <v>771</v>
      </c>
      <c r="I46" s="3">
        <v>385</v>
      </c>
      <c r="J46" s="4">
        <v>41976.55</v>
      </c>
      <c r="K46" s="3">
        <v>385</v>
      </c>
      <c r="L46" s="3">
        <v>385</v>
      </c>
      <c r="M46" s="2">
        <v>45919</v>
      </c>
      <c r="N46" s="4">
        <v>38977.4</v>
      </c>
      <c r="O46" s="1" t="s">
        <v>21</v>
      </c>
      <c r="P46" s="1" t="s">
        <v>22</v>
      </c>
      <c r="Q46" s="1">
        <v>1</v>
      </c>
      <c r="R46" s="1" t="str">
        <f>VLOOKUP(Sales4[[#This Row],[Material type]],Master!$H$3:$I$8,2,0)</f>
        <v>Finished Goods</v>
      </c>
      <c r="S46" s="1" t="str">
        <f>VLOOKUP(Sales4[[#This Row],[Material Group]],Master!B:C,2,0)</f>
        <v>FG-PCB-MG Interface</v>
      </c>
      <c r="T46" s="1" t="str">
        <f>VLOOKUP(Sales4[[#This Row],[Material Group Descrip]],Master!E:F,2,0)</f>
        <v>FG-PCB-MG</v>
      </c>
      <c r="U46" s="9" t="b">
        <f ca="1">(TODAY()-1)=Sales4[[#This Row],[Billing Date]]</f>
        <v>0</v>
      </c>
      <c r="V46" s="10" t="e">
        <f>Sales4[[#This Row],[Net Value]]-Sales4[[#This Row],[PGI COST]]</f>
        <v>#REF!</v>
      </c>
      <c r="W46" s="11" t="e">
        <f>Sales4[[#This Row],[Gross Margin]]/Sales4[[#This Row],[Net Value]]</f>
        <v>#REF!</v>
      </c>
      <c r="X46" s="1" t="str">
        <f>TEXT(Sales4[[#This Row],[Billing Date]],"mmmm-yy")</f>
        <v>September-25</v>
      </c>
      <c r="Y46" s="1">
        <f>Sales4[[#This Row],[Net Value]]/Sales4[[#This Row],[Billed Quantity]]</f>
        <v>101.24000000000001</v>
      </c>
      <c r="Z46" s="117"/>
      <c r="AA46" s="12" t="e">
        <f>SUM(Sales4[[#This Row],[BOM Cost]:[Other Conversion cost pu]])</f>
        <v>#REF!</v>
      </c>
      <c r="AB4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6" s="12">
        <f>IFERROR(VLOOKUP(Sales4[[#This Row],[Material]],'COGS Break up'!#REF!,5,0),0)</f>
        <v>0</v>
      </c>
      <c r="AE4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6" s="48" t="e">
        <f>Sales4[[#This Row],[PGI per unit]]-Sales4[[#This Row],[BOM Cost]]-Sales4[[#This Row],[Labour cost per unit]]-Sales4[[#This Row],[Other Conversion cost pu]]</f>
        <v>#REF!</v>
      </c>
      <c r="AG46" s="48" t="e">
        <f>Sales4[[#This Row],[BOM Cost2]]+Sales4[[#This Row],[Labour Cost]]+Sales4[[#This Row],[Other conversion cost]]</f>
        <v>#REF!</v>
      </c>
      <c r="AH46" s="12" t="e">
        <f>Sales4[[#This Row],[Billed Quantity]]*Sales4[[#This Row],[BOM Cost]]</f>
        <v>#REF!</v>
      </c>
      <c r="AI46" s="12" t="e">
        <f>Sales4[[#This Row],[Billed Quantity]]*Sales4[[#This Row],[Labour cost per unit]]</f>
        <v>#REF!</v>
      </c>
      <c r="AJ46" s="12">
        <f>Sales4[[#This Row],[Droppage per unit]]*Sales4[[#This Row],[Billed Quantity]]</f>
        <v>0</v>
      </c>
      <c r="AK46" s="12" t="e">
        <f>Sales4[[#This Row],[Billed Quantity]]*Sales4[[#This Row],[Other Conversion cost pu]]</f>
        <v>#REF!</v>
      </c>
      <c r="AL46" s="48" t="e">
        <f>Sales4[[#This Row],[PGI Amount]]-Sales4[[#This Row],[BOM Cost2]]-Sales4[[#This Row],[Labour Cost]]-Sales4[[#This Row],[Other conversion cost]]</f>
        <v>#REF!</v>
      </c>
      <c r="AM46" s="121" t="e">
        <f>1-Sales4[[#This Row],[PGI COST]]/Sales4[[#This Row],[Net Value]]</f>
        <v>#REF!</v>
      </c>
      <c r="AN46" s="1">
        <f>Sales4[[#This Row],[PGI Amount]]/Sales4[[#This Row],[Billed Quantity]]</f>
        <v>109.03</v>
      </c>
      <c r="AO46" s="72" t="e">
        <f>SUMIFS('COGS Break up'!#REF!,'COGS Break up'!#REF!,Sales4[[#This Row],[Material]],'COGS Break up'!#REF!,'MIS Working'!$AO$1)</f>
        <v>#REF!</v>
      </c>
      <c r="AP46" s="72" t="e">
        <f>SUMIFS('COGS Break up'!#REF!,'COGS Break up'!#REF!,Sales4[[#This Row],[Material]],'COGS Break up'!#REF!,'MIS Working'!$AP$1)</f>
        <v>#REF!</v>
      </c>
      <c r="AQ46" s="72" t="e">
        <f>SUMIFS('COGS Break up'!#REF!,'COGS Break up'!#REF!,Sales4[[#This Row],[Material]],'COGS Break up'!#REF!,'MIS Working'!$AQ$1)</f>
        <v>#REF!</v>
      </c>
      <c r="AR46" s="72">
        <f>Sales4[[#This Row],[Droppage per unit]]</f>
        <v>0</v>
      </c>
      <c r="AS46" s="15" t="e">
        <f>AO46*Sales4[[#This Row],[Billed Quantity]]</f>
        <v>#REF!</v>
      </c>
      <c r="AT46" s="72" t="e">
        <f>AP46*Sales4[[#This Row],[Billed Quantity]]</f>
        <v>#REF!</v>
      </c>
      <c r="AU46" s="72" t="e">
        <f>AQ46*Sales4[[#This Row],[Billed Quantity]]</f>
        <v>#REF!</v>
      </c>
      <c r="AV46" s="72">
        <f>AR46*Sales4[[#This Row],[Billed Quantity]]</f>
        <v>0</v>
      </c>
    </row>
    <row r="47" spans="1:48" x14ac:dyDescent="0.3">
      <c r="A47" s="1" t="s">
        <v>479</v>
      </c>
      <c r="B47" s="2">
        <v>45919</v>
      </c>
      <c r="C47" s="1">
        <v>3271271939</v>
      </c>
      <c r="D47" s="1" t="s">
        <v>46</v>
      </c>
      <c r="E47" s="1" t="s">
        <v>47</v>
      </c>
      <c r="F47" s="1" t="s">
        <v>18</v>
      </c>
      <c r="G47" s="1" t="s">
        <v>19</v>
      </c>
      <c r="H47" s="1" t="s">
        <v>27</v>
      </c>
      <c r="I47" s="3">
        <v>1260</v>
      </c>
      <c r="J47" s="4">
        <v>415081.8</v>
      </c>
      <c r="K47" s="3">
        <v>1260</v>
      </c>
      <c r="L47" s="3">
        <v>1260</v>
      </c>
      <c r="M47" s="2">
        <v>45919</v>
      </c>
      <c r="N47" s="4">
        <v>451445.4</v>
      </c>
      <c r="O47" s="1" t="s">
        <v>21</v>
      </c>
      <c r="P47" s="1" t="s">
        <v>22</v>
      </c>
      <c r="Q47" s="1">
        <v>1</v>
      </c>
      <c r="R47" s="1" t="str">
        <f>VLOOKUP(Sales4[[#This Row],[Material type]],Master!$H$3:$I$8,2,0)</f>
        <v>Finished Goods</v>
      </c>
      <c r="S47" s="1" t="str">
        <f>VLOOKUP(Sales4[[#This Row],[Material Group]],Master!B:C,2,0)</f>
        <v>FG-PCB-CF</v>
      </c>
      <c r="T47" s="1" t="str">
        <f>VLOOKUP(Sales4[[#This Row],[Material Group Descrip]],Master!E:F,2,0)</f>
        <v>FG-PCB-CF</v>
      </c>
      <c r="U47" s="9" t="b">
        <f ca="1">(TODAY()-1)=Sales4[[#This Row],[Billing Date]]</f>
        <v>0</v>
      </c>
      <c r="V47" s="10" t="e">
        <f>Sales4[[#This Row],[Net Value]]-Sales4[[#This Row],[PGI COST]]</f>
        <v>#REF!</v>
      </c>
      <c r="W47" s="11" t="e">
        <f>Sales4[[#This Row],[Gross Margin]]/Sales4[[#This Row],[Net Value]]</f>
        <v>#REF!</v>
      </c>
      <c r="X47" s="1" t="str">
        <f>TEXT(Sales4[[#This Row],[Billing Date]],"mmmm-yy")</f>
        <v>September-25</v>
      </c>
      <c r="Y47" s="1">
        <f>Sales4[[#This Row],[Net Value]]/Sales4[[#This Row],[Billed Quantity]]</f>
        <v>358.29</v>
      </c>
      <c r="Z47" s="117">
        <f>Sales4[[#This Row],[Actual delivery qty]]</f>
        <v>1260</v>
      </c>
      <c r="AA47" s="12" t="e">
        <f>SUM(Sales4[[#This Row],[BOM Cost]:[Other Conversion cost pu]])</f>
        <v>#REF!</v>
      </c>
      <c r="AB4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7" s="12">
        <f>IFERROR(VLOOKUP(Sales4[[#This Row],[Material]],'COGS Break up'!#REF!,5,0),0)</f>
        <v>0</v>
      </c>
      <c r="AE4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7" s="48" t="e">
        <f>Sales4[[#This Row],[PGI per unit]]-Sales4[[#This Row],[BOM Cost]]-Sales4[[#This Row],[Labour cost per unit]]-Sales4[[#This Row],[Other Conversion cost pu]]</f>
        <v>#REF!</v>
      </c>
      <c r="AG47" s="48" t="e">
        <f>Sales4[[#This Row],[BOM Cost2]]+Sales4[[#This Row],[Labour Cost]]+Sales4[[#This Row],[Other conversion cost]]</f>
        <v>#REF!</v>
      </c>
      <c r="AH47" s="12" t="e">
        <f>Sales4[[#This Row],[Billed Quantity]]*Sales4[[#This Row],[BOM Cost]]</f>
        <v>#REF!</v>
      </c>
      <c r="AI47" s="12" t="e">
        <f>Sales4[[#This Row],[Billed Quantity]]*Sales4[[#This Row],[Labour cost per unit]]</f>
        <v>#REF!</v>
      </c>
      <c r="AJ47" s="12">
        <f>Sales4[[#This Row],[Droppage per unit]]*Sales4[[#This Row],[Billed Quantity]]</f>
        <v>0</v>
      </c>
      <c r="AK47" s="12" t="e">
        <f>Sales4[[#This Row],[Billed Quantity]]*Sales4[[#This Row],[Other Conversion cost pu]]</f>
        <v>#REF!</v>
      </c>
      <c r="AL47" s="48" t="e">
        <f>Sales4[[#This Row],[PGI Amount]]-Sales4[[#This Row],[BOM Cost2]]-Sales4[[#This Row],[Labour Cost]]-Sales4[[#This Row],[Other conversion cost]]</f>
        <v>#REF!</v>
      </c>
      <c r="AM47" s="121" t="e">
        <f>1-Sales4[[#This Row],[PGI COST]]/Sales4[[#This Row],[Net Value]]</f>
        <v>#REF!</v>
      </c>
      <c r="AN47" s="1">
        <f>Sales4[[#This Row],[PGI Amount]]/Sales4[[#This Row],[Billed Quantity]]</f>
        <v>329.43</v>
      </c>
      <c r="AO47" s="72" t="e">
        <f>SUMIFS('COGS Break up'!#REF!,'COGS Break up'!#REF!,Sales4[[#This Row],[Material]],'COGS Break up'!#REF!,'MIS Working'!$AO$1)</f>
        <v>#REF!</v>
      </c>
      <c r="AP47" s="72" t="e">
        <f>SUMIFS('COGS Break up'!#REF!,'COGS Break up'!#REF!,Sales4[[#This Row],[Material]],'COGS Break up'!#REF!,'MIS Working'!$AP$1)</f>
        <v>#REF!</v>
      </c>
      <c r="AQ47" s="72" t="e">
        <f>SUMIFS('COGS Break up'!#REF!,'COGS Break up'!#REF!,Sales4[[#This Row],[Material]],'COGS Break up'!#REF!,'MIS Working'!$AQ$1)</f>
        <v>#REF!</v>
      </c>
      <c r="AR47" s="72">
        <f>Sales4[[#This Row],[Droppage per unit]]</f>
        <v>0</v>
      </c>
      <c r="AS47" s="15" t="e">
        <f>AO47*Sales4[[#This Row],[Billed Quantity]]</f>
        <v>#REF!</v>
      </c>
      <c r="AT47" s="72" t="e">
        <f>AP47*Sales4[[#This Row],[Billed Quantity]]</f>
        <v>#REF!</v>
      </c>
      <c r="AU47" s="72" t="e">
        <f>AQ47*Sales4[[#This Row],[Billed Quantity]]</f>
        <v>#REF!</v>
      </c>
      <c r="AV47" s="72">
        <f>AR47*Sales4[[#This Row],[Billed Quantity]]</f>
        <v>0</v>
      </c>
    </row>
    <row r="48" spans="1:48" x14ac:dyDescent="0.3">
      <c r="A48" s="1" t="s">
        <v>479</v>
      </c>
      <c r="B48" s="2">
        <v>45919</v>
      </c>
      <c r="C48" s="1">
        <v>3271271893</v>
      </c>
      <c r="D48" s="1" t="s">
        <v>637</v>
      </c>
      <c r="E48" s="1" t="s">
        <v>638</v>
      </c>
      <c r="F48" s="1" t="s">
        <v>18</v>
      </c>
      <c r="G48" s="1" t="s">
        <v>19</v>
      </c>
      <c r="H48" s="1" t="s">
        <v>27</v>
      </c>
      <c r="I48" s="3">
        <v>350</v>
      </c>
      <c r="J48" s="4">
        <v>112007</v>
      </c>
      <c r="K48" s="3">
        <v>350</v>
      </c>
      <c r="L48" s="3">
        <v>350</v>
      </c>
      <c r="M48" s="2">
        <v>45919</v>
      </c>
      <c r="N48" s="4">
        <v>128058</v>
      </c>
      <c r="O48" s="1" t="s">
        <v>21</v>
      </c>
      <c r="P48" s="1" t="s">
        <v>22</v>
      </c>
      <c r="Q48" s="1">
        <v>1</v>
      </c>
      <c r="R48" s="1" t="str">
        <f>VLOOKUP(Sales4[[#This Row],[Material type]],Master!$H$3:$I$8,2,0)</f>
        <v>Finished Goods</v>
      </c>
      <c r="S48" s="1" t="str">
        <f>VLOOKUP(Sales4[[#This Row],[Material Group]],Master!B:C,2,0)</f>
        <v>FG-PCB-CF</v>
      </c>
      <c r="T48" s="1" t="str">
        <f>VLOOKUP(Sales4[[#This Row],[Material Group Descrip]],Master!E:F,2,0)</f>
        <v>FG-PCB-CF</v>
      </c>
      <c r="U48" s="9" t="b">
        <f ca="1">(TODAY()-1)=Sales4[[#This Row],[Billing Date]]</f>
        <v>0</v>
      </c>
      <c r="V48" s="10" t="e">
        <f>Sales4[[#This Row],[Net Value]]-Sales4[[#This Row],[PGI COST]]</f>
        <v>#REF!</v>
      </c>
      <c r="W48" s="11" t="e">
        <f>Sales4[[#This Row],[Gross Margin]]/Sales4[[#This Row],[Net Value]]</f>
        <v>#REF!</v>
      </c>
      <c r="X48" s="1" t="str">
        <f>TEXT(Sales4[[#This Row],[Billing Date]],"mmmm-yy")</f>
        <v>September-25</v>
      </c>
      <c r="Y48" s="1">
        <f>Sales4[[#This Row],[Net Value]]/Sales4[[#This Row],[Billed Quantity]]</f>
        <v>365.88</v>
      </c>
      <c r="Z48" s="117">
        <f>Sales4[[#This Row],[Actual delivery qty]]</f>
        <v>350</v>
      </c>
      <c r="AA48" s="12" t="e">
        <f>SUM(Sales4[[#This Row],[BOM Cost]:[Other Conversion cost pu]])</f>
        <v>#REF!</v>
      </c>
      <c r="AB4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8" s="12">
        <f>IFERROR(VLOOKUP(Sales4[[#This Row],[Material]],'COGS Break up'!#REF!,5,0),0)</f>
        <v>0</v>
      </c>
      <c r="AE4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8" s="48" t="e">
        <f>Sales4[[#This Row],[PGI per unit]]-Sales4[[#This Row],[BOM Cost]]-Sales4[[#This Row],[Labour cost per unit]]-Sales4[[#This Row],[Other Conversion cost pu]]</f>
        <v>#REF!</v>
      </c>
      <c r="AG48" s="48" t="e">
        <f>Sales4[[#This Row],[BOM Cost2]]+Sales4[[#This Row],[Labour Cost]]+Sales4[[#This Row],[Other conversion cost]]</f>
        <v>#REF!</v>
      </c>
      <c r="AH48" s="12" t="e">
        <f>Sales4[[#This Row],[Billed Quantity]]*Sales4[[#This Row],[BOM Cost]]</f>
        <v>#REF!</v>
      </c>
      <c r="AI48" s="12" t="e">
        <f>Sales4[[#This Row],[Billed Quantity]]*Sales4[[#This Row],[Labour cost per unit]]</f>
        <v>#REF!</v>
      </c>
      <c r="AJ48" s="12">
        <f>Sales4[[#This Row],[Droppage per unit]]*Sales4[[#This Row],[Billed Quantity]]</f>
        <v>0</v>
      </c>
      <c r="AK48" s="12" t="e">
        <f>Sales4[[#This Row],[Billed Quantity]]*Sales4[[#This Row],[Other Conversion cost pu]]</f>
        <v>#REF!</v>
      </c>
      <c r="AL48" s="48" t="e">
        <f>Sales4[[#This Row],[PGI Amount]]-Sales4[[#This Row],[BOM Cost2]]-Sales4[[#This Row],[Labour Cost]]-Sales4[[#This Row],[Other conversion cost]]</f>
        <v>#REF!</v>
      </c>
      <c r="AM48" s="121" t="e">
        <f>1-Sales4[[#This Row],[PGI COST]]/Sales4[[#This Row],[Net Value]]</f>
        <v>#REF!</v>
      </c>
      <c r="AN48" s="1">
        <f>Sales4[[#This Row],[PGI Amount]]/Sales4[[#This Row],[Billed Quantity]]</f>
        <v>320.02</v>
      </c>
      <c r="AO48" s="72" t="e">
        <f>SUMIFS('COGS Break up'!#REF!,'COGS Break up'!#REF!,Sales4[[#This Row],[Material]],'COGS Break up'!#REF!,'MIS Working'!$AO$1)</f>
        <v>#REF!</v>
      </c>
      <c r="AP48" s="72" t="e">
        <f>SUMIFS('COGS Break up'!#REF!,'COGS Break up'!#REF!,Sales4[[#This Row],[Material]],'COGS Break up'!#REF!,'MIS Working'!$AP$1)</f>
        <v>#REF!</v>
      </c>
      <c r="AQ48" s="72" t="e">
        <f>SUMIFS('COGS Break up'!#REF!,'COGS Break up'!#REF!,Sales4[[#This Row],[Material]],'COGS Break up'!#REF!,'MIS Working'!$AQ$1)</f>
        <v>#REF!</v>
      </c>
      <c r="AR48" s="72">
        <f>Sales4[[#This Row],[Droppage per unit]]</f>
        <v>0</v>
      </c>
      <c r="AS48" s="15" t="e">
        <f>AO48*Sales4[[#This Row],[Billed Quantity]]</f>
        <v>#REF!</v>
      </c>
      <c r="AT48" s="72" t="e">
        <f>AP48*Sales4[[#This Row],[Billed Quantity]]</f>
        <v>#REF!</v>
      </c>
      <c r="AU48" s="72" t="e">
        <f>AQ48*Sales4[[#This Row],[Billed Quantity]]</f>
        <v>#REF!</v>
      </c>
      <c r="AV48" s="72">
        <f>AR48*Sales4[[#This Row],[Billed Quantity]]</f>
        <v>0</v>
      </c>
    </row>
    <row r="49" spans="1:48" x14ac:dyDescent="0.3">
      <c r="A49" s="1" t="s">
        <v>479</v>
      </c>
      <c r="B49" s="2">
        <v>45919</v>
      </c>
      <c r="C49" s="1">
        <v>3271271939</v>
      </c>
      <c r="D49" s="1" t="s">
        <v>641</v>
      </c>
      <c r="E49" s="1" t="s">
        <v>642</v>
      </c>
      <c r="F49" s="1" t="s">
        <v>18</v>
      </c>
      <c r="G49" s="1" t="s">
        <v>19</v>
      </c>
      <c r="H49" s="1" t="s">
        <v>27</v>
      </c>
      <c r="I49" s="3">
        <v>105</v>
      </c>
      <c r="J49" s="4">
        <v>48016.5</v>
      </c>
      <c r="K49" s="3">
        <v>105</v>
      </c>
      <c r="L49" s="3">
        <v>105</v>
      </c>
      <c r="M49" s="2">
        <v>45919</v>
      </c>
      <c r="N49" s="4">
        <v>51975</v>
      </c>
      <c r="O49" s="1" t="s">
        <v>21</v>
      </c>
      <c r="P49" s="1" t="s">
        <v>22</v>
      </c>
      <c r="Q49" s="1">
        <v>1</v>
      </c>
      <c r="R49" s="1" t="str">
        <f>VLOOKUP(Sales4[[#This Row],[Material type]],Master!$H$3:$I$8,2,0)</f>
        <v>Finished Goods</v>
      </c>
      <c r="S49" s="1" t="str">
        <f>VLOOKUP(Sales4[[#This Row],[Material Group]],Master!B:C,2,0)</f>
        <v>FG-PCB-CF</v>
      </c>
      <c r="T49" s="1" t="str">
        <f>VLOOKUP(Sales4[[#This Row],[Material Group Descrip]],Master!E:F,2,0)</f>
        <v>FG-PCB-CF</v>
      </c>
      <c r="U49" s="9" t="b">
        <f ca="1">(TODAY()-1)=Sales4[[#This Row],[Billing Date]]</f>
        <v>0</v>
      </c>
      <c r="V49" s="10" t="e">
        <f>Sales4[[#This Row],[Net Value]]-Sales4[[#This Row],[PGI COST]]</f>
        <v>#REF!</v>
      </c>
      <c r="W49" s="11" t="e">
        <f>Sales4[[#This Row],[Gross Margin]]/Sales4[[#This Row],[Net Value]]</f>
        <v>#REF!</v>
      </c>
      <c r="X49" s="1" t="str">
        <f>TEXT(Sales4[[#This Row],[Billing Date]],"mmmm-yy")</f>
        <v>September-25</v>
      </c>
      <c r="Y49" s="1">
        <f>Sales4[[#This Row],[Net Value]]/Sales4[[#This Row],[Billed Quantity]]</f>
        <v>495</v>
      </c>
      <c r="Z49" s="117">
        <f>Sales4[[#This Row],[Actual delivery qty]]</f>
        <v>105</v>
      </c>
      <c r="AA49" s="12" t="e">
        <f>SUM(Sales4[[#This Row],[BOM Cost]:[Other Conversion cost pu]])</f>
        <v>#REF!</v>
      </c>
      <c r="AB4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9" s="12">
        <f>IFERROR(VLOOKUP(Sales4[[#This Row],[Material]],'COGS Break up'!#REF!,5,0),0)</f>
        <v>0</v>
      </c>
      <c r="AE4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9" s="48" t="e">
        <f>Sales4[[#This Row],[PGI per unit]]-Sales4[[#This Row],[BOM Cost]]-Sales4[[#This Row],[Labour cost per unit]]-Sales4[[#This Row],[Other Conversion cost pu]]</f>
        <v>#REF!</v>
      </c>
      <c r="AG49" s="48" t="e">
        <f>Sales4[[#This Row],[BOM Cost2]]+Sales4[[#This Row],[Labour Cost]]+Sales4[[#This Row],[Other conversion cost]]</f>
        <v>#REF!</v>
      </c>
      <c r="AH49" s="12" t="e">
        <f>Sales4[[#This Row],[Billed Quantity]]*Sales4[[#This Row],[BOM Cost]]</f>
        <v>#REF!</v>
      </c>
      <c r="AI49" s="12" t="e">
        <f>Sales4[[#This Row],[Billed Quantity]]*Sales4[[#This Row],[Labour cost per unit]]</f>
        <v>#REF!</v>
      </c>
      <c r="AJ49" s="12">
        <f>Sales4[[#This Row],[Droppage per unit]]*Sales4[[#This Row],[Billed Quantity]]</f>
        <v>0</v>
      </c>
      <c r="AK49" s="12" t="e">
        <f>Sales4[[#This Row],[Billed Quantity]]*Sales4[[#This Row],[Other Conversion cost pu]]</f>
        <v>#REF!</v>
      </c>
      <c r="AL49" s="48" t="e">
        <f>Sales4[[#This Row],[PGI Amount]]-Sales4[[#This Row],[BOM Cost2]]-Sales4[[#This Row],[Labour Cost]]-Sales4[[#This Row],[Other conversion cost]]</f>
        <v>#REF!</v>
      </c>
      <c r="AM49" s="121" t="e">
        <f>1-Sales4[[#This Row],[PGI COST]]/Sales4[[#This Row],[Net Value]]</f>
        <v>#REF!</v>
      </c>
      <c r="AN49" s="1">
        <f>Sales4[[#This Row],[PGI Amount]]/Sales4[[#This Row],[Billed Quantity]]</f>
        <v>457.3</v>
      </c>
      <c r="AO49" s="72" t="e">
        <f>SUMIFS('COGS Break up'!#REF!,'COGS Break up'!#REF!,Sales4[[#This Row],[Material]],'COGS Break up'!#REF!,'MIS Working'!$AO$1)</f>
        <v>#REF!</v>
      </c>
      <c r="AP49" s="72" t="e">
        <f>SUMIFS('COGS Break up'!#REF!,'COGS Break up'!#REF!,Sales4[[#This Row],[Material]],'COGS Break up'!#REF!,'MIS Working'!$AP$1)</f>
        <v>#REF!</v>
      </c>
      <c r="AQ49" s="72" t="e">
        <f>SUMIFS('COGS Break up'!#REF!,'COGS Break up'!#REF!,Sales4[[#This Row],[Material]],'COGS Break up'!#REF!,'MIS Working'!$AQ$1)</f>
        <v>#REF!</v>
      </c>
      <c r="AR49" s="72">
        <f>Sales4[[#This Row],[Droppage per unit]]</f>
        <v>0</v>
      </c>
      <c r="AS49" s="15" t="e">
        <f>AO49*Sales4[[#This Row],[Billed Quantity]]</f>
        <v>#REF!</v>
      </c>
      <c r="AT49" s="72" t="e">
        <f>AP49*Sales4[[#This Row],[Billed Quantity]]</f>
        <v>#REF!</v>
      </c>
      <c r="AU49" s="72" t="e">
        <f>AQ49*Sales4[[#This Row],[Billed Quantity]]</f>
        <v>#REF!</v>
      </c>
      <c r="AV49" s="72">
        <f>AR49*Sales4[[#This Row],[Billed Quantity]]</f>
        <v>0</v>
      </c>
    </row>
    <row r="50" spans="1:48" x14ac:dyDescent="0.3">
      <c r="A50" s="1" t="s">
        <v>479</v>
      </c>
      <c r="B50" s="2">
        <v>45919</v>
      </c>
      <c r="C50" s="1">
        <v>3271272105</v>
      </c>
      <c r="D50" s="1" t="s">
        <v>641</v>
      </c>
      <c r="E50" s="1" t="s">
        <v>642</v>
      </c>
      <c r="F50" s="1" t="s">
        <v>18</v>
      </c>
      <c r="G50" s="1" t="s">
        <v>19</v>
      </c>
      <c r="H50" s="1" t="s">
        <v>27</v>
      </c>
      <c r="I50" s="3">
        <v>350</v>
      </c>
      <c r="J50" s="4">
        <v>160055</v>
      </c>
      <c r="K50" s="3">
        <v>350</v>
      </c>
      <c r="L50" s="3">
        <v>350</v>
      </c>
      <c r="M50" s="2">
        <v>45919</v>
      </c>
      <c r="N50" s="4">
        <v>173250</v>
      </c>
      <c r="O50" s="1" t="s">
        <v>21</v>
      </c>
      <c r="P50" s="1" t="s">
        <v>22</v>
      </c>
      <c r="Q50" s="1">
        <v>1</v>
      </c>
      <c r="R50" s="1" t="str">
        <f>VLOOKUP(Sales4[[#This Row],[Material type]],Master!$H$3:$I$8,2,0)</f>
        <v>Finished Goods</v>
      </c>
      <c r="S50" s="1" t="str">
        <f>VLOOKUP(Sales4[[#This Row],[Material Group]],Master!B:C,2,0)</f>
        <v>FG-PCB-CF</v>
      </c>
      <c r="T50" s="1" t="str">
        <f>VLOOKUP(Sales4[[#This Row],[Material Group Descrip]],Master!E:F,2,0)</f>
        <v>FG-PCB-CF</v>
      </c>
      <c r="U50" s="9" t="b">
        <f ca="1">(TODAY()-1)=Sales4[[#This Row],[Billing Date]]</f>
        <v>0</v>
      </c>
      <c r="V50" s="10" t="e">
        <f>Sales4[[#This Row],[Net Value]]-Sales4[[#This Row],[PGI COST]]</f>
        <v>#REF!</v>
      </c>
      <c r="W50" s="11" t="e">
        <f>Sales4[[#This Row],[Gross Margin]]/Sales4[[#This Row],[Net Value]]</f>
        <v>#REF!</v>
      </c>
      <c r="X50" s="1" t="str">
        <f>TEXT(Sales4[[#This Row],[Billing Date]],"mmmm-yy")</f>
        <v>September-25</v>
      </c>
      <c r="Y50" s="1">
        <f>Sales4[[#This Row],[Net Value]]/Sales4[[#This Row],[Billed Quantity]]</f>
        <v>495</v>
      </c>
      <c r="Z50" s="117">
        <f>Sales4[[#This Row],[Actual delivery qty]]</f>
        <v>350</v>
      </c>
      <c r="AA50" s="12" t="e">
        <f>SUM(Sales4[[#This Row],[BOM Cost]:[Other Conversion cost pu]])</f>
        <v>#REF!</v>
      </c>
      <c r="AB5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0" s="12">
        <f>IFERROR(VLOOKUP(Sales4[[#This Row],[Material]],'COGS Break up'!#REF!,5,0),0)</f>
        <v>0</v>
      </c>
      <c r="AE5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0" s="48" t="e">
        <f>Sales4[[#This Row],[PGI per unit]]-Sales4[[#This Row],[BOM Cost]]-Sales4[[#This Row],[Labour cost per unit]]-Sales4[[#This Row],[Other Conversion cost pu]]</f>
        <v>#REF!</v>
      </c>
      <c r="AG50" s="48" t="e">
        <f>Sales4[[#This Row],[BOM Cost2]]+Sales4[[#This Row],[Labour Cost]]+Sales4[[#This Row],[Other conversion cost]]</f>
        <v>#REF!</v>
      </c>
      <c r="AH50" s="12" t="e">
        <f>Sales4[[#This Row],[Billed Quantity]]*Sales4[[#This Row],[BOM Cost]]</f>
        <v>#REF!</v>
      </c>
      <c r="AI50" s="12" t="e">
        <f>Sales4[[#This Row],[Billed Quantity]]*Sales4[[#This Row],[Labour cost per unit]]</f>
        <v>#REF!</v>
      </c>
      <c r="AJ50" s="12">
        <f>Sales4[[#This Row],[Droppage per unit]]*Sales4[[#This Row],[Billed Quantity]]</f>
        <v>0</v>
      </c>
      <c r="AK50" s="12" t="e">
        <f>Sales4[[#This Row],[Billed Quantity]]*Sales4[[#This Row],[Other Conversion cost pu]]</f>
        <v>#REF!</v>
      </c>
      <c r="AL50" s="48" t="e">
        <f>Sales4[[#This Row],[PGI Amount]]-Sales4[[#This Row],[BOM Cost2]]-Sales4[[#This Row],[Labour Cost]]-Sales4[[#This Row],[Other conversion cost]]</f>
        <v>#REF!</v>
      </c>
      <c r="AM50" s="121" t="e">
        <f>1-Sales4[[#This Row],[PGI COST]]/Sales4[[#This Row],[Net Value]]</f>
        <v>#REF!</v>
      </c>
      <c r="AN50" s="1">
        <f>Sales4[[#This Row],[PGI Amount]]/Sales4[[#This Row],[Billed Quantity]]</f>
        <v>457.3</v>
      </c>
      <c r="AO50" s="72" t="e">
        <f>SUMIFS('COGS Break up'!#REF!,'COGS Break up'!#REF!,Sales4[[#This Row],[Material]],'COGS Break up'!#REF!,'MIS Working'!$AO$1)</f>
        <v>#REF!</v>
      </c>
      <c r="AP50" s="72" t="e">
        <f>SUMIFS('COGS Break up'!#REF!,'COGS Break up'!#REF!,Sales4[[#This Row],[Material]],'COGS Break up'!#REF!,'MIS Working'!$AP$1)</f>
        <v>#REF!</v>
      </c>
      <c r="AQ50" s="72" t="e">
        <f>SUMIFS('COGS Break up'!#REF!,'COGS Break up'!#REF!,Sales4[[#This Row],[Material]],'COGS Break up'!#REF!,'MIS Working'!$AQ$1)</f>
        <v>#REF!</v>
      </c>
      <c r="AR50" s="72">
        <f>Sales4[[#This Row],[Droppage per unit]]</f>
        <v>0</v>
      </c>
      <c r="AS50" s="15" t="e">
        <f>AO50*Sales4[[#This Row],[Billed Quantity]]</f>
        <v>#REF!</v>
      </c>
      <c r="AT50" s="72" t="e">
        <f>AP50*Sales4[[#This Row],[Billed Quantity]]</f>
        <v>#REF!</v>
      </c>
      <c r="AU50" s="72" t="e">
        <f>AQ50*Sales4[[#This Row],[Billed Quantity]]</f>
        <v>#REF!</v>
      </c>
      <c r="AV50" s="72">
        <f>AR50*Sales4[[#This Row],[Billed Quantity]]</f>
        <v>0</v>
      </c>
    </row>
    <row r="51" spans="1:48" x14ac:dyDescent="0.3">
      <c r="A51" s="1" t="s">
        <v>479</v>
      </c>
      <c r="B51" s="2">
        <v>45919</v>
      </c>
      <c r="C51" s="1">
        <v>3271271893</v>
      </c>
      <c r="D51" s="1" t="s">
        <v>641</v>
      </c>
      <c r="E51" s="1" t="s">
        <v>642</v>
      </c>
      <c r="F51" s="1" t="s">
        <v>18</v>
      </c>
      <c r="G51" s="1" t="s">
        <v>19</v>
      </c>
      <c r="H51" s="1" t="s">
        <v>27</v>
      </c>
      <c r="I51" s="3">
        <v>315</v>
      </c>
      <c r="J51" s="4">
        <v>144049.5</v>
      </c>
      <c r="K51" s="3">
        <v>315</v>
      </c>
      <c r="L51" s="3">
        <v>315</v>
      </c>
      <c r="M51" s="2">
        <v>45919</v>
      </c>
      <c r="N51" s="4">
        <v>155925</v>
      </c>
      <c r="O51" s="1" t="s">
        <v>21</v>
      </c>
      <c r="P51" s="1" t="s">
        <v>22</v>
      </c>
      <c r="Q51" s="1">
        <v>1</v>
      </c>
      <c r="R51" s="1" t="str">
        <f>VLOOKUP(Sales4[[#This Row],[Material type]],Master!$H$3:$I$8,2,0)</f>
        <v>Finished Goods</v>
      </c>
      <c r="S51" s="1" t="str">
        <f>VLOOKUP(Sales4[[#This Row],[Material Group]],Master!B:C,2,0)</f>
        <v>FG-PCB-CF</v>
      </c>
      <c r="T51" s="1" t="str">
        <f>VLOOKUP(Sales4[[#This Row],[Material Group Descrip]],Master!E:F,2,0)</f>
        <v>FG-PCB-CF</v>
      </c>
      <c r="U51" s="9" t="b">
        <f ca="1">(TODAY()-1)=Sales4[[#This Row],[Billing Date]]</f>
        <v>0</v>
      </c>
      <c r="V51" s="10" t="e">
        <f>Sales4[[#This Row],[Net Value]]-Sales4[[#This Row],[PGI COST]]</f>
        <v>#REF!</v>
      </c>
      <c r="W51" s="11" t="e">
        <f>Sales4[[#This Row],[Gross Margin]]/Sales4[[#This Row],[Net Value]]</f>
        <v>#REF!</v>
      </c>
      <c r="X51" s="1" t="str">
        <f>TEXT(Sales4[[#This Row],[Billing Date]],"mmmm-yy")</f>
        <v>September-25</v>
      </c>
      <c r="Y51" s="1">
        <f>Sales4[[#This Row],[Net Value]]/Sales4[[#This Row],[Billed Quantity]]</f>
        <v>495</v>
      </c>
      <c r="Z51" s="117">
        <f>Sales4[[#This Row],[Actual delivery qty]]</f>
        <v>315</v>
      </c>
      <c r="AA51" s="12" t="e">
        <f>SUM(Sales4[[#This Row],[BOM Cost]:[Other Conversion cost pu]])</f>
        <v>#REF!</v>
      </c>
      <c r="AB5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1" s="12">
        <f>IFERROR(VLOOKUP(Sales4[[#This Row],[Material]],'COGS Break up'!#REF!,5,0),0)</f>
        <v>0</v>
      </c>
      <c r="AE5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1" s="48" t="e">
        <f>Sales4[[#This Row],[PGI per unit]]-Sales4[[#This Row],[BOM Cost]]-Sales4[[#This Row],[Labour cost per unit]]-Sales4[[#This Row],[Other Conversion cost pu]]</f>
        <v>#REF!</v>
      </c>
      <c r="AG51" s="48" t="e">
        <f>Sales4[[#This Row],[BOM Cost2]]+Sales4[[#This Row],[Labour Cost]]+Sales4[[#This Row],[Other conversion cost]]</f>
        <v>#REF!</v>
      </c>
      <c r="AH51" s="12" t="e">
        <f>Sales4[[#This Row],[Billed Quantity]]*Sales4[[#This Row],[BOM Cost]]</f>
        <v>#REF!</v>
      </c>
      <c r="AI51" s="12" t="e">
        <f>Sales4[[#This Row],[Billed Quantity]]*Sales4[[#This Row],[Labour cost per unit]]</f>
        <v>#REF!</v>
      </c>
      <c r="AJ51" s="12">
        <f>Sales4[[#This Row],[Droppage per unit]]*Sales4[[#This Row],[Billed Quantity]]</f>
        <v>0</v>
      </c>
      <c r="AK51" s="12" t="e">
        <f>Sales4[[#This Row],[Billed Quantity]]*Sales4[[#This Row],[Other Conversion cost pu]]</f>
        <v>#REF!</v>
      </c>
      <c r="AL51" s="48" t="e">
        <f>Sales4[[#This Row],[PGI Amount]]-Sales4[[#This Row],[BOM Cost2]]-Sales4[[#This Row],[Labour Cost]]-Sales4[[#This Row],[Other conversion cost]]</f>
        <v>#REF!</v>
      </c>
      <c r="AM51" s="121" t="e">
        <f>1-Sales4[[#This Row],[PGI COST]]/Sales4[[#This Row],[Net Value]]</f>
        <v>#REF!</v>
      </c>
      <c r="AN51" s="1">
        <f>Sales4[[#This Row],[PGI Amount]]/Sales4[[#This Row],[Billed Quantity]]</f>
        <v>457.3</v>
      </c>
      <c r="AO51" s="72" t="e">
        <f>SUMIFS('COGS Break up'!#REF!,'COGS Break up'!#REF!,Sales4[[#This Row],[Material]],'COGS Break up'!#REF!,'MIS Working'!$AO$1)</f>
        <v>#REF!</v>
      </c>
      <c r="AP51" s="72" t="e">
        <f>SUMIFS('COGS Break up'!#REF!,'COGS Break up'!#REF!,Sales4[[#This Row],[Material]],'COGS Break up'!#REF!,'MIS Working'!$AP$1)</f>
        <v>#REF!</v>
      </c>
      <c r="AQ51" s="72" t="e">
        <f>SUMIFS('COGS Break up'!#REF!,'COGS Break up'!#REF!,Sales4[[#This Row],[Material]],'COGS Break up'!#REF!,'MIS Working'!$AQ$1)</f>
        <v>#REF!</v>
      </c>
      <c r="AR51" s="72">
        <f>Sales4[[#This Row],[Droppage per unit]]</f>
        <v>0</v>
      </c>
      <c r="AS51" s="15" t="e">
        <f>AO51*Sales4[[#This Row],[Billed Quantity]]</f>
        <v>#REF!</v>
      </c>
      <c r="AT51" s="72" t="e">
        <f>AP51*Sales4[[#This Row],[Billed Quantity]]</f>
        <v>#REF!</v>
      </c>
      <c r="AU51" s="72" t="e">
        <f>AQ51*Sales4[[#This Row],[Billed Quantity]]</f>
        <v>#REF!</v>
      </c>
      <c r="AV51" s="72">
        <f>AR51*Sales4[[#This Row],[Billed Quantity]]</f>
        <v>0</v>
      </c>
    </row>
    <row r="52" spans="1:48" x14ac:dyDescent="0.3">
      <c r="A52" s="1" t="s">
        <v>479</v>
      </c>
      <c r="B52" s="2">
        <v>45919</v>
      </c>
      <c r="C52" s="1">
        <v>3271271893</v>
      </c>
      <c r="D52" s="1" t="s">
        <v>368</v>
      </c>
      <c r="E52" s="1" t="s">
        <v>369</v>
      </c>
      <c r="F52" s="1" t="s">
        <v>18</v>
      </c>
      <c r="G52" s="1" t="s">
        <v>19</v>
      </c>
      <c r="H52" s="1" t="s">
        <v>483</v>
      </c>
      <c r="I52" s="3">
        <v>210</v>
      </c>
      <c r="J52" s="4">
        <v>72126.600000000006</v>
      </c>
      <c r="K52" s="3">
        <v>210</v>
      </c>
      <c r="L52" s="3">
        <v>210</v>
      </c>
      <c r="M52" s="2">
        <v>45919</v>
      </c>
      <c r="N52" s="4">
        <v>64967.7</v>
      </c>
      <c r="O52" s="1" t="s">
        <v>21</v>
      </c>
      <c r="P52" s="1" t="s">
        <v>22</v>
      </c>
      <c r="Q52" s="1">
        <v>1</v>
      </c>
      <c r="R52" s="1" t="str">
        <f>VLOOKUP(Sales4[[#This Row],[Material type]],Master!$H$3:$I$8,2,0)</f>
        <v>Finished Goods</v>
      </c>
      <c r="S52" s="1" t="str">
        <f>VLOOKUP(Sales4[[#This Row],[Material Group]],Master!B:C,2,0)</f>
        <v>FG-PCB-MG</v>
      </c>
      <c r="T52" s="1" t="str">
        <f>VLOOKUP(Sales4[[#This Row],[Material Group Descrip]],Master!E:F,2,0)</f>
        <v>FG-PCB-MG</v>
      </c>
      <c r="U52" s="9" t="b">
        <f ca="1">(TODAY()-1)=Sales4[[#This Row],[Billing Date]]</f>
        <v>0</v>
      </c>
      <c r="V52" s="10" t="e">
        <f>Sales4[[#This Row],[Net Value]]-Sales4[[#This Row],[PGI COST]]</f>
        <v>#REF!</v>
      </c>
      <c r="W52" s="11" t="e">
        <f>Sales4[[#This Row],[Gross Margin]]/Sales4[[#This Row],[Net Value]]</f>
        <v>#REF!</v>
      </c>
      <c r="X52" s="1" t="str">
        <f>TEXT(Sales4[[#This Row],[Billing Date]],"mmmm-yy")</f>
        <v>September-25</v>
      </c>
      <c r="Y52" s="1">
        <f>Sales4[[#This Row],[Net Value]]/Sales4[[#This Row],[Billed Quantity]]</f>
        <v>309.37</v>
      </c>
      <c r="Z52" s="117">
        <f>Sales4[[#This Row],[Actual delivery qty]]</f>
        <v>210</v>
      </c>
      <c r="AA52" s="12" t="e">
        <f>SUM(Sales4[[#This Row],[BOM Cost]:[Other Conversion cost pu]])</f>
        <v>#REF!</v>
      </c>
      <c r="AB5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2" s="12">
        <f>IFERROR(VLOOKUP(Sales4[[#This Row],[Material]],'COGS Break up'!#REF!,5,0),0)</f>
        <v>0</v>
      </c>
      <c r="AE5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2" s="48" t="e">
        <f>Sales4[[#This Row],[PGI per unit]]-Sales4[[#This Row],[BOM Cost]]-Sales4[[#This Row],[Labour cost per unit]]-Sales4[[#This Row],[Other Conversion cost pu]]</f>
        <v>#REF!</v>
      </c>
      <c r="AG52" s="48" t="e">
        <f>Sales4[[#This Row],[BOM Cost2]]+Sales4[[#This Row],[Labour Cost]]+Sales4[[#This Row],[Other conversion cost]]</f>
        <v>#REF!</v>
      </c>
      <c r="AH52" s="12" t="e">
        <f>Sales4[[#This Row],[Billed Quantity]]*Sales4[[#This Row],[BOM Cost]]</f>
        <v>#REF!</v>
      </c>
      <c r="AI52" s="12" t="e">
        <f>Sales4[[#This Row],[Billed Quantity]]*Sales4[[#This Row],[Labour cost per unit]]</f>
        <v>#REF!</v>
      </c>
      <c r="AJ52" s="12">
        <f>Sales4[[#This Row],[Droppage per unit]]*Sales4[[#This Row],[Billed Quantity]]</f>
        <v>0</v>
      </c>
      <c r="AK52" s="12" t="e">
        <f>Sales4[[#This Row],[Billed Quantity]]*Sales4[[#This Row],[Other Conversion cost pu]]</f>
        <v>#REF!</v>
      </c>
      <c r="AL52" s="48" t="e">
        <f>Sales4[[#This Row],[PGI Amount]]-Sales4[[#This Row],[BOM Cost2]]-Sales4[[#This Row],[Labour Cost]]-Sales4[[#This Row],[Other conversion cost]]</f>
        <v>#REF!</v>
      </c>
      <c r="AM52" s="121" t="e">
        <f>1-Sales4[[#This Row],[PGI COST]]/Sales4[[#This Row],[Net Value]]</f>
        <v>#REF!</v>
      </c>
      <c r="AN52" s="1">
        <f>Sales4[[#This Row],[PGI Amount]]/Sales4[[#This Row],[Billed Quantity]]</f>
        <v>343.46000000000004</v>
      </c>
      <c r="AO52" s="72" t="e">
        <f>SUMIFS('COGS Break up'!#REF!,'COGS Break up'!#REF!,Sales4[[#This Row],[Material]],'COGS Break up'!#REF!,'MIS Working'!$AO$1)</f>
        <v>#REF!</v>
      </c>
      <c r="AP52" s="72" t="e">
        <f>SUMIFS('COGS Break up'!#REF!,'COGS Break up'!#REF!,Sales4[[#This Row],[Material]],'COGS Break up'!#REF!,'MIS Working'!$AP$1)</f>
        <v>#REF!</v>
      </c>
      <c r="AQ52" s="72" t="e">
        <f>SUMIFS('COGS Break up'!#REF!,'COGS Break up'!#REF!,Sales4[[#This Row],[Material]],'COGS Break up'!#REF!,'MIS Working'!$AQ$1)</f>
        <v>#REF!</v>
      </c>
      <c r="AR52" s="72">
        <f>Sales4[[#This Row],[Droppage per unit]]</f>
        <v>0</v>
      </c>
      <c r="AS52" s="15" t="e">
        <f>AO52*Sales4[[#This Row],[Billed Quantity]]</f>
        <v>#REF!</v>
      </c>
      <c r="AT52" s="72" t="e">
        <f>AP52*Sales4[[#This Row],[Billed Quantity]]</f>
        <v>#REF!</v>
      </c>
      <c r="AU52" s="72" t="e">
        <f>AQ52*Sales4[[#This Row],[Billed Quantity]]</f>
        <v>#REF!</v>
      </c>
      <c r="AV52" s="72">
        <f>AR52*Sales4[[#This Row],[Billed Quantity]]</f>
        <v>0</v>
      </c>
    </row>
    <row r="53" spans="1:48" x14ac:dyDescent="0.3">
      <c r="A53" s="1" t="s">
        <v>479</v>
      </c>
      <c r="B53" s="2">
        <v>45919</v>
      </c>
      <c r="C53" s="1">
        <v>3271271893</v>
      </c>
      <c r="D53" s="1" t="s">
        <v>380</v>
      </c>
      <c r="E53" s="1" t="s">
        <v>381</v>
      </c>
      <c r="F53" s="1" t="s">
        <v>18</v>
      </c>
      <c r="G53" s="1" t="s">
        <v>19</v>
      </c>
      <c r="H53" s="1" t="s">
        <v>27</v>
      </c>
      <c r="I53" s="3">
        <v>665</v>
      </c>
      <c r="J53" s="4">
        <v>142090.54999999999</v>
      </c>
      <c r="K53" s="3">
        <v>665</v>
      </c>
      <c r="L53" s="3">
        <v>665</v>
      </c>
      <c r="M53" s="2">
        <v>45919</v>
      </c>
      <c r="N53" s="4">
        <v>153222.65</v>
      </c>
      <c r="O53" s="1" t="s">
        <v>21</v>
      </c>
      <c r="P53" s="1" t="s">
        <v>22</v>
      </c>
      <c r="Q53" s="1">
        <v>1</v>
      </c>
      <c r="R53" s="1" t="str">
        <f>VLOOKUP(Sales4[[#This Row],[Material type]],Master!$H$3:$I$8,2,0)</f>
        <v>Finished Goods</v>
      </c>
      <c r="S53" s="1" t="str">
        <f>VLOOKUP(Sales4[[#This Row],[Material Group]],Master!B:C,2,0)</f>
        <v>FG-PCB-CF</v>
      </c>
      <c r="T53" s="1" t="str">
        <f>VLOOKUP(Sales4[[#This Row],[Material Group Descrip]],Master!E:F,2,0)</f>
        <v>FG-PCB-CF</v>
      </c>
      <c r="U53" s="9" t="b">
        <f ca="1">(TODAY()-1)=Sales4[[#This Row],[Billing Date]]</f>
        <v>0</v>
      </c>
      <c r="V53" s="10" t="e">
        <f>Sales4[[#This Row],[Net Value]]-Sales4[[#This Row],[PGI COST]]</f>
        <v>#REF!</v>
      </c>
      <c r="W53" s="11" t="e">
        <f>Sales4[[#This Row],[Gross Margin]]/Sales4[[#This Row],[Net Value]]</f>
        <v>#REF!</v>
      </c>
      <c r="X53" s="1" t="str">
        <f>TEXT(Sales4[[#This Row],[Billing Date]],"mmmm-yy")</f>
        <v>September-25</v>
      </c>
      <c r="Y53" s="1">
        <f>Sales4[[#This Row],[Net Value]]/Sales4[[#This Row],[Billed Quantity]]</f>
        <v>230.41</v>
      </c>
      <c r="Z53" s="117">
        <f>Sales4[[#This Row],[Actual delivery qty]]</f>
        <v>665</v>
      </c>
      <c r="AA53" s="12" t="e">
        <f>SUM(Sales4[[#This Row],[BOM Cost]:[Other Conversion cost pu]])</f>
        <v>#REF!</v>
      </c>
      <c r="AB5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3" s="12">
        <f>IFERROR(VLOOKUP(Sales4[[#This Row],[Material]],'COGS Break up'!#REF!,5,0),0)</f>
        <v>0</v>
      </c>
      <c r="AE5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3" s="48" t="e">
        <f>Sales4[[#This Row],[PGI per unit]]-Sales4[[#This Row],[BOM Cost]]-Sales4[[#This Row],[Labour cost per unit]]-Sales4[[#This Row],[Other Conversion cost pu]]</f>
        <v>#REF!</v>
      </c>
      <c r="AG53" s="48" t="e">
        <f>Sales4[[#This Row],[BOM Cost2]]+Sales4[[#This Row],[Labour Cost]]+Sales4[[#This Row],[Other conversion cost]]</f>
        <v>#REF!</v>
      </c>
      <c r="AH53" s="12" t="e">
        <f>Sales4[[#This Row],[Billed Quantity]]*Sales4[[#This Row],[BOM Cost]]</f>
        <v>#REF!</v>
      </c>
      <c r="AI53" s="12" t="e">
        <f>Sales4[[#This Row],[Billed Quantity]]*Sales4[[#This Row],[Labour cost per unit]]</f>
        <v>#REF!</v>
      </c>
      <c r="AJ53" s="12">
        <f>Sales4[[#This Row],[Droppage per unit]]*Sales4[[#This Row],[Billed Quantity]]</f>
        <v>0</v>
      </c>
      <c r="AK53" s="12" t="e">
        <f>Sales4[[#This Row],[Billed Quantity]]*Sales4[[#This Row],[Other Conversion cost pu]]</f>
        <v>#REF!</v>
      </c>
      <c r="AL53" s="48" t="e">
        <f>Sales4[[#This Row],[PGI Amount]]-Sales4[[#This Row],[BOM Cost2]]-Sales4[[#This Row],[Labour Cost]]-Sales4[[#This Row],[Other conversion cost]]</f>
        <v>#REF!</v>
      </c>
      <c r="AM53" s="121" t="e">
        <f>1-Sales4[[#This Row],[PGI COST]]/Sales4[[#This Row],[Net Value]]</f>
        <v>#REF!</v>
      </c>
      <c r="AN53" s="1">
        <f>Sales4[[#This Row],[PGI Amount]]/Sales4[[#This Row],[Billed Quantity]]</f>
        <v>213.67</v>
      </c>
      <c r="AO53" s="72" t="e">
        <f>SUMIFS('COGS Break up'!#REF!,'COGS Break up'!#REF!,Sales4[[#This Row],[Material]],'COGS Break up'!#REF!,'MIS Working'!$AO$1)</f>
        <v>#REF!</v>
      </c>
      <c r="AP53" s="72" t="e">
        <f>SUMIFS('COGS Break up'!#REF!,'COGS Break up'!#REF!,Sales4[[#This Row],[Material]],'COGS Break up'!#REF!,'MIS Working'!$AP$1)</f>
        <v>#REF!</v>
      </c>
      <c r="AQ53" s="72" t="e">
        <f>SUMIFS('COGS Break up'!#REF!,'COGS Break up'!#REF!,Sales4[[#This Row],[Material]],'COGS Break up'!#REF!,'MIS Working'!$AQ$1)</f>
        <v>#REF!</v>
      </c>
      <c r="AR53" s="72">
        <f>Sales4[[#This Row],[Droppage per unit]]</f>
        <v>0</v>
      </c>
      <c r="AS53" s="15" t="e">
        <f>AO53*Sales4[[#This Row],[Billed Quantity]]</f>
        <v>#REF!</v>
      </c>
      <c r="AT53" s="72" t="e">
        <f>AP53*Sales4[[#This Row],[Billed Quantity]]</f>
        <v>#REF!</v>
      </c>
      <c r="AU53" s="72" t="e">
        <f>AQ53*Sales4[[#This Row],[Billed Quantity]]</f>
        <v>#REF!</v>
      </c>
      <c r="AV53" s="72">
        <f>AR53*Sales4[[#This Row],[Billed Quantity]]</f>
        <v>0</v>
      </c>
    </row>
    <row r="54" spans="1:48" x14ac:dyDescent="0.3">
      <c r="A54" s="1" t="s">
        <v>479</v>
      </c>
      <c r="B54" s="2">
        <v>45919</v>
      </c>
      <c r="C54" s="1">
        <v>3271271927</v>
      </c>
      <c r="D54" s="1" t="s">
        <v>370</v>
      </c>
      <c r="E54" s="1" t="s">
        <v>371</v>
      </c>
      <c r="F54" s="1" t="s">
        <v>18</v>
      </c>
      <c r="G54" s="1" t="s">
        <v>19</v>
      </c>
      <c r="H54" s="1" t="s">
        <v>774</v>
      </c>
      <c r="I54" s="3">
        <v>595</v>
      </c>
      <c r="J54" s="4">
        <v>20152.650000000001</v>
      </c>
      <c r="K54" s="3">
        <v>595</v>
      </c>
      <c r="L54" s="3">
        <v>595</v>
      </c>
      <c r="M54" s="2">
        <v>45919</v>
      </c>
      <c r="N54" s="4">
        <v>15660.4</v>
      </c>
      <c r="O54" s="1" t="s">
        <v>21</v>
      </c>
      <c r="P54" s="1" t="s">
        <v>22</v>
      </c>
      <c r="Q54" s="1">
        <v>1</v>
      </c>
      <c r="R54" s="1" t="str">
        <f>VLOOKUP(Sales4[[#This Row],[Material type]],Master!$H$3:$I$8,2,0)</f>
        <v>Finished Goods</v>
      </c>
      <c r="S54" s="1" t="str">
        <f>VLOOKUP(Sales4[[#This Row],[Material Group]],Master!B:C,2,0)</f>
        <v>FG-PCB-MG Sensor</v>
      </c>
      <c r="T54" s="1" t="str">
        <f>VLOOKUP(Sales4[[#This Row],[Material Group Descrip]],Master!E:F,2,0)</f>
        <v>FG-PCB-MG</v>
      </c>
      <c r="U54" s="9" t="b">
        <f ca="1">(TODAY()-1)=Sales4[[#This Row],[Billing Date]]</f>
        <v>0</v>
      </c>
      <c r="V54" s="10" t="e">
        <f>Sales4[[#This Row],[Net Value]]-Sales4[[#This Row],[PGI COST]]</f>
        <v>#REF!</v>
      </c>
      <c r="W54" s="11" t="e">
        <f>Sales4[[#This Row],[Gross Margin]]/Sales4[[#This Row],[Net Value]]</f>
        <v>#REF!</v>
      </c>
      <c r="X54" s="1" t="str">
        <f>TEXT(Sales4[[#This Row],[Billing Date]],"mmmm-yy")</f>
        <v>September-25</v>
      </c>
      <c r="Y54" s="1">
        <f>Sales4[[#This Row],[Net Value]]/Sales4[[#This Row],[Billed Quantity]]</f>
        <v>26.32</v>
      </c>
      <c r="Z54" s="117"/>
      <c r="AA54" s="12" t="e">
        <f>SUM(Sales4[[#This Row],[BOM Cost]:[Other Conversion cost pu]])</f>
        <v>#REF!</v>
      </c>
      <c r="AB5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4" s="12">
        <f>IFERROR(VLOOKUP(Sales4[[#This Row],[Material]],'COGS Break up'!#REF!,5,0),0)</f>
        <v>0</v>
      </c>
      <c r="AE5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4" s="48" t="e">
        <f>Sales4[[#This Row],[PGI per unit]]-Sales4[[#This Row],[BOM Cost]]-Sales4[[#This Row],[Labour cost per unit]]-Sales4[[#This Row],[Other Conversion cost pu]]</f>
        <v>#REF!</v>
      </c>
      <c r="AG54" s="48" t="e">
        <f>Sales4[[#This Row],[BOM Cost2]]+Sales4[[#This Row],[Labour Cost]]+Sales4[[#This Row],[Other conversion cost]]</f>
        <v>#REF!</v>
      </c>
      <c r="AH54" s="12" t="e">
        <f>Sales4[[#This Row],[Billed Quantity]]*Sales4[[#This Row],[BOM Cost]]</f>
        <v>#REF!</v>
      </c>
      <c r="AI54" s="12" t="e">
        <f>Sales4[[#This Row],[Billed Quantity]]*Sales4[[#This Row],[Labour cost per unit]]</f>
        <v>#REF!</v>
      </c>
      <c r="AJ54" s="12">
        <f>Sales4[[#This Row],[Droppage per unit]]*Sales4[[#This Row],[Billed Quantity]]</f>
        <v>0</v>
      </c>
      <c r="AK54" s="12" t="e">
        <f>Sales4[[#This Row],[Billed Quantity]]*Sales4[[#This Row],[Other Conversion cost pu]]</f>
        <v>#REF!</v>
      </c>
      <c r="AL54" s="48" t="e">
        <f>Sales4[[#This Row],[PGI Amount]]-Sales4[[#This Row],[BOM Cost2]]-Sales4[[#This Row],[Labour Cost]]-Sales4[[#This Row],[Other conversion cost]]</f>
        <v>#REF!</v>
      </c>
      <c r="AM54" s="121" t="e">
        <f>1-Sales4[[#This Row],[PGI COST]]/Sales4[[#This Row],[Net Value]]</f>
        <v>#REF!</v>
      </c>
      <c r="AN54" s="1">
        <f>Sales4[[#This Row],[PGI Amount]]/Sales4[[#This Row],[Billed Quantity]]</f>
        <v>33.870000000000005</v>
      </c>
      <c r="AO54" s="72" t="e">
        <f>SUMIFS('COGS Break up'!#REF!,'COGS Break up'!#REF!,Sales4[[#This Row],[Material]],'COGS Break up'!#REF!,'MIS Working'!$AO$1)</f>
        <v>#REF!</v>
      </c>
      <c r="AP54" s="72" t="e">
        <f>SUMIFS('COGS Break up'!#REF!,'COGS Break up'!#REF!,Sales4[[#This Row],[Material]],'COGS Break up'!#REF!,'MIS Working'!$AP$1)</f>
        <v>#REF!</v>
      </c>
      <c r="AQ54" s="72" t="e">
        <f>SUMIFS('COGS Break up'!#REF!,'COGS Break up'!#REF!,Sales4[[#This Row],[Material]],'COGS Break up'!#REF!,'MIS Working'!$AQ$1)</f>
        <v>#REF!</v>
      </c>
      <c r="AR54" s="72">
        <f>Sales4[[#This Row],[Droppage per unit]]</f>
        <v>0</v>
      </c>
      <c r="AS54" s="15" t="e">
        <f>AO54*Sales4[[#This Row],[Billed Quantity]]</f>
        <v>#REF!</v>
      </c>
      <c r="AT54" s="72" t="e">
        <f>AP54*Sales4[[#This Row],[Billed Quantity]]</f>
        <v>#REF!</v>
      </c>
      <c r="AU54" s="72" t="e">
        <f>AQ54*Sales4[[#This Row],[Billed Quantity]]</f>
        <v>#REF!</v>
      </c>
      <c r="AV54" s="72">
        <f>AR54*Sales4[[#This Row],[Billed Quantity]]</f>
        <v>0</v>
      </c>
    </row>
    <row r="55" spans="1:48" x14ac:dyDescent="0.3">
      <c r="A55" s="1" t="s">
        <v>479</v>
      </c>
      <c r="B55" s="2">
        <v>45919</v>
      </c>
      <c r="C55" s="1">
        <v>3271272270</v>
      </c>
      <c r="D55" s="1" t="s">
        <v>378</v>
      </c>
      <c r="E55" s="1" t="s">
        <v>379</v>
      </c>
      <c r="F55" s="1" t="s">
        <v>18</v>
      </c>
      <c r="G55" s="1" t="s">
        <v>19</v>
      </c>
      <c r="H55" s="1" t="s">
        <v>27</v>
      </c>
      <c r="I55" s="3">
        <v>105</v>
      </c>
      <c r="J55" s="4">
        <v>35337.75</v>
      </c>
      <c r="K55" s="3">
        <v>105</v>
      </c>
      <c r="L55" s="3">
        <v>105</v>
      </c>
      <c r="M55" s="2">
        <v>45919</v>
      </c>
      <c r="N55" s="4">
        <v>38417.4</v>
      </c>
      <c r="O55" s="1" t="s">
        <v>21</v>
      </c>
      <c r="P55" s="1" t="s">
        <v>22</v>
      </c>
      <c r="Q55" s="1">
        <v>1</v>
      </c>
      <c r="R55" s="1" t="str">
        <f>VLOOKUP(Sales4[[#This Row],[Material type]],Master!$H$3:$I$8,2,0)</f>
        <v>Finished Goods</v>
      </c>
      <c r="S55" s="1" t="str">
        <f>VLOOKUP(Sales4[[#This Row],[Material Group]],Master!B:C,2,0)</f>
        <v>FG-PCB-CF</v>
      </c>
      <c r="T55" s="1" t="str">
        <f>VLOOKUP(Sales4[[#This Row],[Material Group Descrip]],Master!E:F,2,0)</f>
        <v>FG-PCB-CF</v>
      </c>
      <c r="U55" s="9" t="b">
        <f ca="1">(TODAY()-1)=Sales4[[#This Row],[Billing Date]]</f>
        <v>0</v>
      </c>
      <c r="V55" s="10" t="e">
        <f>Sales4[[#This Row],[Net Value]]-Sales4[[#This Row],[PGI COST]]</f>
        <v>#REF!</v>
      </c>
      <c r="W55" s="11" t="e">
        <f>Sales4[[#This Row],[Gross Margin]]/Sales4[[#This Row],[Net Value]]</f>
        <v>#REF!</v>
      </c>
      <c r="X55" s="1" t="str">
        <f>TEXT(Sales4[[#This Row],[Billing Date]],"mmmm-yy")</f>
        <v>September-25</v>
      </c>
      <c r="Y55" s="1">
        <f>Sales4[[#This Row],[Net Value]]/Sales4[[#This Row],[Billed Quantity]]</f>
        <v>365.88</v>
      </c>
      <c r="Z55" s="117">
        <f>Sales4[[#This Row],[Actual delivery qty]]</f>
        <v>105</v>
      </c>
      <c r="AA55" s="12" t="e">
        <f>SUM(Sales4[[#This Row],[BOM Cost]:[Other Conversion cost pu]])</f>
        <v>#REF!</v>
      </c>
      <c r="AB5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5" s="12">
        <f>IFERROR(VLOOKUP(Sales4[[#This Row],[Material]],'COGS Break up'!#REF!,5,0),0)</f>
        <v>0</v>
      </c>
      <c r="AE5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5" s="48" t="e">
        <f>Sales4[[#This Row],[PGI per unit]]-Sales4[[#This Row],[BOM Cost]]-Sales4[[#This Row],[Labour cost per unit]]-Sales4[[#This Row],[Other Conversion cost pu]]</f>
        <v>#REF!</v>
      </c>
      <c r="AG55" s="48" t="e">
        <f>Sales4[[#This Row],[BOM Cost2]]+Sales4[[#This Row],[Labour Cost]]+Sales4[[#This Row],[Other conversion cost]]</f>
        <v>#REF!</v>
      </c>
      <c r="AH55" s="12" t="e">
        <f>Sales4[[#This Row],[Billed Quantity]]*Sales4[[#This Row],[BOM Cost]]</f>
        <v>#REF!</v>
      </c>
      <c r="AI55" s="12" t="e">
        <f>Sales4[[#This Row],[Billed Quantity]]*Sales4[[#This Row],[Labour cost per unit]]</f>
        <v>#REF!</v>
      </c>
      <c r="AJ55" s="12">
        <f>Sales4[[#This Row],[Droppage per unit]]*Sales4[[#This Row],[Billed Quantity]]</f>
        <v>0</v>
      </c>
      <c r="AK55" s="12" t="e">
        <f>Sales4[[#This Row],[Billed Quantity]]*Sales4[[#This Row],[Other Conversion cost pu]]</f>
        <v>#REF!</v>
      </c>
      <c r="AL55" s="48" t="e">
        <f>Sales4[[#This Row],[PGI Amount]]-Sales4[[#This Row],[BOM Cost2]]-Sales4[[#This Row],[Labour Cost]]-Sales4[[#This Row],[Other conversion cost]]</f>
        <v>#REF!</v>
      </c>
      <c r="AM55" s="121" t="e">
        <f>1-Sales4[[#This Row],[PGI COST]]/Sales4[[#This Row],[Net Value]]</f>
        <v>#REF!</v>
      </c>
      <c r="AN55" s="1">
        <f>Sales4[[#This Row],[PGI Amount]]/Sales4[[#This Row],[Billed Quantity]]</f>
        <v>336.55</v>
      </c>
      <c r="AO55" s="72" t="e">
        <f>SUMIFS('COGS Break up'!#REF!,'COGS Break up'!#REF!,Sales4[[#This Row],[Material]],'COGS Break up'!#REF!,'MIS Working'!$AO$1)</f>
        <v>#REF!</v>
      </c>
      <c r="AP55" s="72" t="e">
        <f>SUMIFS('COGS Break up'!#REF!,'COGS Break up'!#REF!,Sales4[[#This Row],[Material]],'COGS Break up'!#REF!,'MIS Working'!$AP$1)</f>
        <v>#REF!</v>
      </c>
      <c r="AQ55" s="72" t="e">
        <f>SUMIFS('COGS Break up'!#REF!,'COGS Break up'!#REF!,Sales4[[#This Row],[Material]],'COGS Break up'!#REF!,'MIS Working'!$AQ$1)</f>
        <v>#REF!</v>
      </c>
      <c r="AR55" s="72">
        <f>Sales4[[#This Row],[Droppage per unit]]</f>
        <v>0</v>
      </c>
      <c r="AS55" s="15" t="e">
        <f>AO55*Sales4[[#This Row],[Billed Quantity]]</f>
        <v>#REF!</v>
      </c>
      <c r="AT55" s="72" t="e">
        <f>AP55*Sales4[[#This Row],[Billed Quantity]]</f>
        <v>#REF!</v>
      </c>
      <c r="AU55" s="72" t="e">
        <f>AQ55*Sales4[[#This Row],[Billed Quantity]]</f>
        <v>#REF!</v>
      </c>
      <c r="AV55" s="72">
        <f>AR55*Sales4[[#This Row],[Billed Quantity]]</f>
        <v>0</v>
      </c>
    </row>
    <row r="56" spans="1:48" x14ac:dyDescent="0.3">
      <c r="A56" s="1" t="s">
        <v>479</v>
      </c>
      <c r="B56" s="2">
        <v>45919</v>
      </c>
      <c r="C56" s="1">
        <v>3271271935</v>
      </c>
      <c r="D56" s="1" t="s">
        <v>40</v>
      </c>
      <c r="E56" s="1" t="s">
        <v>41</v>
      </c>
      <c r="F56" s="1" t="s">
        <v>18</v>
      </c>
      <c r="G56" s="1" t="s">
        <v>34</v>
      </c>
      <c r="H56" s="1" t="s">
        <v>772</v>
      </c>
      <c r="I56" s="3">
        <v>7050</v>
      </c>
      <c r="J56" s="4">
        <v>1040157</v>
      </c>
      <c r="K56" s="3">
        <v>7050</v>
      </c>
      <c r="L56" s="3">
        <v>7050</v>
      </c>
      <c r="M56" s="2">
        <v>45919</v>
      </c>
      <c r="N56" s="4">
        <v>1148727</v>
      </c>
      <c r="O56" s="1" t="s">
        <v>21</v>
      </c>
      <c r="P56" s="1" t="s">
        <v>22</v>
      </c>
      <c r="Q56" s="1">
        <v>1</v>
      </c>
      <c r="R56" s="1" t="str">
        <f>VLOOKUP(Sales4[[#This Row],[Material type]],Master!$H$3:$I$8,2,0)</f>
        <v>Semi-Finished Goods</v>
      </c>
      <c r="S56" s="1" t="str">
        <f>VLOOKUP(Sales4[[#This Row],[Material Group]],Master!B:C,2,0)</f>
        <v>SFG-GV5 Stator</v>
      </c>
      <c r="T56" s="1" t="str">
        <f>VLOOKUP(Sales4[[#This Row],[Material Group Descrip]],Master!E:F,2,0)</f>
        <v>Sub Ass.-Mech Stator</v>
      </c>
      <c r="U56" s="9" t="b">
        <f ca="1">(TODAY()-1)=Sales4[[#This Row],[Billing Date]]</f>
        <v>0</v>
      </c>
      <c r="V56" s="10" t="e">
        <f>Sales4[[#This Row],[Net Value]]-Sales4[[#This Row],[PGI COST]]</f>
        <v>#REF!</v>
      </c>
      <c r="W56" s="11" t="e">
        <f>Sales4[[#This Row],[Gross Margin]]/Sales4[[#This Row],[Net Value]]</f>
        <v>#REF!</v>
      </c>
      <c r="X56" s="1" t="str">
        <f>TEXT(Sales4[[#This Row],[Billing Date]],"mmmm-yy")</f>
        <v>September-25</v>
      </c>
      <c r="Y56" s="1">
        <f>Sales4[[#This Row],[Net Value]]/Sales4[[#This Row],[Billed Quantity]]</f>
        <v>162.94</v>
      </c>
      <c r="Z56" s="117">
        <f>Sales4[[#This Row],[Actual delivery qty]]</f>
        <v>7050</v>
      </c>
      <c r="AA56" s="12" t="e">
        <f>SUM(Sales4[[#This Row],[BOM Cost]:[Other Conversion cost pu]])</f>
        <v>#REF!</v>
      </c>
      <c r="AB5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6" s="12">
        <f>IFERROR(VLOOKUP(Sales4[[#This Row],[Material]],'COGS Break up'!#REF!,5,0),0)</f>
        <v>0</v>
      </c>
      <c r="AE5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6" s="48" t="e">
        <f>Sales4[[#This Row],[PGI per unit]]-Sales4[[#This Row],[BOM Cost]]-Sales4[[#This Row],[Labour cost per unit]]-Sales4[[#This Row],[Other Conversion cost pu]]</f>
        <v>#REF!</v>
      </c>
      <c r="AG56" s="48" t="e">
        <f>Sales4[[#This Row],[BOM Cost2]]+Sales4[[#This Row],[Labour Cost]]+Sales4[[#This Row],[Other conversion cost]]</f>
        <v>#REF!</v>
      </c>
      <c r="AH56" s="12" t="e">
        <f>Sales4[[#This Row],[Billed Quantity]]*Sales4[[#This Row],[BOM Cost]]</f>
        <v>#REF!</v>
      </c>
      <c r="AI56" s="12" t="e">
        <f>Sales4[[#This Row],[Billed Quantity]]*Sales4[[#This Row],[Labour cost per unit]]</f>
        <v>#REF!</v>
      </c>
      <c r="AJ56" s="12">
        <f>Sales4[[#This Row],[Droppage per unit]]*Sales4[[#This Row],[Billed Quantity]]</f>
        <v>0</v>
      </c>
      <c r="AK56" s="12" t="e">
        <f>Sales4[[#This Row],[Billed Quantity]]*Sales4[[#This Row],[Other Conversion cost pu]]</f>
        <v>#REF!</v>
      </c>
      <c r="AL56" s="48" t="e">
        <f>Sales4[[#This Row],[PGI Amount]]-Sales4[[#This Row],[BOM Cost2]]-Sales4[[#This Row],[Labour Cost]]-Sales4[[#This Row],[Other conversion cost]]</f>
        <v>#REF!</v>
      </c>
      <c r="AM56" s="121" t="e">
        <f>1-Sales4[[#This Row],[PGI COST]]/Sales4[[#This Row],[Net Value]]</f>
        <v>#REF!</v>
      </c>
      <c r="AN56" s="1">
        <f>Sales4[[#This Row],[PGI Amount]]/Sales4[[#This Row],[Billed Quantity]]</f>
        <v>147.54</v>
      </c>
      <c r="AO56" s="72" t="e">
        <f>SUMIFS('COGS Break up'!#REF!,'COGS Break up'!#REF!,Sales4[[#This Row],[Material]],'COGS Break up'!#REF!,'MIS Working'!$AO$1)</f>
        <v>#REF!</v>
      </c>
      <c r="AP56" s="72" t="e">
        <f>SUMIFS('COGS Break up'!#REF!,'COGS Break up'!#REF!,Sales4[[#This Row],[Material]],'COGS Break up'!#REF!,'MIS Working'!$AP$1)</f>
        <v>#REF!</v>
      </c>
      <c r="AQ56" s="72" t="e">
        <f>SUMIFS('COGS Break up'!#REF!,'COGS Break up'!#REF!,Sales4[[#This Row],[Material]],'COGS Break up'!#REF!,'MIS Working'!$AQ$1)</f>
        <v>#REF!</v>
      </c>
      <c r="AR56" s="72">
        <f>Sales4[[#This Row],[Droppage per unit]]</f>
        <v>0</v>
      </c>
      <c r="AS56" s="15" t="e">
        <f>AO56*Sales4[[#This Row],[Billed Quantity]]</f>
        <v>#REF!</v>
      </c>
      <c r="AT56" s="72" t="e">
        <f>AP56*Sales4[[#This Row],[Billed Quantity]]</f>
        <v>#REF!</v>
      </c>
      <c r="AU56" s="72" t="e">
        <f>AQ56*Sales4[[#This Row],[Billed Quantity]]</f>
        <v>#REF!</v>
      </c>
      <c r="AV56" s="72">
        <f>AR56*Sales4[[#This Row],[Billed Quantity]]</f>
        <v>0</v>
      </c>
    </row>
    <row r="57" spans="1:48" x14ac:dyDescent="0.3">
      <c r="A57" s="1" t="s">
        <v>479</v>
      </c>
      <c r="B57" s="2">
        <v>45919</v>
      </c>
      <c r="C57" s="1">
        <v>3271272271</v>
      </c>
      <c r="D57" s="1" t="s">
        <v>633</v>
      </c>
      <c r="E57" s="1" t="s">
        <v>634</v>
      </c>
      <c r="F57" s="1" t="s">
        <v>18</v>
      </c>
      <c r="G57" s="1" t="s">
        <v>19</v>
      </c>
      <c r="H57" s="1" t="s">
        <v>27</v>
      </c>
      <c r="I57" s="3">
        <v>1120</v>
      </c>
      <c r="J57" s="4">
        <v>371840</v>
      </c>
      <c r="K57" s="3">
        <v>1120</v>
      </c>
      <c r="L57" s="3">
        <v>1120</v>
      </c>
      <c r="M57" s="2">
        <v>45919</v>
      </c>
      <c r="N57" s="4">
        <v>401284.8</v>
      </c>
      <c r="O57" s="1" t="s">
        <v>21</v>
      </c>
      <c r="P57" s="1" t="s">
        <v>22</v>
      </c>
      <c r="Q57" s="1">
        <v>1</v>
      </c>
      <c r="R57" s="1" t="str">
        <f>VLOOKUP(Sales4[[#This Row],[Material type]],Master!$H$3:$I$8,2,0)</f>
        <v>Finished Goods</v>
      </c>
      <c r="S57" s="1" t="str">
        <f>VLOOKUP(Sales4[[#This Row],[Material Group]],Master!B:C,2,0)</f>
        <v>FG-PCB-CF</v>
      </c>
      <c r="T57" s="1" t="str">
        <f>VLOOKUP(Sales4[[#This Row],[Material Group Descrip]],Master!E:F,2,0)</f>
        <v>FG-PCB-CF</v>
      </c>
      <c r="U57" s="9" t="b">
        <f ca="1">(TODAY()-1)=Sales4[[#This Row],[Billing Date]]</f>
        <v>0</v>
      </c>
      <c r="V57" s="10" t="e">
        <f>Sales4[[#This Row],[Net Value]]-Sales4[[#This Row],[PGI COST]]</f>
        <v>#REF!</v>
      </c>
      <c r="W57" s="11" t="e">
        <f>Sales4[[#This Row],[Gross Margin]]/Sales4[[#This Row],[Net Value]]</f>
        <v>#REF!</v>
      </c>
      <c r="X57" s="1" t="str">
        <f>TEXT(Sales4[[#This Row],[Billing Date]],"mmmm-yy")</f>
        <v>September-25</v>
      </c>
      <c r="Y57" s="1">
        <f>Sales4[[#This Row],[Net Value]]/Sales4[[#This Row],[Billed Quantity]]</f>
        <v>358.28999999999996</v>
      </c>
      <c r="Z57" s="117">
        <f>Sales4[[#This Row],[Actual delivery qty]]</f>
        <v>1120</v>
      </c>
      <c r="AA57" s="12" t="e">
        <f>SUM(Sales4[[#This Row],[BOM Cost]:[Other Conversion cost pu]])</f>
        <v>#REF!</v>
      </c>
      <c r="AB5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7" s="12">
        <f>IFERROR(VLOOKUP(Sales4[[#This Row],[Material]],'COGS Break up'!#REF!,5,0),0)</f>
        <v>0</v>
      </c>
      <c r="AE5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7" s="48" t="e">
        <f>Sales4[[#This Row],[PGI per unit]]-Sales4[[#This Row],[BOM Cost]]-Sales4[[#This Row],[Labour cost per unit]]-Sales4[[#This Row],[Other Conversion cost pu]]</f>
        <v>#REF!</v>
      </c>
      <c r="AG57" s="48" t="e">
        <f>Sales4[[#This Row],[BOM Cost2]]+Sales4[[#This Row],[Labour Cost]]+Sales4[[#This Row],[Other conversion cost]]</f>
        <v>#REF!</v>
      </c>
      <c r="AH57" s="12" t="e">
        <f>Sales4[[#This Row],[Billed Quantity]]*Sales4[[#This Row],[BOM Cost]]</f>
        <v>#REF!</v>
      </c>
      <c r="AI57" s="12" t="e">
        <f>Sales4[[#This Row],[Billed Quantity]]*Sales4[[#This Row],[Labour cost per unit]]</f>
        <v>#REF!</v>
      </c>
      <c r="AJ57" s="12">
        <f>Sales4[[#This Row],[Droppage per unit]]*Sales4[[#This Row],[Billed Quantity]]</f>
        <v>0</v>
      </c>
      <c r="AK57" s="12" t="e">
        <f>Sales4[[#This Row],[Billed Quantity]]*Sales4[[#This Row],[Other Conversion cost pu]]</f>
        <v>#REF!</v>
      </c>
      <c r="AL57" s="48" t="e">
        <f>Sales4[[#This Row],[PGI Amount]]-Sales4[[#This Row],[BOM Cost2]]-Sales4[[#This Row],[Labour Cost]]-Sales4[[#This Row],[Other conversion cost]]</f>
        <v>#REF!</v>
      </c>
      <c r="AM57" s="121" t="e">
        <f>1-Sales4[[#This Row],[PGI COST]]/Sales4[[#This Row],[Net Value]]</f>
        <v>#REF!</v>
      </c>
      <c r="AN57" s="1">
        <f>Sales4[[#This Row],[PGI Amount]]/Sales4[[#This Row],[Billed Quantity]]</f>
        <v>332</v>
      </c>
      <c r="AO57" s="72" t="e">
        <f>SUMIFS('COGS Break up'!#REF!,'COGS Break up'!#REF!,Sales4[[#This Row],[Material]],'COGS Break up'!#REF!,'MIS Working'!$AO$1)</f>
        <v>#REF!</v>
      </c>
      <c r="AP57" s="72" t="e">
        <f>SUMIFS('COGS Break up'!#REF!,'COGS Break up'!#REF!,Sales4[[#This Row],[Material]],'COGS Break up'!#REF!,'MIS Working'!$AP$1)</f>
        <v>#REF!</v>
      </c>
      <c r="AQ57" s="72" t="e">
        <f>SUMIFS('COGS Break up'!#REF!,'COGS Break up'!#REF!,Sales4[[#This Row],[Material]],'COGS Break up'!#REF!,'MIS Working'!$AQ$1)</f>
        <v>#REF!</v>
      </c>
      <c r="AR57" s="72">
        <f>Sales4[[#This Row],[Droppage per unit]]</f>
        <v>0</v>
      </c>
      <c r="AS57" s="15" t="e">
        <f>AO57*Sales4[[#This Row],[Billed Quantity]]</f>
        <v>#REF!</v>
      </c>
      <c r="AT57" s="72" t="e">
        <f>AP57*Sales4[[#This Row],[Billed Quantity]]</f>
        <v>#REF!</v>
      </c>
      <c r="AU57" s="72" t="e">
        <f>AQ57*Sales4[[#This Row],[Billed Quantity]]</f>
        <v>#REF!</v>
      </c>
      <c r="AV57" s="72">
        <f>AR57*Sales4[[#This Row],[Billed Quantity]]</f>
        <v>0</v>
      </c>
    </row>
    <row r="58" spans="1:48" x14ac:dyDescent="0.3">
      <c r="A58" s="1" t="s">
        <v>479</v>
      </c>
      <c r="B58" s="2">
        <v>45919</v>
      </c>
      <c r="C58" s="1">
        <v>3271272106</v>
      </c>
      <c r="D58" s="1" t="s">
        <v>633</v>
      </c>
      <c r="E58" s="1" t="s">
        <v>634</v>
      </c>
      <c r="F58" s="1" t="s">
        <v>18</v>
      </c>
      <c r="G58" s="1" t="s">
        <v>19</v>
      </c>
      <c r="H58" s="1" t="s">
        <v>27</v>
      </c>
      <c r="I58" s="3">
        <v>210</v>
      </c>
      <c r="J58" s="4">
        <v>69720</v>
      </c>
      <c r="K58" s="3">
        <v>210</v>
      </c>
      <c r="L58" s="3">
        <v>210</v>
      </c>
      <c r="M58" s="2">
        <v>45919</v>
      </c>
      <c r="N58" s="4">
        <v>75240.899999999994</v>
      </c>
      <c r="O58" s="1" t="s">
        <v>21</v>
      </c>
      <c r="P58" s="1" t="s">
        <v>22</v>
      </c>
      <c r="Q58" s="1">
        <v>1</v>
      </c>
      <c r="R58" s="1" t="str">
        <f>VLOOKUP(Sales4[[#This Row],[Material type]],Master!$H$3:$I$8,2,0)</f>
        <v>Finished Goods</v>
      </c>
      <c r="S58" s="1" t="str">
        <f>VLOOKUP(Sales4[[#This Row],[Material Group]],Master!B:C,2,0)</f>
        <v>FG-PCB-CF</v>
      </c>
      <c r="T58" s="1" t="str">
        <f>VLOOKUP(Sales4[[#This Row],[Material Group Descrip]],Master!E:F,2,0)</f>
        <v>FG-PCB-CF</v>
      </c>
      <c r="U58" s="9" t="b">
        <f ca="1">(TODAY()-1)=Sales4[[#This Row],[Billing Date]]</f>
        <v>0</v>
      </c>
      <c r="V58" s="10" t="e">
        <f>Sales4[[#This Row],[Net Value]]-Sales4[[#This Row],[PGI COST]]</f>
        <v>#REF!</v>
      </c>
      <c r="W58" s="11" t="e">
        <f>Sales4[[#This Row],[Gross Margin]]/Sales4[[#This Row],[Net Value]]</f>
        <v>#REF!</v>
      </c>
      <c r="X58" s="1" t="str">
        <f>TEXT(Sales4[[#This Row],[Billing Date]],"mmmm-yy")</f>
        <v>September-25</v>
      </c>
      <c r="Y58" s="1">
        <f>Sales4[[#This Row],[Net Value]]/Sales4[[#This Row],[Billed Quantity]]</f>
        <v>358.28999999999996</v>
      </c>
      <c r="Z58" s="117">
        <f>Sales4[[#This Row],[Actual delivery qty]]</f>
        <v>210</v>
      </c>
      <c r="AA58" s="12" t="e">
        <f>SUM(Sales4[[#This Row],[BOM Cost]:[Other Conversion cost pu]])</f>
        <v>#REF!</v>
      </c>
      <c r="AB5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8" s="12">
        <f>IFERROR(VLOOKUP(Sales4[[#This Row],[Material]],'COGS Break up'!#REF!,5,0),0)</f>
        <v>0</v>
      </c>
      <c r="AE5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8" s="48" t="e">
        <f>Sales4[[#This Row],[PGI per unit]]-Sales4[[#This Row],[BOM Cost]]-Sales4[[#This Row],[Labour cost per unit]]-Sales4[[#This Row],[Other Conversion cost pu]]</f>
        <v>#REF!</v>
      </c>
      <c r="AG58" s="48" t="e">
        <f>Sales4[[#This Row],[BOM Cost2]]+Sales4[[#This Row],[Labour Cost]]+Sales4[[#This Row],[Other conversion cost]]</f>
        <v>#REF!</v>
      </c>
      <c r="AH58" s="12" t="e">
        <f>Sales4[[#This Row],[Billed Quantity]]*Sales4[[#This Row],[BOM Cost]]</f>
        <v>#REF!</v>
      </c>
      <c r="AI58" s="12" t="e">
        <f>Sales4[[#This Row],[Billed Quantity]]*Sales4[[#This Row],[Labour cost per unit]]</f>
        <v>#REF!</v>
      </c>
      <c r="AJ58" s="12">
        <f>Sales4[[#This Row],[Droppage per unit]]*Sales4[[#This Row],[Billed Quantity]]</f>
        <v>0</v>
      </c>
      <c r="AK58" s="12" t="e">
        <f>Sales4[[#This Row],[Billed Quantity]]*Sales4[[#This Row],[Other Conversion cost pu]]</f>
        <v>#REF!</v>
      </c>
      <c r="AL58" s="48" t="e">
        <f>Sales4[[#This Row],[PGI Amount]]-Sales4[[#This Row],[BOM Cost2]]-Sales4[[#This Row],[Labour Cost]]-Sales4[[#This Row],[Other conversion cost]]</f>
        <v>#REF!</v>
      </c>
      <c r="AM58" s="121" t="e">
        <f>1-Sales4[[#This Row],[PGI COST]]/Sales4[[#This Row],[Net Value]]</f>
        <v>#REF!</v>
      </c>
      <c r="AN58" s="1">
        <f>Sales4[[#This Row],[PGI Amount]]/Sales4[[#This Row],[Billed Quantity]]</f>
        <v>332</v>
      </c>
      <c r="AO58" s="72" t="e">
        <f>SUMIFS('COGS Break up'!#REF!,'COGS Break up'!#REF!,Sales4[[#This Row],[Material]],'COGS Break up'!#REF!,'MIS Working'!$AO$1)</f>
        <v>#REF!</v>
      </c>
      <c r="AP58" s="72" t="e">
        <f>SUMIFS('COGS Break up'!#REF!,'COGS Break up'!#REF!,Sales4[[#This Row],[Material]],'COGS Break up'!#REF!,'MIS Working'!$AP$1)</f>
        <v>#REF!</v>
      </c>
      <c r="AQ58" s="72" t="e">
        <f>SUMIFS('COGS Break up'!#REF!,'COGS Break up'!#REF!,Sales4[[#This Row],[Material]],'COGS Break up'!#REF!,'MIS Working'!$AQ$1)</f>
        <v>#REF!</v>
      </c>
      <c r="AR58" s="72">
        <f>Sales4[[#This Row],[Droppage per unit]]</f>
        <v>0</v>
      </c>
      <c r="AS58" s="15" t="e">
        <f>AO58*Sales4[[#This Row],[Billed Quantity]]</f>
        <v>#REF!</v>
      </c>
      <c r="AT58" s="72" t="e">
        <f>AP58*Sales4[[#This Row],[Billed Quantity]]</f>
        <v>#REF!</v>
      </c>
      <c r="AU58" s="72" t="e">
        <f>AQ58*Sales4[[#This Row],[Billed Quantity]]</f>
        <v>#REF!</v>
      </c>
      <c r="AV58" s="72">
        <f>AR58*Sales4[[#This Row],[Billed Quantity]]</f>
        <v>0</v>
      </c>
    </row>
    <row r="59" spans="1:48" x14ac:dyDescent="0.3">
      <c r="A59" s="1" t="s">
        <v>479</v>
      </c>
      <c r="B59" s="2">
        <v>45919</v>
      </c>
      <c r="C59" s="1">
        <v>3271271941</v>
      </c>
      <c r="D59" s="1" t="s">
        <v>633</v>
      </c>
      <c r="E59" s="1" t="s">
        <v>634</v>
      </c>
      <c r="F59" s="1" t="s">
        <v>18</v>
      </c>
      <c r="G59" s="1" t="s">
        <v>19</v>
      </c>
      <c r="H59" s="1" t="s">
        <v>27</v>
      </c>
      <c r="I59" s="3">
        <v>105</v>
      </c>
      <c r="J59" s="4">
        <v>34860</v>
      </c>
      <c r="K59" s="3">
        <v>105</v>
      </c>
      <c r="L59" s="3">
        <v>105</v>
      </c>
      <c r="M59" s="2">
        <v>45919</v>
      </c>
      <c r="N59" s="4">
        <v>37620.449999999997</v>
      </c>
      <c r="O59" s="1" t="s">
        <v>21</v>
      </c>
      <c r="P59" s="1" t="s">
        <v>22</v>
      </c>
      <c r="Q59" s="1">
        <v>1</v>
      </c>
      <c r="R59" s="1" t="str">
        <f>VLOOKUP(Sales4[[#This Row],[Material type]],Master!$H$3:$I$8,2,0)</f>
        <v>Finished Goods</v>
      </c>
      <c r="S59" s="1" t="str">
        <f>VLOOKUP(Sales4[[#This Row],[Material Group]],Master!B:C,2,0)</f>
        <v>FG-PCB-CF</v>
      </c>
      <c r="T59" s="1" t="str">
        <f>VLOOKUP(Sales4[[#This Row],[Material Group Descrip]],Master!E:F,2,0)</f>
        <v>FG-PCB-CF</v>
      </c>
      <c r="U59" s="9" t="b">
        <f ca="1">(TODAY()-1)=Sales4[[#This Row],[Billing Date]]</f>
        <v>0</v>
      </c>
      <c r="V59" s="10" t="e">
        <f>Sales4[[#This Row],[Net Value]]-Sales4[[#This Row],[PGI COST]]</f>
        <v>#REF!</v>
      </c>
      <c r="W59" s="11" t="e">
        <f>Sales4[[#This Row],[Gross Margin]]/Sales4[[#This Row],[Net Value]]</f>
        <v>#REF!</v>
      </c>
      <c r="X59" s="1" t="str">
        <f>TEXT(Sales4[[#This Row],[Billing Date]],"mmmm-yy")</f>
        <v>September-25</v>
      </c>
      <c r="Y59" s="1">
        <f>Sales4[[#This Row],[Net Value]]/Sales4[[#This Row],[Billed Quantity]]</f>
        <v>358.28999999999996</v>
      </c>
      <c r="Z59" s="117">
        <f>Sales4[[#This Row],[Actual delivery qty]]</f>
        <v>105</v>
      </c>
      <c r="AA59" s="12" t="e">
        <f>SUM(Sales4[[#This Row],[BOM Cost]:[Other Conversion cost pu]])</f>
        <v>#REF!</v>
      </c>
      <c r="AB5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9" s="12">
        <f>IFERROR(VLOOKUP(Sales4[[#This Row],[Material]],'COGS Break up'!#REF!,5,0),0)</f>
        <v>0</v>
      </c>
      <c r="AE5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9" s="48" t="e">
        <f>Sales4[[#This Row],[PGI per unit]]-Sales4[[#This Row],[BOM Cost]]-Sales4[[#This Row],[Labour cost per unit]]-Sales4[[#This Row],[Other Conversion cost pu]]</f>
        <v>#REF!</v>
      </c>
      <c r="AG59" s="48" t="e">
        <f>Sales4[[#This Row],[BOM Cost2]]+Sales4[[#This Row],[Labour Cost]]+Sales4[[#This Row],[Other conversion cost]]</f>
        <v>#REF!</v>
      </c>
      <c r="AH59" s="12" t="e">
        <f>Sales4[[#This Row],[Billed Quantity]]*Sales4[[#This Row],[BOM Cost]]</f>
        <v>#REF!</v>
      </c>
      <c r="AI59" s="12" t="e">
        <f>Sales4[[#This Row],[Billed Quantity]]*Sales4[[#This Row],[Labour cost per unit]]</f>
        <v>#REF!</v>
      </c>
      <c r="AJ59" s="12">
        <f>Sales4[[#This Row],[Droppage per unit]]*Sales4[[#This Row],[Billed Quantity]]</f>
        <v>0</v>
      </c>
      <c r="AK59" s="12" t="e">
        <f>Sales4[[#This Row],[Billed Quantity]]*Sales4[[#This Row],[Other Conversion cost pu]]</f>
        <v>#REF!</v>
      </c>
      <c r="AL59" s="48" t="e">
        <f>Sales4[[#This Row],[PGI Amount]]-Sales4[[#This Row],[BOM Cost2]]-Sales4[[#This Row],[Labour Cost]]-Sales4[[#This Row],[Other conversion cost]]</f>
        <v>#REF!</v>
      </c>
      <c r="AM59" s="121" t="e">
        <f>1-Sales4[[#This Row],[PGI COST]]/Sales4[[#This Row],[Net Value]]</f>
        <v>#REF!</v>
      </c>
      <c r="AN59" s="1">
        <f>Sales4[[#This Row],[PGI Amount]]/Sales4[[#This Row],[Billed Quantity]]</f>
        <v>332</v>
      </c>
      <c r="AO59" s="72" t="e">
        <f>SUMIFS('COGS Break up'!#REF!,'COGS Break up'!#REF!,Sales4[[#This Row],[Material]],'COGS Break up'!#REF!,'MIS Working'!$AO$1)</f>
        <v>#REF!</v>
      </c>
      <c r="AP59" s="72" t="e">
        <f>SUMIFS('COGS Break up'!#REF!,'COGS Break up'!#REF!,Sales4[[#This Row],[Material]],'COGS Break up'!#REF!,'MIS Working'!$AP$1)</f>
        <v>#REF!</v>
      </c>
      <c r="AQ59" s="72" t="e">
        <f>SUMIFS('COGS Break up'!#REF!,'COGS Break up'!#REF!,Sales4[[#This Row],[Material]],'COGS Break up'!#REF!,'MIS Working'!$AQ$1)</f>
        <v>#REF!</v>
      </c>
      <c r="AR59" s="72">
        <f>Sales4[[#This Row],[Droppage per unit]]</f>
        <v>0</v>
      </c>
      <c r="AS59" s="15" t="e">
        <f>AO59*Sales4[[#This Row],[Billed Quantity]]</f>
        <v>#REF!</v>
      </c>
      <c r="AT59" s="72" t="e">
        <f>AP59*Sales4[[#This Row],[Billed Quantity]]</f>
        <v>#REF!</v>
      </c>
      <c r="AU59" s="72" t="e">
        <f>AQ59*Sales4[[#This Row],[Billed Quantity]]</f>
        <v>#REF!</v>
      </c>
      <c r="AV59" s="72">
        <f>AR59*Sales4[[#This Row],[Billed Quantity]]</f>
        <v>0</v>
      </c>
    </row>
    <row r="60" spans="1:48" x14ac:dyDescent="0.3">
      <c r="A60" s="1" t="s">
        <v>479</v>
      </c>
      <c r="B60" s="2">
        <v>45919</v>
      </c>
      <c r="C60" s="1">
        <v>3271271940</v>
      </c>
      <c r="D60" s="1" t="s">
        <v>633</v>
      </c>
      <c r="E60" s="1" t="s">
        <v>634</v>
      </c>
      <c r="F60" s="1" t="s">
        <v>18</v>
      </c>
      <c r="G60" s="1" t="s">
        <v>19</v>
      </c>
      <c r="H60" s="1" t="s">
        <v>27</v>
      </c>
      <c r="I60" s="3">
        <v>1715</v>
      </c>
      <c r="J60" s="4">
        <v>569380</v>
      </c>
      <c r="K60" s="3">
        <v>1715</v>
      </c>
      <c r="L60" s="3">
        <v>1715</v>
      </c>
      <c r="M60" s="2">
        <v>45919</v>
      </c>
      <c r="N60" s="4">
        <v>614467.35</v>
      </c>
      <c r="O60" s="1" t="s">
        <v>21</v>
      </c>
      <c r="P60" s="1" t="s">
        <v>22</v>
      </c>
      <c r="Q60" s="1">
        <v>1</v>
      </c>
      <c r="R60" s="1" t="str">
        <f>VLOOKUP(Sales4[[#This Row],[Material type]],Master!$H$3:$I$8,2,0)</f>
        <v>Finished Goods</v>
      </c>
      <c r="S60" s="1" t="str">
        <f>VLOOKUP(Sales4[[#This Row],[Material Group]],Master!B:C,2,0)</f>
        <v>FG-PCB-CF</v>
      </c>
      <c r="T60" s="1" t="str">
        <f>VLOOKUP(Sales4[[#This Row],[Material Group Descrip]],Master!E:F,2,0)</f>
        <v>FG-PCB-CF</v>
      </c>
      <c r="U60" s="9" t="b">
        <f ca="1">(TODAY()-1)=Sales4[[#This Row],[Billing Date]]</f>
        <v>0</v>
      </c>
      <c r="V60" s="10" t="e">
        <f>Sales4[[#This Row],[Net Value]]-Sales4[[#This Row],[PGI COST]]</f>
        <v>#REF!</v>
      </c>
      <c r="W60" s="11" t="e">
        <f>Sales4[[#This Row],[Gross Margin]]/Sales4[[#This Row],[Net Value]]</f>
        <v>#REF!</v>
      </c>
      <c r="X60" s="1" t="str">
        <f>TEXT(Sales4[[#This Row],[Billing Date]],"mmmm-yy")</f>
        <v>September-25</v>
      </c>
      <c r="Y60" s="1">
        <f>Sales4[[#This Row],[Net Value]]/Sales4[[#This Row],[Billed Quantity]]</f>
        <v>358.28999999999996</v>
      </c>
      <c r="Z60" s="117">
        <f>Sales4[[#This Row],[Actual delivery qty]]</f>
        <v>1715</v>
      </c>
      <c r="AA60" s="12" t="e">
        <f>SUM(Sales4[[#This Row],[BOM Cost]:[Other Conversion cost pu]])</f>
        <v>#REF!</v>
      </c>
      <c r="AB6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6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60" s="12">
        <f>IFERROR(VLOOKUP(Sales4[[#This Row],[Material]],'COGS Break up'!#REF!,5,0),0)</f>
        <v>0</v>
      </c>
      <c r="AE6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60" s="48" t="e">
        <f>Sales4[[#This Row],[PGI per unit]]-Sales4[[#This Row],[BOM Cost]]-Sales4[[#This Row],[Labour cost per unit]]-Sales4[[#This Row],[Other Conversion cost pu]]</f>
        <v>#REF!</v>
      </c>
      <c r="AG60" s="48" t="e">
        <f>Sales4[[#This Row],[BOM Cost2]]+Sales4[[#This Row],[Labour Cost]]+Sales4[[#This Row],[Other conversion cost]]</f>
        <v>#REF!</v>
      </c>
      <c r="AH60" s="12" t="e">
        <f>Sales4[[#This Row],[Billed Quantity]]*Sales4[[#This Row],[BOM Cost]]</f>
        <v>#REF!</v>
      </c>
      <c r="AI60" s="12" t="e">
        <f>Sales4[[#This Row],[Billed Quantity]]*Sales4[[#This Row],[Labour cost per unit]]</f>
        <v>#REF!</v>
      </c>
      <c r="AJ60" s="12">
        <f>Sales4[[#This Row],[Droppage per unit]]*Sales4[[#This Row],[Billed Quantity]]</f>
        <v>0</v>
      </c>
      <c r="AK60" s="12" t="e">
        <f>Sales4[[#This Row],[Billed Quantity]]*Sales4[[#This Row],[Other Conversion cost pu]]</f>
        <v>#REF!</v>
      </c>
      <c r="AL60" s="48" t="e">
        <f>Sales4[[#This Row],[PGI Amount]]-Sales4[[#This Row],[BOM Cost2]]-Sales4[[#This Row],[Labour Cost]]-Sales4[[#This Row],[Other conversion cost]]</f>
        <v>#REF!</v>
      </c>
      <c r="AM60" s="121" t="e">
        <f>1-Sales4[[#This Row],[PGI COST]]/Sales4[[#This Row],[Net Value]]</f>
        <v>#REF!</v>
      </c>
      <c r="AN60" s="1">
        <f>Sales4[[#This Row],[PGI Amount]]/Sales4[[#This Row],[Billed Quantity]]</f>
        <v>332</v>
      </c>
      <c r="AO60" s="72" t="e">
        <f>SUMIFS('COGS Break up'!#REF!,'COGS Break up'!#REF!,Sales4[[#This Row],[Material]],'COGS Break up'!#REF!,'MIS Working'!$AO$1)</f>
        <v>#REF!</v>
      </c>
      <c r="AP60" s="72" t="e">
        <f>SUMIFS('COGS Break up'!#REF!,'COGS Break up'!#REF!,Sales4[[#This Row],[Material]],'COGS Break up'!#REF!,'MIS Working'!$AP$1)</f>
        <v>#REF!</v>
      </c>
      <c r="AQ60" s="72" t="e">
        <f>SUMIFS('COGS Break up'!#REF!,'COGS Break up'!#REF!,Sales4[[#This Row],[Material]],'COGS Break up'!#REF!,'MIS Working'!$AQ$1)</f>
        <v>#REF!</v>
      </c>
      <c r="AR60" s="72">
        <f>Sales4[[#This Row],[Droppage per unit]]</f>
        <v>0</v>
      </c>
      <c r="AS60" s="15" t="e">
        <f>AO60*Sales4[[#This Row],[Billed Quantity]]</f>
        <v>#REF!</v>
      </c>
      <c r="AT60" s="72" t="e">
        <f>AP60*Sales4[[#This Row],[Billed Quantity]]</f>
        <v>#REF!</v>
      </c>
      <c r="AU60" s="72" t="e">
        <f>AQ60*Sales4[[#This Row],[Billed Quantity]]</f>
        <v>#REF!</v>
      </c>
      <c r="AV60" s="72">
        <f>AR60*Sales4[[#This Row],[Billed Quantity]]</f>
        <v>0</v>
      </c>
    </row>
    <row r="61" spans="1:48" x14ac:dyDescent="0.3">
      <c r="A61" s="1" t="s">
        <v>1291</v>
      </c>
      <c r="B61" s="2">
        <v>45918</v>
      </c>
      <c r="C61" s="1">
        <v>3271271418</v>
      </c>
      <c r="D61" s="1" t="s">
        <v>36</v>
      </c>
      <c r="E61" s="1" t="s">
        <v>37</v>
      </c>
      <c r="F61" s="1" t="s">
        <v>18</v>
      </c>
      <c r="G61" s="1" t="s">
        <v>19</v>
      </c>
      <c r="H61" s="1" t="s">
        <v>20</v>
      </c>
      <c r="I61" s="3">
        <v>2000</v>
      </c>
      <c r="J61" s="4">
        <v>941480</v>
      </c>
      <c r="K61" s="3">
        <v>2000</v>
      </c>
      <c r="L61" s="3">
        <v>2000</v>
      </c>
      <c r="M61" s="2">
        <v>45918</v>
      </c>
      <c r="N61" s="4">
        <v>1318620</v>
      </c>
      <c r="O61" s="1" t="s">
        <v>21</v>
      </c>
      <c r="P61" s="1" t="s">
        <v>22</v>
      </c>
      <c r="Q61" s="1">
        <v>1</v>
      </c>
      <c r="R61" s="1" t="str">
        <f>VLOOKUP(Sales4[[#This Row],[Material type]],Master!$H$3:$I$8,2,0)</f>
        <v>Finished Goods</v>
      </c>
      <c r="S61" s="1" t="str">
        <f>VLOOKUP(Sales4[[#This Row],[Material Group]],Master!B:C,2,0)</f>
        <v>FG-PCB-Ref</v>
      </c>
      <c r="T61" s="1" t="str">
        <f>VLOOKUP(Sales4[[#This Row],[Material Group Descrip]],Master!E:F,2,0)</f>
        <v>FG-PCB-Ref</v>
      </c>
      <c r="U61" s="9" t="b">
        <f ca="1">(TODAY()-1)=Sales4[[#This Row],[Billing Date]]</f>
        <v>0</v>
      </c>
      <c r="V61" s="10" t="e">
        <f>Sales4[[#This Row],[Net Value]]-Sales4[[#This Row],[PGI COST]]</f>
        <v>#REF!</v>
      </c>
      <c r="W61" s="11" t="e">
        <f>Sales4[[#This Row],[Gross Margin]]/Sales4[[#This Row],[Net Value]]</f>
        <v>#REF!</v>
      </c>
      <c r="X61" s="1" t="str">
        <f>TEXT(Sales4[[#This Row],[Billing Date]],"mmmm-yy")</f>
        <v>September-25</v>
      </c>
      <c r="Y61" s="1">
        <f>Sales4[[#This Row],[Net Value]]/Sales4[[#This Row],[Billed Quantity]]</f>
        <v>659.31</v>
      </c>
      <c r="Z61" s="117">
        <f>Sales4[[#This Row],[Actual delivery qty]]</f>
        <v>2000</v>
      </c>
      <c r="AA61" s="12" t="e">
        <f>SUM(Sales4[[#This Row],[BOM Cost]:[Other Conversion cost pu]])</f>
        <v>#REF!</v>
      </c>
      <c r="AB6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6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61" s="12">
        <f>IFERROR(VLOOKUP(Sales4[[#This Row],[Material]],'COGS Break up'!#REF!,5,0),0)</f>
        <v>0</v>
      </c>
      <c r="AE6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61" s="48" t="e">
        <f>Sales4[[#This Row],[PGI per unit]]-Sales4[[#This Row],[BOM Cost]]-Sales4[[#This Row],[Labour cost per unit]]-Sales4[[#This Row],[Other Conversion cost pu]]</f>
        <v>#REF!</v>
      </c>
      <c r="AG61" s="48" t="e">
        <f>Sales4[[#This Row],[BOM Cost2]]+Sales4[[#This Row],[Labour Cost]]+Sales4[[#This Row],[Other conversion cost]]</f>
        <v>#REF!</v>
      </c>
      <c r="AH61" s="12" t="e">
        <f>Sales4[[#This Row],[Billed Quantity]]*Sales4[[#This Row],[BOM Cost]]</f>
        <v>#REF!</v>
      </c>
      <c r="AI61" s="12" t="e">
        <f>Sales4[[#This Row],[Billed Quantity]]*Sales4[[#This Row],[Labour cost per unit]]</f>
        <v>#REF!</v>
      </c>
      <c r="AJ61" s="12">
        <f>Sales4[[#This Row],[Droppage per unit]]*Sales4[[#This Row],[Billed Quantity]]</f>
        <v>0</v>
      </c>
      <c r="AK61" s="12" t="e">
        <f>Sales4[[#This Row],[Billed Quantity]]*Sales4[[#This Row],[Other Conversion cost pu]]</f>
        <v>#REF!</v>
      </c>
      <c r="AL61" s="48" t="e">
        <f>Sales4[[#This Row],[PGI Amount]]-Sales4[[#This Row],[BOM Cost2]]-Sales4[[#This Row],[Labour Cost]]-Sales4[[#This Row],[Other conversion cost]]</f>
        <v>#REF!</v>
      </c>
      <c r="AM61" s="121" t="e">
        <f>1-Sales4[[#This Row],[PGI COST]]/Sales4[[#This Row],[Net Value]]</f>
        <v>#REF!</v>
      </c>
      <c r="AN61" s="1">
        <f>Sales4[[#This Row],[PGI Amount]]/Sales4[[#This Row],[Billed Quantity]]</f>
        <v>470.74</v>
      </c>
      <c r="AO61" s="72" t="e">
        <f>SUMIFS('COGS Break up'!#REF!,'COGS Break up'!#REF!,Sales4[[#This Row],[Material]],'COGS Break up'!#REF!,'MIS Working'!$AO$1)</f>
        <v>#REF!</v>
      </c>
      <c r="AP61" s="72" t="e">
        <f>SUMIFS('COGS Break up'!#REF!,'COGS Break up'!#REF!,Sales4[[#This Row],[Material]],'COGS Break up'!#REF!,'MIS Working'!$AP$1)</f>
        <v>#REF!</v>
      </c>
      <c r="AQ61" s="72" t="e">
        <f>SUMIFS('COGS Break up'!#REF!,'COGS Break up'!#REF!,Sales4[[#This Row],[Material]],'COGS Break up'!#REF!,'MIS Working'!$AQ$1)</f>
        <v>#REF!</v>
      </c>
      <c r="AR61" s="72">
        <f>Sales4[[#This Row],[Droppage per unit]]</f>
        <v>0</v>
      </c>
      <c r="AS61" s="15" t="e">
        <f>AO61*Sales4[[#This Row],[Billed Quantity]]</f>
        <v>#REF!</v>
      </c>
      <c r="AT61" s="72" t="e">
        <f>AP61*Sales4[[#This Row],[Billed Quantity]]</f>
        <v>#REF!</v>
      </c>
      <c r="AU61" s="72" t="e">
        <f>AQ61*Sales4[[#This Row],[Billed Quantity]]</f>
        <v>#REF!</v>
      </c>
      <c r="AV61" s="72">
        <f>AR61*Sales4[[#This Row],[Billed Quantity]]</f>
        <v>0</v>
      </c>
    </row>
    <row r="62" spans="1:48" x14ac:dyDescent="0.3">
      <c r="A62" s="1" t="s">
        <v>479</v>
      </c>
      <c r="B62" s="2">
        <v>45918</v>
      </c>
      <c r="C62" s="1">
        <v>3271271247</v>
      </c>
      <c r="D62" s="1" t="s">
        <v>38</v>
      </c>
      <c r="E62" s="1" t="s">
        <v>39</v>
      </c>
      <c r="F62" s="1" t="s">
        <v>18</v>
      </c>
      <c r="G62" s="1" t="s">
        <v>19</v>
      </c>
      <c r="H62" s="1" t="s">
        <v>27</v>
      </c>
      <c r="I62" s="3">
        <v>1120</v>
      </c>
      <c r="J62" s="4">
        <v>368995.2</v>
      </c>
      <c r="K62" s="3">
        <v>1120</v>
      </c>
      <c r="L62" s="3">
        <v>1120</v>
      </c>
      <c r="M62" s="2">
        <v>45918</v>
      </c>
      <c r="N62" s="4">
        <v>401284.8</v>
      </c>
      <c r="O62" s="1" t="s">
        <v>21</v>
      </c>
      <c r="P62" s="1" t="s">
        <v>22</v>
      </c>
      <c r="Q62" s="1">
        <v>1</v>
      </c>
      <c r="R62" s="1" t="str">
        <f>VLOOKUP(Sales4[[#This Row],[Material type]],Master!$H$3:$I$8,2,0)</f>
        <v>Finished Goods</v>
      </c>
      <c r="S62" s="1" t="str">
        <f>VLOOKUP(Sales4[[#This Row],[Material Group]],Master!B:C,2,0)</f>
        <v>FG-PCB-CF</v>
      </c>
      <c r="T62" s="1" t="str">
        <f>VLOOKUP(Sales4[[#This Row],[Material Group Descrip]],Master!E:F,2,0)</f>
        <v>FG-PCB-CF</v>
      </c>
      <c r="U62" s="9" t="b">
        <f ca="1">(TODAY()-1)=Sales4[[#This Row],[Billing Date]]</f>
        <v>0</v>
      </c>
      <c r="V62" s="10" t="e">
        <f>Sales4[[#This Row],[Net Value]]-Sales4[[#This Row],[PGI COST]]</f>
        <v>#REF!</v>
      </c>
      <c r="W62" s="11" t="e">
        <f>Sales4[[#This Row],[Gross Margin]]/Sales4[[#This Row],[Net Value]]</f>
        <v>#REF!</v>
      </c>
      <c r="X62" s="1" t="str">
        <f>TEXT(Sales4[[#This Row],[Billing Date]],"mmmm-yy")</f>
        <v>September-25</v>
      </c>
      <c r="Y62" s="1">
        <f>Sales4[[#This Row],[Net Value]]/Sales4[[#This Row],[Billed Quantity]]</f>
        <v>358.28999999999996</v>
      </c>
      <c r="Z62" s="117">
        <f>Sales4[[#This Row],[Actual delivery qty]]</f>
        <v>1120</v>
      </c>
      <c r="AA62" s="12" t="e">
        <f>SUM(Sales4[[#This Row],[BOM Cost]:[Other Conversion cost pu]])</f>
        <v>#REF!</v>
      </c>
      <c r="AB6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6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62" s="12">
        <f>IFERROR(VLOOKUP(Sales4[[#This Row],[Material]],'COGS Break up'!#REF!,5,0),0)</f>
        <v>0</v>
      </c>
      <c r="AE6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62" s="48" t="e">
        <f>Sales4[[#This Row],[PGI per unit]]-Sales4[[#This Row],[BOM Cost]]-Sales4[[#This Row],[Labour cost per unit]]-Sales4[[#This Row],[Other Conversion cost pu]]</f>
        <v>#REF!</v>
      </c>
      <c r="AG62" s="48" t="e">
        <f>Sales4[[#This Row],[BOM Cost2]]+Sales4[[#This Row],[Labour Cost]]+Sales4[[#This Row],[Other conversion cost]]</f>
        <v>#REF!</v>
      </c>
      <c r="AH62" s="12" t="e">
        <f>Sales4[[#This Row],[Billed Quantity]]*Sales4[[#This Row],[BOM Cost]]</f>
        <v>#REF!</v>
      </c>
      <c r="AI62" s="12" t="e">
        <f>Sales4[[#This Row],[Billed Quantity]]*Sales4[[#This Row],[Labour cost per unit]]</f>
        <v>#REF!</v>
      </c>
      <c r="AJ62" s="12">
        <f>Sales4[[#This Row],[Droppage per unit]]*Sales4[[#This Row],[Billed Quantity]]</f>
        <v>0</v>
      </c>
      <c r="AK62" s="12" t="e">
        <f>Sales4[[#This Row],[Billed Quantity]]*Sales4[[#This Row],[Other Conversion cost pu]]</f>
        <v>#REF!</v>
      </c>
      <c r="AL62" s="48" t="e">
        <f>Sales4[[#This Row],[PGI Amount]]-Sales4[[#This Row],[BOM Cost2]]-Sales4[[#This Row],[Labour Cost]]-Sales4[[#This Row],[Other conversion cost]]</f>
        <v>#REF!</v>
      </c>
      <c r="AM62" s="121" t="e">
        <f>1-Sales4[[#This Row],[PGI COST]]/Sales4[[#This Row],[Net Value]]</f>
        <v>#REF!</v>
      </c>
      <c r="AN62" s="1">
        <f>Sales4[[#This Row],[PGI Amount]]/Sales4[[#This Row],[Billed Quantity]]</f>
        <v>329.46000000000004</v>
      </c>
      <c r="AO62" s="72" t="e">
        <f>SUMIFS('COGS Break up'!#REF!,'COGS Break up'!#REF!,Sales4[[#This Row],[Material]],'COGS Break up'!#REF!,'MIS Working'!$AO$1)</f>
        <v>#REF!</v>
      </c>
      <c r="AP62" s="72" t="e">
        <f>SUMIFS('COGS Break up'!#REF!,'COGS Break up'!#REF!,Sales4[[#This Row],[Material]],'COGS Break up'!#REF!,'MIS Working'!$AP$1)</f>
        <v>#REF!</v>
      </c>
      <c r="AQ62" s="72" t="e">
        <f>SUMIFS('COGS Break up'!#REF!,'COGS Break up'!#REF!,Sales4[[#This Row],[Material]],'COGS Break up'!#REF!,'MIS Working'!$AQ$1)</f>
        <v>#REF!</v>
      </c>
      <c r="AR62" s="72">
        <f>Sales4[[#This Row],[Droppage per unit]]</f>
        <v>0</v>
      </c>
      <c r="AS62" s="15" t="e">
        <f>AO62*Sales4[[#This Row],[Billed Quantity]]</f>
        <v>#REF!</v>
      </c>
      <c r="AT62" s="72" t="e">
        <f>AP62*Sales4[[#This Row],[Billed Quantity]]</f>
        <v>#REF!</v>
      </c>
      <c r="AU62" s="72" t="e">
        <f>AQ62*Sales4[[#This Row],[Billed Quantity]]</f>
        <v>#REF!</v>
      </c>
      <c r="AV62" s="72">
        <f>AR62*Sales4[[#This Row],[Billed Quantity]]</f>
        <v>0</v>
      </c>
    </row>
    <row r="63" spans="1:48" x14ac:dyDescent="0.3">
      <c r="A63" s="1" t="s">
        <v>479</v>
      </c>
      <c r="B63" s="2">
        <v>45918</v>
      </c>
      <c r="C63" s="1">
        <v>3271271435</v>
      </c>
      <c r="D63" s="1" t="s">
        <v>38</v>
      </c>
      <c r="E63" s="1" t="s">
        <v>39</v>
      </c>
      <c r="F63" s="1" t="s">
        <v>18</v>
      </c>
      <c r="G63" s="1" t="s">
        <v>19</v>
      </c>
      <c r="H63" s="1" t="s">
        <v>27</v>
      </c>
      <c r="I63" s="3">
        <v>3360</v>
      </c>
      <c r="J63" s="4">
        <v>1106985.6000000001</v>
      </c>
      <c r="K63" s="3">
        <v>3360</v>
      </c>
      <c r="L63" s="3">
        <v>3360</v>
      </c>
      <c r="M63" s="2">
        <v>45918</v>
      </c>
      <c r="N63" s="4">
        <v>1203854.3999999999</v>
      </c>
      <c r="O63" s="1" t="s">
        <v>21</v>
      </c>
      <c r="P63" s="1" t="s">
        <v>22</v>
      </c>
      <c r="Q63" s="1">
        <v>1</v>
      </c>
      <c r="R63" s="1" t="str">
        <f>VLOOKUP(Sales4[[#This Row],[Material type]],Master!$H$3:$I$8,2,0)</f>
        <v>Finished Goods</v>
      </c>
      <c r="S63" s="1" t="str">
        <f>VLOOKUP(Sales4[[#This Row],[Material Group]],Master!B:C,2,0)</f>
        <v>FG-PCB-CF</v>
      </c>
      <c r="T63" s="1" t="str">
        <f>VLOOKUP(Sales4[[#This Row],[Material Group Descrip]],Master!E:F,2,0)</f>
        <v>FG-PCB-CF</v>
      </c>
      <c r="U63" s="9" t="b">
        <f ca="1">(TODAY()-1)=Sales4[[#This Row],[Billing Date]]</f>
        <v>0</v>
      </c>
      <c r="V63" s="10" t="e">
        <f>Sales4[[#This Row],[Net Value]]-Sales4[[#This Row],[PGI COST]]</f>
        <v>#REF!</v>
      </c>
      <c r="W63" s="11" t="e">
        <f>Sales4[[#This Row],[Gross Margin]]/Sales4[[#This Row],[Net Value]]</f>
        <v>#REF!</v>
      </c>
      <c r="X63" s="1" t="str">
        <f>TEXT(Sales4[[#This Row],[Billing Date]],"mmmm-yy")</f>
        <v>September-25</v>
      </c>
      <c r="Y63" s="1">
        <f>Sales4[[#This Row],[Net Value]]/Sales4[[#This Row],[Billed Quantity]]</f>
        <v>358.28999999999996</v>
      </c>
      <c r="Z63" s="117">
        <f>Sales4[[#This Row],[Actual delivery qty]]</f>
        <v>3360</v>
      </c>
      <c r="AA63" s="12" t="e">
        <f>SUM(Sales4[[#This Row],[BOM Cost]:[Other Conversion cost pu]])</f>
        <v>#REF!</v>
      </c>
      <c r="AB6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6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63" s="12">
        <f>IFERROR(VLOOKUP(Sales4[[#This Row],[Material]],'COGS Break up'!#REF!,5,0),0)</f>
        <v>0</v>
      </c>
      <c r="AE6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63" s="48" t="e">
        <f>Sales4[[#This Row],[PGI per unit]]-Sales4[[#This Row],[BOM Cost]]-Sales4[[#This Row],[Labour cost per unit]]-Sales4[[#This Row],[Other Conversion cost pu]]</f>
        <v>#REF!</v>
      </c>
      <c r="AG63" s="48" t="e">
        <f>Sales4[[#This Row],[BOM Cost2]]+Sales4[[#This Row],[Labour Cost]]+Sales4[[#This Row],[Other conversion cost]]</f>
        <v>#REF!</v>
      </c>
      <c r="AH63" s="12" t="e">
        <f>Sales4[[#This Row],[Billed Quantity]]*Sales4[[#This Row],[BOM Cost]]</f>
        <v>#REF!</v>
      </c>
      <c r="AI63" s="12" t="e">
        <f>Sales4[[#This Row],[Billed Quantity]]*Sales4[[#This Row],[Labour cost per unit]]</f>
        <v>#REF!</v>
      </c>
      <c r="AJ63" s="12">
        <f>Sales4[[#This Row],[Droppage per unit]]*Sales4[[#This Row],[Billed Quantity]]</f>
        <v>0</v>
      </c>
      <c r="AK63" s="12" t="e">
        <f>Sales4[[#This Row],[Billed Quantity]]*Sales4[[#This Row],[Other Conversion cost pu]]</f>
        <v>#REF!</v>
      </c>
      <c r="AL63" s="48" t="e">
        <f>Sales4[[#This Row],[PGI Amount]]-Sales4[[#This Row],[BOM Cost2]]-Sales4[[#This Row],[Labour Cost]]-Sales4[[#This Row],[Other conversion cost]]</f>
        <v>#REF!</v>
      </c>
      <c r="AM63" s="121" t="e">
        <f>1-Sales4[[#This Row],[PGI COST]]/Sales4[[#This Row],[Net Value]]</f>
        <v>#REF!</v>
      </c>
      <c r="AN63" s="1">
        <f>Sales4[[#This Row],[PGI Amount]]/Sales4[[#This Row],[Billed Quantity]]</f>
        <v>329.46000000000004</v>
      </c>
      <c r="AO63" s="72" t="e">
        <f>SUMIFS('COGS Break up'!#REF!,'COGS Break up'!#REF!,Sales4[[#This Row],[Material]],'COGS Break up'!#REF!,'MIS Working'!$AO$1)</f>
        <v>#REF!</v>
      </c>
      <c r="AP63" s="72" t="e">
        <f>SUMIFS('COGS Break up'!#REF!,'COGS Break up'!#REF!,Sales4[[#This Row],[Material]],'COGS Break up'!#REF!,'MIS Working'!$AP$1)</f>
        <v>#REF!</v>
      </c>
      <c r="AQ63" s="72" t="e">
        <f>SUMIFS('COGS Break up'!#REF!,'COGS Break up'!#REF!,Sales4[[#This Row],[Material]],'COGS Break up'!#REF!,'MIS Working'!$AQ$1)</f>
        <v>#REF!</v>
      </c>
      <c r="AR63" s="72">
        <f>Sales4[[#This Row],[Droppage per unit]]</f>
        <v>0</v>
      </c>
      <c r="AS63" s="15" t="e">
        <f>AO63*Sales4[[#This Row],[Billed Quantity]]</f>
        <v>#REF!</v>
      </c>
      <c r="AT63" s="72" t="e">
        <f>AP63*Sales4[[#This Row],[Billed Quantity]]</f>
        <v>#REF!</v>
      </c>
      <c r="AU63" s="72" t="e">
        <f>AQ63*Sales4[[#This Row],[Billed Quantity]]</f>
        <v>#REF!</v>
      </c>
      <c r="AV63" s="72">
        <f>AR63*Sales4[[#This Row],[Billed Quantity]]</f>
        <v>0</v>
      </c>
    </row>
    <row r="64" spans="1:48" x14ac:dyDescent="0.3">
      <c r="A64" s="1" t="s">
        <v>479</v>
      </c>
      <c r="B64" s="2">
        <v>45918</v>
      </c>
      <c r="C64" s="1">
        <v>3271271879</v>
      </c>
      <c r="D64" s="1" t="s">
        <v>23</v>
      </c>
      <c r="E64" s="1" t="s">
        <v>24</v>
      </c>
      <c r="F64" s="1" t="s">
        <v>18</v>
      </c>
      <c r="G64" s="1" t="s">
        <v>19</v>
      </c>
      <c r="H64" s="1" t="s">
        <v>27</v>
      </c>
      <c r="I64" s="3">
        <v>245</v>
      </c>
      <c r="J64" s="4">
        <v>103985.35</v>
      </c>
      <c r="K64" s="3">
        <v>245</v>
      </c>
      <c r="L64" s="3">
        <v>245</v>
      </c>
      <c r="M64" s="2">
        <v>45918</v>
      </c>
      <c r="N64" s="4">
        <v>118374.2</v>
      </c>
      <c r="O64" s="1" t="s">
        <v>21</v>
      </c>
      <c r="P64" s="1" t="s">
        <v>22</v>
      </c>
      <c r="Q64" s="1">
        <v>1</v>
      </c>
      <c r="R64" s="1" t="str">
        <f>VLOOKUP(Sales4[[#This Row],[Material type]],Master!$H$3:$I$8,2,0)</f>
        <v>Finished Goods</v>
      </c>
      <c r="S64" s="1" t="str">
        <f>VLOOKUP(Sales4[[#This Row],[Material Group]],Master!B:C,2,0)</f>
        <v>FG-PCB-CF</v>
      </c>
      <c r="T64" s="1" t="str">
        <f>VLOOKUP(Sales4[[#This Row],[Material Group Descrip]],Master!E:F,2,0)</f>
        <v>FG-PCB-CF</v>
      </c>
      <c r="U64" s="9" t="b">
        <f ca="1">(TODAY()-1)=Sales4[[#This Row],[Billing Date]]</f>
        <v>0</v>
      </c>
      <c r="V64" s="10" t="e">
        <f>Sales4[[#This Row],[Net Value]]-Sales4[[#This Row],[PGI COST]]</f>
        <v>#REF!</v>
      </c>
      <c r="W64" s="11" t="e">
        <f>Sales4[[#This Row],[Gross Margin]]/Sales4[[#This Row],[Net Value]]</f>
        <v>#REF!</v>
      </c>
      <c r="X64" s="1" t="str">
        <f>TEXT(Sales4[[#This Row],[Billing Date]],"mmmm-yy")</f>
        <v>September-25</v>
      </c>
      <c r="Y64" s="1">
        <f>Sales4[[#This Row],[Net Value]]/Sales4[[#This Row],[Billed Quantity]]</f>
        <v>483.15999999999997</v>
      </c>
      <c r="Z64" s="117">
        <f>Sales4[[#This Row],[Actual delivery qty]]</f>
        <v>245</v>
      </c>
      <c r="AA64" s="12" t="e">
        <f>SUM(Sales4[[#This Row],[BOM Cost]:[Other Conversion cost pu]])</f>
        <v>#REF!</v>
      </c>
      <c r="AB6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6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64" s="12">
        <f>IFERROR(VLOOKUP(Sales4[[#This Row],[Material]],'COGS Break up'!#REF!,5,0),0)</f>
        <v>0</v>
      </c>
      <c r="AE6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64" s="48" t="e">
        <f>Sales4[[#This Row],[PGI per unit]]-Sales4[[#This Row],[BOM Cost]]-Sales4[[#This Row],[Labour cost per unit]]-Sales4[[#This Row],[Other Conversion cost pu]]</f>
        <v>#REF!</v>
      </c>
      <c r="AG64" s="48" t="e">
        <f>Sales4[[#This Row],[BOM Cost2]]+Sales4[[#This Row],[Labour Cost]]+Sales4[[#This Row],[Other conversion cost]]</f>
        <v>#REF!</v>
      </c>
      <c r="AH64" s="12" t="e">
        <f>Sales4[[#This Row],[Billed Quantity]]*Sales4[[#This Row],[BOM Cost]]</f>
        <v>#REF!</v>
      </c>
      <c r="AI64" s="12" t="e">
        <f>Sales4[[#This Row],[Billed Quantity]]*Sales4[[#This Row],[Labour cost per unit]]</f>
        <v>#REF!</v>
      </c>
      <c r="AJ64" s="12">
        <f>Sales4[[#This Row],[Droppage per unit]]*Sales4[[#This Row],[Billed Quantity]]</f>
        <v>0</v>
      </c>
      <c r="AK64" s="12" t="e">
        <f>Sales4[[#This Row],[Billed Quantity]]*Sales4[[#This Row],[Other Conversion cost pu]]</f>
        <v>#REF!</v>
      </c>
      <c r="AL64" s="48" t="e">
        <f>Sales4[[#This Row],[PGI Amount]]-Sales4[[#This Row],[BOM Cost2]]-Sales4[[#This Row],[Labour Cost]]-Sales4[[#This Row],[Other conversion cost]]</f>
        <v>#REF!</v>
      </c>
      <c r="AM64" s="121" t="e">
        <f>1-Sales4[[#This Row],[PGI COST]]/Sales4[[#This Row],[Net Value]]</f>
        <v>#REF!</v>
      </c>
      <c r="AN64" s="1">
        <f>Sales4[[#This Row],[PGI Amount]]/Sales4[[#This Row],[Billed Quantity]]</f>
        <v>424.43</v>
      </c>
      <c r="AO64" s="72" t="e">
        <f>SUMIFS('COGS Break up'!#REF!,'COGS Break up'!#REF!,Sales4[[#This Row],[Material]],'COGS Break up'!#REF!,'MIS Working'!$AO$1)</f>
        <v>#REF!</v>
      </c>
      <c r="AP64" s="72" t="e">
        <f>SUMIFS('COGS Break up'!#REF!,'COGS Break up'!#REF!,Sales4[[#This Row],[Material]],'COGS Break up'!#REF!,'MIS Working'!$AP$1)</f>
        <v>#REF!</v>
      </c>
      <c r="AQ64" s="72" t="e">
        <f>SUMIFS('COGS Break up'!#REF!,'COGS Break up'!#REF!,Sales4[[#This Row],[Material]],'COGS Break up'!#REF!,'MIS Working'!$AQ$1)</f>
        <v>#REF!</v>
      </c>
      <c r="AR64" s="72">
        <f>Sales4[[#This Row],[Droppage per unit]]</f>
        <v>0</v>
      </c>
      <c r="AS64" s="15" t="e">
        <f>AO64*Sales4[[#This Row],[Billed Quantity]]</f>
        <v>#REF!</v>
      </c>
      <c r="AT64" s="72" t="e">
        <f>AP64*Sales4[[#This Row],[Billed Quantity]]</f>
        <v>#REF!</v>
      </c>
      <c r="AU64" s="72" t="e">
        <f>AQ64*Sales4[[#This Row],[Billed Quantity]]</f>
        <v>#REF!</v>
      </c>
      <c r="AV64" s="72">
        <f>AR64*Sales4[[#This Row],[Billed Quantity]]</f>
        <v>0</v>
      </c>
    </row>
    <row r="65" spans="1:48" x14ac:dyDescent="0.3">
      <c r="A65" s="1" t="s">
        <v>479</v>
      </c>
      <c r="B65" s="2">
        <v>45918</v>
      </c>
      <c r="C65" s="1">
        <v>3271271435</v>
      </c>
      <c r="D65" s="1" t="s">
        <v>23</v>
      </c>
      <c r="E65" s="1" t="s">
        <v>24</v>
      </c>
      <c r="F65" s="1" t="s">
        <v>18</v>
      </c>
      <c r="G65" s="1" t="s">
        <v>19</v>
      </c>
      <c r="H65" s="1" t="s">
        <v>27</v>
      </c>
      <c r="I65" s="3">
        <v>210</v>
      </c>
      <c r="J65" s="4">
        <v>89130.3</v>
      </c>
      <c r="K65" s="3">
        <v>210</v>
      </c>
      <c r="L65" s="3">
        <v>210</v>
      </c>
      <c r="M65" s="2">
        <v>45918</v>
      </c>
      <c r="N65" s="4">
        <v>101463.6</v>
      </c>
      <c r="O65" s="1" t="s">
        <v>21</v>
      </c>
      <c r="P65" s="1" t="s">
        <v>22</v>
      </c>
      <c r="Q65" s="1">
        <v>1</v>
      </c>
      <c r="R65" s="1" t="str">
        <f>VLOOKUP(Sales4[[#This Row],[Material type]],Master!$H$3:$I$8,2,0)</f>
        <v>Finished Goods</v>
      </c>
      <c r="S65" s="1" t="str">
        <f>VLOOKUP(Sales4[[#This Row],[Material Group]],Master!B:C,2,0)</f>
        <v>FG-PCB-CF</v>
      </c>
      <c r="T65" s="1" t="str">
        <f>VLOOKUP(Sales4[[#This Row],[Material Group Descrip]],Master!E:F,2,0)</f>
        <v>FG-PCB-CF</v>
      </c>
      <c r="U65" s="9" t="b">
        <f ca="1">(TODAY()-1)=Sales4[[#This Row],[Billing Date]]</f>
        <v>0</v>
      </c>
      <c r="V65" s="10" t="e">
        <f>Sales4[[#This Row],[Net Value]]-Sales4[[#This Row],[PGI COST]]</f>
        <v>#REF!</v>
      </c>
      <c r="W65" s="11" t="e">
        <f>Sales4[[#This Row],[Gross Margin]]/Sales4[[#This Row],[Net Value]]</f>
        <v>#REF!</v>
      </c>
      <c r="X65" s="1" t="str">
        <f>TEXT(Sales4[[#This Row],[Billing Date]],"mmmm-yy")</f>
        <v>September-25</v>
      </c>
      <c r="Y65" s="1">
        <f>Sales4[[#This Row],[Net Value]]/Sales4[[#This Row],[Billed Quantity]]</f>
        <v>483.16</v>
      </c>
      <c r="Z65" s="117">
        <f>Sales4[[#This Row],[Actual delivery qty]]</f>
        <v>210</v>
      </c>
      <c r="AA65" s="12" t="e">
        <f>SUM(Sales4[[#This Row],[BOM Cost]:[Other Conversion cost pu]])</f>
        <v>#REF!</v>
      </c>
      <c r="AB6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6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65" s="12">
        <f>IFERROR(VLOOKUP(Sales4[[#This Row],[Material]],'COGS Break up'!#REF!,5,0),0)</f>
        <v>0</v>
      </c>
      <c r="AE6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65" s="48" t="e">
        <f>Sales4[[#This Row],[PGI per unit]]-Sales4[[#This Row],[BOM Cost]]-Sales4[[#This Row],[Labour cost per unit]]-Sales4[[#This Row],[Other Conversion cost pu]]</f>
        <v>#REF!</v>
      </c>
      <c r="AG65" s="48" t="e">
        <f>Sales4[[#This Row],[BOM Cost2]]+Sales4[[#This Row],[Labour Cost]]+Sales4[[#This Row],[Other conversion cost]]</f>
        <v>#REF!</v>
      </c>
      <c r="AH65" s="12" t="e">
        <f>Sales4[[#This Row],[Billed Quantity]]*Sales4[[#This Row],[BOM Cost]]</f>
        <v>#REF!</v>
      </c>
      <c r="AI65" s="12" t="e">
        <f>Sales4[[#This Row],[Billed Quantity]]*Sales4[[#This Row],[Labour cost per unit]]</f>
        <v>#REF!</v>
      </c>
      <c r="AJ65" s="12">
        <f>Sales4[[#This Row],[Droppage per unit]]*Sales4[[#This Row],[Billed Quantity]]</f>
        <v>0</v>
      </c>
      <c r="AK65" s="12" t="e">
        <f>Sales4[[#This Row],[Billed Quantity]]*Sales4[[#This Row],[Other Conversion cost pu]]</f>
        <v>#REF!</v>
      </c>
      <c r="AL65" s="48" t="e">
        <f>Sales4[[#This Row],[PGI Amount]]-Sales4[[#This Row],[BOM Cost2]]-Sales4[[#This Row],[Labour Cost]]-Sales4[[#This Row],[Other conversion cost]]</f>
        <v>#REF!</v>
      </c>
      <c r="AM65" s="121" t="e">
        <f>1-Sales4[[#This Row],[PGI COST]]/Sales4[[#This Row],[Net Value]]</f>
        <v>#REF!</v>
      </c>
      <c r="AN65" s="1">
        <f>Sales4[[#This Row],[PGI Amount]]/Sales4[[#This Row],[Billed Quantity]]</f>
        <v>424.43</v>
      </c>
      <c r="AO65" s="72" t="e">
        <f>SUMIFS('COGS Break up'!#REF!,'COGS Break up'!#REF!,Sales4[[#This Row],[Material]],'COGS Break up'!#REF!,'MIS Working'!$AO$1)</f>
        <v>#REF!</v>
      </c>
      <c r="AP65" s="72" t="e">
        <f>SUMIFS('COGS Break up'!#REF!,'COGS Break up'!#REF!,Sales4[[#This Row],[Material]],'COGS Break up'!#REF!,'MIS Working'!$AP$1)</f>
        <v>#REF!</v>
      </c>
      <c r="AQ65" s="72" t="e">
        <f>SUMIFS('COGS Break up'!#REF!,'COGS Break up'!#REF!,Sales4[[#This Row],[Material]],'COGS Break up'!#REF!,'MIS Working'!$AQ$1)</f>
        <v>#REF!</v>
      </c>
      <c r="AR65" s="72">
        <f>Sales4[[#This Row],[Droppage per unit]]</f>
        <v>0</v>
      </c>
      <c r="AS65" s="15" t="e">
        <f>AO65*Sales4[[#This Row],[Billed Quantity]]</f>
        <v>#REF!</v>
      </c>
      <c r="AT65" s="72" t="e">
        <f>AP65*Sales4[[#This Row],[Billed Quantity]]</f>
        <v>#REF!</v>
      </c>
      <c r="AU65" s="72" t="e">
        <f>AQ65*Sales4[[#This Row],[Billed Quantity]]</f>
        <v>#REF!</v>
      </c>
      <c r="AV65" s="72">
        <f>AR65*Sales4[[#This Row],[Billed Quantity]]</f>
        <v>0</v>
      </c>
    </row>
    <row r="66" spans="1:48" x14ac:dyDescent="0.3">
      <c r="A66" s="1" t="s">
        <v>479</v>
      </c>
      <c r="B66" s="2">
        <v>45918</v>
      </c>
      <c r="C66" s="1">
        <v>3271271350</v>
      </c>
      <c r="D66" s="1" t="s">
        <v>23</v>
      </c>
      <c r="E66" s="1" t="s">
        <v>24</v>
      </c>
      <c r="F66" s="1" t="s">
        <v>18</v>
      </c>
      <c r="G66" s="1" t="s">
        <v>19</v>
      </c>
      <c r="H66" s="1" t="s">
        <v>27</v>
      </c>
      <c r="I66" s="3">
        <v>105</v>
      </c>
      <c r="J66" s="4">
        <v>44565.15</v>
      </c>
      <c r="K66" s="3">
        <v>105</v>
      </c>
      <c r="L66" s="3">
        <v>105</v>
      </c>
      <c r="M66" s="2">
        <v>45918</v>
      </c>
      <c r="N66" s="4">
        <v>50731.8</v>
      </c>
      <c r="O66" s="1" t="s">
        <v>21</v>
      </c>
      <c r="P66" s="1" t="s">
        <v>22</v>
      </c>
      <c r="Q66" s="1">
        <v>1</v>
      </c>
      <c r="R66" s="1" t="str">
        <f>VLOOKUP(Sales4[[#This Row],[Material type]],Master!$H$3:$I$8,2,0)</f>
        <v>Finished Goods</v>
      </c>
      <c r="S66" s="1" t="str">
        <f>VLOOKUP(Sales4[[#This Row],[Material Group]],Master!B:C,2,0)</f>
        <v>FG-PCB-CF</v>
      </c>
      <c r="T66" s="1" t="str">
        <f>VLOOKUP(Sales4[[#This Row],[Material Group Descrip]],Master!E:F,2,0)</f>
        <v>FG-PCB-CF</v>
      </c>
      <c r="U66" s="9" t="b">
        <f ca="1">(TODAY()-1)=Sales4[[#This Row],[Billing Date]]</f>
        <v>0</v>
      </c>
      <c r="V66" s="10" t="e">
        <f>Sales4[[#This Row],[Net Value]]-Sales4[[#This Row],[PGI COST]]</f>
        <v>#REF!</v>
      </c>
      <c r="W66" s="11" t="e">
        <f>Sales4[[#This Row],[Gross Margin]]/Sales4[[#This Row],[Net Value]]</f>
        <v>#REF!</v>
      </c>
      <c r="X66" s="1" t="str">
        <f>TEXT(Sales4[[#This Row],[Billing Date]],"mmmm-yy")</f>
        <v>September-25</v>
      </c>
      <c r="Y66" s="1">
        <f>Sales4[[#This Row],[Net Value]]/Sales4[[#This Row],[Billed Quantity]]</f>
        <v>483.16</v>
      </c>
      <c r="Z66" s="117">
        <f>Sales4[[#This Row],[Actual delivery qty]]</f>
        <v>105</v>
      </c>
      <c r="AA66" s="12" t="e">
        <f>SUM(Sales4[[#This Row],[BOM Cost]:[Other Conversion cost pu]])</f>
        <v>#REF!</v>
      </c>
      <c r="AB6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6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66" s="12">
        <f>IFERROR(VLOOKUP(Sales4[[#This Row],[Material]],'COGS Break up'!#REF!,5,0),0)</f>
        <v>0</v>
      </c>
      <c r="AE6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66" s="48" t="e">
        <f>Sales4[[#This Row],[PGI per unit]]-Sales4[[#This Row],[BOM Cost]]-Sales4[[#This Row],[Labour cost per unit]]-Sales4[[#This Row],[Other Conversion cost pu]]</f>
        <v>#REF!</v>
      </c>
      <c r="AG66" s="48" t="e">
        <f>Sales4[[#This Row],[BOM Cost2]]+Sales4[[#This Row],[Labour Cost]]+Sales4[[#This Row],[Other conversion cost]]</f>
        <v>#REF!</v>
      </c>
      <c r="AH66" s="12" t="e">
        <f>Sales4[[#This Row],[Billed Quantity]]*Sales4[[#This Row],[BOM Cost]]</f>
        <v>#REF!</v>
      </c>
      <c r="AI66" s="12" t="e">
        <f>Sales4[[#This Row],[Billed Quantity]]*Sales4[[#This Row],[Labour cost per unit]]</f>
        <v>#REF!</v>
      </c>
      <c r="AJ66" s="12">
        <f>Sales4[[#This Row],[Droppage per unit]]*Sales4[[#This Row],[Billed Quantity]]</f>
        <v>0</v>
      </c>
      <c r="AK66" s="12" t="e">
        <f>Sales4[[#This Row],[Billed Quantity]]*Sales4[[#This Row],[Other Conversion cost pu]]</f>
        <v>#REF!</v>
      </c>
      <c r="AL66" s="48" t="e">
        <f>Sales4[[#This Row],[PGI Amount]]-Sales4[[#This Row],[BOM Cost2]]-Sales4[[#This Row],[Labour Cost]]-Sales4[[#This Row],[Other conversion cost]]</f>
        <v>#REF!</v>
      </c>
      <c r="AM66" s="121" t="e">
        <f>1-Sales4[[#This Row],[PGI COST]]/Sales4[[#This Row],[Net Value]]</f>
        <v>#REF!</v>
      </c>
      <c r="AN66" s="1">
        <f>Sales4[[#This Row],[PGI Amount]]/Sales4[[#This Row],[Billed Quantity]]</f>
        <v>424.43</v>
      </c>
      <c r="AO66" s="72" t="e">
        <f>SUMIFS('COGS Break up'!#REF!,'COGS Break up'!#REF!,Sales4[[#This Row],[Material]],'COGS Break up'!#REF!,'MIS Working'!$AO$1)</f>
        <v>#REF!</v>
      </c>
      <c r="AP66" s="72" t="e">
        <f>SUMIFS('COGS Break up'!#REF!,'COGS Break up'!#REF!,Sales4[[#This Row],[Material]],'COGS Break up'!#REF!,'MIS Working'!$AP$1)</f>
        <v>#REF!</v>
      </c>
      <c r="AQ66" s="72" t="e">
        <f>SUMIFS('COGS Break up'!#REF!,'COGS Break up'!#REF!,Sales4[[#This Row],[Material]],'COGS Break up'!#REF!,'MIS Working'!$AQ$1)</f>
        <v>#REF!</v>
      </c>
      <c r="AR66" s="72">
        <f>Sales4[[#This Row],[Droppage per unit]]</f>
        <v>0</v>
      </c>
      <c r="AS66" s="15" t="e">
        <f>AO66*Sales4[[#This Row],[Billed Quantity]]</f>
        <v>#REF!</v>
      </c>
      <c r="AT66" s="72" t="e">
        <f>AP66*Sales4[[#This Row],[Billed Quantity]]</f>
        <v>#REF!</v>
      </c>
      <c r="AU66" s="72" t="e">
        <f>AQ66*Sales4[[#This Row],[Billed Quantity]]</f>
        <v>#REF!</v>
      </c>
      <c r="AV66" s="72">
        <f>AR66*Sales4[[#This Row],[Billed Quantity]]</f>
        <v>0</v>
      </c>
    </row>
    <row r="67" spans="1:48" x14ac:dyDescent="0.3">
      <c r="A67" s="1" t="s">
        <v>479</v>
      </c>
      <c r="B67" s="2">
        <v>45918</v>
      </c>
      <c r="C67" s="1">
        <v>3271271889</v>
      </c>
      <c r="D67" s="1" t="s">
        <v>23</v>
      </c>
      <c r="E67" s="1" t="s">
        <v>24</v>
      </c>
      <c r="F67" s="1" t="s">
        <v>18</v>
      </c>
      <c r="G67" s="1" t="s">
        <v>19</v>
      </c>
      <c r="H67" s="1" t="s">
        <v>27</v>
      </c>
      <c r="I67" s="3">
        <v>280</v>
      </c>
      <c r="J67" s="4">
        <v>118840.4</v>
      </c>
      <c r="K67" s="3">
        <v>280</v>
      </c>
      <c r="L67" s="3">
        <v>280</v>
      </c>
      <c r="M67" s="2">
        <v>45918</v>
      </c>
      <c r="N67" s="4">
        <v>135284.79999999999</v>
      </c>
      <c r="O67" s="1" t="s">
        <v>21</v>
      </c>
      <c r="P67" s="1" t="s">
        <v>22</v>
      </c>
      <c r="Q67" s="1">
        <v>1</v>
      </c>
      <c r="R67" s="1" t="str">
        <f>VLOOKUP(Sales4[[#This Row],[Material type]],Master!$H$3:$I$8,2,0)</f>
        <v>Finished Goods</v>
      </c>
      <c r="S67" s="1" t="str">
        <f>VLOOKUP(Sales4[[#This Row],[Material Group]],Master!B:C,2,0)</f>
        <v>FG-PCB-CF</v>
      </c>
      <c r="T67" s="1" t="str">
        <f>VLOOKUP(Sales4[[#This Row],[Material Group Descrip]],Master!E:F,2,0)</f>
        <v>FG-PCB-CF</v>
      </c>
      <c r="U67" s="9" t="b">
        <f ca="1">(TODAY()-1)=Sales4[[#This Row],[Billing Date]]</f>
        <v>0</v>
      </c>
      <c r="V67" s="10" t="e">
        <f>Sales4[[#This Row],[Net Value]]-Sales4[[#This Row],[PGI COST]]</f>
        <v>#REF!</v>
      </c>
      <c r="W67" s="11" t="e">
        <f>Sales4[[#This Row],[Gross Margin]]/Sales4[[#This Row],[Net Value]]</f>
        <v>#REF!</v>
      </c>
      <c r="X67" s="1" t="str">
        <f>TEXT(Sales4[[#This Row],[Billing Date]],"mmmm-yy")</f>
        <v>September-25</v>
      </c>
      <c r="Y67" s="1">
        <f>Sales4[[#This Row],[Net Value]]/Sales4[[#This Row],[Billed Quantity]]</f>
        <v>483.15999999999997</v>
      </c>
      <c r="Z67" s="117">
        <f>Sales4[[#This Row],[Actual delivery qty]]</f>
        <v>280</v>
      </c>
      <c r="AA67" s="12" t="e">
        <f>SUM(Sales4[[#This Row],[BOM Cost]:[Other Conversion cost pu]])</f>
        <v>#REF!</v>
      </c>
      <c r="AB6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6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67" s="12">
        <f>IFERROR(VLOOKUP(Sales4[[#This Row],[Material]],'COGS Break up'!#REF!,5,0),0)</f>
        <v>0</v>
      </c>
      <c r="AE6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67" s="48" t="e">
        <f>Sales4[[#This Row],[PGI per unit]]-Sales4[[#This Row],[BOM Cost]]-Sales4[[#This Row],[Labour cost per unit]]-Sales4[[#This Row],[Other Conversion cost pu]]</f>
        <v>#REF!</v>
      </c>
      <c r="AG67" s="48" t="e">
        <f>Sales4[[#This Row],[BOM Cost2]]+Sales4[[#This Row],[Labour Cost]]+Sales4[[#This Row],[Other conversion cost]]</f>
        <v>#REF!</v>
      </c>
      <c r="AH67" s="12" t="e">
        <f>Sales4[[#This Row],[Billed Quantity]]*Sales4[[#This Row],[BOM Cost]]</f>
        <v>#REF!</v>
      </c>
      <c r="AI67" s="12" t="e">
        <f>Sales4[[#This Row],[Billed Quantity]]*Sales4[[#This Row],[Labour cost per unit]]</f>
        <v>#REF!</v>
      </c>
      <c r="AJ67" s="12">
        <f>Sales4[[#This Row],[Droppage per unit]]*Sales4[[#This Row],[Billed Quantity]]</f>
        <v>0</v>
      </c>
      <c r="AK67" s="12" t="e">
        <f>Sales4[[#This Row],[Billed Quantity]]*Sales4[[#This Row],[Other Conversion cost pu]]</f>
        <v>#REF!</v>
      </c>
      <c r="AL67" s="48" t="e">
        <f>Sales4[[#This Row],[PGI Amount]]-Sales4[[#This Row],[BOM Cost2]]-Sales4[[#This Row],[Labour Cost]]-Sales4[[#This Row],[Other conversion cost]]</f>
        <v>#REF!</v>
      </c>
      <c r="AM67" s="121" t="e">
        <f>1-Sales4[[#This Row],[PGI COST]]/Sales4[[#This Row],[Net Value]]</f>
        <v>#REF!</v>
      </c>
      <c r="AN67" s="1">
        <f>Sales4[[#This Row],[PGI Amount]]/Sales4[[#This Row],[Billed Quantity]]</f>
        <v>424.43</v>
      </c>
      <c r="AO67" s="72" t="e">
        <f>SUMIFS('COGS Break up'!#REF!,'COGS Break up'!#REF!,Sales4[[#This Row],[Material]],'COGS Break up'!#REF!,'MIS Working'!$AO$1)</f>
        <v>#REF!</v>
      </c>
      <c r="AP67" s="72" t="e">
        <f>SUMIFS('COGS Break up'!#REF!,'COGS Break up'!#REF!,Sales4[[#This Row],[Material]],'COGS Break up'!#REF!,'MIS Working'!$AP$1)</f>
        <v>#REF!</v>
      </c>
      <c r="AQ67" s="72" t="e">
        <f>SUMIFS('COGS Break up'!#REF!,'COGS Break up'!#REF!,Sales4[[#This Row],[Material]],'COGS Break up'!#REF!,'MIS Working'!$AQ$1)</f>
        <v>#REF!</v>
      </c>
      <c r="AR67" s="72">
        <f>Sales4[[#This Row],[Droppage per unit]]</f>
        <v>0</v>
      </c>
      <c r="AS67" s="15" t="e">
        <f>AO67*Sales4[[#This Row],[Billed Quantity]]</f>
        <v>#REF!</v>
      </c>
      <c r="AT67" s="72" t="e">
        <f>AP67*Sales4[[#This Row],[Billed Quantity]]</f>
        <v>#REF!</v>
      </c>
      <c r="AU67" s="72" t="e">
        <f>AQ67*Sales4[[#This Row],[Billed Quantity]]</f>
        <v>#REF!</v>
      </c>
      <c r="AV67" s="72">
        <f>AR67*Sales4[[#This Row],[Billed Quantity]]</f>
        <v>0</v>
      </c>
    </row>
    <row r="68" spans="1:48" x14ac:dyDescent="0.3">
      <c r="A68" s="1" t="s">
        <v>479</v>
      </c>
      <c r="B68" s="2">
        <v>45918</v>
      </c>
      <c r="C68" s="1">
        <v>3271271247</v>
      </c>
      <c r="D68" s="1" t="s">
        <v>23</v>
      </c>
      <c r="E68" s="1" t="s">
        <v>24</v>
      </c>
      <c r="F68" s="1" t="s">
        <v>18</v>
      </c>
      <c r="G68" s="1" t="s">
        <v>19</v>
      </c>
      <c r="H68" s="1" t="s">
        <v>27</v>
      </c>
      <c r="I68" s="3">
        <v>385</v>
      </c>
      <c r="J68" s="4">
        <v>163405.54999999999</v>
      </c>
      <c r="K68" s="3">
        <v>385</v>
      </c>
      <c r="L68" s="3">
        <v>385</v>
      </c>
      <c r="M68" s="2">
        <v>45918</v>
      </c>
      <c r="N68" s="4">
        <v>186016.6</v>
      </c>
      <c r="O68" s="1" t="s">
        <v>21</v>
      </c>
      <c r="P68" s="1" t="s">
        <v>22</v>
      </c>
      <c r="Q68" s="1">
        <v>1</v>
      </c>
      <c r="R68" s="1" t="str">
        <f>VLOOKUP(Sales4[[#This Row],[Material type]],Master!$H$3:$I$8,2,0)</f>
        <v>Finished Goods</v>
      </c>
      <c r="S68" s="1" t="str">
        <f>VLOOKUP(Sales4[[#This Row],[Material Group]],Master!B:C,2,0)</f>
        <v>FG-PCB-CF</v>
      </c>
      <c r="T68" s="1" t="str">
        <f>VLOOKUP(Sales4[[#This Row],[Material Group Descrip]],Master!E:F,2,0)</f>
        <v>FG-PCB-CF</v>
      </c>
      <c r="U68" s="9" t="b">
        <f ca="1">(TODAY()-1)=Sales4[[#This Row],[Billing Date]]</f>
        <v>0</v>
      </c>
      <c r="V68" s="10" t="e">
        <f>Sales4[[#This Row],[Net Value]]-Sales4[[#This Row],[PGI COST]]</f>
        <v>#REF!</v>
      </c>
      <c r="W68" s="11" t="e">
        <f>Sales4[[#This Row],[Gross Margin]]/Sales4[[#This Row],[Net Value]]</f>
        <v>#REF!</v>
      </c>
      <c r="X68" s="1" t="str">
        <f>TEXT(Sales4[[#This Row],[Billing Date]],"mmmm-yy")</f>
        <v>September-25</v>
      </c>
      <c r="Y68" s="1">
        <f>Sales4[[#This Row],[Net Value]]/Sales4[[#This Row],[Billed Quantity]]</f>
        <v>483.16</v>
      </c>
      <c r="Z68" s="117">
        <f>Sales4[[#This Row],[Actual delivery qty]]</f>
        <v>385</v>
      </c>
      <c r="AA68" s="12" t="e">
        <f>SUM(Sales4[[#This Row],[BOM Cost]:[Other Conversion cost pu]])</f>
        <v>#REF!</v>
      </c>
      <c r="AB6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6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68" s="12">
        <f>IFERROR(VLOOKUP(Sales4[[#This Row],[Material]],'COGS Break up'!#REF!,5,0),0)</f>
        <v>0</v>
      </c>
      <c r="AE6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68" s="48" t="e">
        <f>Sales4[[#This Row],[PGI per unit]]-Sales4[[#This Row],[BOM Cost]]-Sales4[[#This Row],[Labour cost per unit]]-Sales4[[#This Row],[Other Conversion cost pu]]</f>
        <v>#REF!</v>
      </c>
      <c r="AG68" s="48" t="e">
        <f>Sales4[[#This Row],[BOM Cost2]]+Sales4[[#This Row],[Labour Cost]]+Sales4[[#This Row],[Other conversion cost]]</f>
        <v>#REF!</v>
      </c>
      <c r="AH68" s="12" t="e">
        <f>Sales4[[#This Row],[Billed Quantity]]*Sales4[[#This Row],[BOM Cost]]</f>
        <v>#REF!</v>
      </c>
      <c r="AI68" s="12" t="e">
        <f>Sales4[[#This Row],[Billed Quantity]]*Sales4[[#This Row],[Labour cost per unit]]</f>
        <v>#REF!</v>
      </c>
      <c r="AJ68" s="12">
        <f>Sales4[[#This Row],[Droppage per unit]]*Sales4[[#This Row],[Billed Quantity]]</f>
        <v>0</v>
      </c>
      <c r="AK68" s="12" t="e">
        <f>Sales4[[#This Row],[Billed Quantity]]*Sales4[[#This Row],[Other Conversion cost pu]]</f>
        <v>#REF!</v>
      </c>
      <c r="AL68" s="48" t="e">
        <f>Sales4[[#This Row],[PGI Amount]]-Sales4[[#This Row],[BOM Cost2]]-Sales4[[#This Row],[Labour Cost]]-Sales4[[#This Row],[Other conversion cost]]</f>
        <v>#REF!</v>
      </c>
      <c r="AM68" s="121" t="e">
        <f>1-Sales4[[#This Row],[PGI COST]]/Sales4[[#This Row],[Net Value]]</f>
        <v>#REF!</v>
      </c>
      <c r="AN68" s="1">
        <f>Sales4[[#This Row],[PGI Amount]]/Sales4[[#This Row],[Billed Quantity]]</f>
        <v>424.42999999999995</v>
      </c>
      <c r="AO68" s="72" t="e">
        <f>SUMIFS('COGS Break up'!#REF!,'COGS Break up'!#REF!,Sales4[[#This Row],[Material]],'COGS Break up'!#REF!,'MIS Working'!$AO$1)</f>
        <v>#REF!</v>
      </c>
      <c r="AP68" s="72" t="e">
        <f>SUMIFS('COGS Break up'!#REF!,'COGS Break up'!#REF!,Sales4[[#This Row],[Material]],'COGS Break up'!#REF!,'MIS Working'!$AP$1)</f>
        <v>#REF!</v>
      </c>
      <c r="AQ68" s="72" t="e">
        <f>SUMIFS('COGS Break up'!#REF!,'COGS Break up'!#REF!,Sales4[[#This Row],[Material]],'COGS Break up'!#REF!,'MIS Working'!$AQ$1)</f>
        <v>#REF!</v>
      </c>
      <c r="AR68" s="72">
        <f>Sales4[[#This Row],[Droppage per unit]]</f>
        <v>0</v>
      </c>
      <c r="AS68" s="15" t="e">
        <f>AO68*Sales4[[#This Row],[Billed Quantity]]</f>
        <v>#REF!</v>
      </c>
      <c r="AT68" s="72" t="e">
        <f>AP68*Sales4[[#This Row],[Billed Quantity]]</f>
        <v>#REF!</v>
      </c>
      <c r="AU68" s="72" t="e">
        <f>AQ68*Sales4[[#This Row],[Billed Quantity]]</f>
        <v>#REF!</v>
      </c>
      <c r="AV68" s="72">
        <f>AR68*Sales4[[#This Row],[Billed Quantity]]</f>
        <v>0</v>
      </c>
    </row>
    <row r="69" spans="1:48" x14ac:dyDescent="0.3">
      <c r="A69" s="1" t="s">
        <v>479</v>
      </c>
      <c r="B69" s="2">
        <v>45918</v>
      </c>
      <c r="C69" s="1">
        <v>3271271329</v>
      </c>
      <c r="D69" s="1" t="s">
        <v>23</v>
      </c>
      <c r="E69" s="1" t="s">
        <v>24</v>
      </c>
      <c r="F69" s="1" t="s">
        <v>18</v>
      </c>
      <c r="G69" s="1" t="s">
        <v>19</v>
      </c>
      <c r="H69" s="1" t="s">
        <v>27</v>
      </c>
      <c r="I69" s="3">
        <v>105</v>
      </c>
      <c r="J69" s="4">
        <v>44565.15</v>
      </c>
      <c r="K69" s="3">
        <v>105</v>
      </c>
      <c r="L69" s="3">
        <v>105</v>
      </c>
      <c r="M69" s="2">
        <v>45918</v>
      </c>
      <c r="N69" s="4">
        <v>50731.8</v>
      </c>
      <c r="O69" s="1" t="s">
        <v>21</v>
      </c>
      <c r="P69" s="1" t="s">
        <v>22</v>
      </c>
      <c r="Q69" s="1">
        <v>1</v>
      </c>
      <c r="R69" s="1" t="str">
        <f>VLOOKUP(Sales4[[#This Row],[Material type]],Master!$H$3:$I$8,2,0)</f>
        <v>Finished Goods</v>
      </c>
      <c r="S69" s="1" t="str">
        <f>VLOOKUP(Sales4[[#This Row],[Material Group]],Master!B:C,2,0)</f>
        <v>FG-PCB-CF</v>
      </c>
      <c r="T69" s="1" t="str">
        <f>VLOOKUP(Sales4[[#This Row],[Material Group Descrip]],Master!E:F,2,0)</f>
        <v>FG-PCB-CF</v>
      </c>
      <c r="U69" s="9" t="b">
        <f ca="1">(TODAY()-1)=Sales4[[#This Row],[Billing Date]]</f>
        <v>0</v>
      </c>
      <c r="V69" s="10" t="e">
        <f>Sales4[[#This Row],[Net Value]]-Sales4[[#This Row],[PGI COST]]</f>
        <v>#REF!</v>
      </c>
      <c r="W69" s="11" t="e">
        <f>Sales4[[#This Row],[Gross Margin]]/Sales4[[#This Row],[Net Value]]</f>
        <v>#REF!</v>
      </c>
      <c r="X69" s="1" t="str">
        <f>TEXT(Sales4[[#This Row],[Billing Date]],"mmmm-yy")</f>
        <v>September-25</v>
      </c>
      <c r="Y69" s="1">
        <f>Sales4[[#This Row],[Net Value]]/Sales4[[#This Row],[Billed Quantity]]</f>
        <v>483.16</v>
      </c>
      <c r="Z69" s="117">
        <f>Sales4[[#This Row],[Actual delivery qty]]</f>
        <v>105</v>
      </c>
      <c r="AA69" s="12" t="e">
        <f>SUM(Sales4[[#This Row],[BOM Cost]:[Other Conversion cost pu]])</f>
        <v>#REF!</v>
      </c>
      <c r="AB6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6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69" s="12">
        <f>IFERROR(VLOOKUP(Sales4[[#This Row],[Material]],'COGS Break up'!#REF!,5,0),0)</f>
        <v>0</v>
      </c>
      <c r="AE6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69" s="48" t="e">
        <f>Sales4[[#This Row],[PGI per unit]]-Sales4[[#This Row],[BOM Cost]]-Sales4[[#This Row],[Labour cost per unit]]-Sales4[[#This Row],[Other Conversion cost pu]]</f>
        <v>#REF!</v>
      </c>
      <c r="AG69" s="48" t="e">
        <f>Sales4[[#This Row],[BOM Cost2]]+Sales4[[#This Row],[Labour Cost]]+Sales4[[#This Row],[Other conversion cost]]</f>
        <v>#REF!</v>
      </c>
      <c r="AH69" s="12" t="e">
        <f>Sales4[[#This Row],[Billed Quantity]]*Sales4[[#This Row],[BOM Cost]]</f>
        <v>#REF!</v>
      </c>
      <c r="AI69" s="12" t="e">
        <f>Sales4[[#This Row],[Billed Quantity]]*Sales4[[#This Row],[Labour cost per unit]]</f>
        <v>#REF!</v>
      </c>
      <c r="AJ69" s="12">
        <f>Sales4[[#This Row],[Droppage per unit]]*Sales4[[#This Row],[Billed Quantity]]</f>
        <v>0</v>
      </c>
      <c r="AK69" s="12" t="e">
        <f>Sales4[[#This Row],[Billed Quantity]]*Sales4[[#This Row],[Other Conversion cost pu]]</f>
        <v>#REF!</v>
      </c>
      <c r="AL69" s="48" t="e">
        <f>Sales4[[#This Row],[PGI Amount]]-Sales4[[#This Row],[BOM Cost2]]-Sales4[[#This Row],[Labour Cost]]-Sales4[[#This Row],[Other conversion cost]]</f>
        <v>#REF!</v>
      </c>
      <c r="AM69" s="121" t="e">
        <f>1-Sales4[[#This Row],[PGI COST]]/Sales4[[#This Row],[Net Value]]</f>
        <v>#REF!</v>
      </c>
      <c r="AN69" s="1">
        <f>Sales4[[#This Row],[PGI Amount]]/Sales4[[#This Row],[Billed Quantity]]</f>
        <v>424.43</v>
      </c>
      <c r="AO69" s="72" t="e">
        <f>SUMIFS('COGS Break up'!#REF!,'COGS Break up'!#REF!,Sales4[[#This Row],[Material]],'COGS Break up'!#REF!,'MIS Working'!$AO$1)</f>
        <v>#REF!</v>
      </c>
      <c r="AP69" s="72" t="e">
        <f>SUMIFS('COGS Break up'!#REF!,'COGS Break up'!#REF!,Sales4[[#This Row],[Material]],'COGS Break up'!#REF!,'MIS Working'!$AP$1)</f>
        <v>#REF!</v>
      </c>
      <c r="AQ69" s="72" t="e">
        <f>SUMIFS('COGS Break up'!#REF!,'COGS Break up'!#REF!,Sales4[[#This Row],[Material]],'COGS Break up'!#REF!,'MIS Working'!$AQ$1)</f>
        <v>#REF!</v>
      </c>
      <c r="AR69" s="72">
        <f>Sales4[[#This Row],[Droppage per unit]]</f>
        <v>0</v>
      </c>
      <c r="AS69" s="15" t="e">
        <f>AO69*Sales4[[#This Row],[Billed Quantity]]</f>
        <v>#REF!</v>
      </c>
      <c r="AT69" s="72" t="e">
        <f>AP69*Sales4[[#This Row],[Billed Quantity]]</f>
        <v>#REF!</v>
      </c>
      <c r="AU69" s="72" t="e">
        <f>AQ69*Sales4[[#This Row],[Billed Quantity]]</f>
        <v>#REF!</v>
      </c>
      <c r="AV69" s="72">
        <f>AR69*Sales4[[#This Row],[Billed Quantity]]</f>
        <v>0</v>
      </c>
    </row>
    <row r="70" spans="1:48" x14ac:dyDescent="0.3">
      <c r="A70" s="1" t="s">
        <v>479</v>
      </c>
      <c r="B70" s="2">
        <v>45918</v>
      </c>
      <c r="C70" s="1">
        <v>3271271889</v>
      </c>
      <c r="D70" s="1" t="s">
        <v>362</v>
      </c>
      <c r="E70" s="1" t="s">
        <v>363</v>
      </c>
      <c r="F70" s="1" t="s">
        <v>18</v>
      </c>
      <c r="G70" s="1" t="s">
        <v>19</v>
      </c>
      <c r="H70" s="1" t="s">
        <v>483</v>
      </c>
      <c r="I70" s="3">
        <v>70</v>
      </c>
      <c r="J70" s="4">
        <v>51317.7</v>
      </c>
      <c r="K70" s="3">
        <v>70</v>
      </c>
      <c r="L70" s="3">
        <v>70</v>
      </c>
      <c r="M70" s="2">
        <v>45918</v>
      </c>
      <c r="N70" s="4">
        <v>60356.800000000003</v>
      </c>
      <c r="O70" s="1" t="s">
        <v>21</v>
      </c>
      <c r="P70" s="1" t="s">
        <v>22</v>
      </c>
      <c r="Q70" s="1">
        <v>1</v>
      </c>
      <c r="R70" s="1" t="str">
        <f>VLOOKUP(Sales4[[#This Row],[Material type]],Master!$H$3:$I$8,2,0)</f>
        <v>Finished Goods</v>
      </c>
      <c r="S70" s="1" t="str">
        <f>VLOOKUP(Sales4[[#This Row],[Material Group]],Master!B:C,2,0)</f>
        <v>FG-PCB-MG</v>
      </c>
      <c r="T70" s="1" t="str">
        <f>VLOOKUP(Sales4[[#This Row],[Material Group Descrip]],Master!E:F,2,0)</f>
        <v>FG-PCB-MG</v>
      </c>
      <c r="U70" s="9" t="b">
        <f ca="1">(TODAY()-1)=Sales4[[#This Row],[Billing Date]]</f>
        <v>0</v>
      </c>
      <c r="V70" s="10" t="e">
        <f>Sales4[[#This Row],[Net Value]]-Sales4[[#This Row],[PGI COST]]</f>
        <v>#REF!</v>
      </c>
      <c r="W70" s="11" t="e">
        <f>Sales4[[#This Row],[Gross Margin]]/Sales4[[#This Row],[Net Value]]</f>
        <v>#REF!</v>
      </c>
      <c r="X70" s="1" t="str">
        <f>TEXT(Sales4[[#This Row],[Billing Date]],"mmmm-yy")</f>
        <v>September-25</v>
      </c>
      <c r="Y70" s="1">
        <f>Sales4[[#This Row],[Net Value]]/Sales4[[#This Row],[Billed Quantity]]</f>
        <v>862.24</v>
      </c>
      <c r="Z70" s="117">
        <f>Sales4[[#This Row],[Actual delivery qty]]</f>
        <v>70</v>
      </c>
      <c r="AA70" s="12" t="e">
        <f>SUM(Sales4[[#This Row],[BOM Cost]:[Other Conversion cost pu]])</f>
        <v>#REF!</v>
      </c>
      <c r="AB7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7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70" s="12">
        <f>IFERROR(VLOOKUP(Sales4[[#This Row],[Material]],'COGS Break up'!#REF!,5,0),0)</f>
        <v>0</v>
      </c>
      <c r="AE7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70" s="48" t="e">
        <f>Sales4[[#This Row],[PGI per unit]]-Sales4[[#This Row],[BOM Cost]]-Sales4[[#This Row],[Labour cost per unit]]-Sales4[[#This Row],[Other Conversion cost pu]]</f>
        <v>#REF!</v>
      </c>
      <c r="AG70" s="48" t="e">
        <f>Sales4[[#This Row],[BOM Cost2]]+Sales4[[#This Row],[Labour Cost]]+Sales4[[#This Row],[Other conversion cost]]</f>
        <v>#REF!</v>
      </c>
      <c r="AH70" s="12" t="e">
        <f>Sales4[[#This Row],[Billed Quantity]]*Sales4[[#This Row],[BOM Cost]]</f>
        <v>#REF!</v>
      </c>
      <c r="AI70" s="12" t="e">
        <f>Sales4[[#This Row],[Billed Quantity]]*Sales4[[#This Row],[Labour cost per unit]]</f>
        <v>#REF!</v>
      </c>
      <c r="AJ70" s="12">
        <f>Sales4[[#This Row],[Droppage per unit]]*Sales4[[#This Row],[Billed Quantity]]</f>
        <v>0</v>
      </c>
      <c r="AK70" s="12" t="e">
        <f>Sales4[[#This Row],[Billed Quantity]]*Sales4[[#This Row],[Other Conversion cost pu]]</f>
        <v>#REF!</v>
      </c>
      <c r="AL70" s="48" t="e">
        <f>Sales4[[#This Row],[PGI Amount]]-Sales4[[#This Row],[BOM Cost2]]-Sales4[[#This Row],[Labour Cost]]-Sales4[[#This Row],[Other conversion cost]]</f>
        <v>#REF!</v>
      </c>
      <c r="AM70" s="121" t="e">
        <f>1-Sales4[[#This Row],[PGI COST]]/Sales4[[#This Row],[Net Value]]</f>
        <v>#REF!</v>
      </c>
      <c r="AN70" s="1">
        <f>Sales4[[#This Row],[PGI Amount]]/Sales4[[#This Row],[Billed Quantity]]</f>
        <v>733.11</v>
      </c>
      <c r="AO70" s="72" t="e">
        <f>SUMIFS('COGS Break up'!#REF!,'COGS Break up'!#REF!,Sales4[[#This Row],[Material]],'COGS Break up'!#REF!,'MIS Working'!$AO$1)</f>
        <v>#REF!</v>
      </c>
      <c r="AP70" s="72" t="e">
        <f>SUMIFS('COGS Break up'!#REF!,'COGS Break up'!#REF!,Sales4[[#This Row],[Material]],'COGS Break up'!#REF!,'MIS Working'!$AP$1)</f>
        <v>#REF!</v>
      </c>
      <c r="AQ70" s="72" t="e">
        <f>SUMIFS('COGS Break up'!#REF!,'COGS Break up'!#REF!,Sales4[[#This Row],[Material]],'COGS Break up'!#REF!,'MIS Working'!$AQ$1)</f>
        <v>#REF!</v>
      </c>
      <c r="AR70" s="72">
        <f>Sales4[[#This Row],[Droppage per unit]]</f>
        <v>0</v>
      </c>
      <c r="AS70" s="15" t="e">
        <f>AO70*Sales4[[#This Row],[Billed Quantity]]</f>
        <v>#REF!</v>
      </c>
      <c r="AT70" s="72" t="e">
        <f>AP70*Sales4[[#This Row],[Billed Quantity]]</f>
        <v>#REF!</v>
      </c>
      <c r="AU70" s="72" t="e">
        <f>AQ70*Sales4[[#This Row],[Billed Quantity]]</f>
        <v>#REF!</v>
      </c>
      <c r="AV70" s="72">
        <f>AR70*Sales4[[#This Row],[Billed Quantity]]</f>
        <v>0</v>
      </c>
    </row>
    <row r="71" spans="1:48" x14ac:dyDescent="0.3">
      <c r="A71" s="1" t="s">
        <v>479</v>
      </c>
      <c r="B71" s="2">
        <v>45918</v>
      </c>
      <c r="C71" s="1">
        <v>3271271329</v>
      </c>
      <c r="D71" s="1" t="s">
        <v>362</v>
      </c>
      <c r="E71" s="1" t="s">
        <v>363</v>
      </c>
      <c r="F71" s="1" t="s">
        <v>18</v>
      </c>
      <c r="G71" s="1" t="s">
        <v>19</v>
      </c>
      <c r="H71" s="1" t="s">
        <v>483</v>
      </c>
      <c r="I71" s="3">
        <v>105</v>
      </c>
      <c r="J71" s="4">
        <v>76976.55</v>
      </c>
      <c r="K71" s="3">
        <v>105</v>
      </c>
      <c r="L71" s="3">
        <v>105</v>
      </c>
      <c r="M71" s="2">
        <v>45918</v>
      </c>
      <c r="N71" s="4">
        <v>90535.2</v>
      </c>
      <c r="O71" s="1" t="s">
        <v>21</v>
      </c>
      <c r="P71" s="1" t="s">
        <v>22</v>
      </c>
      <c r="Q71" s="1">
        <v>1</v>
      </c>
      <c r="R71" s="1" t="str">
        <f>VLOOKUP(Sales4[[#This Row],[Material type]],Master!$H$3:$I$8,2,0)</f>
        <v>Finished Goods</v>
      </c>
      <c r="S71" s="1" t="str">
        <f>VLOOKUP(Sales4[[#This Row],[Material Group]],Master!B:C,2,0)</f>
        <v>FG-PCB-MG</v>
      </c>
      <c r="T71" s="1" t="str">
        <f>VLOOKUP(Sales4[[#This Row],[Material Group Descrip]],Master!E:F,2,0)</f>
        <v>FG-PCB-MG</v>
      </c>
      <c r="U71" s="9" t="b">
        <f ca="1">(TODAY()-1)=Sales4[[#This Row],[Billing Date]]</f>
        <v>0</v>
      </c>
      <c r="V71" s="10" t="e">
        <f>Sales4[[#This Row],[Net Value]]-Sales4[[#This Row],[PGI COST]]</f>
        <v>#REF!</v>
      </c>
      <c r="W71" s="11" t="e">
        <f>Sales4[[#This Row],[Gross Margin]]/Sales4[[#This Row],[Net Value]]</f>
        <v>#REF!</v>
      </c>
      <c r="X71" s="1" t="str">
        <f>TEXT(Sales4[[#This Row],[Billing Date]],"mmmm-yy")</f>
        <v>September-25</v>
      </c>
      <c r="Y71" s="1">
        <f>Sales4[[#This Row],[Net Value]]/Sales4[[#This Row],[Billed Quantity]]</f>
        <v>862.24</v>
      </c>
      <c r="Z71" s="117">
        <f>Sales4[[#This Row],[Actual delivery qty]]</f>
        <v>105</v>
      </c>
      <c r="AA71" s="12" t="e">
        <f>SUM(Sales4[[#This Row],[BOM Cost]:[Other Conversion cost pu]])</f>
        <v>#REF!</v>
      </c>
      <c r="AB7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7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71" s="12">
        <f>IFERROR(VLOOKUP(Sales4[[#This Row],[Material]],'COGS Break up'!#REF!,5,0),0)</f>
        <v>0</v>
      </c>
      <c r="AE7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71" s="48" t="e">
        <f>Sales4[[#This Row],[PGI per unit]]-Sales4[[#This Row],[BOM Cost]]-Sales4[[#This Row],[Labour cost per unit]]-Sales4[[#This Row],[Other Conversion cost pu]]</f>
        <v>#REF!</v>
      </c>
      <c r="AG71" s="48" t="e">
        <f>Sales4[[#This Row],[BOM Cost2]]+Sales4[[#This Row],[Labour Cost]]+Sales4[[#This Row],[Other conversion cost]]</f>
        <v>#REF!</v>
      </c>
      <c r="AH71" s="12" t="e">
        <f>Sales4[[#This Row],[Billed Quantity]]*Sales4[[#This Row],[BOM Cost]]</f>
        <v>#REF!</v>
      </c>
      <c r="AI71" s="12" t="e">
        <f>Sales4[[#This Row],[Billed Quantity]]*Sales4[[#This Row],[Labour cost per unit]]</f>
        <v>#REF!</v>
      </c>
      <c r="AJ71" s="12">
        <f>Sales4[[#This Row],[Droppage per unit]]*Sales4[[#This Row],[Billed Quantity]]</f>
        <v>0</v>
      </c>
      <c r="AK71" s="12" t="e">
        <f>Sales4[[#This Row],[Billed Quantity]]*Sales4[[#This Row],[Other Conversion cost pu]]</f>
        <v>#REF!</v>
      </c>
      <c r="AL71" s="48" t="e">
        <f>Sales4[[#This Row],[PGI Amount]]-Sales4[[#This Row],[BOM Cost2]]-Sales4[[#This Row],[Labour Cost]]-Sales4[[#This Row],[Other conversion cost]]</f>
        <v>#REF!</v>
      </c>
      <c r="AM71" s="121" t="e">
        <f>1-Sales4[[#This Row],[PGI COST]]/Sales4[[#This Row],[Net Value]]</f>
        <v>#REF!</v>
      </c>
      <c r="AN71" s="1">
        <f>Sales4[[#This Row],[PGI Amount]]/Sales4[[#This Row],[Billed Quantity]]</f>
        <v>733.11</v>
      </c>
      <c r="AO71" s="72" t="e">
        <f>SUMIFS('COGS Break up'!#REF!,'COGS Break up'!#REF!,Sales4[[#This Row],[Material]],'COGS Break up'!#REF!,'MIS Working'!$AO$1)</f>
        <v>#REF!</v>
      </c>
      <c r="AP71" s="72" t="e">
        <f>SUMIFS('COGS Break up'!#REF!,'COGS Break up'!#REF!,Sales4[[#This Row],[Material]],'COGS Break up'!#REF!,'MIS Working'!$AP$1)</f>
        <v>#REF!</v>
      </c>
      <c r="AQ71" s="72" t="e">
        <f>SUMIFS('COGS Break up'!#REF!,'COGS Break up'!#REF!,Sales4[[#This Row],[Material]],'COGS Break up'!#REF!,'MIS Working'!$AQ$1)</f>
        <v>#REF!</v>
      </c>
      <c r="AR71" s="72">
        <f>Sales4[[#This Row],[Droppage per unit]]</f>
        <v>0</v>
      </c>
      <c r="AS71" s="15" t="e">
        <f>AO71*Sales4[[#This Row],[Billed Quantity]]</f>
        <v>#REF!</v>
      </c>
      <c r="AT71" s="72" t="e">
        <f>AP71*Sales4[[#This Row],[Billed Quantity]]</f>
        <v>#REF!</v>
      </c>
      <c r="AU71" s="72" t="e">
        <f>AQ71*Sales4[[#This Row],[Billed Quantity]]</f>
        <v>#REF!</v>
      </c>
      <c r="AV71" s="72">
        <f>AR71*Sales4[[#This Row],[Billed Quantity]]</f>
        <v>0</v>
      </c>
    </row>
    <row r="72" spans="1:48" x14ac:dyDescent="0.3">
      <c r="A72" s="1" t="s">
        <v>479</v>
      </c>
      <c r="B72" s="2">
        <v>45918</v>
      </c>
      <c r="C72" s="1">
        <v>3271271247</v>
      </c>
      <c r="D72" s="1" t="s">
        <v>362</v>
      </c>
      <c r="E72" s="1" t="s">
        <v>363</v>
      </c>
      <c r="F72" s="1" t="s">
        <v>18</v>
      </c>
      <c r="G72" s="1" t="s">
        <v>19</v>
      </c>
      <c r="H72" s="1" t="s">
        <v>483</v>
      </c>
      <c r="I72" s="3">
        <v>755</v>
      </c>
      <c r="J72" s="4">
        <v>553498.05000000005</v>
      </c>
      <c r="K72" s="3">
        <v>755</v>
      </c>
      <c r="L72" s="3">
        <v>755</v>
      </c>
      <c r="M72" s="2">
        <v>45918</v>
      </c>
      <c r="N72" s="4">
        <v>650991.19999999995</v>
      </c>
      <c r="O72" s="1" t="s">
        <v>21</v>
      </c>
      <c r="P72" s="1" t="s">
        <v>22</v>
      </c>
      <c r="Q72" s="1">
        <v>1</v>
      </c>
      <c r="R72" s="1" t="str">
        <f>VLOOKUP(Sales4[[#This Row],[Material type]],Master!$H$3:$I$8,2,0)</f>
        <v>Finished Goods</v>
      </c>
      <c r="S72" s="1" t="str">
        <f>VLOOKUP(Sales4[[#This Row],[Material Group]],Master!B:C,2,0)</f>
        <v>FG-PCB-MG</v>
      </c>
      <c r="T72" s="1" t="str">
        <f>VLOOKUP(Sales4[[#This Row],[Material Group Descrip]],Master!E:F,2,0)</f>
        <v>FG-PCB-MG</v>
      </c>
      <c r="U72" s="9" t="b">
        <f ca="1">(TODAY()-1)=Sales4[[#This Row],[Billing Date]]</f>
        <v>0</v>
      </c>
      <c r="V72" s="10" t="e">
        <f>Sales4[[#This Row],[Net Value]]-Sales4[[#This Row],[PGI COST]]</f>
        <v>#REF!</v>
      </c>
      <c r="W72" s="11" t="e">
        <f>Sales4[[#This Row],[Gross Margin]]/Sales4[[#This Row],[Net Value]]</f>
        <v>#REF!</v>
      </c>
      <c r="X72" s="1" t="str">
        <f>TEXT(Sales4[[#This Row],[Billing Date]],"mmmm-yy")</f>
        <v>September-25</v>
      </c>
      <c r="Y72" s="1">
        <f>Sales4[[#This Row],[Net Value]]/Sales4[[#This Row],[Billed Quantity]]</f>
        <v>862.2399999999999</v>
      </c>
      <c r="Z72" s="117">
        <f>Sales4[[#This Row],[Actual delivery qty]]</f>
        <v>755</v>
      </c>
      <c r="AA72" s="12" t="e">
        <f>SUM(Sales4[[#This Row],[BOM Cost]:[Other Conversion cost pu]])</f>
        <v>#REF!</v>
      </c>
      <c r="AB7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7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72" s="12">
        <f>IFERROR(VLOOKUP(Sales4[[#This Row],[Material]],'COGS Break up'!#REF!,5,0),0)</f>
        <v>0</v>
      </c>
      <c r="AE7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72" s="48" t="e">
        <f>Sales4[[#This Row],[PGI per unit]]-Sales4[[#This Row],[BOM Cost]]-Sales4[[#This Row],[Labour cost per unit]]-Sales4[[#This Row],[Other Conversion cost pu]]</f>
        <v>#REF!</v>
      </c>
      <c r="AG72" s="48" t="e">
        <f>Sales4[[#This Row],[BOM Cost2]]+Sales4[[#This Row],[Labour Cost]]+Sales4[[#This Row],[Other conversion cost]]</f>
        <v>#REF!</v>
      </c>
      <c r="AH72" s="12" t="e">
        <f>Sales4[[#This Row],[Billed Quantity]]*Sales4[[#This Row],[BOM Cost]]</f>
        <v>#REF!</v>
      </c>
      <c r="AI72" s="12" t="e">
        <f>Sales4[[#This Row],[Billed Quantity]]*Sales4[[#This Row],[Labour cost per unit]]</f>
        <v>#REF!</v>
      </c>
      <c r="AJ72" s="12">
        <f>Sales4[[#This Row],[Droppage per unit]]*Sales4[[#This Row],[Billed Quantity]]</f>
        <v>0</v>
      </c>
      <c r="AK72" s="12" t="e">
        <f>Sales4[[#This Row],[Billed Quantity]]*Sales4[[#This Row],[Other Conversion cost pu]]</f>
        <v>#REF!</v>
      </c>
      <c r="AL72" s="48" t="e">
        <f>Sales4[[#This Row],[PGI Amount]]-Sales4[[#This Row],[BOM Cost2]]-Sales4[[#This Row],[Labour Cost]]-Sales4[[#This Row],[Other conversion cost]]</f>
        <v>#REF!</v>
      </c>
      <c r="AM72" s="121" t="e">
        <f>1-Sales4[[#This Row],[PGI COST]]/Sales4[[#This Row],[Net Value]]</f>
        <v>#REF!</v>
      </c>
      <c r="AN72" s="1">
        <f>Sales4[[#This Row],[PGI Amount]]/Sales4[[#This Row],[Billed Quantity]]</f>
        <v>733.11</v>
      </c>
      <c r="AO72" s="72" t="e">
        <f>SUMIFS('COGS Break up'!#REF!,'COGS Break up'!#REF!,Sales4[[#This Row],[Material]],'COGS Break up'!#REF!,'MIS Working'!$AO$1)</f>
        <v>#REF!</v>
      </c>
      <c r="AP72" s="72" t="e">
        <f>SUMIFS('COGS Break up'!#REF!,'COGS Break up'!#REF!,Sales4[[#This Row],[Material]],'COGS Break up'!#REF!,'MIS Working'!$AP$1)</f>
        <v>#REF!</v>
      </c>
      <c r="AQ72" s="72" t="e">
        <f>SUMIFS('COGS Break up'!#REF!,'COGS Break up'!#REF!,Sales4[[#This Row],[Material]],'COGS Break up'!#REF!,'MIS Working'!$AQ$1)</f>
        <v>#REF!</v>
      </c>
      <c r="AR72" s="72">
        <f>Sales4[[#This Row],[Droppage per unit]]</f>
        <v>0</v>
      </c>
      <c r="AS72" s="15" t="e">
        <f>AO72*Sales4[[#This Row],[Billed Quantity]]</f>
        <v>#REF!</v>
      </c>
      <c r="AT72" s="72" t="e">
        <f>AP72*Sales4[[#This Row],[Billed Quantity]]</f>
        <v>#REF!</v>
      </c>
      <c r="AU72" s="72" t="e">
        <f>AQ72*Sales4[[#This Row],[Billed Quantity]]</f>
        <v>#REF!</v>
      </c>
      <c r="AV72" s="72">
        <f>AR72*Sales4[[#This Row],[Billed Quantity]]</f>
        <v>0</v>
      </c>
    </row>
    <row r="73" spans="1:48" x14ac:dyDescent="0.3">
      <c r="A73" s="1" t="s">
        <v>479</v>
      </c>
      <c r="B73" s="2">
        <v>45918</v>
      </c>
      <c r="C73" s="1">
        <v>3271271337</v>
      </c>
      <c r="D73" s="1" t="s">
        <v>637</v>
      </c>
      <c r="E73" s="1" t="s">
        <v>638</v>
      </c>
      <c r="F73" s="1" t="s">
        <v>18</v>
      </c>
      <c r="G73" s="1" t="s">
        <v>19</v>
      </c>
      <c r="H73" s="1" t="s">
        <v>27</v>
      </c>
      <c r="I73" s="3">
        <v>198</v>
      </c>
      <c r="J73" s="4">
        <v>63363.96</v>
      </c>
      <c r="K73" s="3">
        <v>198</v>
      </c>
      <c r="L73" s="3">
        <v>198</v>
      </c>
      <c r="M73" s="2">
        <v>45918</v>
      </c>
      <c r="N73" s="4">
        <v>72444.240000000005</v>
      </c>
      <c r="O73" s="1" t="s">
        <v>21</v>
      </c>
      <c r="P73" s="1" t="s">
        <v>22</v>
      </c>
      <c r="Q73" s="1">
        <v>1</v>
      </c>
      <c r="R73" s="1" t="str">
        <f>VLOOKUP(Sales4[[#This Row],[Material type]],Master!$H$3:$I$8,2,0)</f>
        <v>Finished Goods</v>
      </c>
      <c r="S73" s="1" t="str">
        <f>VLOOKUP(Sales4[[#This Row],[Material Group]],Master!B:C,2,0)</f>
        <v>FG-PCB-CF</v>
      </c>
      <c r="T73" s="1" t="str">
        <f>VLOOKUP(Sales4[[#This Row],[Material Group Descrip]],Master!E:F,2,0)</f>
        <v>FG-PCB-CF</v>
      </c>
      <c r="U73" s="9" t="b">
        <f ca="1">(TODAY()-1)=Sales4[[#This Row],[Billing Date]]</f>
        <v>0</v>
      </c>
      <c r="V73" s="10" t="e">
        <f>Sales4[[#This Row],[Net Value]]-Sales4[[#This Row],[PGI COST]]</f>
        <v>#REF!</v>
      </c>
      <c r="W73" s="11" t="e">
        <f>Sales4[[#This Row],[Gross Margin]]/Sales4[[#This Row],[Net Value]]</f>
        <v>#REF!</v>
      </c>
      <c r="X73" s="1" t="str">
        <f>TEXT(Sales4[[#This Row],[Billing Date]],"mmmm-yy")</f>
        <v>September-25</v>
      </c>
      <c r="Y73" s="1">
        <f>Sales4[[#This Row],[Net Value]]/Sales4[[#This Row],[Billed Quantity]]</f>
        <v>365.88000000000005</v>
      </c>
      <c r="Z73" s="117">
        <f>Sales4[[#This Row],[Actual delivery qty]]</f>
        <v>198</v>
      </c>
      <c r="AA73" s="12" t="e">
        <f>SUM(Sales4[[#This Row],[BOM Cost]:[Other Conversion cost pu]])</f>
        <v>#REF!</v>
      </c>
      <c r="AB7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7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73" s="12">
        <f>IFERROR(VLOOKUP(Sales4[[#This Row],[Material]],'COGS Break up'!#REF!,5,0),0)</f>
        <v>0</v>
      </c>
      <c r="AE7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73" s="48" t="e">
        <f>Sales4[[#This Row],[PGI per unit]]-Sales4[[#This Row],[BOM Cost]]-Sales4[[#This Row],[Labour cost per unit]]-Sales4[[#This Row],[Other Conversion cost pu]]</f>
        <v>#REF!</v>
      </c>
      <c r="AG73" s="48" t="e">
        <f>Sales4[[#This Row],[BOM Cost2]]+Sales4[[#This Row],[Labour Cost]]+Sales4[[#This Row],[Other conversion cost]]</f>
        <v>#REF!</v>
      </c>
      <c r="AH73" s="12" t="e">
        <f>Sales4[[#This Row],[Billed Quantity]]*Sales4[[#This Row],[BOM Cost]]</f>
        <v>#REF!</v>
      </c>
      <c r="AI73" s="12" t="e">
        <f>Sales4[[#This Row],[Billed Quantity]]*Sales4[[#This Row],[Labour cost per unit]]</f>
        <v>#REF!</v>
      </c>
      <c r="AJ73" s="12">
        <f>Sales4[[#This Row],[Droppage per unit]]*Sales4[[#This Row],[Billed Quantity]]</f>
        <v>0</v>
      </c>
      <c r="AK73" s="12" t="e">
        <f>Sales4[[#This Row],[Billed Quantity]]*Sales4[[#This Row],[Other Conversion cost pu]]</f>
        <v>#REF!</v>
      </c>
      <c r="AL73" s="48" t="e">
        <f>Sales4[[#This Row],[PGI Amount]]-Sales4[[#This Row],[BOM Cost2]]-Sales4[[#This Row],[Labour Cost]]-Sales4[[#This Row],[Other conversion cost]]</f>
        <v>#REF!</v>
      </c>
      <c r="AM73" s="121" t="e">
        <f>1-Sales4[[#This Row],[PGI COST]]/Sales4[[#This Row],[Net Value]]</f>
        <v>#REF!</v>
      </c>
      <c r="AN73" s="1">
        <f>Sales4[[#This Row],[PGI Amount]]/Sales4[[#This Row],[Billed Quantity]]</f>
        <v>320.02</v>
      </c>
      <c r="AO73" s="72" t="e">
        <f>SUMIFS('COGS Break up'!#REF!,'COGS Break up'!#REF!,Sales4[[#This Row],[Material]],'COGS Break up'!#REF!,'MIS Working'!$AO$1)</f>
        <v>#REF!</v>
      </c>
      <c r="AP73" s="72" t="e">
        <f>SUMIFS('COGS Break up'!#REF!,'COGS Break up'!#REF!,Sales4[[#This Row],[Material]],'COGS Break up'!#REF!,'MIS Working'!$AP$1)</f>
        <v>#REF!</v>
      </c>
      <c r="AQ73" s="72" t="e">
        <f>SUMIFS('COGS Break up'!#REF!,'COGS Break up'!#REF!,Sales4[[#This Row],[Material]],'COGS Break up'!#REF!,'MIS Working'!$AQ$1)</f>
        <v>#REF!</v>
      </c>
      <c r="AR73" s="72">
        <f>Sales4[[#This Row],[Droppage per unit]]</f>
        <v>0</v>
      </c>
      <c r="AS73" s="15" t="e">
        <f>AO73*Sales4[[#This Row],[Billed Quantity]]</f>
        <v>#REF!</v>
      </c>
      <c r="AT73" s="72" t="e">
        <f>AP73*Sales4[[#This Row],[Billed Quantity]]</f>
        <v>#REF!</v>
      </c>
      <c r="AU73" s="72" t="e">
        <f>AQ73*Sales4[[#This Row],[Billed Quantity]]</f>
        <v>#REF!</v>
      </c>
      <c r="AV73" s="72">
        <f>AR73*Sales4[[#This Row],[Billed Quantity]]</f>
        <v>0</v>
      </c>
    </row>
    <row r="74" spans="1:48" x14ac:dyDescent="0.3">
      <c r="A74" s="1" t="s">
        <v>479</v>
      </c>
      <c r="B74" s="2">
        <v>45918</v>
      </c>
      <c r="C74" s="1">
        <v>3271271435</v>
      </c>
      <c r="D74" s="1" t="s">
        <v>637</v>
      </c>
      <c r="E74" s="1" t="s">
        <v>638</v>
      </c>
      <c r="F74" s="1" t="s">
        <v>18</v>
      </c>
      <c r="G74" s="1" t="s">
        <v>19</v>
      </c>
      <c r="H74" s="1" t="s">
        <v>27</v>
      </c>
      <c r="I74" s="3">
        <v>140</v>
      </c>
      <c r="J74" s="4">
        <v>44802.8</v>
      </c>
      <c r="K74" s="3">
        <v>140</v>
      </c>
      <c r="L74" s="3">
        <v>140</v>
      </c>
      <c r="M74" s="2">
        <v>45918</v>
      </c>
      <c r="N74" s="4">
        <v>51223.199999999997</v>
      </c>
      <c r="O74" s="1" t="s">
        <v>21</v>
      </c>
      <c r="P74" s="1" t="s">
        <v>22</v>
      </c>
      <c r="Q74" s="1">
        <v>1</v>
      </c>
      <c r="R74" s="1" t="str">
        <f>VLOOKUP(Sales4[[#This Row],[Material type]],Master!$H$3:$I$8,2,0)</f>
        <v>Finished Goods</v>
      </c>
      <c r="S74" s="1" t="str">
        <f>VLOOKUP(Sales4[[#This Row],[Material Group]],Master!B:C,2,0)</f>
        <v>FG-PCB-CF</v>
      </c>
      <c r="T74" s="1" t="str">
        <f>VLOOKUP(Sales4[[#This Row],[Material Group Descrip]],Master!E:F,2,0)</f>
        <v>FG-PCB-CF</v>
      </c>
      <c r="U74" s="9" t="b">
        <f ca="1">(TODAY()-1)=Sales4[[#This Row],[Billing Date]]</f>
        <v>0</v>
      </c>
      <c r="V74" s="10" t="e">
        <f>Sales4[[#This Row],[Net Value]]-Sales4[[#This Row],[PGI COST]]</f>
        <v>#REF!</v>
      </c>
      <c r="W74" s="11" t="e">
        <f>Sales4[[#This Row],[Gross Margin]]/Sales4[[#This Row],[Net Value]]</f>
        <v>#REF!</v>
      </c>
      <c r="X74" s="1" t="str">
        <f>TEXT(Sales4[[#This Row],[Billing Date]],"mmmm-yy")</f>
        <v>September-25</v>
      </c>
      <c r="Y74" s="1">
        <f>Sales4[[#This Row],[Net Value]]/Sales4[[#This Row],[Billed Quantity]]</f>
        <v>365.88</v>
      </c>
      <c r="Z74" s="117">
        <f>Sales4[[#This Row],[Actual delivery qty]]</f>
        <v>140</v>
      </c>
      <c r="AA74" s="12" t="e">
        <f>SUM(Sales4[[#This Row],[BOM Cost]:[Other Conversion cost pu]])</f>
        <v>#REF!</v>
      </c>
      <c r="AB7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7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74" s="12">
        <f>IFERROR(VLOOKUP(Sales4[[#This Row],[Material]],'COGS Break up'!#REF!,5,0),0)</f>
        <v>0</v>
      </c>
      <c r="AE7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74" s="48" t="e">
        <f>Sales4[[#This Row],[PGI per unit]]-Sales4[[#This Row],[BOM Cost]]-Sales4[[#This Row],[Labour cost per unit]]-Sales4[[#This Row],[Other Conversion cost pu]]</f>
        <v>#REF!</v>
      </c>
      <c r="AG74" s="48" t="e">
        <f>Sales4[[#This Row],[BOM Cost2]]+Sales4[[#This Row],[Labour Cost]]+Sales4[[#This Row],[Other conversion cost]]</f>
        <v>#REF!</v>
      </c>
      <c r="AH74" s="12" t="e">
        <f>Sales4[[#This Row],[Billed Quantity]]*Sales4[[#This Row],[BOM Cost]]</f>
        <v>#REF!</v>
      </c>
      <c r="AI74" s="12" t="e">
        <f>Sales4[[#This Row],[Billed Quantity]]*Sales4[[#This Row],[Labour cost per unit]]</f>
        <v>#REF!</v>
      </c>
      <c r="AJ74" s="12">
        <f>Sales4[[#This Row],[Droppage per unit]]*Sales4[[#This Row],[Billed Quantity]]</f>
        <v>0</v>
      </c>
      <c r="AK74" s="12" t="e">
        <f>Sales4[[#This Row],[Billed Quantity]]*Sales4[[#This Row],[Other Conversion cost pu]]</f>
        <v>#REF!</v>
      </c>
      <c r="AL74" s="48" t="e">
        <f>Sales4[[#This Row],[PGI Amount]]-Sales4[[#This Row],[BOM Cost2]]-Sales4[[#This Row],[Labour Cost]]-Sales4[[#This Row],[Other conversion cost]]</f>
        <v>#REF!</v>
      </c>
      <c r="AM74" s="121" t="e">
        <f>1-Sales4[[#This Row],[PGI COST]]/Sales4[[#This Row],[Net Value]]</f>
        <v>#REF!</v>
      </c>
      <c r="AN74" s="1">
        <f>Sales4[[#This Row],[PGI Amount]]/Sales4[[#This Row],[Billed Quantity]]</f>
        <v>320.02000000000004</v>
      </c>
      <c r="AO74" s="72" t="e">
        <f>SUMIFS('COGS Break up'!#REF!,'COGS Break up'!#REF!,Sales4[[#This Row],[Material]],'COGS Break up'!#REF!,'MIS Working'!$AO$1)</f>
        <v>#REF!</v>
      </c>
      <c r="AP74" s="72" t="e">
        <f>SUMIFS('COGS Break up'!#REF!,'COGS Break up'!#REF!,Sales4[[#This Row],[Material]],'COGS Break up'!#REF!,'MIS Working'!$AP$1)</f>
        <v>#REF!</v>
      </c>
      <c r="AQ74" s="72" t="e">
        <f>SUMIFS('COGS Break up'!#REF!,'COGS Break up'!#REF!,Sales4[[#This Row],[Material]],'COGS Break up'!#REF!,'MIS Working'!$AQ$1)</f>
        <v>#REF!</v>
      </c>
      <c r="AR74" s="72">
        <f>Sales4[[#This Row],[Droppage per unit]]</f>
        <v>0</v>
      </c>
      <c r="AS74" s="15" t="e">
        <f>AO74*Sales4[[#This Row],[Billed Quantity]]</f>
        <v>#REF!</v>
      </c>
      <c r="AT74" s="72" t="e">
        <f>AP74*Sales4[[#This Row],[Billed Quantity]]</f>
        <v>#REF!</v>
      </c>
      <c r="AU74" s="72" t="e">
        <f>AQ74*Sales4[[#This Row],[Billed Quantity]]</f>
        <v>#REF!</v>
      </c>
      <c r="AV74" s="72">
        <f>AR74*Sales4[[#This Row],[Billed Quantity]]</f>
        <v>0</v>
      </c>
    </row>
    <row r="75" spans="1:48" x14ac:dyDescent="0.3">
      <c r="A75" s="1" t="s">
        <v>479</v>
      </c>
      <c r="B75" s="2">
        <v>45918</v>
      </c>
      <c r="C75" s="1">
        <v>3271271329</v>
      </c>
      <c r="D75" s="1" t="s">
        <v>641</v>
      </c>
      <c r="E75" s="1" t="s">
        <v>642</v>
      </c>
      <c r="F75" s="1" t="s">
        <v>18</v>
      </c>
      <c r="G75" s="1" t="s">
        <v>19</v>
      </c>
      <c r="H75" s="1" t="s">
        <v>27</v>
      </c>
      <c r="I75" s="3">
        <v>592</v>
      </c>
      <c r="J75" s="4">
        <v>270721.59999999998</v>
      </c>
      <c r="K75" s="3">
        <v>592</v>
      </c>
      <c r="L75" s="3">
        <v>592</v>
      </c>
      <c r="M75" s="2">
        <v>45918</v>
      </c>
      <c r="N75" s="4">
        <v>293040</v>
      </c>
      <c r="O75" s="1" t="s">
        <v>21</v>
      </c>
      <c r="P75" s="1" t="s">
        <v>22</v>
      </c>
      <c r="Q75" s="1">
        <v>1</v>
      </c>
      <c r="R75" s="1" t="str">
        <f>VLOOKUP(Sales4[[#This Row],[Material type]],Master!$H$3:$I$8,2,0)</f>
        <v>Finished Goods</v>
      </c>
      <c r="S75" s="1" t="str">
        <f>VLOOKUP(Sales4[[#This Row],[Material Group]],Master!B:C,2,0)</f>
        <v>FG-PCB-CF</v>
      </c>
      <c r="T75" s="1" t="str">
        <f>VLOOKUP(Sales4[[#This Row],[Material Group Descrip]],Master!E:F,2,0)</f>
        <v>FG-PCB-CF</v>
      </c>
      <c r="U75" s="9" t="b">
        <f ca="1">(TODAY()-1)=Sales4[[#This Row],[Billing Date]]</f>
        <v>0</v>
      </c>
      <c r="V75" s="10" t="e">
        <f>Sales4[[#This Row],[Net Value]]-Sales4[[#This Row],[PGI COST]]</f>
        <v>#REF!</v>
      </c>
      <c r="W75" s="11" t="e">
        <f>Sales4[[#This Row],[Gross Margin]]/Sales4[[#This Row],[Net Value]]</f>
        <v>#REF!</v>
      </c>
      <c r="X75" s="1" t="str">
        <f>TEXT(Sales4[[#This Row],[Billing Date]],"mmmm-yy")</f>
        <v>September-25</v>
      </c>
      <c r="Y75" s="1">
        <f>Sales4[[#This Row],[Net Value]]/Sales4[[#This Row],[Billed Quantity]]</f>
        <v>495</v>
      </c>
      <c r="Z75" s="117">
        <f>Sales4[[#This Row],[Actual delivery qty]]</f>
        <v>592</v>
      </c>
      <c r="AA75" s="12" t="e">
        <f>SUM(Sales4[[#This Row],[BOM Cost]:[Other Conversion cost pu]])</f>
        <v>#REF!</v>
      </c>
      <c r="AB7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7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75" s="12">
        <f>IFERROR(VLOOKUP(Sales4[[#This Row],[Material]],'COGS Break up'!#REF!,5,0),0)</f>
        <v>0</v>
      </c>
      <c r="AE7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75" s="48" t="e">
        <f>Sales4[[#This Row],[PGI per unit]]-Sales4[[#This Row],[BOM Cost]]-Sales4[[#This Row],[Labour cost per unit]]-Sales4[[#This Row],[Other Conversion cost pu]]</f>
        <v>#REF!</v>
      </c>
      <c r="AG75" s="48" t="e">
        <f>Sales4[[#This Row],[BOM Cost2]]+Sales4[[#This Row],[Labour Cost]]+Sales4[[#This Row],[Other conversion cost]]</f>
        <v>#REF!</v>
      </c>
      <c r="AH75" s="12" t="e">
        <f>Sales4[[#This Row],[Billed Quantity]]*Sales4[[#This Row],[BOM Cost]]</f>
        <v>#REF!</v>
      </c>
      <c r="AI75" s="12" t="e">
        <f>Sales4[[#This Row],[Billed Quantity]]*Sales4[[#This Row],[Labour cost per unit]]</f>
        <v>#REF!</v>
      </c>
      <c r="AJ75" s="12">
        <f>Sales4[[#This Row],[Droppage per unit]]*Sales4[[#This Row],[Billed Quantity]]</f>
        <v>0</v>
      </c>
      <c r="AK75" s="12" t="e">
        <f>Sales4[[#This Row],[Billed Quantity]]*Sales4[[#This Row],[Other Conversion cost pu]]</f>
        <v>#REF!</v>
      </c>
      <c r="AL75" s="48" t="e">
        <f>Sales4[[#This Row],[PGI Amount]]-Sales4[[#This Row],[BOM Cost2]]-Sales4[[#This Row],[Labour Cost]]-Sales4[[#This Row],[Other conversion cost]]</f>
        <v>#REF!</v>
      </c>
      <c r="AM75" s="121" t="e">
        <f>1-Sales4[[#This Row],[PGI COST]]/Sales4[[#This Row],[Net Value]]</f>
        <v>#REF!</v>
      </c>
      <c r="AN75" s="1">
        <f>Sales4[[#This Row],[PGI Amount]]/Sales4[[#This Row],[Billed Quantity]]</f>
        <v>457.29999999999995</v>
      </c>
      <c r="AO75" s="72" t="e">
        <f>SUMIFS('COGS Break up'!#REF!,'COGS Break up'!#REF!,Sales4[[#This Row],[Material]],'COGS Break up'!#REF!,'MIS Working'!$AO$1)</f>
        <v>#REF!</v>
      </c>
      <c r="AP75" s="72" t="e">
        <f>SUMIFS('COGS Break up'!#REF!,'COGS Break up'!#REF!,Sales4[[#This Row],[Material]],'COGS Break up'!#REF!,'MIS Working'!$AP$1)</f>
        <v>#REF!</v>
      </c>
      <c r="AQ75" s="72" t="e">
        <f>SUMIFS('COGS Break up'!#REF!,'COGS Break up'!#REF!,Sales4[[#This Row],[Material]],'COGS Break up'!#REF!,'MIS Working'!$AQ$1)</f>
        <v>#REF!</v>
      </c>
      <c r="AR75" s="72">
        <f>Sales4[[#This Row],[Droppage per unit]]</f>
        <v>0</v>
      </c>
      <c r="AS75" s="15" t="e">
        <f>AO75*Sales4[[#This Row],[Billed Quantity]]</f>
        <v>#REF!</v>
      </c>
      <c r="AT75" s="72" t="e">
        <f>AP75*Sales4[[#This Row],[Billed Quantity]]</f>
        <v>#REF!</v>
      </c>
      <c r="AU75" s="72" t="e">
        <f>AQ75*Sales4[[#This Row],[Billed Quantity]]</f>
        <v>#REF!</v>
      </c>
      <c r="AV75" s="72">
        <f>AR75*Sales4[[#This Row],[Billed Quantity]]</f>
        <v>0</v>
      </c>
    </row>
    <row r="76" spans="1:48" x14ac:dyDescent="0.3">
      <c r="A76" s="1" t="s">
        <v>479</v>
      </c>
      <c r="B76" s="2">
        <v>45918</v>
      </c>
      <c r="C76" s="1">
        <v>3271271889</v>
      </c>
      <c r="D76" s="1" t="s">
        <v>641</v>
      </c>
      <c r="E76" s="1" t="s">
        <v>642</v>
      </c>
      <c r="F76" s="1" t="s">
        <v>18</v>
      </c>
      <c r="G76" s="1" t="s">
        <v>19</v>
      </c>
      <c r="H76" s="1" t="s">
        <v>27</v>
      </c>
      <c r="I76" s="3">
        <v>350</v>
      </c>
      <c r="J76" s="4">
        <v>160055</v>
      </c>
      <c r="K76" s="3">
        <v>350</v>
      </c>
      <c r="L76" s="3">
        <v>350</v>
      </c>
      <c r="M76" s="2">
        <v>45918</v>
      </c>
      <c r="N76" s="4">
        <v>173250</v>
      </c>
      <c r="O76" s="1" t="s">
        <v>21</v>
      </c>
      <c r="P76" s="1" t="s">
        <v>22</v>
      </c>
      <c r="Q76" s="1">
        <v>1</v>
      </c>
      <c r="R76" s="1" t="str">
        <f>VLOOKUP(Sales4[[#This Row],[Material type]],Master!$H$3:$I$8,2,0)</f>
        <v>Finished Goods</v>
      </c>
      <c r="S76" s="1" t="str">
        <f>VLOOKUP(Sales4[[#This Row],[Material Group]],Master!B:C,2,0)</f>
        <v>FG-PCB-CF</v>
      </c>
      <c r="T76" s="1" t="str">
        <f>VLOOKUP(Sales4[[#This Row],[Material Group Descrip]],Master!E:F,2,0)</f>
        <v>FG-PCB-CF</v>
      </c>
      <c r="U76" s="9" t="b">
        <f ca="1">(TODAY()-1)=Sales4[[#This Row],[Billing Date]]</f>
        <v>0</v>
      </c>
      <c r="V76" s="10" t="e">
        <f>Sales4[[#This Row],[Net Value]]-Sales4[[#This Row],[PGI COST]]</f>
        <v>#REF!</v>
      </c>
      <c r="W76" s="11" t="e">
        <f>Sales4[[#This Row],[Gross Margin]]/Sales4[[#This Row],[Net Value]]</f>
        <v>#REF!</v>
      </c>
      <c r="X76" s="1" t="str">
        <f>TEXT(Sales4[[#This Row],[Billing Date]],"mmmm-yy")</f>
        <v>September-25</v>
      </c>
      <c r="Y76" s="1">
        <f>Sales4[[#This Row],[Net Value]]/Sales4[[#This Row],[Billed Quantity]]</f>
        <v>495</v>
      </c>
      <c r="Z76" s="117">
        <f>Sales4[[#This Row],[Actual delivery qty]]</f>
        <v>350</v>
      </c>
      <c r="AA76" s="12" t="e">
        <f>SUM(Sales4[[#This Row],[BOM Cost]:[Other Conversion cost pu]])</f>
        <v>#REF!</v>
      </c>
      <c r="AB7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7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76" s="12">
        <f>IFERROR(VLOOKUP(Sales4[[#This Row],[Material]],'COGS Break up'!#REF!,5,0),0)</f>
        <v>0</v>
      </c>
      <c r="AE7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76" s="48" t="e">
        <f>Sales4[[#This Row],[PGI per unit]]-Sales4[[#This Row],[BOM Cost]]-Sales4[[#This Row],[Labour cost per unit]]-Sales4[[#This Row],[Other Conversion cost pu]]</f>
        <v>#REF!</v>
      </c>
      <c r="AG76" s="48" t="e">
        <f>Sales4[[#This Row],[BOM Cost2]]+Sales4[[#This Row],[Labour Cost]]+Sales4[[#This Row],[Other conversion cost]]</f>
        <v>#REF!</v>
      </c>
      <c r="AH76" s="12" t="e">
        <f>Sales4[[#This Row],[Billed Quantity]]*Sales4[[#This Row],[BOM Cost]]</f>
        <v>#REF!</v>
      </c>
      <c r="AI76" s="12" t="e">
        <f>Sales4[[#This Row],[Billed Quantity]]*Sales4[[#This Row],[Labour cost per unit]]</f>
        <v>#REF!</v>
      </c>
      <c r="AJ76" s="12">
        <f>Sales4[[#This Row],[Droppage per unit]]*Sales4[[#This Row],[Billed Quantity]]</f>
        <v>0</v>
      </c>
      <c r="AK76" s="12" t="e">
        <f>Sales4[[#This Row],[Billed Quantity]]*Sales4[[#This Row],[Other Conversion cost pu]]</f>
        <v>#REF!</v>
      </c>
      <c r="AL76" s="48" t="e">
        <f>Sales4[[#This Row],[PGI Amount]]-Sales4[[#This Row],[BOM Cost2]]-Sales4[[#This Row],[Labour Cost]]-Sales4[[#This Row],[Other conversion cost]]</f>
        <v>#REF!</v>
      </c>
      <c r="AM76" s="121" t="e">
        <f>1-Sales4[[#This Row],[PGI COST]]/Sales4[[#This Row],[Net Value]]</f>
        <v>#REF!</v>
      </c>
      <c r="AN76" s="1">
        <f>Sales4[[#This Row],[PGI Amount]]/Sales4[[#This Row],[Billed Quantity]]</f>
        <v>457.3</v>
      </c>
      <c r="AO76" s="72" t="e">
        <f>SUMIFS('COGS Break up'!#REF!,'COGS Break up'!#REF!,Sales4[[#This Row],[Material]],'COGS Break up'!#REF!,'MIS Working'!$AO$1)</f>
        <v>#REF!</v>
      </c>
      <c r="AP76" s="72" t="e">
        <f>SUMIFS('COGS Break up'!#REF!,'COGS Break up'!#REF!,Sales4[[#This Row],[Material]],'COGS Break up'!#REF!,'MIS Working'!$AP$1)</f>
        <v>#REF!</v>
      </c>
      <c r="AQ76" s="72" t="e">
        <f>SUMIFS('COGS Break up'!#REF!,'COGS Break up'!#REF!,Sales4[[#This Row],[Material]],'COGS Break up'!#REF!,'MIS Working'!$AQ$1)</f>
        <v>#REF!</v>
      </c>
      <c r="AR76" s="72">
        <f>Sales4[[#This Row],[Droppage per unit]]</f>
        <v>0</v>
      </c>
      <c r="AS76" s="15" t="e">
        <f>AO76*Sales4[[#This Row],[Billed Quantity]]</f>
        <v>#REF!</v>
      </c>
      <c r="AT76" s="72" t="e">
        <f>AP76*Sales4[[#This Row],[Billed Quantity]]</f>
        <v>#REF!</v>
      </c>
      <c r="AU76" s="72" t="e">
        <f>AQ76*Sales4[[#This Row],[Billed Quantity]]</f>
        <v>#REF!</v>
      </c>
      <c r="AV76" s="72">
        <f>AR76*Sales4[[#This Row],[Billed Quantity]]</f>
        <v>0</v>
      </c>
    </row>
    <row r="77" spans="1:48" x14ac:dyDescent="0.3">
      <c r="A77" s="1" t="s">
        <v>479</v>
      </c>
      <c r="B77" s="2">
        <v>45918</v>
      </c>
      <c r="C77" s="1">
        <v>3271271329</v>
      </c>
      <c r="D77" s="1" t="s">
        <v>368</v>
      </c>
      <c r="E77" s="1" t="s">
        <v>369</v>
      </c>
      <c r="F77" s="1" t="s">
        <v>18</v>
      </c>
      <c r="G77" s="1" t="s">
        <v>19</v>
      </c>
      <c r="H77" s="1" t="s">
        <v>483</v>
      </c>
      <c r="I77" s="3">
        <v>350</v>
      </c>
      <c r="J77" s="4">
        <v>120211</v>
      </c>
      <c r="K77" s="3">
        <v>350</v>
      </c>
      <c r="L77" s="3">
        <v>350</v>
      </c>
      <c r="M77" s="2">
        <v>45918</v>
      </c>
      <c r="N77" s="4">
        <v>108279.5</v>
      </c>
      <c r="O77" s="1" t="s">
        <v>21</v>
      </c>
      <c r="P77" s="1" t="s">
        <v>22</v>
      </c>
      <c r="Q77" s="1">
        <v>1</v>
      </c>
      <c r="R77" s="1" t="str">
        <f>VLOOKUP(Sales4[[#This Row],[Material type]],Master!$H$3:$I$8,2,0)</f>
        <v>Finished Goods</v>
      </c>
      <c r="S77" s="1" t="str">
        <f>VLOOKUP(Sales4[[#This Row],[Material Group]],Master!B:C,2,0)</f>
        <v>FG-PCB-MG</v>
      </c>
      <c r="T77" s="1" t="str">
        <f>VLOOKUP(Sales4[[#This Row],[Material Group Descrip]],Master!E:F,2,0)</f>
        <v>FG-PCB-MG</v>
      </c>
      <c r="U77" s="9" t="b">
        <f ca="1">(TODAY()-1)=Sales4[[#This Row],[Billing Date]]</f>
        <v>0</v>
      </c>
      <c r="V77" s="10" t="e">
        <f>Sales4[[#This Row],[Net Value]]-Sales4[[#This Row],[PGI COST]]</f>
        <v>#REF!</v>
      </c>
      <c r="W77" s="11" t="e">
        <f>Sales4[[#This Row],[Gross Margin]]/Sales4[[#This Row],[Net Value]]</f>
        <v>#REF!</v>
      </c>
      <c r="X77" s="1" t="str">
        <f>TEXT(Sales4[[#This Row],[Billing Date]],"mmmm-yy")</f>
        <v>September-25</v>
      </c>
      <c r="Y77" s="1">
        <f>Sales4[[#This Row],[Net Value]]/Sales4[[#This Row],[Billed Quantity]]</f>
        <v>309.37</v>
      </c>
      <c r="Z77" s="117">
        <f>Sales4[[#This Row],[Actual delivery qty]]</f>
        <v>350</v>
      </c>
      <c r="AA77" s="12" t="e">
        <f>SUM(Sales4[[#This Row],[BOM Cost]:[Other Conversion cost pu]])</f>
        <v>#REF!</v>
      </c>
      <c r="AB7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7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77" s="12">
        <f>IFERROR(VLOOKUP(Sales4[[#This Row],[Material]],'COGS Break up'!#REF!,5,0),0)</f>
        <v>0</v>
      </c>
      <c r="AE7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77" s="48" t="e">
        <f>Sales4[[#This Row],[PGI per unit]]-Sales4[[#This Row],[BOM Cost]]-Sales4[[#This Row],[Labour cost per unit]]-Sales4[[#This Row],[Other Conversion cost pu]]</f>
        <v>#REF!</v>
      </c>
      <c r="AG77" s="48" t="e">
        <f>Sales4[[#This Row],[BOM Cost2]]+Sales4[[#This Row],[Labour Cost]]+Sales4[[#This Row],[Other conversion cost]]</f>
        <v>#REF!</v>
      </c>
      <c r="AH77" s="12" t="e">
        <f>Sales4[[#This Row],[Billed Quantity]]*Sales4[[#This Row],[BOM Cost]]</f>
        <v>#REF!</v>
      </c>
      <c r="AI77" s="12" t="e">
        <f>Sales4[[#This Row],[Billed Quantity]]*Sales4[[#This Row],[Labour cost per unit]]</f>
        <v>#REF!</v>
      </c>
      <c r="AJ77" s="12">
        <f>Sales4[[#This Row],[Droppage per unit]]*Sales4[[#This Row],[Billed Quantity]]</f>
        <v>0</v>
      </c>
      <c r="AK77" s="12" t="e">
        <f>Sales4[[#This Row],[Billed Quantity]]*Sales4[[#This Row],[Other Conversion cost pu]]</f>
        <v>#REF!</v>
      </c>
      <c r="AL77" s="48" t="e">
        <f>Sales4[[#This Row],[PGI Amount]]-Sales4[[#This Row],[BOM Cost2]]-Sales4[[#This Row],[Labour Cost]]-Sales4[[#This Row],[Other conversion cost]]</f>
        <v>#REF!</v>
      </c>
      <c r="AM77" s="121" t="e">
        <f>1-Sales4[[#This Row],[PGI COST]]/Sales4[[#This Row],[Net Value]]</f>
        <v>#REF!</v>
      </c>
      <c r="AN77" s="1">
        <f>Sales4[[#This Row],[PGI Amount]]/Sales4[[#This Row],[Billed Quantity]]</f>
        <v>343.46</v>
      </c>
      <c r="AO77" s="72" t="e">
        <f>SUMIFS('COGS Break up'!#REF!,'COGS Break up'!#REF!,Sales4[[#This Row],[Material]],'COGS Break up'!#REF!,'MIS Working'!$AO$1)</f>
        <v>#REF!</v>
      </c>
      <c r="AP77" s="72" t="e">
        <f>SUMIFS('COGS Break up'!#REF!,'COGS Break up'!#REF!,Sales4[[#This Row],[Material]],'COGS Break up'!#REF!,'MIS Working'!$AP$1)</f>
        <v>#REF!</v>
      </c>
      <c r="AQ77" s="72" t="e">
        <f>SUMIFS('COGS Break up'!#REF!,'COGS Break up'!#REF!,Sales4[[#This Row],[Material]],'COGS Break up'!#REF!,'MIS Working'!$AQ$1)</f>
        <v>#REF!</v>
      </c>
      <c r="AR77" s="72">
        <f>Sales4[[#This Row],[Droppage per unit]]</f>
        <v>0</v>
      </c>
      <c r="AS77" s="15" t="e">
        <f>AO77*Sales4[[#This Row],[Billed Quantity]]</f>
        <v>#REF!</v>
      </c>
      <c r="AT77" s="72" t="e">
        <f>AP77*Sales4[[#This Row],[Billed Quantity]]</f>
        <v>#REF!</v>
      </c>
      <c r="AU77" s="72" t="e">
        <f>AQ77*Sales4[[#This Row],[Billed Quantity]]</f>
        <v>#REF!</v>
      </c>
      <c r="AV77" s="72">
        <f>AR77*Sales4[[#This Row],[Billed Quantity]]</f>
        <v>0</v>
      </c>
    </row>
    <row r="78" spans="1:48" x14ac:dyDescent="0.3">
      <c r="A78" s="1" t="s">
        <v>479</v>
      </c>
      <c r="B78" s="2">
        <v>45918</v>
      </c>
      <c r="C78" s="1">
        <v>3271271329</v>
      </c>
      <c r="D78" s="1" t="s">
        <v>755</v>
      </c>
      <c r="E78" s="1" t="s">
        <v>756</v>
      </c>
      <c r="F78" s="1" t="s">
        <v>18</v>
      </c>
      <c r="G78" s="1" t="s">
        <v>19</v>
      </c>
      <c r="H78" s="1" t="s">
        <v>27</v>
      </c>
      <c r="I78" s="3">
        <v>175</v>
      </c>
      <c r="J78" s="4">
        <v>58464</v>
      </c>
      <c r="K78" s="3">
        <v>175</v>
      </c>
      <c r="L78" s="3">
        <v>175</v>
      </c>
      <c r="M78" s="2">
        <v>45918</v>
      </c>
      <c r="N78" s="4">
        <v>63372.75</v>
      </c>
      <c r="O78" s="1" t="s">
        <v>21</v>
      </c>
      <c r="P78" s="1" t="s">
        <v>22</v>
      </c>
      <c r="Q78" s="1">
        <v>1</v>
      </c>
      <c r="R78" s="1" t="str">
        <f>VLOOKUP(Sales4[[#This Row],[Material type]],Master!$H$3:$I$8,2,0)</f>
        <v>Finished Goods</v>
      </c>
      <c r="S78" s="1" t="str">
        <f>VLOOKUP(Sales4[[#This Row],[Material Group]],Master!B:C,2,0)</f>
        <v>FG-PCB-CF</v>
      </c>
      <c r="T78" s="1" t="str">
        <f>VLOOKUP(Sales4[[#This Row],[Material Group Descrip]],Master!E:F,2,0)</f>
        <v>FG-PCB-CF</v>
      </c>
      <c r="U78" s="9" t="b">
        <f ca="1">(TODAY()-1)=Sales4[[#This Row],[Billing Date]]</f>
        <v>0</v>
      </c>
      <c r="V78" s="10" t="e">
        <f>Sales4[[#This Row],[Net Value]]-Sales4[[#This Row],[PGI COST]]</f>
        <v>#REF!</v>
      </c>
      <c r="W78" s="11" t="e">
        <f>Sales4[[#This Row],[Gross Margin]]/Sales4[[#This Row],[Net Value]]</f>
        <v>#REF!</v>
      </c>
      <c r="X78" s="1" t="str">
        <f>TEXT(Sales4[[#This Row],[Billing Date]],"mmmm-yy")</f>
        <v>September-25</v>
      </c>
      <c r="Y78" s="1">
        <f>Sales4[[#This Row],[Net Value]]/Sales4[[#This Row],[Billed Quantity]]</f>
        <v>362.13</v>
      </c>
      <c r="Z78" s="117">
        <f>Sales4[[#This Row],[Actual delivery qty]]</f>
        <v>175</v>
      </c>
      <c r="AA78" s="12" t="e">
        <f>SUM(Sales4[[#This Row],[BOM Cost]:[Other Conversion cost pu]])</f>
        <v>#REF!</v>
      </c>
      <c r="AB7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7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78" s="12">
        <f>IFERROR(VLOOKUP(Sales4[[#This Row],[Material]],'COGS Break up'!#REF!,5,0),0)</f>
        <v>0</v>
      </c>
      <c r="AE7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78" s="48" t="e">
        <f>Sales4[[#This Row],[PGI per unit]]-Sales4[[#This Row],[BOM Cost]]-Sales4[[#This Row],[Labour cost per unit]]-Sales4[[#This Row],[Other Conversion cost pu]]</f>
        <v>#REF!</v>
      </c>
      <c r="AG78" s="48" t="e">
        <f>Sales4[[#This Row],[BOM Cost2]]+Sales4[[#This Row],[Labour Cost]]+Sales4[[#This Row],[Other conversion cost]]</f>
        <v>#REF!</v>
      </c>
      <c r="AH78" s="12" t="e">
        <f>Sales4[[#This Row],[Billed Quantity]]*Sales4[[#This Row],[BOM Cost]]</f>
        <v>#REF!</v>
      </c>
      <c r="AI78" s="12" t="e">
        <f>Sales4[[#This Row],[Billed Quantity]]*Sales4[[#This Row],[Labour cost per unit]]</f>
        <v>#REF!</v>
      </c>
      <c r="AJ78" s="12">
        <f>Sales4[[#This Row],[Droppage per unit]]*Sales4[[#This Row],[Billed Quantity]]</f>
        <v>0</v>
      </c>
      <c r="AK78" s="12" t="e">
        <f>Sales4[[#This Row],[Billed Quantity]]*Sales4[[#This Row],[Other Conversion cost pu]]</f>
        <v>#REF!</v>
      </c>
      <c r="AL78" s="48" t="e">
        <f>Sales4[[#This Row],[PGI Amount]]-Sales4[[#This Row],[BOM Cost2]]-Sales4[[#This Row],[Labour Cost]]-Sales4[[#This Row],[Other conversion cost]]</f>
        <v>#REF!</v>
      </c>
      <c r="AM78" s="121" t="e">
        <f>1-Sales4[[#This Row],[PGI COST]]/Sales4[[#This Row],[Net Value]]</f>
        <v>#REF!</v>
      </c>
      <c r="AN78" s="1">
        <f>Sales4[[#This Row],[PGI Amount]]/Sales4[[#This Row],[Billed Quantity]]</f>
        <v>334.08</v>
      </c>
      <c r="AO78" s="72" t="e">
        <f>SUMIFS('COGS Break up'!#REF!,'COGS Break up'!#REF!,Sales4[[#This Row],[Material]],'COGS Break up'!#REF!,'MIS Working'!$AO$1)</f>
        <v>#REF!</v>
      </c>
      <c r="AP78" s="72" t="e">
        <f>SUMIFS('COGS Break up'!#REF!,'COGS Break up'!#REF!,Sales4[[#This Row],[Material]],'COGS Break up'!#REF!,'MIS Working'!$AP$1)</f>
        <v>#REF!</v>
      </c>
      <c r="AQ78" s="72" t="e">
        <f>SUMIFS('COGS Break up'!#REF!,'COGS Break up'!#REF!,Sales4[[#This Row],[Material]],'COGS Break up'!#REF!,'MIS Working'!$AQ$1)</f>
        <v>#REF!</v>
      </c>
      <c r="AR78" s="72">
        <f>Sales4[[#This Row],[Droppage per unit]]</f>
        <v>0</v>
      </c>
      <c r="AS78" s="15" t="e">
        <f>AO78*Sales4[[#This Row],[Billed Quantity]]</f>
        <v>#REF!</v>
      </c>
      <c r="AT78" s="72" t="e">
        <f>AP78*Sales4[[#This Row],[Billed Quantity]]</f>
        <v>#REF!</v>
      </c>
      <c r="AU78" s="72" t="e">
        <f>AQ78*Sales4[[#This Row],[Billed Quantity]]</f>
        <v>#REF!</v>
      </c>
      <c r="AV78" s="72">
        <f>AR78*Sales4[[#This Row],[Billed Quantity]]</f>
        <v>0</v>
      </c>
    </row>
    <row r="79" spans="1:48" x14ac:dyDescent="0.3">
      <c r="A79" s="1" t="s">
        <v>479</v>
      </c>
      <c r="B79" s="2">
        <v>45918</v>
      </c>
      <c r="C79" s="1">
        <v>3271271329</v>
      </c>
      <c r="D79" s="1" t="s">
        <v>380</v>
      </c>
      <c r="E79" s="1" t="s">
        <v>381</v>
      </c>
      <c r="F79" s="1" t="s">
        <v>18</v>
      </c>
      <c r="G79" s="1" t="s">
        <v>19</v>
      </c>
      <c r="H79" s="1" t="s">
        <v>27</v>
      </c>
      <c r="I79" s="3">
        <v>139</v>
      </c>
      <c r="J79" s="4">
        <v>29700.13</v>
      </c>
      <c r="K79" s="3">
        <v>139</v>
      </c>
      <c r="L79" s="3">
        <v>139</v>
      </c>
      <c r="M79" s="2">
        <v>45918</v>
      </c>
      <c r="N79" s="4">
        <v>32026.99</v>
      </c>
      <c r="O79" s="1" t="s">
        <v>21</v>
      </c>
      <c r="P79" s="1" t="s">
        <v>22</v>
      </c>
      <c r="Q79" s="1">
        <v>1</v>
      </c>
      <c r="R79" s="1" t="str">
        <f>VLOOKUP(Sales4[[#This Row],[Material type]],Master!$H$3:$I$8,2,0)</f>
        <v>Finished Goods</v>
      </c>
      <c r="S79" s="1" t="str">
        <f>VLOOKUP(Sales4[[#This Row],[Material Group]],Master!B:C,2,0)</f>
        <v>FG-PCB-CF</v>
      </c>
      <c r="T79" s="1" t="str">
        <f>VLOOKUP(Sales4[[#This Row],[Material Group Descrip]],Master!E:F,2,0)</f>
        <v>FG-PCB-CF</v>
      </c>
      <c r="U79" s="9" t="b">
        <f ca="1">(TODAY()-1)=Sales4[[#This Row],[Billing Date]]</f>
        <v>0</v>
      </c>
      <c r="V79" s="10" t="e">
        <f>Sales4[[#This Row],[Net Value]]-Sales4[[#This Row],[PGI COST]]</f>
        <v>#REF!</v>
      </c>
      <c r="W79" s="11" t="e">
        <f>Sales4[[#This Row],[Gross Margin]]/Sales4[[#This Row],[Net Value]]</f>
        <v>#REF!</v>
      </c>
      <c r="X79" s="1" t="str">
        <f>TEXT(Sales4[[#This Row],[Billing Date]],"mmmm-yy")</f>
        <v>September-25</v>
      </c>
      <c r="Y79" s="1">
        <f>Sales4[[#This Row],[Net Value]]/Sales4[[#This Row],[Billed Quantity]]</f>
        <v>230.41000000000003</v>
      </c>
      <c r="Z79" s="117">
        <f>Sales4[[#This Row],[Actual delivery qty]]</f>
        <v>139</v>
      </c>
      <c r="AA79" s="12" t="e">
        <f>SUM(Sales4[[#This Row],[BOM Cost]:[Other Conversion cost pu]])</f>
        <v>#REF!</v>
      </c>
      <c r="AB7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7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79" s="12">
        <f>IFERROR(VLOOKUP(Sales4[[#This Row],[Material]],'COGS Break up'!#REF!,5,0),0)</f>
        <v>0</v>
      </c>
      <c r="AE7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79" s="48" t="e">
        <f>Sales4[[#This Row],[PGI per unit]]-Sales4[[#This Row],[BOM Cost]]-Sales4[[#This Row],[Labour cost per unit]]-Sales4[[#This Row],[Other Conversion cost pu]]</f>
        <v>#REF!</v>
      </c>
      <c r="AG79" s="48" t="e">
        <f>Sales4[[#This Row],[BOM Cost2]]+Sales4[[#This Row],[Labour Cost]]+Sales4[[#This Row],[Other conversion cost]]</f>
        <v>#REF!</v>
      </c>
      <c r="AH79" s="12" t="e">
        <f>Sales4[[#This Row],[Billed Quantity]]*Sales4[[#This Row],[BOM Cost]]</f>
        <v>#REF!</v>
      </c>
      <c r="AI79" s="12" t="e">
        <f>Sales4[[#This Row],[Billed Quantity]]*Sales4[[#This Row],[Labour cost per unit]]</f>
        <v>#REF!</v>
      </c>
      <c r="AJ79" s="12">
        <f>Sales4[[#This Row],[Droppage per unit]]*Sales4[[#This Row],[Billed Quantity]]</f>
        <v>0</v>
      </c>
      <c r="AK79" s="12" t="e">
        <f>Sales4[[#This Row],[Billed Quantity]]*Sales4[[#This Row],[Other Conversion cost pu]]</f>
        <v>#REF!</v>
      </c>
      <c r="AL79" s="48" t="e">
        <f>Sales4[[#This Row],[PGI Amount]]-Sales4[[#This Row],[BOM Cost2]]-Sales4[[#This Row],[Labour Cost]]-Sales4[[#This Row],[Other conversion cost]]</f>
        <v>#REF!</v>
      </c>
      <c r="AM79" s="121" t="e">
        <f>1-Sales4[[#This Row],[PGI COST]]/Sales4[[#This Row],[Net Value]]</f>
        <v>#REF!</v>
      </c>
      <c r="AN79" s="1">
        <f>Sales4[[#This Row],[PGI Amount]]/Sales4[[#This Row],[Billed Quantity]]</f>
        <v>213.67000000000002</v>
      </c>
      <c r="AO79" s="72" t="e">
        <f>SUMIFS('COGS Break up'!#REF!,'COGS Break up'!#REF!,Sales4[[#This Row],[Material]],'COGS Break up'!#REF!,'MIS Working'!$AO$1)</f>
        <v>#REF!</v>
      </c>
      <c r="AP79" s="72" t="e">
        <f>SUMIFS('COGS Break up'!#REF!,'COGS Break up'!#REF!,Sales4[[#This Row],[Material]],'COGS Break up'!#REF!,'MIS Working'!$AP$1)</f>
        <v>#REF!</v>
      </c>
      <c r="AQ79" s="72" t="e">
        <f>SUMIFS('COGS Break up'!#REF!,'COGS Break up'!#REF!,Sales4[[#This Row],[Material]],'COGS Break up'!#REF!,'MIS Working'!$AQ$1)</f>
        <v>#REF!</v>
      </c>
      <c r="AR79" s="72">
        <f>Sales4[[#This Row],[Droppage per unit]]</f>
        <v>0</v>
      </c>
      <c r="AS79" s="15" t="e">
        <f>AO79*Sales4[[#This Row],[Billed Quantity]]</f>
        <v>#REF!</v>
      </c>
      <c r="AT79" s="72" t="e">
        <f>AP79*Sales4[[#This Row],[Billed Quantity]]</f>
        <v>#REF!</v>
      </c>
      <c r="AU79" s="72" t="e">
        <f>AQ79*Sales4[[#This Row],[Billed Quantity]]</f>
        <v>#REF!</v>
      </c>
      <c r="AV79" s="72">
        <f>AR79*Sales4[[#This Row],[Billed Quantity]]</f>
        <v>0</v>
      </c>
    </row>
    <row r="80" spans="1:48" x14ac:dyDescent="0.3">
      <c r="A80" s="1" t="s">
        <v>479</v>
      </c>
      <c r="B80" s="2">
        <v>45918</v>
      </c>
      <c r="C80" s="1">
        <v>3271271879</v>
      </c>
      <c r="D80" s="1" t="s">
        <v>380</v>
      </c>
      <c r="E80" s="1" t="s">
        <v>381</v>
      </c>
      <c r="F80" s="1" t="s">
        <v>18</v>
      </c>
      <c r="G80" s="1" t="s">
        <v>19</v>
      </c>
      <c r="H80" s="1" t="s">
        <v>27</v>
      </c>
      <c r="I80" s="3">
        <v>315</v>
      </c>
      <c r="J80" s="4">
        <v>67306.05</v>
      </c>
      <c r="K80" s="3">
        <v>315</v>
      </c>
      <c r="L80" s="3">
        <v>315</v>
      </c>
      <c r="M80" s="2">
        <v>45918</v>
      </c>
      <c r="N80" s="4">
        <v>72579.149999999994</v>
      </c>
      <c r="O80" s="1" t="s">
        <v>21</v>
      </c>
      <c r="P80" s="1" t="s">
        <v>22</v>
      </c>
      <c r="Q80" s="1">
        <v>1</v>
      </c>
      <c r="R80" s="1" t="str">
        <f>VLOOKUP(Sales4[[#This Row],[Material type]],Master!$H$3:$I$8,2,0)</f>
        <v>Finished Goods</v>
      </c>
      <c r="S80" s="1" t="str">
        <f>VLOOKUP(Sales4[[#This Row],[Material Group]],Master!B:C,2,0)</f>
        <v>FG-PCB-CF</v>
      </c>
      <c r="T80" s="1" t="str">
        <f>VLOOKUP(Sales4[[#This Row],[Material Group Descrip]],Master!E:F,2,0)</f>
        <v>FG-PCB-CF</v>
      </c>
      <c r="U80" s="9" t="b">
        <f ca="1">(TODAY()-1)=Sales4[[#This Row],[Billing Date]]</f>
        <v>0</v>
      </c>
      <c r="V80" s="10" t="e">
        <f>Sales4[[#This Row],[Net Value]]-Sales4[[#This Row],[PGI COST]]</f>
        <v>#REF!</v>
      </c>
      <c r="W80" s="11" t="e">
        <f>Sales4[[#This Row],[Gross Margin]]/Sales4[[#This Row],[Net Value]]</f>
        <v>#REF!</v>
      </c>
      <c r="X80" s="1" t="str">
        <f>TEXT(Sales4[[#This Row],[Billing Date]],"mmmm-yy")</f>
        <v>September-25</v>
      </c>
      <c r="Y80" s="1">
        <f>Sales4[[#This Row],[Net Value]]/Sales4[[#This Row],[Billed Quantity]]</f>
        <v>230.40999999999997</v>
      </c>
      <c r="Z80" s="117">
        <f>Sales4[[#This Row],[Actual delivery qty]]</f>
        <v>315</v>
      </c>
      <c r="AA80" s="12" t="e">
        <f>SUM(Sales4[[#This Row],[BOM Cost]:[Other Conversion cost pu]])</f>
        <v>#REF!</v>
      </c>
      <c r="AB8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8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80" s="12">
        <f>IFERROR(VLOOKUP(Sales4[[#This Row],[Material]],'COGS Break up'!#REF!,5,0),0)</f>
        <v>0</v>
      </c>
      <c r="AE8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80" s="48" t="e">
        <f>Sales4[[#This Row],[PGI per unit]]-Sales4[[#This Row],[BOM Cost]]-Sales4[[#This Row],[Labour cost per unit]]-Sales4[[#This Row],[Other Conversion cost pu]]</f>
        <v>#REF!</v>
      </c>
      <c r="AG80" s="48" t="e">
        <f>Sales4[[#This Row],[BOM Cost2]]+Sales4[[#This Row],[Labour Cost]]+Sales4[[#This Row],[Other conversion cost]]</f>
        <v>#REF!</v>
      </c>
      <c r="AH80" s="12" t="e">
        <f>Sales4[[#This Row],[Billed Quantity]]*Sales4[[#This Row],[BOM Cost]]</f>
        <v>#REF!</v>
      </c>
      <c r="AI80" s="12" t="e">
        <f>Sales4[[#This Row],[Billed Quantity]]*Sales4[[#This Row],[Labour cost per unit]]</f>
        <v>#REF!</v>
      </c>
      <c r="AJ80" s="12">
        <f>Sales4[[#This Row],[Droppage per unit]]*Sales4[[#This Row],[Billed Quantity]]</f>
        <v>0</v>
      </c>
      <c r="AK80" s="12" t="e">
        <f>Sales4[[#This Row],[Billed Quantity]]*Sales4[[#This Row],[Other Conversion cost pu]]</f>
        <v>#REF!</v>
      </c>
      <c r="AL80" s="48" t="e">
        <f>Sales4[[#This Row],[PGI Amount]]-Sales4[[#This Row],[BOM Cost2]]-Sales4[[#This Row],[Labour Cost]]-Sales4[[#This Row],[Other conversion cost]]</f>
        <v>#REF!</v>
      </c>
      <c r="AM80" s="121" t="e">
        <f>1-Sales4[[#This Row],[PGI COST]]/Sales4[[#This Row],[Net Value]]</f>
        <v>#REF!</v>
      </c>
      <c r="AN80" s="1">
        <f>Sales4[[#This Row],[PGI Amount]]/Sales4[[#This Row],[Billed Quantity]]</f>
        <v>213.67000000000002</v>
      </c>
      <c r="AO80" s="72" t="e">
        <f>SUMIFS('COGS Break up'!#REF!,'COGS Break up'!#REF!,Sales4[[#This Row],[Material]],'COGS Break up'!#REF!,'MIS Working'!$AO$1)</f>
        <v>#REF!</v>
      </c>
      <c r="AP80" s="72" t="e">
        <f>SUMIFS('COGS Break up'!#REF!,'COGS Break up'!#REF!,Sales4[[#This Row],[Material]],'COGS Break up'!#REF!,'MIS Working'!$AP$1)</f>
        <v>#REF!</v>
      </c>
      <c r="AQ80" s="72" t="e">
        <f>SUMIFS('COGS Break up'!#REF!,'COGS Break up'!#REF!,Sales4[[#This Row],[Material]],'COGS Break up'!#REF!,'MIS Working'!$AQ$1)</f>
        <v>#REF!</v>
      </c>
      <c r="AR80" s="72">
        <f>Sales4[[#This Row],[Droppage per unit]]</f>
        <v>0</v>
      </c>
      <c r="AS80" s="15" t="e">
        <f>AO80*Sales4[[#This Row],[Billed Quantity]]</f>
        <v>#REF!</v>
      </c>
      <c r="AT80" s="72" t="e">
        <f>AP80*Sales4[[#This Row],[Billed Quantity]]</f>
        <v>#REF!</v>
      </c>
      <c r="AU80" s="72" t="e">
        <f>AQ80*Sales4[[#This Row],[Billed Quantity]]</f>
        <v>#REF!</v>
      </c>
      <c r="AV80" s="72">
        <f>AR80*Sales4[[#This Row],[Billed Quantity]]</f>
        <v>0</v>
      </c>
    </row>
    <row r="81" spans="1:48" x14ac:dyDescent="0.3">
      <c r="A81" s="1" t="s">
        <v>479</v>
      </c>
      <c r="B81" s="2">
        <v>45918</v>
      </c>
      <c r="C81" s="1">
        <v>3271271329</v>
      </c>
      <c r="D81" s="1" t="s">
        <v>370</v>
      </c>
      <c r="E81" s="1" t="s">
        <v>371</v>
      </c>
      <c r="F81" s="1" t="s">
        <v>18</v>
      </c>
      <c r="G81" s="1" t="s">
        <v>19</v>
      </c>
      <c r="H81" s="1" t="s">
        <v>774</v>
      </c>
      <c r="I81" s="3">
        <v>315</v>
      </c>
      <c r="J81" s="4">
        <v>10669.05</v>
      </c>
      <c r="K81" s="3">
        <v>315</v>
      </c>
      <c r="L81" s="3">
        <v>315</v>
      </c>
      <c r="M81" s="2">
        <v>45918</v>
      </c>
      <c r="N81" s="4">
        <v>8290.7999999999993</v>
      </c>
      <c r="O81" s="1" t="s">
        <v>21</v>
      </c>
      <c r="P81" s="1" t="s">
        <v>22</v>
      </c>
      <c r="Q81" s="1">
        <v>1</v>
      </c>
      <c r="R81" s="1" t="str">
        <f>VLOOKUP(Sales4[[#This Row],[Material type]],Master!$H$3:$I$8,2,0)</f>
        <v>Finished Goods</v>
      </c>
      <c r="S81" s="1" t="str">
        <f>VLOOKUP(Sales4[[#This Row],[Material Group]],Master!B:C,2,0)</f>
        <v>FG-PCB-MG Sensor</v>
      </c>
      <c r="T81" s="1" t="str">
        <f>VLOOKUP(Sales4[[#This Row],[Material Group Descrip]],Master!E:F,2,0)</f>
        <v>FG-PCB-MG</v>
      </c>
      <c r="U81" s="9" t="b">
        <f ca="1">(TODAY()-1)=Sales4[[#This Row],[Billing Date]]</f>
        <v>0</v>
      </c>
      <c r="V81" s="10" t="e">
        <f>Sales4[[#This Row],[Net Value]]-Sales4[[#This Row],[PGI COST]]</f>
        <v>#REF!</v>
      </c>
      <c r="W81" s="11" t="e">
        <f>Sales4[[#This Row],[Gross Margin]]/Sales4[[#This Row],[Net Value]]</f>
        <v>#REF!</v>
      </c>
      <c r="X81" s="1" t="str">
        <f>TEXT(Sales4[[#This Row],[Billing Date]],"mmmm-yy")</f>
        <v>September-25</v>
      </c>
      <c r="Y81" s="1">
        <f>Sales4[[#This Row],[Net Value]]/Sales4[[#This Row],[Billed Quantity]]</f>
        <v>26.319999999999997</v>
      </c>
      <c r="Z81" s="117"/>
      <c r="AA81" s="12" t="e">
        <f>SUM(Sales4[[#This Row],[BOM Cost]:[Other Conversion cost pu]])</f>
        <v>#REF!</v>
      </c>
      <c r="AB8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8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81" s="12">
        <f>IFERROR(VLOOKUP(Sales4[[#This Row],[Material]],'COGS Break up'!#REF!,5,0),0)</f>
        <v>0</v>
      </c>
      <c r="AE8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81" s="48" t="e">
        <f>Sales4[[#This Row],[PGI per unit]]-Sales4[[#This Row],[BOM Cost]]-Sales4[[#This Row],[Labour cost per unit]]-Sales4[[#This Row],[Other Conversion cost pu]]</f>
        <v>#REF!</v>
      </c>
      <c r="AG81" s="48" t="e">
        <f>Sales4[[#This Row],[BOM Cost2]]+Sales4[[#This Row],[Labour Cost]]+Sales4[[#This Row],[Other conversion cost]]</f>
        <v>#REF!</v>
      </c>
      <c r="AH81" s="12" t="e">
        <f>Sales4[[#This Row],[Billed Quantity]]*Sales4[[#This Row],[BOM Cost]]</f>
        <v>#REF!</v>
      </c>
      <c r="AI81" s="12" t="e">
        <f>Sales4[[#This Row],[Billed Quantity]]*Sales4[[#This Row],[Labour cost per unit]]</f>
        <v>#REF!</v>
      </c>
      <c r="AJ81" s="12">
        <f>Sales4[[#This Row],[Droppage per unit]]*Sales4[[#This Row],[Billed Quantity]]</f>
        <v>0</v>
      </c>
      <c r="AK81" s="12" t="e">
        <f>Sales4[[#This Row],[Billed Quantity]]*Sales4[[#This Row],[Other Conversion cost pu]]</f>
        <v>#REF!</v>
      </c>
      <c r="AL81" s="48" t="e">
        <f>Sales4[[#This Row],[PGI Amount]]-Sales4[[#This Row],[BOM Cost2]]-Sales4[[#This Row],[Labour Cost]]-Sales4[[#This Row],[Other conversion cost]]</f>
        <v>#REF!</v>
      </c>
      <c r="AM81" s="121" t="e">
        <f>1-Sales4[[#This Row],[PGI COST]]/Sales4[[#This Row],[Net Value]]</f>
        <v>#REF!</v>
      </c>
      <c r="AN81" s="1">
        <f>Sales4[[#This Row],[PGI Amount]]/Sales4[[#This Row],[Billed Quantity]]</f>
        <v>33.869999999999997</v>
      </c>
      <c r="AO81" s="72" t="e">
        <f>SUMIFS('COGS Break up'!#REF!,'COGS Break up'!#REF!,Sales4[[#This Row],[Material]],'COGS Break up'!#REF!,'MIS Working'!$AO$1)</f>
        <v>#REF!</v>
      </c>
      <c r="AP81" s="72" t="e">
        <f>SUMIFS('COGS Break up'!#REF!,'COGS Break up'!#REF!,Sales4[[#This Row],[Material]],'COGS Break up'!#REF!,'MIS Working'!$AP$1)</f>
        <v>#REF!</v>
      </c>
      <c r="AQ81" s="72" t="e">
        <f>SUMIFS('COGS Break up'!#REF!,'COGS Break up'!#REF!,Sales4[[#This Row],[Material]],'COGS Break up'!#REF!,'MIS Working'!$AQ$1)</f>
        <v>#REF!</v>
      </c>
      <c r="AR81" s="72">
        <f>Sales4[[#This Row],[Droppage per unit]]</f>
        <v>0</v>
      </c>
      <c r="AS81" s="15" t="e">
        <f>AO81*Sales4[[#This Row],[Billed Quantity]]</f>
        <v>#REF!</v>
      </c>
      <c r="AT81" s="72" t="e">
        <f>AP81*Sales4[[#This Row],[Billed Quantity]]</f>
        <v>#REF!</v>
      </c>
      <c r="AU81" s="72" t="e">
        <f>AQ81*Sales4[[#This Row],[Billed Quantity]]</f>
        <v>#REF!</v>
      </c>
      <c r="AV81" s="72">
        <f>AR81*Sales4[[#This Row],[Billed Quantity]]</f>
        <v>0</v>
      </c>
    </row>
    <row r="82" spans="1:48" x14ac:dyDescent="0.3">
      <c r="A82" s="1" t="s">
        <v>479</v>
      </c>
      <c r="B82" s="2">
        <v>45918</v>
      </c>
      <c r="C82" s="1">
        <v>3271271436</v>
      </c>
      <c r="D82" s="1" t="s">
        <v>40</v>
      </c>
      <c r="E82" s="1" t="s">
        <v>41</v>
      </c>
      <c r="F82" s="1" t="s">
        <v>18</v>
      </c>
      <c r="G82" s="1" t="s">
        <v>34</v>
      </c>
      <c r="H82" s="1" t="s">
        <v>772</v>
      </c>
      <c r="I82" s="3">
        <v>2656</v>
      </c>
      <c r="J82" s="4">
        <v>391866.24</v>
      </c>
      <c r="K82" s="3">
        <v>2656</v>
      </c>
      <c r="L82" s="3">
        <v>2656</v>
      </c>
      <c r="M82" s="2">
        <v>45918</v>
      </c>
      <c r="N82" s="4">
        <v>432768.64</v>
      </c>
      <c r="O82" s="1" t="s">
        <v>21</v>
      </c>
      <c r="P82" s="1" t="s">
        <v>22</v>
      </c>
      <c r="Q82" s="1">
        <v>1</v>
      </c>
      <c r="R82" s="1" t="str">
        <f>VLOOKUP(Sales4[[#This Row],[Material type]],Master!$H$3:$I$8,2,0)</f>
        <v>Semi-Finished Goods</v>
      </c>
      <c r="S82" s="1" t="str">
        <f>VLOOKUP(Sales4[[#This Row],[Material Group]],Master!B:C,2,0)</f>
        <v>SFG-GV5 Stator</v>
      </c>
      <c r="T82" s="1" t="str">
        <f>VLOOKUP(Sales4[[#This Row],[Material Group Descrip]],Master!E:F,2,0)</f>
        <v>Sub Ass.-Mech Stator</v>
      </c>
      <c r="U82" s="9" t="b">
        <f ca="1">(TODAY()-1)=Sales4[[#This Row],[Billing Date]]</f>
        <v>0</v>
      </c>
      <c r="V82" s="10" t="e">
        <f>Sales4[[#This Row],[Net Value]]-Sales4[[#This Row],[PGI COST]]</f>
        <v>#REF!</v>
      </c>
      <c r="W82" s="11" t="e">
        <f>Sales4[[#This Row],[Gross Margin]]/Sales4[[#This Row],[Net Value]]</f>
        <v>#REF!</v>
      </c>
      <c r="X82" s="1" t="str">
        <f>TEXT(Sales4[[#This Row],[Billing Date]],"mmmm-yy")</f>
        <v>September-25</v>
      </c>
      <c r="Y82" s="1">
        <f>Sales4[[#This Row],[Net Value]]/Sales4[[#This Row],[Billed Quantity]]</f>
        <v>162.94</v>
      </c>
      <c r="Z82" s="117">
        <f>Sales4[[#This Row],[Actual delivery qty]]</f>
        <v>2656</v>
      </c>
      <c r="AA82" s="12" t="e">
        <f>SUM(Sales4[[#This Row],[BOM Cost]:[Other Conversion cost pu]])</f>
        <v>#REF!</v>
      </c>
      <c r="AB8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8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82" s="12">
        <f>IFERROR(VLOOKUP(Sales4[[#This Row],[Material]],'COGS Break up'!#REF!,5,0),0)</f>
        <v>0</v>
      </c>
      <c r="AE8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82" s="48" t="e">
        <f>Sales4[[#This Row],[PGI per unit]]-Sales4[[#This Row],[BOM Cost]]-Sales4[[#This Row],[Labour cost per unit]]-Sales4[[#This Row],[Other Conversion cost pu]]</f>
        <v>#REF!</v>
      </c>
      <c r="AG82" s="48" t="e">
        <f>Sales4[[#This Row],[BOM Cost2]]+Sales4[[#This Row],[Labour Cost]]+Sales4[[#This Row],[Other conversion cost]]</f>
        <v>#REF!</v>
      </c>
      <c r="AH82" s="12" t="e">
        <f>Sales4[[#This Row],[Billed Quantity]]*Sales4[[#This Row],[BOM Cost]]</f>
        <v>#REF!</v>
      </c>
      <c r="AI82" s="12" t="e">
        <f>Sales4[[#This Row],[Billed Quantity]]*Sales4[[#This Row],[Labour cost per unit]]</f>
        <v>#REF!</v>
      </c>
      <c r="AJ82" s="12">
        <f>Sales4[[#This Row],[Droppage per unit]]*Sales4[[#This Row],[Billed Quantity]]</f>
        <v>0</v>
      </c>
      <c r="AK82" s="12" t="e">
        <f>Sales4[[#This Row],[Billed Quantity]]*Sales4[[#This Row],[Other Conversion cost pu]]</f>
        <v>#REF!</v>
      </c>
      <c r="AL82" s="48" t="e">
        <f>Sales4[[#This Row],[PGI Amount]]-Sales4[[#This Row],[BOM Cost2]]-Sales4[[#This Row],[Labour Cost]]-Sales4[[#This Row],[Other conversion cost]]</f>
        <v>#REF!</v>
      </c>
      <c r="AM82" s="121" t="e">
        <f>1-Sales4[[#This Row],[PGI COST]]/Sales4[[#This Row],[Net Value]]</f>
        <v>#REF!</v>
      </c>
      <c r="AN82" s="1">
        <f>Sales4[[#This Row],[PGI Amount]]/Sales4[[#This Row],[Billed Quantity]]</f>
        <v>147.54</v>
      </c>
      <c r="AO82" s="72" t="e">
        <f>SUMIFS('COGS Break up'!#REF!,'COGS Break up'!#REF!,Sales4[[#This Row],[Material]],'COGS Break up'!#REF!,'MIS Working'!$AO$1)</f>
        <v>#REF!</v>
      </c>
      <c r="AP82" s="72" t="e">
        <f>SUMIFS('COGS Break up'!#REF!,'COGS Break up'!#REF!,Sales4[[#This Row],[Material]],'COGS Break up'!#REF!,'MIS Working'!$AP$1)</f>
        <v>#REF!</v>
      </c>
      <c r="AQ82" s="72" t="e">
        <f>SUMIFS('COGS Break up'!#REF!,'COGS Break up'!#REF!,Sales4[[#This Row],[Material]],'COGS Break up'!#REF!,'MIS Working'!$AQ$1)</f>
        <v>#REF!</v>
      </c>
      <c r="AR82" s="72">
        <f>Sales4[[#This Row],[Droppage per unit]]</f>
        <v>0</v>
      </c>
      <c r="AS82" s="15" t="e">
        <f>AO82*Sales4[[#This Row],[Billed Quantity]]</f>
        <v>#REF!</v>
      </c>
      <c r="AT82" s="72" t="e">
        <f>AP82*Sales4[[#This Row],[Billed Quantity]]</f>
        <v>#REF!</v>
      </c>
      <c r="AU82" s="72" t="e">
        <f>AQ82*Sales4[[#This Row],[Billed Quantity]]</f>
        <v>#REF!</v>
      </c>
      <c r="AV82" s="72">
        <f>AR82*Sales4[[#This Row],[Billed Quantity]]</f>
        <v>0</v>
      </c>
    </row>
    <row r="83" spans="1:48" x14ac:dyDescent="0.3">
      <c r="A83" s="1" t="s">
        <v>479</v>
      </c>
      <c r="B83" s="2">
        <v>45918</v>
      </c>
      <c r="C83" s="1">
        <v>3271271886</v>
      </c>
      <c r="D83" s="1" t="s">
        <v>633</v>
      </c>
      <c r="E83" s="1" t="s">
        <v>634</v>
      </c>
      <c r="F83" s="1" t="s">
        <v>18</v>
      </c>
      <c r="G83" s="1" t="s">
        <v>19</v>
      </c>
      <c r="H83" s="1" t="s">
        <v>27</v>
      </c>
      <c r="I83" s="3">
        <v>1120</v>
      </c>
      <c r="J83" s="4">
        <v>371840</v>
      </c>
      <c r="K83" s="3">
        <v>1120</v>
      </c>
      <c r="L83" s="3">
        <v>1120</v>
      </c>
      <c r="M83" s="2">
        <v>45918</v>
      </c>
      <c r="N83" s="4">
        <v>401284.8</v>
      </c>
      <c r="O83" s="1" t="s">
        <v>21</v>
      </c>
      <c r="P83" s="1" t="s">
        <v>22</v>
      </c>
      <c r="Q83" s="1">
        <v>1</v>
      </c>
      <c r="R83" s="1" t="str">
        <f>VLOOKUP(Sales4[[#This Row],[Material type]],Master!$H$3:$I$8,2,0)</f>
        <v>Finished Goods</v>
      </c>
      <c r="S83" s="1" t="str">
        <f>VLOOKUP(Sales4[[#This Row],[Material Group]],Master!B:C,2,0)</f>
        <v>FG-PCB-CF</v>
      </c>
      <c r="T83" s="1" t="str">
        <f>VLOOKUP(Sales4[[#This Row],[Material Group Descrip]],Master!E:F,2,0)</f>
        <v>FG-PCB-CF</v>
      </c>
      <c r="U83" s="9" t="b">
        <f ca="1">(TODAY()-1)=Sales4[[#This Row],[Billing Date]]</f>
        <v>0</v>
      </c>
      <c r="V83" s="10" t="e">
        <f>Sales4[[#This Row],[Net Value]]-Sales4[[#This Row],[PGI COST]]</f>
        <v>#REF!</v>
      </c>
      <c r="W83" s="11" t="e">
        <f>Sales4[[#This Row],[Gross Margin]]/Sales4[[#This Row],[Net Value]]</f>
        <v>#REF!</v>
      </c>
      <c r="X83" s="1" t="str">
        <f>TEXT(Sales4[[#This Row],[Billing Date]],"mmmm-yy")</f>
        <v>September-25</v>
      </c>
      <c r="Y83" s="1">
        <f>Sales4[[#This Row],[Net Value]]/Sales4[[#This Row],[Billed Quantity]]</f>
        <v>358.28999999999996</v>
      </c>
      <c r="Z83" s="117">
        <f>Sales4[[#This Row],[Actual delivery qty]]</f>
        <v>1120</v>
      </c>
      <c r="AA83" s="12" t="e">
        <f>SUM(Sales4[[#This Row],[BOM Cost]:[Other Conversion cost pu]])</f>
        <v>#REF!</v>
      </c>
      <c r="AB8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8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83" s="12">
        <f>IFERROR(VLOOKUP(Sales4[[#This Row],[Material]],'COGS Break up'!#REF!,5,0),0)</f>
        <v>0</v>
      </c>
      <c r="AE8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83" s="48" t="e">
        <f>Sales4[[#This Row],[PGI per unit]]-Sales4[[#This Row],[BOM Cost]]-Sales4[[#This Row],[Labour cost per unit]]-Sales4[[#This Row],[Other Conversion cost pu]]</f>
        <v>#REF!</v>
      </c>
      <c r="AG83" s="48" t="e">
        <f>Sales4[[#This Row],[BOM Cost2]]+Sales4[[#This Row],[Labour Cost]]+Sales4[[#This Row],[Other conversion cost]]</f>
        <v>#REF!</v>
      </c>
      <c r="AH83" s="12" t="e">
        <f>Sales4[[#This Row],[Billed Quantity]]*Sales4[[#This Row],[BOM Cost]]</f>
        <v>#REF!</v>
      </c>
      <c r="AI83" s="12" t="e">
        <f>Sales4[[#This Row],[Billed Quantity]]*Sales4[[#This Row],[Labour cost per unit]]</f>
        <v>#REF!</v>
      </c>
      <c r="AJ83" s="12">
        <f>Sales4[[#This Row],[Droppage per unit]]*Sales4[[#This Row],[Billed Quantity]]</f>
        <v>0</v>
      </c>
      <c r="AK83" s="12" t="e">
        <f>Sales4[[#This Row],[Billed Quantity]]*Sales4[[#This Row],[Other Conversion cost pu]]</f>
        <v>#REF!</v>
      </c>
      <c r="AL83" s="48" t="e">
        <f>Sales4[[#This Row],[PGI Amount]]-Sales4[[#This Row],[BOM Cost2]]-Sales4[[#This Row],[Labour Cost]]-Sales4[[#This Row],[Other conversion cost]]</f>
        <v>#REF!</v>
      </c>
      <c r="AM83" s="121" t="e">
        <f>1-Sales4[[#This Row],[PGI COST]]/Sales4[[#This Row],[Net Value]]</f>
        <v>#REF!</v>
      </c>
      <c r="AN83" s="1">
        <f>Sales4[[#This Row],[PGI Amount]]/Sales4[[#This Row],[Billed Quantity]]</f>
        <v>332</v>
      </c>
      <c r="AO83" s="72" t="e">
        <f>SUMIFS('COGS Break up'!#REF!,'COGS Break up'!#REF!,Sales4[[#This Row],[Material]],'COGS Break up'!#REF!,'MIS Working'!$AO$1)</f>
        <v>#REF!</v>
      </c>
      <c r="AP83" s="72" t="e">
        <f>SUMIFS('COGS Break up'!#REF!,'COGS Break up'!#REF!,Sales4[[#This Row],[Material]],'COGS Break up'!#REF!,'MIS Working'!$AP$1)</f>
        <v>#REF!</v>
      </c>
      <c r="AQ83" s="72" t="e">
        <f>SUMIFS('COGS Break up'!#REF!,'COGS Break up'!#REF!,Sales4[[#This Row],[Material]],'COGS Break up'!#REF!,'MIS Working'!$AQ$1)</f>
        <v>#REF!</v>
      </c>
      <c r="AR83" s="72">
        <f>Sales4[[#This Row],[Droppage per unit]]</f>
        <v>0</v>
      </c>
      <c r="AS83" s="15" t="e">
        <f>AO83*Sales4[[#This Row],[Billed Quantity]]</f>
        <v>#REF!</v>
      </c>
      <c r="AT83" s="72" t="e">
        <f>AP83*Sales4[[#This Row],[Billed Quantity]]</f>
        <v>#REF!</v>
      </c>
      <c r="AU83" s="72" t="e">
        <f>AQ83*Sales4[[#This Row],[Billed Quantity]]</f>
        <v>#REF!</v>
      </c>
      <c r="AV83" s="72">
        <f>AR83*Sales4[[#This Row],[Billed Quantity]]</f>
        <v>0</v>
      </c>
    </row>
    <row r="84" spans="1:48" x14ac:dyDescent="0.3">
      <c r="A84" s="1" t="s">
        <v>1373</v>
      </c>
      <c r="B84" s="2">
        <v>45917</v>
      </c>
      <c r="C84" s="1">
        <v>3271271022</v>
      </c>
      <c r="D84" s="1" t="s">
        <v>38</v>
      </c>
      <c r="E84" s="1" t="s">
        <v>39</v>
      </c>
      <c r="F84" s="1" t="s">
        <v>18</v>
      </c>
      <c r="G84" s="1" t="s">
        <v>19</v>
      </c>
      <c r="H84" s="1" t="s">
        <v>27</v>
      </c>
      <c r="I84" s="3">
        <v>24</v>
      </c>
      <c r="J84" s="4">
        <v>7907.04</v>
      </c>
      <c r="K84" s="3">
        <v>24</v>
      </c>
      <c r="L84" s="3">
        <v>24</v>
      </c>
      <c r="M84" s="2">
        <v>45917</v>
      </c>
      <c r="N84" s="4">
        <v>9600</v>
      </c>
      <c r="O84" s="1" t="s">
        <v>21</v>
      </c>
      <c r="P84" s="1" t="s">
        <v>22</v>
      </c>
      <c r="Q84" s="1">
        <v>3</v>
      </c>
      <c r="R84" s="1" t="str">
        <f>VLOOKUP(Sales4[[#This Row],[Material type]],Master!$H$3:$I$8,2,0)</f>
        <v>Finished Goods</v>
      </c>
      <c r="S84" s="1" t="str">
        <f>VLOOKUP(Sales4[[#This Row],[Material Group]],Master!B:C,2,0)</f>
        <v>FG-PCB-CF</v>
      </c>
      <c r="T84" s="1" t="str">
        <f>VLOOKUP(Sales4[[#This Row],[Material Group Descrip]],Master!E:F,2,0)</f>
        <v>FG-PCB-CF</v>
      </c>
      <c r="U84" s="9" t="b">
        <f ca="1">(TODAY()-1)=Sales4[[#This Row],[Billing Date]]</f>
        <v>0</v>
      </c>
      <c r="V84" s="10" t="e">
        <f>Sales4[[#This Row],[Net Value]]-Sales4[[#This Row],[PGI COST]]</f>
        <v>#REF!</v>
      </c>
      <c r="W84" s="11" t="e">
        <f>Sales4[[#This Row],[Gross Margin]]/Sales4[[#This Row],[Net Value]]</f>
        <v>#REF!</v>
      </c>
      <c r="X84" s="1" t="str">
        <f>TEXT(Sales4[[#This Row],[Billing Date]],"mmmm-yy")</f>
        <v>September-25</v>
      </c>
      <c r="Y84" s="1">
        <f>Sales4[[#This Row],[Net Value]]/Sales4[[#This Row],[Billed Quantity]]</f>
        <v>400</v>
      </c>
      <c r="Z84" s="117">
        <f>Sales4[[#This Row],[Actual delivery qty]]</f>
        <v>24</v>
      </c>
      <c r="AA84" s="12" t="e">
        <f>SUM(Sales4[[#This Row],[BOM Cost]:[Other Conversion cost pu]])</f>
        <v>#REF!</v>
      </c>
      <c r="AB8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8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84" s="12">
        <f>IFERROR(VLOOKUP(Sales4[[#This Row],[Material]],'COGS Break up'!#REF!,5,0),0)</f>
        <v>0</v>
      </c>
      <c r="AE8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84" s="48" t="e">
        <f>Sales4[[#This Row],[PGI per unit]]-Sales4[[#This Row],[BOM Cost]]-Sales4[[#This Row],[Labour cost per unit]]-Sales4[[#This Row],[Other Conversion cost pu]]</f>
        <v>#REF!</v>
      </c>
      <c r="AG84" s="48" t="e">
        <f>Sales4[[#This Row],[BOM Cost2]]+Sales4[[#This Row],[Labour Cost]]+Sales4[[#This Row],[Other conversion cost]]</f>
        <v>#REF!</v>
      </c>
      <c r="AH84" s="12" t="e">
        <f>Sales4[[#This Row],[Billed Quantity]]*Sales4[[#This Row],[BOM Cost]]</f>
        <v>#REF!</v>
      </c>
      <c r="AI84" s="12" t="e">
        <f>Sales4[[#This Row],[Billed Quantity]]*Sales4[[#This Row],[Labour cost per unit]]</f>
        <v>#REF!</v>
      </c>
      <c r="AJ84" s="12">
        <f>Sales4[[#This Row],[Droppage per unit]]*Sales4[[#This Row],[Billed Quantity]]</f>
        <v>0</v>
      </c>
      <c r="AK84" s="12" t="e">
        <f>Sales4[[#This Row],[Billed Quantity]]*Sales4[[#This Row],[Other Conversion cost pu]]</f>
        <v>#REF!</v>
      </c>
      <c r="AL84" s="48" t="e">
        <f>Sales4[[#This Row],[PGI Amount]]-Sales4[[#This Row],[BOM Cost2]]-Sales4[[#This Row],[Labour Cost]]-Sales4[[#This Row],[Other conversion cost]]</f>
        <v>#REF!</v>
      </c>
      <c r="AM84" s="121" t="e">
        <f>1-Sales4[[#This Row],[PGI COST]]/Sales4[[#This Row],[Net Value]]</f>
        <v>#REF!</v>
      </c>
      <c r="AN84" s="1">
        <f>Sales4[[#This Row],[PGI Amount]]/Sales4[[#This Row],[Billed Quantity]]</f>
        <v>329.46</v>
      </c>
      <c r="AO84" s="72" t="e">
        <f>SUMIFS('COGS Break up'!#REF!,'COGS Break up'!#REF!,Sales4[[#This Row],[Material]],'COGS Break up'!#REF!,'MIS Working'!$AO$1)</f>
        <v>#REF!</v>
      </c>
      <c r="AP84" s="72" t="e">
        <f>SUMIFS('COGS Break up'!#REF!,'COGS Break up'!#REF!,Sales4[[#This Row],[Material]],'COGS Break up'!#REF!,'MIS Working'!$AP$1)</f>
        <v>#REF!</v>
      </c>
      <c r="AQ84" s="72" t="e">
        <f>SUMIFS('COGS Break up'!#REF!,'COGS Break up'!#REF!,Sales4[[#This Row],[Material]],'COGS Break up'!#REF!,'MIS Working'!$AQ$1)</f>
        <v>#REF!</v>
      </c>
      <c r="AR84" s="72">
        <f>Sales4[[#This Row],[Droppage per unit]]</f>
        <v>0</v>
      </c>
      <c r="AS84" s="15" t="e">
        <f>AO84*Sales4[[#This Row],[Billed Quantity]]</f>
        <v>#REF!</v>
      </c>
      <c r="AT84" s="72" t="e">
        <f>AP84*Sales4[[#This Row],[Billed Quantity]]</f>
        <v>#REF!</v>
      </c>
      <c r="AU84" s="72" t="e">
        <f>AQ84*Sales4[[#This Row],[Billed Quantity]]</f>
        <v>#REF!</v>
      </c>
      <c r="AV84" s="72">
        <f>AR84*Sales4[[#This Row],[Billed Quantity]]</f>
        <v>0</v>
      </c>
    </row>
    <row r="85" spans="1:48" x14ac:dyDescent="0.3">
      <c r="A85" s="1" t="s">
        <v>479</v>
      </c>
      <c r="B85" s="2">
        <v>45917</v>
      </c>
      <c r="C85" s="1">
        <v>3271270996</v>
      </c>
      <c r="D85" s="1" t="s">
        <v>38</v>
      </c>
      <c r="E85" s="1" t="s">
        <v>39</v>
      </c>
      <c r="F85" s="1" t="s">
        <v>18</v>
      </c>
      <c r="G85" s="1" t="s">
        <v>19</v>
      </c>
      <c r="H85" s="1" t="s">
        <v>27</v>
      </c>
      <c r="I85" s="3">
        <v>1960</v>
      </c>
      <c r="J85" s="4">
        <v>645741.6</v>
      </c>
      <c r="K85" s="3">
        <v>1960</v>
      </c>
      <c r="L85" s="3">
        <v>1960</v>
      </c>
      <c r="M85" s="2">
        <v>45917</v>
      </c>
      <c r="N85" s="4">
        <v>702248.4</v>
      </c>
      <c r="O85" s="1" t="s">
        <v>21</v>
      </c>
      <c r="P85" s="1" t="s">
        <v>22</v>
      </c>
      <c r="Q85" s="1">
        <v>1</v>
      </c>
      <c r="R85" s="1" t="str">
        <f>VLOOKUP(Sales4[[#This Row],[Material type]],Master!$H$3:$I$8,2,0)</f>
        <v>Finished Goods</v>
      </c>
      <c r="S85" s="1" t="str">
        <f>VLOOKUP(Sales4[[#This Row],[Material Group]],Master!B:C,2,0)</f>
        <v>FG-PCB-CF</v>
      </c>
      <c r="T85" s="1" t="str">
        <f>VLOOKUP(Sales4[[#This Row],[Material Group Descrip]],Master!E:F,2,0)</f>
        <v>FG-PCB-CF</v>
      </c>
      <c r="U85" s="9" t="b">
        <f ca="1">(TODAY()-1)=Sales4[[#This Row],[Billing Date]]</f>
        <v>0</v>
      </c>
      <c r="V85" s="10" t="e">
        <f>Sales4[[#This Row],[Net Value]]-Sales4[[#This Row],[PGI COST]]</f>
        <v>#REF!</v>
      </c>
      <c r="W85" s="11" t="e">
        <f>Sales4[[#This Row],[Gross Margin]]/Sales4[[#This Row],[Net Value]]</f>
        <v>#REF!</v>
      </c>
      <c r="X85" s="1" t="str">
        <f>TEXT(Sales4[[#This Row],[Billing Date]],"mmmm-yy")</f>
        <v>September-25</v>
      </c>
      <c r="Y85" s="1">
        <f>Sales4[[#This Row],[Net Value]]/Sales4[[#This Row],[Billed Quantity]]</f>
        <v>358.29</v>
      </c>
      <c r="Z85" s="117">
        <f>Sales4[[#This Row],[Actual delivery qty]]</f>
        <v>1960</v>
      </c>
      <c r="AA85" s="12" t="e">
        <f>SUM(Sales4[[#This Row],[BOM Cost]:[Other Conversion cost pu]])</f>
        <v>#REF!</v>
      </c>
      <c r="AB8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8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85" s="12">
        <f>IFERROR(VLOOKUP(Sales4[[#This Row],[Material]],'COGS Break up'!#REF!,5,0),0)</f>
        <v>0</v>
      </c>
      <c r="AE8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85" s="48" t="e">
        <f>Sales4[[#This Row],[PGI per unit]]-Sales4[[#This Row],[BOM Cost]]-Sales4[[#This Row],[Labour cost per unit]]-Sales4[[#This Row],[Other Conversion cost pu]]</f>
        <v>#REF!</v>
      </c>
      <c r="AG85" s="48" t="e">
        <f>Sales4[[#This Row],[BOM Cost2]]+Sales4[[#This Row],[Labour Cost]]+Sales4[[#This Row],[Other conversion cost]]</f>
        <v>#REF!</v>
      </c>
      <c r="AH85" s="12" t="e">
        <f>Sales4[[#This Row],[Billed Quantity]]*Sales4[[#This Row],[BOM Cost]]</f>
        <v>#REF!</v>
      </c>
      <c r="AI85" s="12" t="e">
        <f>Sales4[[#This Row],[Billed Quantity]]*Sales4[[#This Row],[Labour cost per unit]]</f>
        <v>#REF!</v>
      </c>
      <c r="AJ85" s="12">
        <f>Sales4[[#This Row],[Droppage per unit]]*Sales4[[#This Row],[Billed Quantity]]</f>
        <v>0</v>
      </c>
      <c r="AK85" s="12" t="e">
        <f>Sales4[[#This Row],[Billed Quantity]]*Sales4[[#This Row],[Other Conversion cost pu]]</f>
        <v>#REF!</v>
      </c>
      <c r="AL85" s="48" t="e">
        <f>Sales4[[#This Row],[PGI Amount]]-Sales4[[#This Row],[BOM Cost2]]-Sales4[[#This Row],[Labour Cost]]-Sales4[[#This Row],[Other conversion cost]]</f>
        <v>#REF!</v>
      </c>
      <c r="AM85" s="121" t="e">
        <f>1-Sales4[[#This Row],[PGI COST]]/Sales4[[#This Row],[Net Value]]</f>
        <v>#REF!</v>
      </c>
      <c r="AN85" s="1">
        <f>Sales4[[#This Row],[PGI Amount]]/Sales4[[#This Row],[Billed Quantity]]</f>
        <v>329.46</v>
      </c>
      <c r="AO85" s="72" t="e">
        <f>SUMIFS('COGS Break up'!#REF!,'COGS Break up'!#REF!,Sales4[[#This Row],[Material]],'COGS Break up'!#REF!,'MIS Working'!$AO$1)</f>
        <v>#REF!</v>
      </c>
      <c r="AP85" s="72" t="e">
        <f>SUMIFS('COGS Break up'!#REF!,'COGS Break up'!#REF!,Sales4[[#This Row],[Material]],'COGS Break up'!#REF!,'MIS Working'!$AP$1)</f>
        <v>#REF!</v>
      </c>
      <c r="AQ85" s="72" t="e">
        <f>SUMIFS('COGS Break up'!#REF!,'COGS Break up'!#REF!,Sales4[[#This Row],[Material]],'COGS Break up'!#REF!,'MIS Working'!$AQ$1)</f>
        <v>#REF!</v>
      </c>
      <c r="AR85" s="72">
        <f>Sales4[[#This Row],[Droppage per unit]]</f>
        <v>0</v>
      </c>
      <c r="AS85" s="15" t="e">
        <f>AO85*Sales4[[#This Row],[Billed Quantity]]</f>
        <v>#REF!</v>
      </c>
      <c r="AT85" s="72" t="e">
        <f>AP85*Sales4[[#This Row],[Billed Quantity]]</f>
        <v>#REF!</v>
      </c>
      <c r="AU85" s="72" t="e">
        <f>AQ85*Sales4[[#This Row],[Billed Quantity]]</f>
        <v>#REF!</v>
      </c>
      <c r="AV85" s="72">
        <f>AR85*Sales4[[#This Row],[Billed Quantity]]</f>
        <v>0</v>
      </c>
    </row>
    <row r="86" spans="1:48" x14ac:dyDescent="0.3">
      <c r="A86" s="1" t="s">
        <v>479</v>
      </c>
      <c r="B86" s="2">
        <v>45917</v>
      </c>
      <c r="C86" s="1">
        <v>3271271010</v>
      </c>
      <c r="D86" s="1" t="s">
        <v>38</v>
      </c>
      <c r="E86" s="1" t="s">
        <v>39</v>
      </c>
      <c r="F86" s="1" t="s">
        <v>18</v>
      </c>
      <c r="G86" s="1" t="s">
        <v>19</v>
      </c>
      <c r="H86" s="1" t="s">
        <v>27</v>
      </c>
      <c r="I86" s="3">
        <v>3360</v>
      </c>
      <c r="J86" s="4">
        <v>1106985.6000000001</v>
      </c>
      <c r="K86" s="3">
        <v>3360</v>
      </c>
      <c r="L86" s="3">
        <v>3360</v>
      </c>
      <c r="M86" s="2">
        <v>45917</v>
      </c>
      <c r="N86" s="4">
        <v>1203854.3999999999</v>
      </c>
      <c r="O86" s="1" t="s">
        <v>21</v>
      </c>
      <c r="P86" s="1" t="s">
        <v>22</v>
      </c>
      <c r="Q86" s="1">
        <v>1</v>
      </c>
      <c r="R86" s="1" t="str">
        <f>VLOOKUP(Sales4[[#This Row],[Material type]],Master!$H$3:$I$8,2,0)</f>
        <v>Finished Goods</v>
      </c>
      <c r="S86" s="1" t="str">
        <f>VLOOKUP(Sales4[[#This Row],[Material Group]],Master!B:C,2,0)</f>
        <v>FG-PCB-CF</v>
      </c>
      <c r="T86" s="1" t="str">
        <f>VLOOKUP(Sales4[[#This Row],[Material Group Descrip]],Master!E:F,2,0)</f>
        <v>FG-PCB-CF</v>
      </c>
      <c r="U86" s="9" t="b">
        <f ca="1">(TODAY()-1)=Sales4[[#This Row],[Billing Date]]</f>
        <v>0</v>
      </c>
      <c r="V86" s="10" t="e">
        <f>Sales4[[#This Row],[Net Value]]-Sales4[[#This Row],[PGI COST]]</f>
        <v>#REF!</v>
      </c>
      <c r="W86" s="11" t="e">
        <f>Sales4[[#This Row],[Gross Margin]]/Sales4[[#This Row],[Net Value]]</f>
        <v>#REF!</v>
      </c>
      <c r="X86" s="1" t="str">
        <f>TEXT(Sales4[[#This Row],[Billing Date]],"mmmm-yy")</f>
        <v>September-25</v>
      </c>
      <c r="Y86" s="1">
        <f>Sales4[[#This Row],[Net Value]]/Sales4[[#This Row],[Billed Quantity]]</f>
        <v>358.28999999999996</v>
      </c>
      <c r="Z86" s="117">
        <f>Sales4[[#This Row],[Actual delivery qty]]</f>
        <v>3360</v>
      </c>
      <c r="AA86" s="12" t="e">
        <f>SUM(Sales4[[#This Row],[BOM Cost]:[Other Conversion cost pu]])</f>
        <v>#REF!</v>
      </c>
      <c r="AB8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8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86" s="12">
        <f>IFERROR(VLOOKUP(Sales4[[#This Row],[Material]],'COGS Break up'!#REF!,5,0),0)</f>
        <v>0</v>
      </c>
      <c r="AE8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86" s="48" t="e">
        <f>Sales4[[#This Row],[PGI per unit]]-Sales4[[#This Row],[BOM Cost]]-Sales4[[#This Row],[Labour cost per unit]]-Sales4[[#This Row],[Other Conversion cost pu]]</f>
        <v>#REF!</v>
      </c>
      <c r="AG86" s="48" t="e">
        <f>Sales4[[#This Row],[BOM Cost2]]+Sales4[[#This Row],[Labour Cost]]+Sales4[[#This Row],[Other conversion cost]]</f>
        <v>#REF!</v>
      </c>
      <c r="AH86" s="12" t="e">
        <f>Sales4[[#This Row],[Billed Quantity]]*Sales4[[#This Row],[BOM Cost]]</f>
        <v>#REF!</v>
      </c>
      <c r="AI86" s="12" t="e">
        <f>Sales4[[#This Row],[Billed Quantity]]*Sales4[[#This Row],[Labour cost per unit]]</f>
        <v>#REF!</v>
      </c>
      <c r="AJ86" s="12">
        <f>Sales4[[#This Row],[Droppage per unit]]*Sales4[[#This Row],[Billed Quantity]]</f>
        <v>0</v>
      </c>
      <c r="AK86" s="12" t="e">
        <f>Sales4[[#This Row],[Billed Quantity]]*Sales4[[#This Row],[Other Conversion cost pu]]</f>
        <v>#REF!</v>
      </c>
      <c r="AL86" s="48" t="e">
        <f>Sales4[[#This Row],[PGI Amount]]-Sales4[[#This Row],[BOM Cost2]]-Sales4[[#This Row],[Labour Cost]]-Sales4[[#This Row],[Other conversion cost]]</f>
        <v>#REF!</v>
      </c>
      <c r="AM86" s="121" t="e">
        <f>1-Sales4[[#This Row],[PGI COST]]/Sales4[[#This Row],[Net Value]]</f>
        <v>#REF!</v>
      </c>
      <c r="AN86" s="1">
        <f>Sales4[[#This Row],[PGI Amount]]/Sales4[[#This Row],[Billed Quantity]]</f>
        <v>329.46000000000004</v>
      </c>
      <c r="AO86" s="72" t="e">
        <f>SUMIFS('COGS Break up'!#REF!,'COGS Break up'!#REF!,Sales4[[#This Row],[Material]],'COGS Break up'!#REF!,'MIS Working'!$AO$1)</f>
        <v>#REF!</v>
      </c>
      <c r="AP86" s="72" t="e">
        <f>SUMIFS('COGS Break up'!#REF!,'COGS Break up'!#REF!,Sales4[[#This Row],[Material]],'COGS Break up'!#REF!,'MIS Working'!$AP$1)</f>
        <v>#REF!</v>
      </c>
      <c r="AQ86" s="72" t="e">
        <f>SUMIFS('COGS Break up'!#REF!,'COGS Break up'!#REF!,Sales4[[#This Row],[Material]],'COGS Break up'!#REF!,'MIS Working'!$AQ$1)</f>
        <v>#REF!</v>
      </c>
      <c r="AR86" s="72">
        <f>Sales4[[#This Row],[Droppage per unit]]</f>
        <v>0</v>
      </c>
      <c r="AS86" s="15" t="e">
        <f>AO86*Sales4[[#This Row],[Billed Quantity]]</f>
        <v>#REF!</v>
      </c>
      <c r="AT86" s="72" t="e">
        <f>AP86*Sales4[[#This Row],[Billed Quantity]]</f>
        <v>#REF!</v>
      </c>
      <c r="AU86" s="72" t="e">
        <f>AQ86*Sales4[[#This Row],[Billed Quantity]]</f>
        <v>#REF!</v>
      </c>
      <c r="AV86" s="72">
        <f>AR86*Sales4[[#This Row],[Billed Quantity]]</f>
        <v>0</v>
      </c>
    </row>
    <row r="87" spans="1:48" x14ac:dyDescent="0.3">
      <c r="A87" s="1" t="s">
        <v>479</v>
      </c>
      <c r="B87" s="2">
        <v>45917</v>
      </c>
      <c r="C87" s="1">
        <v>3271270997</v>
      </c>
      <c r="D87" s="1" t="s">
        <v>23</v>
      </c>
      <c r="E87" s="1" t="s">
        <v>24</v>
      </c>
      <c r="F87" s="1" t="s">
        <v>18</v>
      </c>
      <c r="G87" s="1" t="s">
        <v>19</v>
      </c>
      <c r="H87" s="1" t="s">
        <v>27</v>
      </c>
      <c r="I87" s="3">
        <v>210</v>
      </c>
      <c r="J87" s="4">
        <v>89130.3</v>
      </c>
      <c r="K87" s="3">
        <v>210</v>
      </c>
      <c r="L87" s="3">
        <v>210</v>
      </c>
      <c r="M87" s="2">
        <v>45917</v>
      </c>
      <c r="N87" s="4">
        <v>101463.6</v>
      </c>
      <c r="O87" s="1" t="s">
        <v>21</v>
      </c>
      <c r="P87" s="1" t="s">
        <v>22</v>
      </c>
      <c r="Q87" s="1">
        <v>1</v>
      </c>
      <c r="R87" s="1" t="str">
        <f>VLOOKUP(Sales4[[#This Row],[Material type]],Master!$H$3:$I$8,2,0)</f>
        <v>Finished Goods</v>
      </c>
      <c r="S87" s="1" t="str">
        <f>VLOOKUP(Sales4[[#This Row],[Material Group]],Master!B:C,2,0)</f>
        <v>FG-PCB-CF</v>
      </c>
      <c r="T87" s="1" t="str">
        <f>VLOOKUP(Sales4[[#This Row],[Material Group Descrip]],Master!E:F,2,0)</f>
        <v>FG-PCB-CF</v>
      </c>
      <c r="U87" s="9" t="b">
        <f ca="1">(TODAY()-1)=Sales4[[#This Row],[Billing Date]]</f>
        <v>0</v>
      </c>
      <c r="V87" s="10" t="e">
        <f>Sales4[[#This Row],[Net Value]]-Sales4[[#This Row],[PGI COST]]</f>
        <v>#REF!</v>
      </c>
      <c r="W87" s="11" t="e">
        <f>Sales4[[#This Row],[Gross Margin]]/Sales4[[#This Row],[Net Value]]</f>
        <v>#REF!</v>
      </c>
      <c r="X87" s="1" t="str">
        <f>TEXT(Sales4[[#This Row],[Billing Date]],"mmmm-yy")</f>
        <v>September-25</v>
      </c>
      <c r="Y87" s="1">
        <f>Sales4[[#This Row],[Net Value]]/Sales4[[#This Row],[Billed Quantity]]</f>
        <v>483.16</v>
      </c>
      <c r="Z87" s="117">
        <f>Sales4[[#This Row],[Actual delivery qty]]</f>
        <v>210</v>
      </c>
      <c r="AA87" s="12" t="e">
        <f>SUM(Sales4[[#This Row],[BOM Cost]:[Other Conversion cost pu]])</f>
        <v>#REF!</v>
      </c>
      <c r="AB8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8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87" s="12">
        <f>IFERROR(VLOOKUP(Sales4[[#This Row],[Material]],'COGS Break up'!#REF!,5,0),0)</f>
        <v>0</v>
      </c>
      <c r="AE8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87" s="48" t="e">
        <f>Sales4[[#This Row],[PGI per unit]]-Sales4[[#This Row],[BOM Cost]]-Sales4[[#This Row],[Labour cost per unit]]-Sales4[[#This Row],[Other Conversion cost pu]]</f>
        <v>#REF!</v>
      </c>
      <c r="AG87" s="48" t="e">
        <f>Sales4[[#This Row],[BOM Cost2]]+Sales4[[#This Row],[Labour Cost]]+Sales4[[#This Row],[Other conversion cost]]</f>
        <v>#REF!</v>
      </c>
      <c r="AH87" s="12" t="e">
        <f>Sales4[[#This Row],[Billed Quantity]]*Sales4[[#This Row],[BOM Cost]]</f>
        <v>#REF!</v>
      </c>
      <c r="AI87" s="12" t="e">
        <f>Sales4[[#This Row],[Billed Quantity]]*Sales4[[#This Row],[Labour cost per unit]]</f>
        <v>#REF!</v>
      </c>
      <c r="AJ87" s="12">
        <f>Sales4[[#This Row],[Droppage per unit]]*Sales4[[#This Row],[Billed Quantity]]</f>
        <v>0</v>
      </c>
      <c r="AK87" s="12" t="e">
        <f>Sales4[[#This Row],[Billed Quantity]]*Sales4[[#This Row],[Other Conversion cost pu]]</f>
        <v>#REF!</v>
      </c>
      <c r="AL87" s="48" t="e">
        <f>Sales4[[#This Row],[PGI Amount]]-Sales4[[#This Row],[BOM Cost2]]-Sales4[[#This Row],[Labour Cost]]-Sales4[[#This Row],[Other conversion cost]]</f>
        <v>#REF!</v>
      </c>
      <c r="AM87" s="121" t="e">
        <f>1-Sales4[[#This Row],[PGI COST]]/Sales4[[#This Row],[Net Value]]</f>
        <v>#REF!</v>
      </c>
      <c r="AN87" s="1">
        <f>Sales4[[#This Row],[PGI Amount]]/Sales4[[#This Row],[Billed Quantity]]</f>
        <v>424.43</v>
      </c>
      <c r="AO87" s="72" t="e">
        <f>SUMIFS('COGS Break up'!#REF!,'COGS Break up'!#REF!,Sales4[[#This Row],[Material]],'COGS Break up'!#REF!,'MIS Working'!$AO$1)</f>
        <v>#REF!</v>
      </c>
      <c r="AP87" s="72" t="e">
        <f>SUMIFS('COGS Break up'!#REF!,'COGS Break up'!#REF!,Sales4[[#This Row],[Material]],'COGS Break up'!#REF!,'MIS Working'!$AP$1)</f>
        <v>#REF!</v>
      </c>
      <c r="AQ87" s="72" t="e">
        <f>SUMIFS('COGS Break up'!#REF!,'COGS Break up'!#REF!,Sales4[[#This Row],[Material]],'COGS Break up'!#REF!,'MIS Working'!$AQ$1)</f>
        <v>#REF!</v>
      </c>
      <c r="AR87" s="72">
        <f>Sales4[[#This Row],[Droppage per unit]]</f>
        <v>0</v>
      </c>
      <c r="AS87" s="15" t="e">
        <f>AO87*Sales4[[#This Row],[Billed Quantity]]</f>
        <v>#REF!</v>
      </c>
      <c r="AT87" s="72" t="e">
        <f>AP87*Sales4[[#This Row],[Billed Quantity]]</f>
        <v>#REF!</v>
      </c>
      <c r="AU87" s="72" t="e">
        <f>AQ87*Sales4[[#This Row],[Billed Quantity]]</f>
        <v>#REF!</v>
      </c>
      <c r="AV87" s="72">
        <f>AR87*Sales4[[#This Row],[Billed Quantity]]</f>
        <v>0</v>
      </c>
    </row>
    <row r="88" spans="1:48" x14ac:dyDescent="0.3">
      <c r="A88" s="1" t="s">
        <v>479</v>
      </c>
      <c r="B88" s="2">
        <v>45917</v>
      </c>
      <c r="C88" s="1">
        <v>3271271210</v>
      </c>
      <c r="D88" s="1" t="s">
        <v>23</v>
      </c>
      <c r="E88" s="1" t="s">
        <v>24</v>
      </c>
      <c r="F88" s="1" t="s">
        <v>18</v>
      </c>
      <c r="G88" s="1" t="s">
        <v>19</v>
      </c>
      <c r="H88" s="1" t="s">
        <v>27</v>
      </c>
      <c r="I88" s="3">
        <v>280</v>
      </c>
      <c r="J88" s="4">
        <v>118840.4</v>
      </c>
      <c r="K88" s="3">
        <v>280</v>
      </c>
      <c r="L88" s="3">
        <v>280</v>
      </c>
      <c r="M88" s="2">
        <v>45917</v>
      </c>
      <c r="N88" s="4">
        <v>135284.79999999999</v>
      </c>
      <c r="O88" s="1" t="s">
        <v>21</v>
      </c>
      <c r="P88" s="1" t="s">
        <v>22</v>
      </c>
      <c r="Q88" s="1">
        <v>1</v>
      </c>
      <c r="R88" s="1" t="str">
        <f>VLOOKUP(Sales4[[#This Row],[Material type]],Master!$H$3:$I$8,2,0)</f>
        <v>Finished Goods</v>
      </c>
      <c r="S88" s="1" t="str">
        <f>VLOOKUP(Sales4[[#This Row],[Material Group]],Master!B:C,2,0)</f>
        <v>FG-PCB-CF</v>
      </c>
      <c r="T88" s="1" t="str">
        <f>VLOOKUP(Sales4[[#This Row],[Material Group Descrip]],Master!E:F,2,0)</f>
        <v>FG-PCB-CF</v>
      </c>
      <c r="U88" s="9" t="b">
        <f ca="1">(TODAY()-1)=Sales4[[#This Row],[Billing Date]]</f>
        <v>0</v>
      </c>
      <c r="V88" s="10" t="e">
        <f>Sales4[[#This Row],[Net Value]]-Sales4[[#This Row],[PGI COST]]</f>
        <v>#REF!</v>
      </c>
      <c r="W88" s="11" t="e">
        <f>Sales4[[#This Row],[Gross Margin]]/Sales4[[#This Row],[Net Value]]</f>
        <v>#REF!</v>
      </c>
      <c r="X88" s="1" t="str">
        <f>TEXT(Sales4[[#This Row],[Billing Date]],"mmmm-yy")</f>
        <v>September-25</v>
      </c>
      <c r="Y88" s="1">
        <f>Sales4[[#This Row],[Net Value]]/Sales4[[#This Row],[Billed Quantity]]</f>
        <v>483.15999999999997</v>
      </c>
      <c r="Z88" s="117">
        <f>Sales4[[#This Row],[Actual delivery qty]]</f>
        <v>280</v>
      </c>
      <c r="AA88" s="12" t="e">
        <f>SUM(Sales4[[#This Row],[BOM Cost]:[Other Conversion cost pu]])</f>
        <v>#REF!</v>
      </c>
      <c r="AB8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8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88" s="12">
        <f>IFERROR(VLOOKUP(Sales4[[#This Row],[Material]],'COGS Break up'!#REF!,5,0),0)</f>
        <v>0</v>
      </c>
      <c r="AE8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88" s="48" t="e">
        <f>Sales4[[#This Row],[PGI per unit]]-Sales4[[#This Row],[BOM Cost]]-Sales4[[#This Row],[Labour cost per unit]]-Sales4[[#This Row],[Other Conversion cost pu]]</f>
        <v>#REF!</v>
      </c>
      <c r="AG88" s="48" t="e">
        <f>Sales4[[#This Row],[BOM Cost2]]+Sales4[[#This Row],[Labour Cost]]+Sales4[[#This Row],[Other conversion cost]]</f>
        <v>#REF!</v>
      </c>
      <c r="AH88" s="12" t="e">
        <f>Sales4[[#This Row],[Billed Quantity]]*Sales4[[#This Row],[BOM Cost]]</f>
        <v>#REF!</v>
      </c>
      <c r="AI88" s="12" t="e">
        <f>Sales4[[#This Row],[Billed Quantity]]*Sales4[[#This Row],[Labour cost per unit]]</f>
        <v>#REF!</v>
      </c>
      <c r="AJ88" s="12">
        <f>Sales4[[#This Row],[Droppage per unit]]*Sales4[[#This Row],[Billed Quantity]]</f>
        <v>0</v>
      </c>
      <c r="AK88" s="12" t="e">
        <f>Sales4[[#This Row],[Billed Quantity]]*Sales4[[#This Row],[Other Conversion cost pu]]</f>
        <v>#REF!</v>
      </c>
      <c r="AL88" s="48" t="e">
        <f>Sales4[[#This Row],[PGI Amount]]-Sales4[[#This Row],[BOM Cost2]]-Sales4[[#This Row],[Labour Cost]]-Sales4[[#This Row],[Other conversion cost]]</f>
        <v>#REF!</v>
      </c>
      <c r="AM88" s="121" t="e">
        <f>1-Sales4[[#This Row],[PGI COST]]/Sales4[[#This Row],[Net Value]]</f>
        <v>#REF!</v>
      </c>
      <c r="AN88" s="1">
        <f>Sales4[[#This Row],[PGI Amount]]/Sales4[[#This Row],[Billed Quantity]]</f>
        <v>424.43</v>
      </c>
      <c r="AO88" s="72" t="e">
        <f>SUMIFS('COGS Break up'!#REF!,'COGS Break up'!#REF!,Sales4[[#This Row],[Material]],'COGS Break up'!#REF!,'MIS Working'!$AO$1)</f>
        <v>#REF!</v>
      </c>
      <c r="AP88" s="72" t="e">
        <f>SUMIFS('COGS Break up'!#REF!,'COGS Break up'!#REF!,Sales4[[#This Row],[Material]],'COGS Break up'!#REF!,'MIS Working'!$AP$1)</f>
        <v>#REF!</v>
      </c>
      <c r="AQ88" s="72" t="e">
        <f>SUMIFS('COGS Break up'!#REF!,'COGS Break up'!#REF!,Sales4[[#This Row],[Material]],'COGS Break up'!#REF!,'MIS Working'!$AQ$1)</f>
        <v>#REF!</v>
      </c>
      <c r="AR88" s="72">
        <f>Sales4[[#This Row],[Droppage per unit]]</f>
        <v>0</v>
      </c>
      <c r="AS88" s="15" t="e">
        <f>AO88*Sales4[[#This Row],[Billed Quantity]]</f>
        <v>#REF!</v>
      </c>
      <c r="AT88" s="72" t="e">
        <f>AP88*Sales4[[#This Row],[Billed Quantity]]</f>
        <v>#REF!</v>
      </c>
      <c r="AU88" s="72" t="e">
        <f>AQ88*Sales4[[#This Row],[Billed Quantity]]</f>
        <v>#REF!</v>
      </c>
      <c r="AV88" s="72">
        <f>AR88*Sales4[[#This Row],[Billed Quantity]]</f>
        <v>0</v>
      </c>
    </row>
    <row r="89" spans="1:48" x14ac:dyDescent="0.3">
      <c r="A89" s="1" t="s">
        <v>479</v>
      </c>
      <c r="B89" s="2">
        <v>45917</v>
      </c>
      <c r="C89" s="1">
        <v>3271270996</v>
      </c>
      <c r="D89" s="1" t="s">
        <v>23</v>
      </c>
      <c r="E89" s="1" t="s">
        <v>24</v>
      </c>
      <c r="F89" s="1" t="s">
        <v>18</v>
      </c>
      <c r="G89" s="1" t="s">
        <v>19</v>
      </c>
      <c r="H89" s="1" t="s">
        <v>27</v>
      </c>
      <c r="I89" s="3">
        <v>210</v>
      </c>
      <c r="J89" s="4">
        <v>89130.3</v>
      </c>
      <c r="K89" s="3">
        <v>210</v>
      </c>
      <c r="L89" s="3">
        <v>210</v>
      </c>
      <c r="M89" s="2">
        <v>45917</v>
      </c>
      <c r="N89" s="4">
        <v>101463.6</v>
      </c>
      <c r="O89" s="1" t="s">
        <v>21</v>
      </c>
      <c r="P89" s="1" t="s">
        <v>22</v>
      </c>
      <c r="Q89" s="1">
        <v>1</v>
      </c>
      <c r="R89" s="1" t="str">
        <f>VLOOKUP(Sales4[[#This Row],[Material type]],Master!$H$3:$I$8,2,0)</f>
        <v>Finished Goods</v>
      </c>
      <c r="S89" s="1" t="str">
        <f>VLOOKUP(Sales4[[#This Row],[Material Group]],Master!B:C,2,0)</f>
        <v>FG-PCB-CF</v>
      </c>
      <c r="T89" s="1" t="str">
        <f>VLOOKUP(Sales4[[#This Row],[Material Group Descrip]],Master!E:F,2,0)</f>
        <v>FG-PCB-CF</v>
      </c>
      <c r="U89" s="9" t="b">
        <f ca="1">(TODAY()-1)=Sales4[[#This Row],[Billing Date]]</f>
        <v>0</v>
      </c>
      <c r="V89" s="10" t="e">
        <f>Sales4[[#This Row],[Net Value]]-Sales4[[#This Row],[PGI COST]]</f>
        <v>#REF!</v>
      </c>
      <c r="W89" s="11" t="e">
        <f>Sales4[[#This Row],[Gross Margin]]/Sales4[[#This Row],[Net Value]]</f>
        <v>#REF!</v>
      </c>
      <c r="X89" s="1" t="str">
        <f>TEXT(Sales4[[#This Row],[Billing Date]],"mmmm-yy")</f>
        <v>September-25</v>
      </c>
      <c r="Y89" s="1">
        <f>Sales4[[#This Row],[Net Value]]/Sales4[[#This Row],[Billed Quantity]]</f>
        <v>483.16</v>
      </c>
      <c r="Z89" s="117">
        <f>Sales4[[#This Row],[Actual delivery qty]]</f>
        <v>210</v>
      </c>
      <c r="AA89" s="12" t="e">
        <f>SUM(Sales4[[#This Row],[BOM Cost]:[Other Conversion cost pu]])</f>
        <v>#REF!</v>
      </c>
      <c r="AB8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8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89" s="12">
        <f>IFERROR(VLOOKUP(Sales4[[#This Row],[Material]],'COGS Break up'!#REF!,5,0),0)</f>
        <v>0</v>
      </c>
      <c r="AE8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89" s="48" t="e">
        <f>Sales4[[#This Row],[PGI per unit]]-Sales4[[#This Row],[BOM Cost]]-Sales4[[#This Row],[Labour cost per unit]]-Sales4[[#This Row],[Other Conversion cost pu]]</f>
        <v>#REF!</v>
      </c>
      <c r="AG89" s="48" t="e">
        <f>Sales4[[#This Row],[BOM Cost2]]+Sales4[[#This Row],[Labour Cost]]+Sales4[[#This Row],[Other conversion cost]]</f>
        <v>#REF!</v>
      </c>
      <c r="AH89" s="12" t="e">
        <f>Sales4[[#This Row],[Billed Quantity]]*Sales4[[#This Row],[BOM Cost]]</f>
        <v>#REF!</v>
      </c>
      <c r="AI89" s="12" t="e">
        <f>Sales4[[#This Row],[Billed Quantity]]*Sales4[[#This Row],[Labour cost per unit]]</f>
        <v>#REF!</v>
      </c>
      <c r="AJ89" s="12">
        <f>Sales4[[#This Row],[Droppage per unit]]*Sales4[[#This Row],[Billed Quantity]]</f>
        <v>0</v>
      </c>
      <c r="AK89" s="12" t="e">
        <f>Sales4[[#This Row],[Billed Quantity]]*Sales4[[#This Row],[Other Conversion cost pu]]</f>
        <v>#REF!</v>
      </c>
      <c r="AL89" s="48" t="e">
        <f>Sales4[[#This Row],[PGI Amount]]-Sales4[[#This Row],[BOM Cost2]]-Sales4[[#This Row],[Labour Cost]]-Sales4[[#This Row],[Other conversion cost]]</f>
        <v>#REF!</v>
      </c>
      <c r="AM89" s="121" t="e">
        <f>1-Sales4[[#This Row],[PGI COST]]/Sales4[[#This Row],[Net Value]]</f>
        <v>#REF!</v>
      </c>
      <c r="AN89" s="1">
        <f>Sales4[[#This Row],[PGI Amount]]/Sales4[[#This Row],[Billed Quantity]]</f>
        <v>424.43</v>
      </c>
      <c r="AO89" s="72" t="e">
        <f>SUMIFS('COGS Break up'!#REF!,'COGS Break up'!#REF!,Sales4[[#This Row],[Material]],'COGS Break up'!#REF!,'MIS Working'!$AO$1)</f>
        <v>#REF!</v>
      </c>
      <c r="AP89" s="72" t="e">
        <f>SUMIFS('COGS Break up'!#REF!,'COGS Break up'!#REF!,Sales4[[#This Row],[Material]],'COGS Break up'!#REF!,'MIS Working'!$AP$1)</f>
        <v>#REF!</v>
      </c>
      <c r="AQ89" s="72" t="e">
        <f>SUMIFS('COGS Break up'!#REF!,'COGS Break up'!#REF!,Sales4[[#This Row],[Material]],'COGS Break up'!#REF!,'MIS Working'!$AQ$1)</f>
        <v>#REF!</v>
      </c>
      <c r="AR89" s="72">
        <f>Sales4[[#This Row],[Droppage per unit]]</f>
        <v>0</v>
      </c>
      <c r="AS89" s="15" t="e">
        <f>AO89*Sales4[[#This Row],[Billed Quantity]]</f>
        <v>#REF!</v>
      </c>
      <c r="AT89" s="72" t="e">
        <f>AP89*Sales4[[#This Row],[Billed Quantity]]</f>
        <v>#REF!</v>
      </c>
      <c r="AU89" s="72" t="e">
        <f>AQ89*Sales4[[#This Row],[Billed Quantity]]</f>
        <v>#REF!</v>
      </c>
      <c r="AV89" s="72">
        <f>AR89*Sales4[[#This Row],[Billed Quantity]]</f>
        <v>0</v>
      </c>
    </row>
    <row r="90" spans="1:48" x14ac:dyDescent="0.3">
      <c r="A90" s="1" t="s">
        <v>479</v>
      </c>
      <c r="B90" s="2">
        <v>45917</v>
      </c>
      <c r="C90" s="1">
        <v>3271270965</v>
      </c>
      <c r="D90" s="1" t="s">
        <v>23</v>
      </c>
      <c r="E90" s="1" t="s">
        <v>24</v>
      </c>
      <c r="F90" s="1" t="s">
        <v>18</v>
      </c>
      <c r="G90" s="1" t="s">
        <v>19</v>
      </c>
      <c r="H90" s="1" t="s">
        <v>27</v>
      </c>
      <c r="I90" s="3">
        <v>140</v>
      </c>
      <c r="J90" s="4">
        <v>59420.2</v>
      </c>
      <c r="K90" s="3">
        <v>140</v>
      </c>
      <c r="L90" s="3">
        <v>140</v>
      </c>
      <c r="M90" s="2">
        <v>45917</v>
      </c>
      <c r="N90" s="4">
        <v>67642.399999999994</v>
      </c>
      <c r="O90" s="1" t="s">
        <v>21</v>
      </c>
      <c r="P90" s="1" t="s">
        <v>22</v>
      </c>
      <c r="Q90" s="1">
        <v>1</v>
      </c>
      <c r="R90" s="1" t="str">
        <f>VLOOKUP(Sales4[[#This Row],[Material type]],Master!$H$3:$I$8,2,0)</f>
        <v>Finished Goods</v>
      </c>
      <c r="S90" s="1" t="str">
        <f>VLOOKUP(Sales4[[#This Row],[Material Group]],Master!B:C,2,0)</f>
        <v>FG-PCB-CF</v>
      </c>
      <c r="T90" s="1" t="str">
        <f>VLOOKUP(Sales4[[#This Row],[Material Group Descrip]],Master!E:F,2,0)</f>
        <v>FG-PCB-CF</v>
      </c>
      <c r="U90" s="9" t="b">
        <f ca="1">(TODAY()-1)=Sales4[[#This Row],[Billing Date]]</f>
        <v>0</v>
      </c>
      <c r="V90" s="10" t="e">
        <f>Sales4[[#This Row],[Net Value]]-Sales4[[#This Row],[PGI COST]]</f>
        <v>#REF!</v>
      </c>
      <c r="W90" s="11" t="e">
        <f>Sales4[[#This Row],[Gross Margin]]/Sales4[[#This Row],[Net Value]]</f>
        <v>#REF!</v>
      </c>
      <c r="X90" s="1" t="str">
        <f>TEXT(Sales4[[#This Row],[Billing Date]],"mmmm-yy")</f>
        <v>September-25</v>
      </c>
      <c r="Y90" s="1">
        <f>Sales4[[#This Row],[Net Value]]/Sales4[[#This Row],[Billed Quantity]]</f>
        <v>483.15999999999997</v>
      </c>
      <c r="Z90" s="117">
        <f>Sales4[[#This Row],[Actual delivery qty]]</f>
        <v>140</v>
      </c>
      <c r="AA90" s="12" t="e">
        <f>SUM(Sales4[[#This Row],[BOM Cost]:[Other Conversion cost pu]])</f>
        <v>#REF!</v>
      </c>
      <c r="AB9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9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90" s="12">
        <f>IFERROR(VLOOKUP(Sales4[[#This Row],[Material]],'COGS Break up'!#REF!,5,0),0)</f>
        <v>0</v>
      </c>
      <c r="AE9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90" s="48" t="e">
        <f>Sales4[[#This Row],[PGI per unit]]-Sales4[[#This Row],[BOM Cost]]-Sales4[[#This Row],[Labour cost per unit]]-Sales4[[#This Row],[Other Conversion cost pu]]</f>
        <v>#REF!</v>
      </c>
      <c r="AG90" s="48" t="e">
        <f>Sales4[[#This Row],[BOM Cost2]]+Sales4[[#This Row],[Labour Cost]]+Sales4[[#This Row],[Other conversion cost]]</f>
        <v>#REF!</v>
      </c>
      <c r="AH90" s="12" t="e">
        <f>Sales4[[#This Row],[Billed Quantity]]*Sales4[[#This Row],[BOM Cost]]</f>
        <v>#REF!</v>
      </c>
      <c r="AI90" s="12" t="e">
        <f>Sales4[[#This Row],[Billed Quantity]]*Sales4[[#This Row],[Labour cost per unit]]</f>
        <v>#REF!</v>
      </c>
      <c r="AJ90" s="12">
        <f>Sales4[[#This Row],[Droppage per unit]]*Sales4[[#This Row],[Billed Quantity]]</f>
        <v>0</v>
      </c>
      <c r="AK90" s="12" t="e">
        <f>Sales4[[#This Row],[Billed Quantity]]*Sales4[[#This Row],[Other Conversion cost pu]]</f>
        <v>#REF!</v>
      </c>
      <c r="AL90" s="48" t="e">
        <f>Sales4[[#This Row],[PGI Amount]]-Sales4[[#This Row],[BOM Cost2]]-Sales4[[#This Row],[Labour Cost]]-Sales4[[#This Row],[Other conversion cost]]</f>
        <v>#REF!</v>
      </c>
      <c r="AM90" s="121" t="e">
        <f>1-Sales4[[#This Row],[PGI COST]]/Sales4[[#This Row],[Net Value]]</f>
        <v>#REF!</v>
      </c>
      <c r="AN90" s="1">
        <f>Sales4[[#This Row],[PGI Amount]]/Sales4[[#This Row],[Billed Quantity]]</f>
        <v>424.43</v>
      </c>
      <c r="AO90" s="72" t="e">
        <f>SUMIFS('COGS Break up'!#REF!,'COGS Break up'!#REF!,Sales4[[#This Row],[Material]],'COGS Break up'!#REF!,'MIS Working'!$AO$1)</f>
        <v>#REF!</v>
      </c>
      <c r="AP90" s="72" t="e">
        <f>SUMIFS('COGS Break up'!#REF!,'COGS Break up'!#REF!,Sales4[[#This Row],[Material]],'COGS Break up'!#REF!,'MIS Working'!$AP$1)</f>
        <v>#REF!</v>
      </c>
      <c r="AQ90" s="72" t="e">
        <f>SUMIFS('COGS Break up'!#REF!,'COGS Break up'!#REF!,Sales4[[#This Row],[Material]],'COGS Break up'!#REF!,'MIS Working'!$AQ$1)</f>
        <v>#REF!</v>
      </c>
      <c r="AR90" s="72">
        <f>Sales4[[#This Row],[Droppage per unit]]</f>
        <v>0</v>
      </c>
      <c r="AS90" s="15" t="e">
        <f>AO90*Sales4[[#This Row],[Billed Quantity]]</f>
        <v>#REF!</v>
      </c>
      <c r="AT90" s="72" t="e">
        <f>AP90*Sales4[[#This Row],[Billed Quantity]]</f>
        <v>#REF!</v>
      </c>
      <c r="AU90" s="72" t="e">
        <f>AQ90*Sales4[[#This Row],[Billed Quantity]]</f>
        <v>#REF!</v>
      </c>
      <c r="AV90" s="72">
        <f>AR90*Sales4[[#This Row],[Billed Quantity]]</f>
        <v>0</v>
      </c>
    </row>
    <row r="91" spans="1:48" x14ac:dyDescent="0.3">
      <c r="A91" s="1" t="s">
        <v>479</v>
      </c>
      <c r="B91" s="2">
        <v>45917</v>
      </c>
      <c r="C91" s="1">
        <v>3271271239</v>
      </c>
      <c r="D91" s="1" t="s">
        <v>23</v>
      </c>
      <c r="E91" s="1" t="s">
        <v>24</v>
      </c>
      <c r="F91" s="1" t="s">
        <v>18</v>
      </c>
      <c r="G91" s="1" t="s">
        <v>19</v>
      </c>
      <c r="H91" s="1" t="s">
        <v>27</v>
      </c>
      <c r="I91" s="3">
        <v>140</v>
      </c>
      <c r="J91" s="4">
        <v>59420.2</v>
      </c>
      <c r="K91" s="3">
        <v>140</v>
      </c>
      <c r="L91" s="3">
        <v>140</v>
      </c>
      <c r="M91" s="2">
        <v>45917</v>
      </c>
      <c r="N91" s="4">
        <v>67642.399999999994</v>
      </c>
      <c r="O91" s="1" t="s">
        <v>21</v>
      </c>
      <c r="P91" s="1" t="s">
        <v>22</v>
      </c>
      <c r="Q91" s="1">
        <v>1</v>
      </c>
      <c r="R91" s="1" t="str">
        <f>VLOOKUP(Sales4[[#This Row],[Material type]],Master!$H$3:$I$8,2,0)</f>
        <v>Finished Goods</v>
      </c>
      <c r="S91" s="1" t="str">
        <f>VLOOKUP(Sales4[[#This Row],[Material Group]],Master!B:C,2,0)</f>
        <v>FG-PCB-CF</v>
      </c>
      <c r="T91" s="1" t="str">
        <f>VLOOKUP(Sales4[[#This Row],[Material Group Descrip]],Master!E:F,2,0)</f>
        <v>FG-PCB-CF</v>
      </c>
      <c r="U91" s="9" t="b">
        <f ca="1">(TODAY()-1)=Sales4[[#This Row],[Billing Date]]</f>
        <v>0</v>
      </c>
      <c r="V91" s="10" t="e">
        <f>Sales4[[#This Row],[Net Value]]-Sales4[[#This Row],[PGI COST]]</f>
        <v>#REF!</v>
      </c>
      <c r="W91" s="11" t="e">
        <f>Sales4[[#This Row],[Gross Margin]]/Sales4[[#This Row],[Net Value]]</f>
        <v>#REF!</v>
      </c>
      <c r="X91" s="1" t="str">
        <f>TEXT(Sales4[[#This Row],[Billing Date]],"mmmm-yy")</f>
        <v>September-25</v>
      </c>
      <c r="Y91" s="1">
        <f>Sales4[[#This Row],[Net Value]]/Sales4[[#This Row],[Billed Quantity]]</f>
        <v>483.15999999999997</v>
      </c>
      <c r="Z91" s="117">
        <f>Sales4[[#This Row],[Actual delivery qty]]</f>
        <v>140</v>
      </c>
      <c r="AA91" s="12" t="e">
        <f>SUM(Sales4[[#This Row],[BOM Cost]:[Other Conversion cost pu]])</f>
        <v>#REF!</v>
      </c>
      <c r="AB9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9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91" s="12">
        <f>IFERROR(VLOOKUP(Sales4[[#This Row],[Material]],'COGS Break up'!#REF!,5,0),0)</f>
        <v>0</v>
      </c>
      <c r="AE9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91" s="48" t="e">
        <f>Sales4[[#This Row],[PGI per unit]]-Sales4[[#This Row],[BOM Cost]]-Sales4[[#This Row],[Labour cost per unit]]-Sales4[[#This Row],[Other Conversion cost pu]]</f>
        <v>#REF!</v>
      </c>
      <c r="AG91" s="48" t="e">
        <f>Sales4[[#This Row],[BOM Cost2]]+Sales4[[#This Row],[Labour Cost]]+Sales4[[#This Row],[Other conversion cost]]</f>
        <v>#REF!</v>
      </c>
      <c r="AH91" s="12" t="e">
        <f>Sales4[[#This Row],[Billed Quantity]]*Sales4[[#This Row],[BOM Cost]]</f>
        <v>#REF!</v>
      </c>
      <c r="AI91" s="12" t="e">
        <f>Sales4[[#This Row],[Billed Quantity]]*Sales4[[#This Row],[Labour cost per unit]]</f>
        <v>#REF!</v>
      </c>
      <c r="AJ91" s="12">
        <f>Sales4[[#This Row],[Droppage per unit]]*Sales4[[#This Row],[Billed Quantity]]</f>
        <v>0</v>
      </c>
      <c r="AK91" s="12" t="e">
        <f>Sales4[[#This Row],[Billed Quantity]]*Sales4[[#This Row],[Other Conversion cost pu]]</f>
        <v>#REF!</v>
      </c>
      <c r="AL91" s="48" t="e">
        <f>Sales4[[#This Row],[PGI Amount]]-Sales4[[#This Row],[BOM Cost2]]-Sales4[[#This Row],[Labour Cost]]-Sales4[[#This Row],[Other conversion cost]]</f>
        <v>#REF!</v>
      </c>
      <c r="AM91" s="121" t="e">
        <f>1-Sales4[[#This Row],[PGI COST]]/Sales4[[#This Row],[Net Value]]</f>
        <v>#REF!</v>
      </c>
      <c r="AN91" s="1">
        <f>Sales4[[#This Row],[PGI Amount]]/Sales4[[#This Row],[Billed Quantity]]</f>
        <v>424.43</v>
      </c>
      <c r="AO91" s="72" t="e">
        <f>SUMIFS('COGS Break up'!#REF!,'COGS Break up'!#REF!,Sales4[[#This Row],[Material]],'COGS Break up'!#REF!,'MIS Working'!$AO$1)</f>
        <v>#REF!</v>
      </c>
      <c r="AP91" s="72" t="e">
        <f>SUMIFS('COGS Break up'!#REF!,'COGS Break up'!#REF!,Sales4[[#This Row],[Material]],'COGS Break up'!#REF!,'MIS Working'!$AP$1)</f>
        <v>#REF!</v>
      </c>
      <c r="AQ91" s="72" t="e">
        <f>SUMIFS('COGS Break up'!#REF!,'COGS Break up'!#REF!,Sales4[[#This Row],[Material]],'COGS Break up'!#REF!,'MIS Working'!$AQ$1)</f>
        <v>#REF!</v>
      </c>
      <c r="AR91" s="72">
        <f>Sales4[[#This Row],[Droppage per unit]]</f>
        <v>0</v>
      </c>
      <c r="AS91" s="15" t="e">
        <f>AO91*Sales4[[#This Row],[Billed Quantity]]</f>
        <v>#REF!</v>
      </c>
      <c r="AT91" s="72" t="e">
        <f>AP91*Sales4[[#This Row],[Billed Quantity]]</f>
        <v>#REF!</v>
      </c>
      <c r="AU91" s="72" t="e">
        <f>AQ91*Sales4[[#This Row],[Billed Quantity]]</f>
        <v>#REF!</v>
      </c>
      <c r="AV91" s="72">
        <f>AR91*Sales4[[#This Row],[Billed Quantity]]</f>
        <v>0</v>
      </c>
    </row>
    <row r="92" spans="1:48" x14ac:dyDescent="0.3">
      <c r="A92" s="1" t="s">
        <v>479</v>
      </c>
      <c r="B92" s="2">
        <v>45917</v>
      </c>
      <c r="C92" s="1">
        <v>3271271205</v>
      </c>
      <c r="D92" s="1" t="s">
        <v>362</v>
      </c>
      <c r="E92" s="1" t="s">
        <v>363</v>
      </c>
      <c r="F92" s="1" t="s">
        <v>18</v>
      </c>
      <c r="G92" s="1" t="s">
        <v>19</v>
      </c>
      <c r="H92" s="1" t="s">
        <v>483</v>
      </c>
      <c r="I92" s="3">
        <v>105</v>
      </c>
      <c r="J92" s="4">
        <v>76976.55</v>
      </c>
      <c r="K92" s="3">
        <v>105</v>
      </c>
      <c r="L92" s="3">
        <v>105</v>
      </c>
      <c r="M92" s="2">
        <v>45917</v>
      </c>
      <c r="N92" s="4">
        <v>90535.2</v>
      </c>
      <c r="O92" s="1" t="s">
        <v>21</v>
      </c>
      <c r="P92" s="1" t="s">
        <v>22</v>
      </c>
      <c r="Q92" s="1">
        <v>1</v>
      </c>
      <c r="R92" s="1" t="str">
        <f>VLOOKUP(Sales4[[#This Row],[Material type]],Master!$H$3:$I$8,2,0)</f>
        <v>Finished Goods</v>
      </c>
      <c r="S92" s="1" t="str">
        <f>VLOOKUP(Sales4[[#This Row],[Material Group]],Master!B:C,2,0)</f>
        <v>FG-PCB-MG</v>
      </c>
      <c r="T92" s="1" t="str">
        <f>VLOOKUP(Sales4[[#This Row],[Material Group Descrip]],Master!E:F,2,0)</f>
        <v>FG-PCB-MG</v>
      </c>
      <c r="U92" s="9" t="b">
        <f ca="1">(TODAY()-1)=Sales4[[#This Row],[Billing Date]]</f>
        <v>0</v>
      </c>
      <c r="V92" s="10" t="e">
        <f>Sales4[[#This Row],[Net Value]]-Sales4[[#This Row],[PGI COST]]</f>
        <v>#REF!</v>
      </c>
      <c r="W92" s="11" t="e">
        <f>Sales4[[#This Row],[Gross Margin]]/Sales4[[#This Row],[Net Value]]</f>
        <v>#REF!</v>
      </c>
      <c r="X92" s="1" t="str">
        <f>TEXT(Sales4[[#This Row],[Billing Date]],"mmmm-yy")</f>
        <v>September-25</v>
      </c>
      <c r="Y92" s="1">
        <f>Sales4[[#This Row],[Net Value]]/Sales4[[#This Row],[Billed Quantity]]</f>
        <v>862.24</v>
      </c>
      <c r="Z92" s="117">
        <f>Sales4[[#This Row],[Actual delivery qty]]</f>
        <v>105</v>
      </c>
      <c r="AA92" s="12" t="e">
        <f>SUM(Sales4[[#This Row],[BOM Cost]:[Other Conversion cost pu]])</f>
        <v>#REF!</v>
      </c>
      <c r="AB9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9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92" s="12">
        <f>IFERROR(VLOOKUP(Sales4[[#This Row],[Material]],'COGS Break up'!#REF!,5,0),0)</f>
        <v>0</v>
      </c>
      <c r="AE9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92" s="48" t="e">
        <f>Sales4[[#This Row],[PGI per unit]]-Sales4[[#This Row],[BOM Cost]]-Sales4[[#This Row],[Labour cost per unit]]-Sales4[[#This Row],[Other Conversion cost pu]]</f>
        <v>#REF!</v>
      </c>
      <c r="AG92" s="48" t="e">
        <f>Sales4[[#This Row],[BOM Cost2]]+Sales4[[#This Row],[Labour Cost]]+Sales4[[#This Row],[Other conversion cost]]</f>
        <v>#REF!</v>
      </c>
      <c r="AH92" s="12" t="e">
        <f>Sales4[[#This Row],[Billed Quantity]]*Sales4[[#This Row],[BOM Cost]]</f>
        <v>#REF!</v>
      </c>
      <c r="AI92" s="12" t="e">
        <f>Sales4[[#This Row],[Billed Quantity]]*Sales4[[#This Row],[Labour cost per unit]]</f>
        <v>#REF!</v>
      </c>
      <c r="AJ92" s="12">
        <f>Sales4[[#This Row],[Droppage per unit]]*Sales4[[#This Row],[Billed Quantity]]</f>
        <v>0</v>
      </c>
      <c r="AK92" s="12" t="e">
        <f>Sales4[[#This Row],[Billed Quantity]]*Sales4[[#This Row],[Other Conversion cost pu]]</f>
        <v>#REF!</v>
      </c>
      <c r="AL92" s="48" t="e">
        <f>Sales4[[#This Row],[PGI Amount]]-Sales4[[#This Row],[BOM Cost2]]-Sales4[[#This Row],[Labour Cost]]-Sales4[[#This Row],[Other conversion cost]]</f>
        <v>#REF!</v>
      </c>
      <c r="AM92" s="121" t="e">
        <f>1-Sales4[[#This Row],[PGI COST]]/Sales4[[#This Row],[Net Value]]</f>
        <v>#REF!</v>
      </c>
      <c r="AN92" s="1">
        <f>Sales4[[#This Row],[PGI Amount]]/Sales4[[#This Row],[Billed Quantity]]</f>
        <v>733.11</v>
      </c>
      <c r="AO92" s="72" t="e">
        <f>SUMIFS('COGS Break up'!#REF!,'COGS Break up'!#REF!,Sales4[[#This Row],[Material]],'COGS Break up'!#REF!,'MIS Working'!$AO$1)</f>
        <v>#REF!</v>
      </c>
      <c r="AP92" s="72" t="e">
        <f>SUMIFS('COGS Break up'!#REF!,'COGS Break up'!#REF!,Sales4[[#This Row],[Material]],'COGS Break up'!#REF!,'MIS Working'!$AP$1)</f>
        <v>#REF!</v>
      </c>
      <c r="AQ92" s="72" t="e">
        <f>SUMIFS('COGS Break up'!#REF!,'COGS Break up'!#REF!,Sales4[[#This Row],[Material]],'COGS Break up'!#REF!,'MIS Working'!$AQ$1)</f>
        <v>#REF!</v>
      </c>
      <c r="AR92" s="72">
        <f>Sales4[[#This Row],[Droppage per unit]]</f>
        <v>0</v>
      </c>
      <c r="AS92" s="15" t="e">
        <f>AO92*Sales4[[#This Row],[Billed Quantity]]</f>
        <v>#REF!</v>
      </c>
      <c r="AT92" s="72" t="e">
        <f>AP92*Sales4[[#This Row],[Billed Quantity]]</f>
        <v>#REF!</v>
      </c>
      <c r="AU92" s="72" t="e">
        <f>AQ92*Sales4[[#This Row],[Billed Quantity]]</f>
        <v>#REF!</v>
      </c>
      <c r="AV92" s="72">
        <f>AR92*Sales4[[#This Row],[Billed Quantity]]</f>
        <v>0</v>
      </c>
    </row>
    <row r="93" spans="1:48" x14ac:dyDescent="0.3">
      <c r="A93" s="1" t="s">
        <v>479</v>
      </c>
      <c r="B93" s="2">
        <v>45917</v>
      </c>
      <c r="C93" s="1">
        <v>3271271239</v>
      </c>
      <c r="D93" s="1" t="s">
        <v>362</v>
      </c>
      <c r="E93" s="1" t="s">
        <v>363</v>
      </c>
      <c r="F93" s="1" t="s">
        <v>18</v>
      </c>
      <c r="G93" s="1" t="s">
        <v>19</v>
      </c>
      <c r="H93" s="1" t="s">
        <v>483</v>
      </c>
      <c r="I93" s="3">
        <v>245</v>
      </c>
      <c r="J93" s="4">
        <v>179611.95</v>
      </c>
      <c r="K93" s="3">
        <v>245</v>
      </c>
      <c r="L93" s="3">
        <v>245</v>
      </c>
      <c r="M93" s="2">
        <v>45917</v>
      </c>
      <c r="N93" s="4">
        <v>211248.8</v>
      </c>
      <c r="O93" s="1" t="s">
        <v>21</v>
      </c>
      <c r="P93" s="1" t="s">
        <v>22</v>
      </c>
      <c r="Q93" s="1">
        <v>1</v>
      </c>
      <c r="R93" s="1" t="str">
        <f>VLOOKUP(Sales4[[#This Row],[Material type]],Master!$H$3:$I$8,2,0)</f>
        <v>Finished Goods</v>
      </c>
      <c r="S93" s="1" t="str">
        <f>VLOOKUP(Sales4[[#This Row],[Material Group]],Master!B:C,2,0)</f>
        <v>FG-PCB-MG</v>
      </c>
      <c r="T93" s="1" t="str">
        <f>VLOOKUP(Sales4[[#This Row],[Material Group Descrip]],Master!E:F,2,0)</f>
        <v>FG-PCB-MG</v>
      </c>
      <c r="U93" s="9" t="b">
        <f ca="1">(TODAY()-1)=Sales4[[#This Row],[Billing Date]]</f>
        <v>0</v>
      </c>
      <c r="V93" s="10" t="e">
        <f>Sales4[[#This Row],[Net Value]]-Sales4[[#This Row],[PGI COST]]</f>
        <v>#REF!</v>
      </c>
      <c r="W93" s="11" t="e">
        <f>Sales4[[#This Row],[Gross Margin]]/Sales4[[#This Row],[Net Value]]</f>
        <v>#REF!</v>
      </c>
      <c r="X93" s="1" t="str">
        <f>TEXT(Sales4[[#This Row],[Billing Date]],"mmmm-yy")</f>
        <v>September-25</v>
      </c>
      <c r="Y93" s="1">
        <f>Sales4[[#This Row],[Net Value]]/Sales4[[#This Row],[Billed Quantity]]</f>
        <v>862.24</v>
      </c>
      <c r="Z93" s="117">
        <f>Sales4[[#This Row],[Actual delivery qty]]</f>
        <v>245</v>
      </c>
      <c r="AA93" s="12" t="e">
        <f>SUM(Sales4[[#This Row],[BOM Cost]:[Other Conversion cost pu]])</f>
        <v>#REF!</v>
      </c>
      <c r="AB9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9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93" s="12">
        <f>IFERROR(VLOOKUP(Sales4[[#This Row],[Material]],'COGS Break up'!#REF!,5,0),0)</f>
        <v>0</v>
      </c>
      <c r="AE9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93" s="48" t="e">
        <f>Sales4[[#This Row],[PGI per unit]]-Sales4[[#This Row],[BOM Cost]]-Sales4[[#This Row],[Labour cost per unit]]-Sales4[[#This Row],[Other Conversion cost pu]]</f>
        <v>#REF!</v>
      </c>
      <c r="AG93" s="48" t="e">
        <f>Sales4[[#This Row],[BOM Cost2]]+Sales4[[#This Row],[Labour Cost]]+Sales4[[#This Row],[Other conversion cost]]</f>
        <v>#REF!</v>
      </c>
      <c r="AH93" s="12" t="e">
        <f>Sales4[[#This Row],[Billed Quantity]]*Sales4[[#This Row],[BOM Cost]]</f>
        <v>#REF!</v>
      </c>
      <c r="AI93" s="12" t="e">
        <f>Sales4[[#This Row],[Billed Quantity]]*Sales4[[#This Row],[Labour cost per unit]]</f>
        <v>#REF!</v>
      </c>
      <c r="AJ93" s="12">
        <f>Sales4[[#This Row],[Droppage per unit]]*Sales4[[#This Row],[Billed Quantity]]</f>
        <v>0</v>
      </c>
      <c r="AK93" s="12" t="e">
        <f>Sales4[[#This Row],[Billed Quantity]]*Sales4[[#This Row],[Other Conversion cost pu]]</f>
        <v>#REF!</v>
      </c>
      <c r="AL93" s="48" t="e">
        <f>Sales4[[#This Row],[PGI Amount]]-Sales4[[#This Row],[BOM Cost2]]-Sales4[[#This Row],[Labour Cost]]-Sales4[[#This Row],[Other conversion cost]]</f>
        <v>#REF!</v>
      </c>
      <c r="AM93" s="121" t="e">
        <f>1-Sales4[[#This Row],[PGI COST]]/Sales4[[#This Row],[Net Value]]</f>
        <v>#REF!</v>
      </c>
      <c r="AN93" s="1">
        <f>Sales4[[#This Row],[PGI Amount]]/Sales4[[#This Row],[Billed Quantity]]</f>
        <v>733.11</v>
      </c>
      <c r="AO93" s="72" t="e">
        <f>SUMIFS('COGS Break up'!#REF!,'COGS Break up'!#REF!,Sales4[[#This Row],[Material]],'COGS Break up'!#REF!,'MIS Working'!$AO$1)</f>
        <v>#REF!</v>
      </c>
      <c r="AP93" s="72" t="e">
        <f>SUMIFS('COGS Break up'!#REF!,'COGS Break up'!#REF!,Sales4[[#This Row],[Material]],'COGS Break up'!#REF!,'MIS Working'!$AP$1)</f>
        <v>#REF!</v>
      </c>
      <c r="AQ93" s="72" t="e">
        <f>SUMIFS('COGS Break up'!#REF!,'COGS Break up'!#REF!,Sales4[[#This Row],[Material]],'COGS Break up'!#REF!,'MIS Working'!$AQ$1)</f>
        <v>#REF!</v>
      </c>
      <c r="AR93" s="72">
        <f>Sales4[[#This Row],[Droppage per unit]]</f>
        <v>0</v>
      </c>
      <c r="AS93" s="15" t="e">
        <f>AO93*Sales4[[#This Row],[Billed Quantity]]</f>
        <v>#REF!</v>
      </c>
      <c r="AT93" s="72" t="e">
        <f>AP93*Sales4[[#This Row],[Billed Quantity]]</f>
        <v>#REF!</v>
      </c>
      <c r="AU93" s="72" t="e">
        <f>AQ93*Sales4[[#This Row],[Billed Quantity]]</f>
        <v>#REF!</v>
      </c>
      <c r="AV93" s="72">
        <f>AR93*Sales4[[#This Row],[Billed Quantity]]</f>
        <v>0</v>
      </c>
    </row>
    <row r="94" spans="1:48" x14ac:dyDescent="0.3">
      <c r="A94" s="1" t="s">
        <v>479</v>
      </c>
      <c r="B94" s="2">
        <v>45917</v>
      </c>
      <c r="C94" s="1">
        <v>3271270965</v>
      </c>
      <c r="D94" s="1" t="s">
        <v>364</v>
      </c>
      <c r="E94" s="1" t="s">
        <v>365</v>
      </c>
      <c r="F94" s="1" t="s">
        <v>18</v>
      </c>
      <c r="G94" s="1" t="s">
        <v>19</v>
      </c>
      <c r="H94" s="1" t="s">
        <v>771</v>
      </c>
      <c r="I94" s="3">
        <v>420</v>
      </c>
      <c r="J94" s="4">
        <v>45792.6</v>
      </c>
      <c r="K94" s="3">
        <v>420</v>
      </c>
      <c r="L94" s="3">
        <v>420</v>
      </c>
      <c r="M94" s="2">
        <v>45917</v>
      </c>
      <c r="N94" s="4">
        <v>42520.800000000003</v>
      </c>
      <c r="O94" s="1" t="s">
        <v>21</v>
      </c>
      <c r="P94" s="1" t="s">
        <v>22</v>
      </c>
      <c r="Q94" s="1">
        <v>1</v>
      </c>
      <c r="R94" s="1" t="str">
        <f>VLOOKUP(Sales4[[#This Row],[Material type]],Master!$H$3:$I$8,2,0)</f>
        <v>Finished Goods</v>
      </c>
      <c r="S94" s="1" t="str">
        <f>VLOOKUP(Sales4[[#This Row],[Material Group]],Master!B:C,2,0)</f>
        <v>FG-PCB-MG Interface</v>
      </c>
      <c r="T94" s="1" t="str">
        <f>VLOOKUP(Sales4[[#This Row],[Material Group Descrip]],Master!E:F,2,0)</f>
        <v>FG-PCB-MG</v>
      </c>
      <c r="U94" s="9" t="b">
        <f ca="1">(TODAY()-1)=Sales4[[#This Row],[Billing Date]]</f>
        <v>0</v>
      </c>
      <c r="V94" s="10" t="e">
        <f>Sales4[[#This Row],[Net Value]]-Sales4[[#This Row],[PGI COST]]</f>
        <v>#REF!</v>
      </c>
      <c r="W94" s="11" t="e">
        <f>Sales4[[#This Row],[Gross Margin]]/Sales4[[#This Row],[Net Value]]</f>
        <v>#REF!</v>
      </c>
      <c r="X94" s="1" t="str">
        <f>TEXT(Sales4[[#This Row],[Billing Date]],"mmmm-yy")</f>
        <v>September-25</v>
      </c>
      <c r="Y94" s="1">
        <f>Sales4[[#This Row],[Net Value]]/Sales4[[#This Row],[Billed Quantity]]</f>
        <v>101.24000000000001</v>
      </c>
      <c r="Z94" s="117"/>
      <c r="AA94" s="12" t="e">
        <f>SUM(Sales4[[#This Row],[BOM Cost]:[Other Conversion cost pu]])</f>
        <v>#REF!</v>
      </c>
      <c r="AB9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9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94" s="12">
        <f>IFERROR(VLOOKUP(Sales4[[#This Row],[Material]],'COGS Break up'!#REF!,5,0),0)</f>
        <v>0</v>
      </c>
      <c r="AE9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94" s="48" t="e">
        <f>Sales4[[#This Row],[PGI per unit]]-Sales4[[#This Row],[BOM Cost]]-Sales4[[#This Row],[Labour cost per unit]]-Sales4[[#This Row],[Other Conversion cost pu]]</f>
        <v>#REF!</v>
      </c>
      <c r="AG94" s="48" t="e">
        <f>Sales4[[#This Row],[BOM Cost2]]+Sales4[[#This Row],[Labour Cost]]+Sales4[[#This Row],[Other conversion cost]]</f>
        <v>#REF!</v>
      </c>
      <c r="AH94" s="12" t="e">
        <f>Sales4[[#This Row],[Billed Quantity]]*Sales4[[#This Row],[BOM Cost]]</f>
        <v>#REF!</v>
      </c>
      <c r="AI94" s="12" t="e">
        <f>Sales4[[#This Row],[Billed Quantity]]*Sales4[[#This Row],[Labour cost per unit]]</f>
        <v>#REF!</v>
      </c>
      <c r="AJ94" s="12">
        <f>Sales4[[#This Row],[Droppage per unit]]*Sales4[[#This Row],[Billed Quantity]]</f>
        <v>0</v>
      </c>
      <c r="AK94" s="12" t="e">
        <f>Sales4[[#This Row],[Billed Quantity]]*Sales4[[#This Row],[Other Conversion cost pu]]</f>
        <v>#REF!</v>
      </c>
      <c r="AL94" s="48" t="e">
        <f>Sales4[[#This Row],[PGI Amount]]-Sales4[[#This Row],[BOM Cost2]]-Sales4[[#This Row],[Labour Cost]]-Sales4[[#This Row],[Other conversion cost]]</f>
        <v>#REF!</v>
      </c>
      <c r="AM94" s="121" t="e">
        <f>1-Sales4[[#This Row],[PGI COST]]/Sales4[[#This Row],[Net Value]]</f>
        <v>#REF!</v>
      </c>
      <c r="AN94" s="1">
        <f>Sales4[[#This Row],[PGI Amount]]/Sales4[[#This Row],[Billed Quantity]]</f>
        <v>109.03</v>
      </c>
      <c r="AO94" s="72" t="e">
        <f>SUMIFS('COGS Break up'!#REF!,'COGS Break up'!#REF!,Sales4[[#This Row],[Material]],'COGS Break up'!#REF!,'MIS Working'!$AO$1)</f>
        <v>#REF!</v>
      </c>
      <c r="AP94" s="72" t="e">
        <f>SUMIFS('COGS Break up'!#REF!,'COGS Break up'!#REF!,Sales4[[#This Row],[Material]],'COGS Break up'!#REF!,'MIS Working'!$AP$1)</f>
        <v>#REF!</v>
      </c>
      <c r="AQ94" s="72" t="e">
        <f>SUMIFS('COGS Break up'!#REF!,'COGS Break up'!#REF!,Sales4[[#This Row],[Material]],'COGS Break up'!#REF!,'MIS Working'!$AQ$1)</f>
        <v>#REF!</v>
      </c>
      <c r="AR94" s="72">
        <f>Sales4[[#This Row],[Droppage per unit]]</f>
        <v>0</v>
      </c>
      <c r="AS94" s="15" t="e">
        <f>AO94*Sales4[[#This Row],[Billed Quantity]]</f>
        <v>#REF!</v>
      </c>
      <c r="AT94" s="72" t="e">
        <f>AP94*Sales4[[#This Row],[Billed Quantity]]</f>
        <v>#REF!</v>
      </c>
      <c r="AU94" s="72" t="e">
        <f>AQ94*Sales4[[#This Row],[Billed Quantity]]</f>
        <v>#REF!</v>
      </c>
      <c r="AV94" s="72">
        <f>AR94*Sales4[[#This Row],[Billed Quantity]]</f>
        <v>0</v>
      </c>
    </row>
    <row r="95" spans="1:48" x14ac:dyDescent="0.3">
      <c r="A95" s="1" t="s">
        <v>479</v>
      </c>
      <c r="B95" s="2">
        <v>45917</v>
      </c>
      <c r="C95" s="1">
        <v>3271271010</v>
      </c>
      <c r="D95" s="1" t="s">
        <v>364</v>
      </c>
      <c r="E95" s="1" t="s">
        <v>365</v>
      </c>
      <c r="F95" s="1" t="s">
        <v>18</v>
      </c>
      <c r="G95" s="1" t="s">
        <v>19</v>
      </c>
      <c r="H95" s="1" t="s">
        <v>771</v>
      </c>
      <c r="I95" s="3">
        <v>875</v>
      </c>
      <c r="J95" s="4">
        <v>95401.25</v>
      </c>
      <c r="K95" s="3">
        <v>875</v>
      </c>
      <c r="L95" s="3">
        <v>875</v>
      </c>
      <c r="M95" s="2">
        <v>45917</v>
      </c>
      <c r="N95" s="4">
        <v>88585</v>
      </c>
      <c r="O95" s="1" t="s">
        <v>21</v>
      </c>
      <c r="P95" s="1" t="s">
        <v>22</v>
      </c>
      <c r="Q95" s="1">
        <v>1</v>
      </c>
      <c r="R95" s="1" t="str">
        <f>VLOOKUP(Sales4[[#This Row],[Material type]],Master!$H$3:$I$8,2,0)</f>
        <v>Finished Goods</v>
      </c>
      <c r="S95" s="1" t="str">
        <f>VLOOKUP(Sales4[[#This Row],[Material Group]],Master!B:C,2,0)</f>
        <v>FG-PCB-MG Interface</v>
      </c>
      <c r="T95" s="1" t="str">
        <f>VLOOKUP(Sales4[[#This Row],[Material Group Descrip]],Master!E:F,2,0)</f>
        <v>FG-PCB-MG</v>
      </c>
      <c r="U95" s="9" t="b">
        <f ca="1">(TODAY()-1)=Sales4[[#This Row],[Billing Date]]</f>
        <v>0</v>
      </c>
      <c r="V95" s="10" t="e">
        <f>Sales4[[#This Row],[Net Value]]-Sales4[[#This Row],[PGI COST]]</f>
        <v>#REF!</v>
      </c>
      <c r="W95" s="11" t="e">
        <f>Sales4[[#This Row],[Gross Margin]]/Sales4[[#This Row],[Net Value]]</f>
        <v>#REF!</v>
      </c>
      <c r="X95" s="1" t="str">
        <f>TEXT(Sales4[[#This Row],[Billing Date]],"mmmm-yy")</f>
        <v>September-25</v>
      </c>
      <c r="Y95" s="1">
        <f>Sales4[[#This Row],[Net Value]]/Sales4[[#This Row],[Billed Quantity]]</f>
        <v>101.24</v>
      </c>
      <c r="Z95" s="117"/>
      <c r="AA95" s="12" t="e">
        <f>SUM(Sales4[[#This Row],[BOM Cost]:[Other Conversion cost pu]])</f>
        <v>#REF!</v>
      </c>
      <c r="AB9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9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95" s="12">
        <f>IFERROR(VLOOKUP(Sales4[[#This Row],[Material]],'COGS Break up'!#REF!,5,0),0)</f>
        <v>0</v>
      </c>
      <c r="AE9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95" s="48" t="e">
        <f>Sales4[[#This Row],[PGI per unit]]-Sales4[[#This Row],[BOM Cost]]-Sales4[[#This Row],[Labour cost per unit]]-Sales4[[#This Row],[Other Conversion cost pu]]</f>
        <v>#REF!</v>
      </c>
      <c r="AG95" s="48" t="e">
        <f>Sales4[[#This Row],[BOM Cost2]]+Sales4[[#This Row],[Labour Cost]]+Sales4[[#This Row],[Other conversion cost]]</f>
        <v>#REF!</v>
      </c>
      <c r="AH95" s="12" t="e">
        <f>Sales4[[#This Row],[Billed Quantity]]*Sales4[[#This Row],[BOM Cost]]</f>
        <v>#REF!</v>
      </c>
      <c r="AI95" s="12" t="e">
        <f>Sales4[[#This Row],[Billed Quantity]]*Sales4[[#This Row],[Labour cost per unit]]</f>
        <v>#REF!</v>
      </c>
      <c r="AJ95" s="12">
        <f>Sales4[[#This Row],[Droppage per unit]]*Sales4[[#This Row],[Billed Quantity]]</f>
        <v>0</v>
      </c>
      <c r="AK95" s="12" t="e">
        <f>Sales4[[#This Row],[Billed Quantity]]*Sales4[[#This Row],[Other Conversion cost pu]]</f>
        <v>#REF!</v>
      </c>
      <c r="AL95" s="48" t="e">
        <f>Sales4[[#This Row],[PGI Amount]]-Sales4[[#This Row],[BOM Cost2]]-Sales4[[#This Row],[Labour Cost]]-Sales4[[#This Row],[Other conversion cost]]</f>
        <v>#REF!</v>
      </c>
      <c r="AM95" s="121" t="e">
        <f>1-Sales4[[#This Row],[PGI COST]]/Sales4[[#This Row],[Net Value]]</f>
        <v>#REF!</v>
      </c>
      <c r="AN95" s="1">
        <f>Sales4[[#This Row],[PGI Amount]]/Sales4[[#This Row],[Billed Quantity]]</f>
        <v>109.03</v>
      </c>
      <c r="AO95" s="72" t="e">
        <f>SUMIFS('COGS Break up'!#REF!,'COGS Break up'!#REF!,Sales4[[#This Row],[Material]],'COGS Break up'!#REF!,'MIS Working'!$AO$1)</f>
        <v>#REF!</v>
      </c>
      <c r="AP95" s="72" t="e">
        <f>SUMIFS('COGS Break up'!#REF!,'COGS Break up'!#REF!,Sales4[[#This Row],[Material]],'COGS Break up'!#REF!,'MIS Working'!$AP$1)</f>
        <v>#REF!</v>
      </c>
      <c r="AQ95" s="72" t="e">
        <f>SUMIFS('COGS Break up'!#REF!,'COGS Break up'!#REF!,Sales4[[#This Row],[Material]],'COGS Break up'!#REF!,'MIS Working'!$AQ$1)</f>
        <v>#REF!</v>
      </c>
      <c r="AR95" s="72">
        <f>Sales4[[#This Row],[Droppage per unit]]</f>
        <v>0</v>
      </c>
      <c r="AS95" s="15" t="e">
        <f>AO95*Sales4[[#This Row],[Billed Quantity]]</f>
        <v>#REF!</v>
      </c>
      <c r="AT95" s="72" t="e">
        <f>AP95*Sales4[[#This Row],[Billed Quantity]]</f>
        <v>#REF!</v>
      </c>
      <c r="AU95" s="72" t="e">
        <f>AQ95*Sales4[[#This Row],[Billed Quantity]]</f>
        <v>#REF!</v>
      </c>
      <c r="AV95" s="72">
        <f>AR95*Sales4[[#This Row],[Billed Quantity]]</f>
        <v>0</v>
      </c>
    </row>
    <row r="96" spans="1:48" x14ac:dyDescent="0.3">
      <c r="A96" s="1" t="s">
        <v>479</v>
      </c>
      <c r="B96" s="2">
        <v>45917</v>
      </c>
      <c r="C96" s="1">
        <v>3271270965</v>
      </c>
      <c r="D96" s="1" t="s">
        <v>637</v>
      </c>
      <c r="E96" s="1" t="s">
        <v>638</v>
      </c>
      <c r="F96" s="1" t="s">
        <v>18</v>
      </c>
      <c r="G96" s="1" t="s">
        <v>19</v>
      </c>
      <c r="H96" s="1" t="s">
        <v>27</v>
      </c>
      <c r="I96" s="3">
        <v>420</v>
      </c>
      <c r="J96" s="4">
        <v>134408.4</v>
      </c>
      <c r="K96" s="3">
        <v>420</v>
      </c>
      <c r="L96" s="3">
        <v>420</v>
      </c>
      <c r="M96" s="2">
        <v>45917</v>
      </c>
      <c r="N96" s="4">
        <v>153669.6</v>
      </c>
      <c r="O96" s="1" t="s">
        <v>21</v>
      </c>
      <c r="P96" s="1" t="s">
        <v>22</v>
      </c>
      <c r="Q96" s="1">
        <v>1</v>
      </c>
      <c r="R96" s="1" t="str">
        <f>VLOOKUP(Sales4[[#This Row],[Material type]],Master!$H$3:$I$8,2,0)</f>
        <v>Finished Goods</v>
      </c>
      <c r="S96" s="1" t="str">
        <f>VLOOKUP(Sales4[[#This Row],[Material Group]],Master!B:C,2,0)</f>
        <v>FG-PCB-CF</v>
      </c>
      <c r="T96" s="1" t="str">
        <f>VLOOKUP(Sales4[[#This Row],[Material Group Descrip]],Master!E:F,2,0)</f>
        <v>FG-PCB-CF</v>
      </c>
      <c r="U96" s="9" t="b">
        <f ca="1">(TODAY()-1)=Sales4[[#This Row],[Billing Date]]</f>
        <v>0</v>
      </c>
      <c r="V96" s="10" t="e">
        <f>Sales4[[#This Row],[Net Value]]-Sales4[[#This Row],[PGI COST]]</f>
        <v>#REF!</v>
      </c>
      <c r="W96" s="11" t="e">
        <f>Sales4[[#This Row],[Gross Margin]]/Sales4[[#This Row],[Net Value]]</f>
        <v>#REF!</v>
      </c>
      <c r="X96" s="1" t="str">
        <f>TEXT(Sales4[[#This Row],[Billing Date]],"mmmm-yy")</f>
        <v>September-25</v>
      </c>
      <c r="Y96" s="1">
        <f>Sales4[[#This Row],[Net Value]]/Sales4[[#This Row],[Billed Quantity]]</f>
        <v>365.88</v>
      </c>
      <c r="Z96" s="117">
        <f>Sales4[[#This Row],[Actual delivery qty]]</f>
        <v>420</v>
      </c>
      <c r="AA96" s="12" t="e">
        <f>SUM(Sales4[[#This Row],[BOM Cost]:[Other Conversion cost pu]])</f>
        <v>#REF!</v>
      </c>
      <c r="AB9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9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96" s="12">
        <f>IFERROR(VLOOKUP(Sales4[[#This Row],[Material]],'COGS Break up'!#REF!,5,0),0)</f>
        <v>0</v>
      </c>
      <c r="AE9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96" s="48" t="e">
        <f>Sales4[[#This Row],[PGI per unit]]-Sales4[[#This Row],[BOM Cost]]-Sales4[[#This Row],[Labour cost per unit]]-Sales4[[#This Row],[Other Conversion cost pu]]</f>
        <v>#REF!</v>
      </c>
      <c r="AG96" s="48" t="e">
        <f>Sales4[[#This Row],[BOM Cost2]]+Sales4[[#This Row],[Labour Cost]]+Sales4[[#This Row],[Other conversion cost]]</f>
        <v>#REF!</v>
      </c>
      <c r="AH96" s="12" t="e">
        <f>Sales4[[#This Row],[Billed Quantity]]*Sales4[[#This Row],[BOM Cost]]</f>
        <v>#REF!</v>
      </c>
      <c r="AI96" s="12" t="e">
        <f>Sales4[[#This Row],[Billed Quantity]]*Sales4[[#This Row],[Labour cost per unit]]</f>
        <v>#REF!</v>
      </c>
      <c r="AJ96" s="12">
        <f>Sales4[[#This Row],[Droppage per unit]]*Sales4[[#This Row],[Billed Quantity]]</f>
        <v>0</v>
      </c>
      <c r="AK96" s="12" t="e">
        <f>Sales4[[#This Row],[Billed Quantity]]*Sales4[[#This Row],[Other Conversion cost pu]]</f>
        <v>#REF!</v>
      </c>
      <c r="AL96" s="48" t="e">
        <f>Sales4[[#This Row],[PGI Amount]]-Sales4[[#This Row],[BOM Cost2]]-Sales4[[#This Row],[Labour Cost]]-Sales4[[#This Row],[Other conversion cost]]</f>
        <v>#REF!</v>
      </c>
      <c r="AM96" s="121" t="e">
        <f>1-Sales4[[#This Row],[PGI COST]]/Sales4[[#This Row],[Net Value]]</f>
        <v>#REF!</v>
      </c>
      <c r="AN96" s="1">
        <f>Sales4[[#This Row],[PGI Amount]]/Sales4[[#This Row],[Billed Quantity]]</f>
        <v>320.02</v>
      </c>
      <c r="AO96" s="72" t="e">
        <f>SUMIFS('COGS Break up'!#REF!,'COGS Break up'!#REF!,Sales4[[#This Row],[Material]],'COGS Break up'!#REF!,'MIS Working'!$AO$1)</f>
        <v>#REF!</v>
      </c>
      <c r="AP96" s="72" t="e">
        <f>SUMIFS('COGS Break up'!#REF!,'COGS Break up'!#REF!,Sales4[[#This Row],[Material]],'COGS Break up'!#REF!,'MIS Working'!$AP$1)</f>
        <v>#REF!</v>
      </c>
      <c r="AQ96" s="72" t="e">
        <f>SUMIFS('COGS Break up'!#REF!,'COGS Break up'!#REF!,Sales4[[#This Row],[Material]],'COGS Break up'!#REF!,'MIS Working'!$AQ$1)</f>
        <v>#REF!</v>
      </c>
      <c r="AR96" s="72">
        <f>Sales4[[#This Row],[Droppage per unit]]</f>
        <v>0</v>
      </c>
      <c r="AS96" s="15" t="e">
        <f>AO96*Sales4[[#This Row],[Billed Quantity]]</f>
        <v>#REF!</v>
      </c>
      <c r="AT96" s="72" t="e">
        <f>AP96*Sales4[[#This Row],[Billed Quantity]]</f>
        <v>#REF!</v>
      </c>
      <c r="AU96" s="72" t="e">
        <f>AQ96*Sales4[[#This Row],[Billed Quantity]]</f>
        <v>#REF!</v>
      </c>
      <c r="AV96" s="72">
        <f>AR96*Sales4[[#This Row],[Billed Quantity]]</f>
        <v>0</v>
      </c>
    </row>
    <row r="97" spans="1:48" x14ac:dyDescent="0.3">
      <c r="A97" s="1" t="s">
        <v>479</v>
      </c>
      <c r="B97" s="2">
        <v>45917</v>
      </c>
      <c r="C97" s="1">
        <v>3271271239</v>
      </c>
      <c r="D97" s="1" t="s">
        <v>637</v>
      </c>
      <c r="E97" s="1" t="s">
        <v>638</v>
      </c>
      <c r="F97" s="1" t="s">
        <v>18</v>
      </c>
      <c r="G97" s="1" t="s">
        <v>19</v>
      </c>
      <c r="H97" s="1" t="s">
        <v>27</v>
      </c>
      <c r="I97" s="3">
        <v>210</v>
      </c>
      <c r="J97" s="4">
        <v>67204.2</v>
      </c>
      <c r="K97" s="3">
        <v>210</v>
      </c>
      <c r="L97" s="3">
        <v>210</v>
      </c>
      <c r="M97" s="2">
        <v>45917</v>
      </c>
      <c r="N97" s="4">
        <v>76834.8</v>
      </c>
      <c r="O97" s="1" t="s">
        <v>21</v>
      </c>
      <c r="P97" s="1" t="s">
        <v>22</v>
      </c>
      <c r="Q97" s="1">
        <v>1</v>
      </c>
      <c r="R97" s="1" t="str">
        <f>VLOOKUP(Sales4[[#This Row],[Material type]],Master!$H$3:$I$8,2,0)</f>
        <v>Finished Goods</v>
      </c>
      <c r="S97" s="1" t="str">
        <f>VLOOKUP(Sales4[[#This Row],[Material Group]],Master!B:C,2,0)</f>
        <v>FG-PCB-CF</v>
      </c>
      <c r="T97" s="1" t="str">
        <f>VLOOKUP(Sales4[[#This Row],[Material Group Descrip]],Master!E:F,2,0)</f>
        <v>FG-PCB-CF</v>
      </c>
      <c r="U97" s="9" t="b">
        <f ca="1">(TODAY()-1)=Sales4[[#This Row],[Billing Date]]</f>
        <v>0</v>
      </c>
      <c r="V97" s="10" t="e">
        <f>Sales4[[#This Row],[Net Value]]-Sales4[[#This Row],[PGI COST]]</f>
        <v>#REF!</v>
      </c>
      <c r="W97" s="11" t="e">
        <f>Sales4[[#This Row],[Gross Margin]]/Sales4[[#This Row],[Net Value]]</f>
        <v>#REF!</v>
      </c>
      <c r="X97" s="1" t="str">
        <f>TEXT(Sales4[[#This Row],[Billing Date]],"mmmm-yy")</f>
        <v>September-25</v>
      </c>
      <c r="Y97" s="1">
        <f>Sales4[[#This Row],[Net Value]]/Sales4[[#This Row],[Billed Quantity]]</f>
        <v>365.88</v>
      </c>
      <c r="Z97" s="117">
        <f>Sales4[[#This Row],[Actual delivery qty]]</f>
        <v>210</v>
      </c>
      <c r="AA97" s="12" t="e">
        <f>SUM(Sales4[[#This Row],[BOM Cost]:[Other Conversion cost pu]])</f>
        <v>#REF!</v>
      </c>
      <c r="AB9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9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97" s="12">
        <f>IFERROR(VLOOKUP(Sales4[[#This Row],[Material]],'COGS Break up'!#REF!,5,0),0)</f>
        <v>0</v>
      </c>
      <c r="AE9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97" s="48" t="e">
        <f>Sales4[[#This Row],[PGI per unit]]-Sales4[[#This Row],[BOM Cost]]-Sales4[[#This Row],[Labour cost per unit]]-Sales4[[#This Row],[Other Conversion cost pu]]</f>
        <v>#REF!</v>
      </c>
      <c r="AG97" s="48" t="e">
        <f>Sales4[[#This Row],[BOM Cost2]]+Sales4[[#This Row],[Labour Cost]]+Sales4[[#This Row],[Other conversion cost]]</f>
        <v>#REF!</v>
      </c>
      <c r="AH97" s="12" t="e">
        <f>Sales4[[#This Row],[Billed Quantity]]*Sales4[[#This Row],[BOM Cost]]</f>
        <v>#REF!</v>
      </c>
      <c r="AI97" s="12" t="e">
        <f>Sales4[[#This Row],[Billed Quantity]]*Sales4[[#This Row],[Labour cost per unit]]</f>
        <v>#REF!</v>
      </c>
      <c r="AJ97" s="12">
        <f>Sales4[[#This Row],[Droppage per unit]]*Sales4[[#This Row],[Billed Quantity]]</f>
        <v>0</v>
      </c>
      <c r="AK97" s="12" t="e">
        <f>Sales4[[#This Row],[Billed Quantity]]*Sales4[[#This Row],[Other Conversion cost pu]]</f>
        <v>#REF!</v>
      </c>
      <c r="AL97" s="48" t="e">
        <f>Sales4[[#This Row],[PGI Amount]]-Sales4[[#This Row],[BOM Cost2]]-Sales4[[#This Row],[Labour Cost]]-Sales4[[#This Row],[Other conversion cost]]</f>
        <v>#REF!</v>
      </c>
      <c r="AM97" s="121" t="e">
        <f>1-Sales4[[#This Row],[PGI COST]]/Sales4[[#This Row],[Net Value]]</f>
        <v>#REF!</v>
      </c>
      <c r="AN97" s="1">
        <f>Sales4[[#This Row],[PGI Amount]]/Sales4[[#This Row],[Billed Quantity]]</f>
        <v>320.02</v>
      </c>
      <c r="AO97" s="72" t="e">
        <f>SUMIFS('COGS Break up'!#REF!,'COGS Break up'!#REF!,Sales4[[#This Row],[Material]],'COGS Break up'!#REF!,'MIS Working'!$AO$1)</f>
        <v>#REF!</v>
      </c>
      <c r="AP97" s="72" t="e">
        <f>SUMIFS('COGS Break up'!#REF!,'COGS Break up'!#REF!,Sales4[[#This Row],[Material]],'COGS Break up'!#REF!,'MIS Working'!$AP$1)</f>
        <v>#REF!</v>
      </c>
      <c r="AQ97" s="72" t="e">
        <f>SUMIFS('COGS Break up'!#REF!,'COGS Break up'!#REF!,Sales4[[#This Row],[Material]],'COGS Break up'!#REF!,'MIS Working'!$AQ$1)</f>
        <v>#REF!</v>
      </c>
      <c r="AR97" s="72">
        <f>Sales4[[#This Row],[Droppage per unit]]</f>
        <v>0</v>
      </c>
      <c r="AS97" s="15" t="e">
        <f>AO97*Sales4[[#This Row],[Billed Quantity]]</f>
        <v>#REF!</v>
      </c>
      <c r="AT97" s="72" t="e">
        <f>AP97*Sales4[[#This Row],[Billed Quantity]]</f>
        <v>#REF!</v>
      </c>
      <c r="AU97" s="72" t="e">
        <f>AQ97*Sales4[[#This Row],[Billed Quantity]]</f>
        <v>#REF!</v>
      </c>
      <c r="AV97" s="72">
        <f>AR97*Sales4[[#This Row],[Billed Quantity]]</f>
        <v>0</v>
      </c>
    </row>
    <row r="98" spans="1:48" x14ac:dyDescent="0.3">
      <c r="A98" s="1" t="s">
        <v>479</v>
      </c>
      <c r="B98" s="2">
        <v>45917</v>
      </c>
      <c r="C98" s="1">
        <v>3271271210</v>
      </c>
      <c r="D98" s="1" t="s">
        <v>368</v>
      </c>
      <c r="E98" s="1" t="s">
        <v>369</v>
      </c>
      <c r="F98" s="1" t="s">
        <v>18</v>
      </c>
      <c r="G98" s="1" t="s">
        <v>19</v>
      </c>
      <c r="H98" s="1" t="s">
        <v>483</v>
      </c>
      <c r="I98" s="3">
        <v>70</v>
      </c>
      <c r="J98" s="4">
        <v>24042.2</v>
      </c>
      <c r="K98" s="3">
        <v>70</v>
      </c>
      <c r="L98" s="3">
        <v>70</v>
      </c>
      <c r="M98" s="2">
        <v>45917</v>
      </c>
      <c r="N98" s="4">
        <v>21655.9</v>
      </c>
      <c r="O98" s="1" t="s">
        <v>21</v>
      </c>
      <c r="P98" s="1" t="s">
        <v>22</v>
      </c>
      <c r="Q98" s="1">
        <v>1</v>
      </c>
      <c r="R98" s="1" t="str">
        <f>VLOOKUP(Sales4[[#This Row],[Material type]],Master!$H$3:$I$8,2,0)</f>
        <v>Finished Goods</v>
      </c>
      <c r="S98" s="1" t="str">
        <f>VLOOKUP(Sales4[[#This Row],[Material Group]],Master!B:C,2,0)</f>
        <v>FG-PCB-MG</v>
      </c>
      <c r="T98" s="1" t="str">
        <f>VLOOKUP(Sales4[[#This Row],[Material Group Descrip]],Master!E:F,2,0)</f>
        <v>FG-PCB-MG</v>
      </c>
      <c r="U98" s="9" t="b">
        <f ca="1">(TODAY()-1)=Sales4[[#This Row],[Billing Date]]</f>
        <v>0</v>
      </c>
      <c r="V98" s="10" t="e">
        <f>Sales4[[#This Row],[Net Value]]-Sales4[[#This Row],[PGI COST]]</f>
        <v>#REF!</v>
      </c>
      <c r="W98" s="11" t="e">
        <f>Sales4[[#This Row],[Gross Margin]]/Sales4[[#This Row],[Net Value]]</f>
        <v>#REF!</v>
      </c>
      <c r="X98" s="1" t="str">
        <f>TEXT(Sales4[[#This Row],[Billing Date]],"mmmm-yy")</f>
        <v>September-25</v>
      </c>
      <c r="Y98" s="1">
        <f>Sales4[[#This Row],[Net Value]]/Sales4[[#This Row],[Billed Quantity]]</f>
        <v>309.37</v>
      </c>
      <c r="Z98" s="117">
        <f>Sales4[[#This Row],[Actual delivery qty]]</f>
        <v>70</v>
      </c>
      <c r="AA98" s="12" t="e">
        <f>SUM(Sales4[[#This Row],[BOM Cost]:[Other Conversion cost pu]])</f>
        <v>#REF!</v>
      </c>
      <c r="AB9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9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98" s="12">
        <f>IFERROR(VLOOKUP(Sales4[[#This Row],[Material]],'COGS Break up'!#REF!,5,0),0)</f>
        <v>0</v>
      </c>
      <c r="AE9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98" s="48" t="e">
        <f>Sales4[[#This Row],[PGI per unit]]-Sales4[[#This Row],[BOM Cost]]-Sales4[[#This Row],[Labour cost per unit]]-Sales4[[#This Row],[Other Conversion cost pu]]</f>
        <v>#REF!</v>
      </c>
      <c r="AG98" s="48" t="e">
        <f>Sales4[[#This Row],[BOM Cost2]]+Sales4[[#This Row],[Labour Cost]]+Sales4[[#This Row],[Other conversion cost]]</f>
        <v>#REF!</v>
      </c>
      <c r="AH98" s="12" t="e">
        <f>Sales4[[#This Row],[Billed Quantity]]*Sales4[[#This Row],[BOM Cost]]</f>
        <v>#REF!</v>
      </c>
      <c r="AI98" s="12" t="e">
        <f>Sales4[[#This Row],[Billed Quantity]]*Sales4[[#This Row],[Labour cost per unit]]</f>
        <v>#REF!</v>
      </c>
      <c r="AJ98" s="12">
        <f>Sales4[[#This Row],[Droppage per unit]]*Sales4[[#This Row],[Billed Quantity]]</f>
        <v>0</v>
      </c>
      <c r="AK98" s="12" t="e">
        <f>Sales4[[#This Row],[Billed Quantity]]*Sales4[[#This Row],[Other Conversion cost pu]]</f>
        <v>#REF!</v>
      </c>
      <c r="AL98" s="48" t="e">
        <f>Sales4[[#This Row],[PGI Amount]]-Sales4[[#This Row],[BOM Cost2]]-Sales4[[#This Row],[Labour Cost]]-Sales4[[#This Row],[Other conversion cost]]</f>
        <v>#REF!</v>
      </c>
      <c r="AM98" s="121" t="e">
        <f>1-Sales4[[#This Row],[PGI COST]]/Sales4[[#This Row],[Net Value]]</f>
        <v>#REF!</v>
      </c>
      <c r="AN98" s="1">
        <f>Sales4[[#This Row],[PGI Amount]]/Sales4[[#This Row],[Billed Quantity]]</f>
        <v>343.46000000000004</v>
      </c>
      <c r="AO98" s="72" t="e">
        <f>SUMIFS('COGS Break up'!#REF!,'COGS Break up'!#REF!,Sales4[[#This Row],[Material]],'COGS Break up'!#REF!,'MIS Working'!$AO$1)</f>
        <v>#REF!</v>
      </c>
      <c r="AP98" s="72" t="e">
        <f>SUMIFS('COGS Break up'!#REF!,'COGS Break up'!#REF!,Sales4[[#This Row],[Material]],'COGS Break up'!#REF!,'MIS Working'!$AP$1)</f>
        <v>#REF!</v>
      </c>
      <c r="AQ98" s="72" t="e">
        <f>SUMIFS('COGS Break up'!#REF!,'COGS Break up'!#REF!,Sales4[[#This Row],[Material]],'COGS Break up'!#REF!,'MIS Working'!$AQ$1)</f>
        <v>#REF!</v>
      </c>
      <c r="AR98" s="72">
        <f>Sales4[[#This Row],[Droppage per unit]]</f>
        <v>0</v>
      </c>
      <c r="AS98" s="15" t="e">
        <f>AO98*Sales4[[#This Row],[Billed Quantity]]</f>
        <v>#REF!</v>
      </c>
      <c r="AT98" s="72" t="e">
        <f>AP98*Sales4[[#This Row],[Billed Quantity]]</f>
        <v>#REF!</v>
      </c>
      <c r="AU98" s="72" t="e">
        <f>AQ98*Sales4[[#This Row],[Billed Quantity]]</f>
        <v>#REF!</v>
      </c>
      <c r="AV98" s="72">
        <f>AR98*Sales4[[#This Row],[Billed Quantity]]</f>
        <v>0</v>
      </c>
    </row>
    <row r="99" spans="1:48" x14ac:dyDescent="0.3">
      <c r="A99" s="1" t="s">
        <v>479</v>
      </c>
      <c r="B99" s="2">
        <v>45917</v>
      </c>
      <c r="C99" s="1">
        <v>3271271239</v>
      </c>
      <c r="D99" s="1" t="s">
        <v>368</v>
      </c>
      <c r="E99" s="1" t="s">
        <v>369</v>
      </c>
      <c r="F99" s="1" t="s">
        <v>18</v>
      </c>
      <c r="G99" s="1" t="s">
        <v>19</v>
      </c>
      <c r="H99" s="1" t="s">
        <v>483</v>
      </c>
      <c r="I99" s="3">
        <v>453</v>
      </c>
      <c r="J99" s="4">
        <v>155587.38</v>
      </c>
      <c r="K99" s="3">
        <v>453</v>
      </c>
      <c r="L99" s="3">
        <v>453</v>
      </c>
      <c r="M99" s="2">
        <v>45917</v>
      </c>
      <c r="N99" s="4">
        <v>140144.60999999999</v>
      </c>
      <c r="O99" s="1" t="s">
        <v>21</v>
      </c>
      <c r="P99" s="1" t="s">
        <v>22</v>
      </c>
      <c r="Q99" s="1">
        <v>1</v>
      </c>
      <c r="R99" s="1" t="str">
        <f>VLOOKUP(Sales4[[#This Row],[Material type]],Master!$H$3:$I$8,2,0)</f>
        <v>Finished Goods</v>
      </c>
      <c r="S99" s="1" t="str">
        <f>VLOOKUP(Sales4[[#This Row],[Material Group]],Master!B:C,2,0)</f>
        <v>FG-PCB-MG</v>
      </c>
      <c r="T99" s="1" t="str">
        <f>VLOOKUP(Sales4[[#This Row],[Material Group Descrip]],Master!E:F,2,0)</f>
        <v>FG-PCB-MG</v>
      </c>
      <c r="U99" s="9" t="b">
        <f ca="1">(TODAY()-1)=Sales4[[#This Row],[Billing Date]]</f>
        <v>0</v>
      </c>
      <c r="V99" s="10" t="e">
        <f>Sales4[[#This Row],[Net Value]]-Sales4[[#This Row],[PGI COST]]</f>
        <v>#REF!</v>
      </c>
      <c r="W99" s="11" t="e">
        <f>Sales4[[#This Row],[Gross Margin]]/Sales4[[#This Row],[Net Value]]</f>
        <v>#REF!</v>
      </c>
      <c r="X99" s="1" t="str">
        <f>TEXT(Sales4[[#This Row],[Billing Date]],"mmmm-yy")</f>
        <v>September-25</v>
      </c>
      <c r="Y99" s="1">
        <f>Sales4[[#This Row],[Net Value]]/Sales4[[#This Row],[Billed Quantity]]</f>
        <v>309.36999999999995</v>
      </c>
      <c r="Z99" s="117">
        <f>Sales4[[#This Row],[Actual delivery qty]]</f>
        <v>453</v>
      </c>
      <c r="AA99" s="12" t="e">
        <f>SUM(Sales4[[#This Row],[BOM Cost]:[Other Conversion cost pu]])</f>
        <v>#REF!</v>
      </c>
      <c r="AB9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9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99" s="12">
        <f>IFERROR(VLOOKUP(Sales4[[#This Row],[Material]],'COGS Break up'!#REF!,5,0),0)</f>
        <v>0</v>
      </c>
      <c r="AE9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99" s="48" t="e">
        <f>Sales4[[#This Row],[PGI per unit]]-Sales4[[#This Row],[BOM Cost]]-Sales4[[#This Row],[Labour cost per unit]]-Sales4[[#This Row],[Other Conversion cost pu]]</f>
        <v>#REF!</v>
      </c>
      <c r="AG99" s="48" t="e">
        <f>Sales4[[#This Row],[BOM Cost2]]+Sales4[[#This Row],[Labour Cost]]+Sales4[[#This Row],[Other conversion cost]]</f>
        <v>#REF!</v>
      </c>
      <c r="AH99" s="12" t="e">
        <f>Sales4[[#This Row],[Billed Quantity]]*Sales4[[#This Row],[BOM Cost]]</f>
        <v>#REF!</v>
      </c>
      <c r="AI99" s="12" t="e">
        <f>Sales4[[#This Row],[Billed Quantity]]*Sales4[[#This Row],[Labour cost per unit]]</f>
        <v>#REF!</v>
      </c>
      <c r="AJ99" s="12">
        <f>Sales4[[#This Row],[Droppage per unit]]*Sales4[[#This Row],[Billed Quantity]]</f>
        <v>0</v>
      </c>
      <c r="AK99" s="12" t="e">
        <f>Sales4[[#This Row],[Billed Quantity]]*Sales4[[#This Row],[Other Conversion cost pu]]</f>
        <v>#REF!</v>
      </c>
      <c r="AL99" s="48" t="e">
        <f>Sales4[[#This Row],[PGI Amount]]-Sales4[[#This Row],[BOM Cost2]]-Sales4[[#This Row],[Labour Cost]]-Sales4[[#This Row],[Other conversion cost]]</f>
        <v>#REF!</v>
      </c>
      <c r="AM99" s="121" t="e">
        <f>1-Sales4[[#This Row],[PGI COST]]/Sales4[[#This Row],[Net Value]]</f>
        <v>#REF!</v>
      </c>
      <c r="AN99" s="1">
        <f>Sales4[[#This Row],[PGI Amount]]/Sales4[[#This Row],[Billed Quantity]]</f>
        <v>343.46000000000004</v>
      </c>
      <c r="AO99" s="72" t="e">
        <f>SUMIFS('COGS Break up'!#REF!,'COGS Break up'!#REF!,Sales4[[#This Row],[Material]],'COGS Break up'!#REF!,'MIS Working'!$AO$1)</f>
        <v>#REF!</v>
      </c>
      <c r="AP99" s="72" t="e">
        <f>SUMIFS('COGS Break up'!#REF!,'COGS Break up'!#REF!,Sales4[[#This Row],[Material]],'COGS Break up'!#REF!,'MIS Working'!$AP$1)</f>
        <v>#REF!</v>
      </c>
      <c r="AQ99" s="72" t="e">
        <f>SUMIFS('COGS Break up'!#REF!,'COGS Break up'!#REF!,Sales4[[#This Row],[Material]],'COGS Break up'!#REF!,'MIS Working'!$AQ$1)</f>
        <v>#REF!</v>
      </c>
      <c r="AR99" s="72">
        <f>Sales4[[#This Row],[Droppage per unit]]</f>
        <v>0</v>
      </c>
      <c r="AS99" s="15" t="e">
        <f>AO99*Sales4[[#This Row],[Billed Quantity]]</f>
        <v>#REF!</v>
      </c>
      <c r="AT99" s="72" t="e">
        <f>AP99*Sales4[[#This Row],[Billed Quantity]]</f>
        <v>#REF!</v>
      </c>
      <c r="AU99" s="72" t="e">
        <f>AQ99*Sales4[[#This Row],[Billed Quantity]]</f>
        <v>#REF!</v>
      </c>
      <c r="AV99" s="72">
        <f>AR99*Sales4[[#This Row],[Billed Quantity]]</f>
        <v>0</v>
      </c>
    </row>
    <row r="100" spans="1:48" x14ac:dyDescent="0.3">
      <c r="A100" s="1" t="s">
        <v>479</v>
      </c>
      <c r="B100" s="2">
        <v>45917</v>
      </c>
      <c r="C100" s="1">
        <v>3271270965</v>
      </c>
      <c r="D100" s="1" t="s">
        <v>368</v>
      </c>
      <c r="E100" s="1" t="s">
        <v>369</v>
      </c>
      <c r="F100" s="1" t="s">
        <v>18</v>
      </c>
      <c r="G100" s="1" t="s">
        <v>19</v>
      </c>
      <c r="H100" s="1" t="s">
        <v>483</v>
      </c>
      <c r="I100" s="3">
        <v>676</v>
      </c>
      <c r="J100" s="4">
        <v>232178.96</v>
      </c>
      <c r="K100" s="3">
        <v>676</v>
      </c>
      <c r="L100" s="3">
        <v>676</v>
      </c>
      <c r="M100" s="2">
        <v>45917</v>
      </c>
      <c r="N100" s="4">
        <v>209134.12</v>
      </c>
      <c r="O100" s="1" t="s">
        <v>21</v>
      </c>
      <c r="P100" s="1" t="s">
        <v>22</v>
      </c>
      <c r="Q100" s="1">
        <v>1</v>
      </c>
      <c r="R100" s="1" t="str">
        <f>VLOOKUP(Sales4[[#This Row],[Material type]],Master!$H$3:$I$8,2,0)</f>
        <v>Finished Goods</v>
      </c>
      <c r="S100" s="1" t="str">
        <f>VLOOKUP(Sales4[[#This Row],[Material Group]],Master!B:C,2,0)</f>
        <v>FG-PCB-MG</v>
      </c>
      <c r="T100" s="1" t="str">
        <f>VLOOKUP(Sales4[[#This Row],[Material Group Descrip]],Master!E:F,2,0)</f>
        <v>FG-PCB-MG</v>
      </c>
      <c r="U100" s="9" t="b">
        <f ca="1">(TODAY()-1)=Sales4[[#This Row],[Billing Date]]</f>
        <v>0</v>
      </c>
      <c r="V100" s="10" t="e">
        <f>Sales4[[#This Row],[Net Value]]-Sales4[[#This Row],[PGI COST]]</f>
        <v>#REF!</v>
      </c>
      <c r="W100" s="11" t="e">
        <f>Sales4[[#This Row],[Gross Margin]]/Sales4[[#This Row],[Net Value]]</f>
        <v>#REF!</v>
      </c>
      <c r="X100" s="1" t="str">
        <f>TEXT(Sales4[[#This Row],[Billing Date]],"mmmm-yy")</f>
        <v>September-25</v>
      </c>
      <c r="Y100" s="1">
        <f>Sales4[[#This Row],[Net Value]]/Sales4[[#This Row],[Billed Quantity]]</f>
        <v>309.37</v>
      </c>
      <c r="Z100" s="117">
        <f>Sales4[[#This Row],[Actual delivery qty]]</f>
        <v>676</v>
      </c>
      <c r="AA100" s="12" t="e">
        <f>SUM(Sales4[[#This Row],[BOM Cost]:[Other Conversion cost pu]])</f>
        <v>#REF!</v>
      </c>
      <c r="AB10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0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00" s="12">
        <f>IFERROR(VLOOKUP(Sales4[[#This Row],[Material]],'COGS Break up'!#REF!,5,0),0)</f>
        <v>0</v>
      </c>
      <c r="AE10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00" s="48" t="e">
        <f>Sales4[[#This Row],[PGI per unit]]-Sales4[[#This Row],[BOM Cost]]-Sales4[[#This Row],[Labour cost per unit]]-Sales4[[#This Row],[Other Conversion cost pu]]</f>
        <v>#REF!</v>
      </c>
      <c r="AG100" s="48" t="e">
        <f>Sales4[[#This Row],[BOM Cost2]]+Sales4[[#This Row],[Labour Cost]]+Sales4[[#This Row],[Other conversion cost]]</f>
        <v>#REF!</v>
      </c>
      <c r="AH100" s="12" t="e">
        <f>Sales4[[#This Row],[Billed Quantity]]*Sales4[[#This Row],[BOM Cost]]</f>
        <v>#REF!</v>
      </c>
      <c r="AI100" s="12" t="e">
        <f>Sales4[[#This Row],[Billed Quantity]]*Sales4[[#This Row],[Labour cost per unit]]</f>
        <v>#REF!</v>
      </c>
      <c r="AJ100" s="12">
        <f>Sales4[[#This Row],[Droppage per unit]]*Sales4[[#This Row],[Billed Quantity]]</f>
        <v>0</v>
      </c>
      <c r="AK100" s="12" t="e">
        <f>Sales4[[#This Row],[Billed Quantity]]*Sales4[[#This Row],[Other Conversion cost pu]]</f>
        <v>#REF!</v>
      </c>
      <c r="AL100" s="48" t="e">
        <f>Sales4[[#This Row],[PGI Amount]]-Sales4[[#This Row],[BOM Cost2]]-Sales4[[#This Row],[Labour Cost]]-Sales4[[#This Row],[Other conversion cost]]</f>
        <v>#REF!</v>
      </c>
      <c r="AM100" s="121" t="e">
        <f>1-Sales4[[#This Row],[PGI COST]]/Sales4[[#This Row],[Net Value]]</f>
        <v>#REF!</v>
      </c>
      <c r="AN100" s="1">
        <f>Sales4[[#This Row],[PGI Amount]]/Sales4[[#This Row],[Billed Quantity]]</f>
        <v>343.46</v>
      </c>
      <c r="AO100" s="72" t="e">
        <f>SUMIFS('COGS Break up'!#REF!,'COGS Break up'!#REF!,Sales4[[#This Row],[Material]],'COGS Break up'!#REF!,'MIS Working'!$AO$1)</f>
        <v>#REF!</v>
      </c>
      <c r="AP100" s="72" t="e">
        <f>SUMIFS('COGS Break up'!#REF!,'COGS Break up'!#REF!,Sales4[[#This Row],[Material]],'COGS Break up'!#REF!,'MIS Working'!$AP$1)</f>
        <v>#REF!</v>
      </c>
      <c r="AQ100" s="72" t="e">
        <f>SUMIFS('COGS Break up'!#REF!,'COGS Break up'!#REF!,Sales4[[#This Row],[Material]],'COGS Break up'!#REF!,'MIS Working'!$AQ$1)</f>
        <v>#REF!</v>
      </c>
      <c r="AR100" s="72">
        <f>Sales4[[#This Row],[Droppage per unit]]</f>
        <v>0</v>
      </c>
      <c r="AS100" s="15" t="e">
        <f>AO100*Sales4[[#This Row],[Billed Quantity]]</f>
        <v>#REF!</v>
      </c>
      <c r="AT100" s="72" t="e">
        <f>AP100*Sales4[[#This Row],[Billed Quantity]]</f>
        <v>#REF!</v>
      </c>
      <c r="AU100" s="72" t="e">
        <f>AQ100*Sales4[[#This Row],[Billed Quantity]]</f>
        <v>#REF!</v>
      </c>
      <c r="AV100" s="72">
        <f>AR100*Sales4[[#This Row],[Billed Quantity]]</f>
        <v>0</v>
      </c>
    </row>
    <row r="101" spans="1:48" x14ac:dyDescent="0.3">
      <c r="A101" s="1" t="s">
        <v>479</v>
      </c>
      <c r="B101" s="2">
        <v>45917</v>
      </c>
      <c r="C101" s="1">
        <v>3271271210</v>
      </c>
      <c r="D101" s="1" t="s">
        <v>380</v>
      </c>
      <c r="E101" s="1" t="s">
        <v>381</v>
      </c>
      <c r="F101" s="1" t="s">
        <v>18</v>
      </c>
      <c r="G101" s="1" t="s">
        <v>19</v>
      </c>
      <c r="H101" s="1" t="s">
        <v>27</v>
      </c>
      <c r="I101" s="3">
        <v>280</v>
      </c>
      <c r="J101" s="4">
        <v>59827.6</v>
      </c>
      <c r="K101" s="3">
        <v>280</v>
      </c>
      <c r="L101" s="3">
        <v>280</v>
      </c>
      <c r="M101" s="2">
        <v>45917</v>
      </c>
      <c r="N101" s="4">
        <v>64514.8</v>
      </c>
      <c r="O101" s="1" t="s">
        <v>21</v>
      </c>
      <c r="P101" s="1" t="s">
        <v>22</v>
      </c>
      <c r="Q101" s="1">
        <v>1</v>
      </c>
      <c r="R101" s="1" t="str">
        <f>VLOOKUP(Sales4[[#This Row],[Material type]],Master!$H$3:$I$8,2,0)</f>
        <v>Finished Goods</v>
      </c>
      <c r="S101" s="1" t="str">
        <f>VLOOKUP(Sales4[[#This Row],[Material Group]],Master!B:C,2,0)</f>
        <v>FG-PCB-CF</v>
      </c>
      <c r="T101" s="1" t="str">
        <f>VLOOKUP(Sales4[[#This Row],[Material Group Descrip]],Master!E:F,2,0)</f>
        <v>FG-PCB-CF</v>
      </c>
      <c r="U101" s="9" t="b">
        <f ca="1">(TODAY()-1)=Sales4[[#This Row],[Billing Date]]</f>
        <v>0</v>
      </c>
      <c r="V101" s="10" t="e">
        <f>Sales4[[#This Row],[Net Value]]-Sales4[[#This Row],[PGI COST]]</f>
        <v>#REF!</v>
      </c>
      <c r="W101" s="11" t="e">
        <f>Sales4[[#This Row],[Gross Margin]]/Sales4[[#This Row],[Net Value]]</f>
        <v>#REF!</v>
      </c>
      <c r="X101" s="1" t="str">
        <f>TEXT(Sales4[[#This Row],[Billing Date]],"mmmm-yy")</f>
        <v>September-25</v>
      </c>
      <c r="Y101" s="1">
        <f>Sales4[[#This Row],[Net Value]]/Sales4[[#This Row],[Billed Quantity]]</f>
        <v>230.41</v>
      </c>
      <c r="Z101" s="117">
        <f>Sales4[[#This Row],[Actual delivery qty]]</f>
        <v>280</v>
      </c>
      <c r="AA101" s="12" t="e">
        <f>SUM(Sales4[[#This Row],[BOM Cost]:[Other Conversion cost pu]])</f>
        <v>#REF!</v>
      </c>
      <c r="AB10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0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01" s="12">
        <f>IFERROR(VLOOKUP(Sales4[[#This Row],[Material]],'COGS Break up'!#REF!,5,0),0)</f>
        <v>0</v>
      </c>
      <c r="AE10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01" s="48" t="e">
        <f>Sales4[[#This Row],[PGI per unit]]-Sales4[[#This Row],[BOM Cost]]-Sales4[[#This Row],[Labour cost per unit]]-Sales4[[#This Row],[Other Conversion cost pu]]</f>
        <v>#REF!</v>
      </c>
      <c r="AG101" s="48" t="e">
        <f>Sales4[[#This Row],[BOM Cost2]]+Sales4[[#This Row],[Labour Cost]]+Sales4[[#This Row],[Other conversion cost]]</f>
        <v>#REF!</v>
      </c>
      <c r="AH101" s="12" t="e">
        <f>Sales4[[#This Row],[Billed Quantity]]*Sales4[[#This Row],[BOM Cost]]</f>
        <v>#REF!</v>
      </c>
      <c r="AI101" s="12" t="e">
        <f>Sales4[[#This Row],[Billed Quantity]]*Sales4[[#This Row],[Labour cost per unit]]</f>
        <v>#REF!</v>
      </c>
      <c r="AJ101" s="12">
        <f>Sales4[[#This Row],[Droppage per unit]]*Sales4[[#This Row],[Billed Quantity]]</f>
        <v>0</v>
      </c>
      <c r="AK101" s="12" t="e">
        <f>Sales4[[#This Row],[Billed Quantity]]*Sales4[[#This Row],[Other Conversion cost pu]]</f>
        <v>#REF!</v>
      </c>
      <c r="AL101" s="48" t="e">
        <f>Sales4[[#This Row],[PGI Amount]]-Sales4[[#This Row],[BOM Cost2]]-Sales4[[#This Row],[Labour Cost]]-Sales4[[#This Row],[Other conversion cost]]</f>
        <v>#REF!</v>
      </c>
      <c r="AM101" s="121" t="e">
        <f>1-Sales4[[#This Row],[PGI COST]]/Sales4[[#This Row],[Net Value]]</f>
        <v>#REF!</v>
      </c>
      <c r="AN101" s="1">
        <f>Sales4[[#This Row],[PGI Amount]]/Sales4[[#This Row],[Billed Quantity]]</f>
        <v>213.67</v>
      </c>
      <c r="AO101" s="72" t="e">
        <f>SUMIFS('COGS Break up'!#REF!,'COGS Break up'!#REF!,Sales4[[#This Row],[Material]],'COGS Break up'!#REF!,'MIS Working'!$AO$1)</f>
        <v>#REF!</v>
      </c>
      <c r="AP101" s="72" t="e">
        <f>SUMIFS('COGS Break up'!#REF!,'COGS Break up'!#REF!,Sales4[[#This Row],[Material]],'COGS Break up'!#REF!,'MIS Working'!$AP$1)</f>
        <v>#REF!</v>
      </c>
      <c r="AQ101" s="72" t="e">
        <f>SUMIFS('COGS Break up'!#REF!,'COGS Break up'!#REF!,Sales4[[#This Row],[Material]],'COGS Break up'!#REF!,'MIS Working'!$AQ$1)</f>
        <v>#REF!</v>
      </c>
      <c r="AR101" s="72">
        <f>Sales4[[#This Row],[Droppage per unit]]</f>
        <v>0</v>
      </c>
      <c r="AS101" s="15" t="e">
        <f>AO101*Sales4[[#This Row],[Billed Quantity]]</f>
        <v>#REF!</v>
      </c>
      <c r="AT101" s="72" t="e">
        <f>AP101*Sales4[[#This Row],[Billed Quantity]]</f>
        <v>#REF!</v>
      </c>
      <c r="AU101" s="72" t="e">
        <f>AQ101*Sales4[[#This Row],[Billed Quantity]]</f>
        <v>#REF!</v>
      </c>
      <c r="AV101" s="72">
        <f>AR101*Sales4[[#This Row],[Billed Quantity]]</f>
        <v>0</v>
      </c>
    </row>
    <row r="102" spans="1:48" x14ac:dyDescent="0.3">
      <c r="A102" s="1" t="s">
        <v>479</v>
      </c>
      <c r="B102" s="2">
        <v>45917</v>
      </c>
      <c r="C102" s="1">
        <v>3271271201</v>
      </c>
      <c r="D102" s="1" t="s">
        <v>380</v>
      </c>
      <c r="E102" s="1" t="s">
        <v>381</v>
      </c>
      <c r="F102" s="1" t="s">
        <v>18</v>
      </c>
      <c r="G102" s="1" t="s">
        <v>19</v>
      </c>
      <c r="H102" s="1" t="s">
        <v>27</v>
      </c>
      <c r="I102" s="3">
        <v>105</v>
      </c>
      <c r="J102" s="4">
        <v>22435.35</v>
      </c>
      <c r="K102" s="3">
        <v>105</v>
      </c>
      <c r="L102" s="3">
        <v>105</v>
      </c>
      <c r="M102" s="2">
        <v>45917</v>
      </c>
      <c r="N102" s="4">
        <v>24193.05</v>
      </c>
      <c r="O102" s="1" t="s">
        <v>21</v>
      </c>
      <c r="P102" s="1" t="s">
        <v>22</v>
      </c>
      <c r="Q102" s="1">
        <v>1</v>
      </c>
      <c r="R102" s="1" t="str">
        <f>VLOOKUP(Sales4[[#This Row],[Material type]],Master!$H$3:$I$8,2,0)</f>
        <v>Finished Goods</v>
      </c>
      <c r="S102" s="1" t="str">
        <f>VLOOKUP(Sales4[[#This Row],[Material Group]],Master!B:C,2,0)</f>
        <v>FG-PCB-CF</v>
      </c>
      <c r="T102" s="1" t="str">
        <f>VLOOKUP(Sales4[[#This Row],[Material Group Descrip]],Master!E:F,2,0)</f>
        <v>FG-PCB-CF</v>
      </c>
      <c r="U102" s="9" t="b">
        <f ca="1">(TODAY()-1)=Sales4[[#This Row],[Billing Date]]</f>
        <v>0</v>
      </c>
      <c r="V102" s="10" t="e">
        <f>Sales4[[#This Row],[Net Value]]-Sales4[[#This Row],[PGI COST]]</f>
        <v>#REF!</v>
      </c>
      <c r="W102" s="11" t="e">
        <f>Sales4[[#This Row],[Gross Margin]]/Sales4[[#This Row],[Net Value]]</f>
        <v>#REF!</v>
      </c>
      <c r="X102" s="1" t="str">
        <f>TEXT(Sales4[[#This Row],[Billing Date]],"mmmm-yy")</f>
        <v>September-25</v>
      </c>
      <c r="Y102" s="1">
        <f>Sales4[[#This Row],[Net Value]]/Sales4[[#This Row],[Billed Quantity]]</f>
        <v>230.41</v>
      </c>
      <c r="Z102" s="117">
        <f>Sales4[[#This Row],[Actual delivery qty]]</f>
        <v>105</v>
      </c>
      <c r="AA102" s="12" t="e">
        <f>SUM(Sales4[[#This Row],[BOM Cost]:[Other Conversion cost pu]])</f>
        <v>#REF!</v>
      </c>
      <c r="AB10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0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02" s="12">
        <f>IFERROR(VLOOKUP(Sales4[[#This Row],[Material]],'COGS Break up'!#REF!,5,0),0)</f>
        <v>0</v>
      </c>
      <c r="AE10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02" s="48" t="e">
        <f>Sales4[[#This Row],[PGI per unit]]-Sales4[[#This Row],[BOM Cost]]-Sales4[[#This Row],[Labour cost per unit]]-Sales4[[#This Row],[Other Conversion cost pu]]</f>
        <v>#REF!</v>
      </c>
      <c r="AG102" s="48" t="e">
        <f>Sales4[[#This Row],[BOM Cost2]]+Sales4[[#This Row],[Labour Cost]]+Sales4[[#This Row],[Other conversion cost]]</f>
        <v>#REF!</v>
      </c>
      <c r="AH102" s="12" t="e">
        <f>Sales4[[#This Row],[Billed Quantity]]*Sales4[[#This Row],[BOM Cost]]</f>
        <v>#REF!</v>
      </c>
      <c r="AI102" s="12" t="e">
        <f>Sales4[[#This Row],[Billed Quantity]]*Sales4[[#This Row],[Labour cost per unit]]</f>
        <v>#REF!</v>
      </c>
      <c r="AJ102" s="12">
        <f>Sales4[[#This Row],[Droppage per unit]]*Sales4[[#This Row],[Billed Quantity]]</f>
        <v>0</v>
      </c>
      <c r="AK102" s="12" t="e">
        <f>Sales4[[#This Row],[Billed Quantity]]*Sales4[[#This Row],[Other Conversion cost pu]]</f>
        <v>#REF!</v>
      </c>
      <c r="AL102" s="48" t="e">
        <f>Sales4[[#This Row],[PGI Amount]]-Sales4[[#This Row],[BOM Cost2]]-Sales4[[#This Row],[Labour Cost]]-Sales4[[#This Row],[Other conversion cost]]</f>
        <v>#REF!</v>
      </c>
      <c r="AM102" s="121" t="e">
        <f>1-Sales4[[#This Row],[PGI COST]]/Sales4[[#This Row],[Net Value]]</f>
        <v>#REF!</v>
      </c>
      <c r="AN102" s="1">
        <f>Sales4[[#This Row],[PGI Amount]]/Sales4[[#This Row],[Billed Quantity]]</f>
        <v>213.67</v>
      </c>
      <c r="AO102" s="72" t="e">
        <f>SUMIFS('COGS Break up'!#REF!,'COGS Break up'!#REF!,Sales4[[#This Row],[Material]],'COGS Break up'!#REF!,'MIS Working'!$AO$1)</f>
        <v>#REF!</v>
      </c>
      <c r="AP102" s="72" t="e">
        <f>SUMIFS('COGS Break up'!#REF!,'COGS Break up'!#REF!,Sales4[[#This Row],[Material]],'COGS Break up'!#REF!,'MIS Working'!$AP$1)</f>
        <v>#REF!</v>
      </c>
      <c r="AQ102" s="72" t="e">
        <f>SUMIFS('COGS Break up'!#REF!,'COGS Break up'!#REF!,Sales4[[#This Row],[Material]],'COGS Break up'!#REF!,'MIS Working'!$AQ$1)</f>
        <v>#REF!</v>
      </c>
      <c r="AR102" s="72">
        <f>Sales4[[#This Row],[Droppage per unit]]</f>
        <v>0</v>
      </c>
      <c r="AS102" s="15" t="e">
        <f>AO102*Sales4[[#This Row],[Billed Quantity]]</f>
        <v>#REF!</v>
      </c>
      <c r="AT102" s="72" t="e">
        <f>AP102*Sales4[[#This Row],[Billed Quantity]]</f>
        <v>#REF!</v>
      </c>
      <c r="AU102" s="72" t="e">
        <f>AQ102*Sales4[[#This Row],[Billed Quantity]]</f>
        <v>#REF!</v>
      </c>
      <c r="AV102" s="72">
        <f>AR102*Sales4[[#This Row],[Billed Quantity]]</f>
        <v>0</v>
      </c>
    </row>
    <row r="103" spans="1:48" x14ac:dyDescent="0.3">
      <c r="A103" s="1" t="s">
        <v>479</v>
      </c>
      <c r="B103" s="2">
        <v>45917</v>
      </c>
      <c r="C103" s="1">
        <v>3271271242</v>
      </c>
      <c r="D103" s="1" t="s">
        <v>639</v>
      </c>
      <c r="E103" s="1" t="s">
        <v>640</v>
      </c>
      <c r="F103" s="1" t="s">
        <v>18</v>
      </c>
      <c r="G103" s="1" t="s">
        <v>19</v>
      </c>
      <c r="H103" s="1" t="s">
        <v>27</v>
      </c>
      <c r="I103" s="3">
        <v>53</v>
      </c>
      <c r="J103" s="4">
        <v>33769.480000000003</v>
      </c>
      <c r="K103" s="3">
        <v>53</v>
      </c>
      <c r="L103" s="3">
        <v>53</v>
      </c>
      <c r="M103" s="2">
        <v>45917</v>
      </c>
      <c r="N103" s="4">
        <v>38613.68</v>
      </c>
      <c r="O103" s="1" t="s">
        <v>21</v>
      </c>
      <c r="P103" s="1" t="s">
        <v>22</v>
      </c>
      <c r="Q103" s="1">
        <v>1</v>
      </c>
      <c r="R103" s="1" t="str">
        <f>VLOOKUP(Sales4[[#This Row],[Material type]],Master!$H$3:$I$8,2,0)</f>
        <v>Finished Goods</v>
      </c>
      <c r="S103" s="1" t="str">
        <f>VLOOKUP(Sales4[[#This Row],[Material Group]],Master!B:C,2,0)</f>
        <v>FG-PCB-CF</v>
      </c>
      <c r="T103" s="1" t="str">
        <f>VLOOKUP(Sales4[[#This Row],[Material Group Descrip]],Master!E:F,2,0)</f>
        <v>FG-PCB-CF</v>
      </c>
      <c r="U103" s="9" t="b">
        <f ca="1">(TODAY()-1)=Sales4[[#This Row],[Billing Date]]</f>
        <v>0</v>
      </c>
      <c r="V103" s="10" t="e">
        <f>Sales4[[#This Row],[Net Value]]-Sales4[[#This Row],[PGI COST]]</f>
        <v>#REF!</v>
      </c>
      <c r="W103" s="11" t="e">
        <f>Sales4[[#This Row],[Gross Margin]]/Sales4[[#This Row],[Net Value]]</f>
        <v>#REF!</v>
      </c>
      <c r="X103" s="1" t="str">
        <f>TEXT(Sales4[[#This Row],[Billing Date]],"mmmm-yy")</f>
        <v>September-25</v>
      </c>
      <c r="Y103" s="1">
        <f>Sales4[[#This Row],[Net Value]]/Sales4[[#This Row],[Billed Quantity]]</f>
        <v>728.56000000000006</v>
      </c>
      <c r="Z103" s="117">
        <f>Sales4[[#This Row],[Actual delivery qty]]</f>
        <v>53</v>
      </c>
      <c r="AA103" s="12" t="e">
        <f>SUM(Sales4[[#This Row],[BOM Cost]:[Other Conversion cost pu]])</f>
        <v>#REF!</v>
      </c>
      <c r="AB10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0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03" s="12">
        <f>IFERROR(VLOOKUP(Sales4[[#This Row],[Material]],'COGS Break up'!#REF!,5,0),0)</f>
        <v>0</v>
      </c>
      <c r="AE10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03" s="48" t="e">
        <f>Sales4[[#This Row],[PGI per unit]]-Sales4[[#This Row],[BOM Cost]]-Sales4[[#This Row],[Labour cost per unit]]-Sales4[[#This Row],[Other Conversion cost pu]]</f>
        <v>#REF!</v>
      </c>
      <c r="AG103" s="48" t="e">
        <f>Sales4[[#This Row],[BOM Cost2]]+Sales4[[#This Row],[Labour Cost]]+Sales4[[#This Row],[Other conversion cost]]</f>
        <v>#REF!</v>
      </c>
      <c r="AH103" s="12" t="e">
        <f>Sales4[[#This Row],[Billed Quantity]]*Sales4[[#This Row],[BOM Cost]]</f>
        <v>#REF!</v>
      </c>
      <c r="AI103" s="12" t="e">
        <f>Sales4[[#This Row],[Billed Quantity]]*Sales4[[#This Row],[Labour cost per unit]]</f>
        <v>#REF!</v>
      </c>
      <c r="AJ103" s="12">
        <f>Sales4[[#This Row],[Droppage per unit]]*Sales4[[#This Row],[Billed Quantity]]</f>
        <v>0</v>
      </c>
      <c r="AK103" s="12" t="e">
        <f>Sales4[[#This Row],[Billed Quantity]]*Sales4[[#This Row],[Other Conversion cost pu]]</f>
        <v>#REF!</v>
      </c>
      <c r="AL103" s="48" t="e">
        <f>Sales4[[#This Row],[PGI Amount]]-Sales4[[#This Row],[BOM Cost2]]-Sales4[[#This Row],[Labour Cost]]-Sales4[[#This Row],[Other conversion cost]]</f>
        <v>#REF!</v>
      </c>
      <c r="AM103" s="121" t="e">
        <f>1-Sales4[[#This Row],[PGI COST]]/Sales4[[#This Row],[Net Value]]</f>
        <v>#REF!</v>
      </c>
      <c r="AN103" s="1">
        <f>Sales4[[#This Row],[PGI Amount]]/Sales4[[#This Row],[Billed Quantity]]</f>
        <v>637.16000000000008</v>
      </c>
      <c r="AO103" s="72" t="e">
        <f>SUMIFS('COGS Break up'!#REF!,'COGS Break up'!#REF!,Sales4[[#This Row],[Material]],'COGS Break up'!#REF!,'MIS Working'!$AO$1)</f>
        <v>#REF!</v>
      </c>
      <c r="AP103" s="72" t="e">
        <f>SUMIFS('COGS Break up'!#REF!,'COGS Break up'!#REF!,Sales4[[#This Row],[Material]],'COGS Break up'!#REF!,'MIS Working'!$AP$1)</f>
        <v>#REF!</v>
      </c>
      <c r="AQ103" s="72" t="e">
        <f>SUMIFS('COGS Break up'!#REF!,'COGS Break up'!#REF!,Sales4[[#This Row],[Material]],'COGS Break up'!#REF!,'MIS Working'!$AQ$1)</f>
        <v>#REF!</v>
      </c>
      <c r="AR103" s="72">
        <f>Sales4[[#This Row],[Droppage per unit]]</f>
        <v>0</v>
      </c>
      <c r="AS103" s="15" t="e">
        <f>AO103*Sales4[[#This Row],[Billed Quantity]]</f>
        <v>#REF!</v>
      </c>
      <c r="AT103" s="72" t="e">
        <f>AP103*Sales4[[#This Row],[Billed Quantity]]</f>
        <v>#REF!</v>
      </c>
      <c r="AU103" s="72" t="e">
        <f>AQ103*Sales4[[#This Row],[Billed Quantity]]</f>
        <v>#REF!</v>
      </c>
      <c r="AV103" s="72">
        <f>AR103*Sales4[[#This Row],[Billed Quantity]]</f>
        <v>0</v>
      </c>
    </row>
    <row r="104" spans="1:48" x14ac:dyDescent="0.3">
      <c r="A104" s="1" t="s">
        <v>479</v>
      </c>
      <c r="B104" s="2">
        <v>45917</v>
      </c>
      <c r="C104" s="1">
        <v>3271271019</v>
      </c>
      <c r="D104" s="1" t="s">
        <v>40</v>
      </c>
      <c r="E104" s="1" t="s">
        <v>41</v>
      </c>
      <c r="F104" s="1" t="s">
        <v>18</v>
      </c>
      <c r="G104" s="1" t="s">
        <v>34</v>
      </c>
      <c r="H104" s="1" t="s">
        <v>772</v>
      </c>
      <c r="I104" s="3">
        <v>5488</v>
      </c>
      <c r="J104" s="4">
        <v>809699.52</v>
      </c>
      <c r="K104" s="3">
        <v>5488</v>
      </c>
      <c r="L104" s="3">
        <v>5488</v>
      </c>
      <c r="M104" s="2">
        <v>45917</v>
      </c>
      <c r="N104" s="4">
        <v>894214.72</v>
      </c>
      <c r="O104" s="1" t="s">
        <v>21</v>
      </c>
      <c r="P104" s="1" t="s">
        <v>22</v>
      </c>
      <c r="Q104" s="1">
        <v>1</v>
      </c>
      <c r="R104" s="1" t="str">
        <f>VLOOKUP(Sales4[[#This Row],[Material type]],Master!$H$3:$I$8,2,0)</f>
        <v>Semi-Finished Goods</v>
      </c>
      <c r="S104" s="1" t="str">
        <f>VLOOKUP(Sales4[[#This Row],[Material Group]],Master!B:C,2,0)</f>
        <v>SFG-GV5 Stator</v>
      </c>
      <c r="T104" s="1" t="str">
        <f>VLOOKUP(Sales4[[#This Row],[Material Group Descrip]],Master!E:F,2,0)</f>
        <v>Sub Ass.-Mech Stator</v>
      </c>
      <c r="U104" s="9" t="b">
        <f ca="1">(TODAY()-1)=Sales4[[#This Row],[Billing Date]]</f>
        <v>0</v>
      </c>
      <c r="V104" s="10" t="e">
        <f>Sales4[[#This Row],[Net Value]]-Sales4[[#This Row],[PGI COST]]</f>
        <v>#REF!</v>
      </c>
      <c r="W104" s="11" t="e">
        <f>Sales4[[#This Row],[Gross Margin]]/Sales4[[#This Row],[Net Value]]</f>
        <v>#REF!</v>
      </c>
      <c r="X104" s="1" t="str">
        <f>TEXT(Sales4[[#This Row],[Billing Date]],"mmmm-yy")</f>
        <v>September-25</v>
      </c>
      <c r="Y104" s="1">
        <f>Sales4[[#This Row],[Net Value]]/Sales4[[#This Row],[Billed Quantity]]</f>
        <v>162.94</v>
      </c>
      <c r="Z104" s="117">
        <f>Sales4[[#This Row],[Actual delivery qty]]</f>
        <v>5488</v>
      </c>
      <c r="AA104" s="12" t="e">
        <f>SUM(Sales4[[#This Row],[BOM Cost]:[Other Conversion cost pu]])</f>
        <v>#REF!</v>
      </c>
      <c r="AB10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0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04" s="12">
        <f>IFERROR(VLOOKUP(Sales4[[#This Row],[Material]],'COGS Break up'!#REF!,5,0),0)</f>
        <v>0</v>
      </c>
      <c r="AE10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04" s="48" t="e">
        <f>Sales4[[#This Row],[PGI per unit]]-Sales4[[#This Row],[BOM Cost]]-Sales4[[#This Row],[Labour cost per unit]]-Sales4[[#This Row],[Other Conversion cost pu]]</f>
        <v>#REF!</v>
      </c>
      <c r="AG104" s="48" t="e">
        <f>Sales4[[#This Row],[BOM Cost2]]+Sales4[[#This Row],[Labour Cost]]+Sales4[[#This Row],[Other conversion cost]]</f>
        <v>#REF!</v>
      </c>
      <c r="AH104" s="12" t="e">
        <f>Sales4[[#This Row],[Billed Quantity]]*Sales4[[#This Row],[BOM Cost]]</f>
        <v>#REF!</v>
      </c>
      <c r="AI104" s="12" t="e">
        <f>Sales4[[#This Row],[Billed Quantity]]*Sales4[[#This Row],[Labour cost per unit]]</f>
        <v>#REF!</v>
      </c>
      <c r="AJ104" s="12">
        <f>Sales4[[#This Row],[Droppage per unit]]*Sales4[[#This Row],[Billed Quantity]]</f>
        <v>0</v>
      </c>
      <c r="AK104" s="12" t="e">
        <f>Sales4[[#This Row],[Billed Quantity]]*Sales4[[#This Row],[Other Conversion cost pu]]</f>
        <v>#REF!</v>
      </c>
      <c r="AL104" s="48" t="e">
        <f>Sales4[[#This Row],[PGI Amount]]-Sales4[[#This Row],[BOM Cost2]]-Sales4[[#This Row],[Labour Cost]]-Sales4[[#This Row],[Other conversion cost]]</f>
        <v>#REF!</v>
      </c>
      <c r="AM104" s="121" t="e">
        <f>1-Sales4[[#This Row],[PGI COST]]/Sales4[[#This Row],[Net Value]]</f>
        <v>#REF!</v>
      </c>
      <c r="AN104" s="1">
        <f>Sales4[[#This Row],[PGI Amount]]/Sales4[[#This Row],[Billed Quantity]]</f>
        <v>147.54</v>
      </c>
      <c r="AO104" s="72" t="e">
        <f>SUMIFS('COGS Break up'!#REF!,'COGS Break up'!#REF!,Sales4[[#This Row],[Material]],'COGS Break up'!#REF!,'MIS Working'!$AO$1)</f>
        <v>#REF!</v>
      </c>
      <c r="AP104" s="72" t="e">
        <f>SUMIFS('COGS Break up'!#REF!,'COGS Break up'!#REF!,Sales4[[#This Row],[Material]],'COGS Break up'!#REF!,'MIS Working'!$AP$1)</f>
        <v>#REF!</v>
      </c>
      <c r="AQ104" s="72" t="e">
        <f>SUMIFS('COGS Break up'!#REF!,'COGS Break up'!#REF!,Sales4[[#This Row],[Material]],'COGS Break up'!#REF!,'MIS Working'!$AQ$1)</f>
        <v>#REF!</v>
      </c>
      <c r="AR104" s="72">
        <f>Sales4[[#This Row],[Droppage per unit]]</f>
        <v>0</v>
      </c>
      <c r="AS104" s="15" t="e">
        <f>AO104*Sales4[[#This Row],[Billed Quantity]]</f>
        <v>#REF!</v>
      </c>
      <c r="AT104" s="72" t="e">
        <f>AP104*Sales4[[#This Row],[Billed Quantity]]</f>
        <v>#REF!</v>
      </c>
      <c r="AU104" s="72" t="e">
        <f>AQ104*Sales4[[#This Row],[Billed Quantity]]</f>
        <v>#REF!</v>
      </c>
      <c r="AV104" s="72">
        <f>AR104*Sales4[[#This Row],[Billed Quantity]]</f>
        <v>0</v>
      </c>
    </row>
    <row r="105" spans="1:48" x14ac:dyDescent="0.3">
      <c r="A105" s="1" t="s">
        <v>479</v>
      </c>
      <c r="B105" s="2">
        <v>45917</v>
      </c>
      <c r="C105" s="1">
        <v>3271271018</v>
      </c>
      <c r="D105" s="1" t="s">
        <v>595</v>
      </c>
      <c r="E105" s="1" t="s">
        <v>596</v>
      </c>
      <c r="F105" s="1" t="s">
        <v>18</v>
      </c>
      <c r="G105" s="1" t="s">
        <v>34</v>
      </c>
      <c r="H105" s="1" t="s">
        <v>772</v>
      </c>
      <c r="I105" s="3">
        <v>1008</v>
      </c>
      <c r="J105" s="4">
        <v>126000</v>
      </c>
      <c r="K105" s="3">
        <v>1008</v>
      </c>
      <c r="L105" s="3">
        <v>1008</v>
      </c>
      <c r="M105" s="2">
        <v>45917</v>
      </c>
      <c r="N105" s="4">
        <v>133449.12</v>
      </c>
      <c r="O105" s="1" t="s">
        <v>21</v>
      </c>
      <c r="P105" s="1" t="s">
        <v>22</v>
      </c>
      <c r="Q105" s="1">
        <v>1</v>
      </c>
      <c r="R105" s="1" t="str">
        <f>VLOOKUP(Sales4[[#This Row],[Material type]],Master!$H$3:$I$8,2,0)</f>
        <v>Semi-Finished Goods</v>
      </c>
      <c r="S105" s="1" t="str">
        <f>VLOOKUP(Sales4[[#This Row],[Material Group]],Master!B:C,2,0)</f>
        <v>SFG-GV5 Stator</v>
      </c>
      <c r="T105" s="1" t="str">
        <f>VLOOKUP(Sales4[[#This Row],[Material Group Descrip]],Master!E:F,2,0)</f>
        <v>Sub Ass.-Mech Stator</v>
      </c>
      <c r="U105" s="9" t="b">
        <f ca="1">(TODAY()-1)=Sales4[[#This Row],[Billing Date]]</f>
        <v>0</v>
      </c>
      <c r="V105" s="10" t="e">
        <f>Sales4[[#This Row],[Net Value]]-Sales4[[#This Row],[PGI COST]]</f>
        <v>#REF!</v>
      </c>
      <c r="W105" s="11" t="e">
        <f>Sales4[[#This Row],[Gross Margin]]/Sales4[[#This Row],[Net Value]]</f>
        <v>#REF!</v>
      </c>
      <c r="X105" s="1" t="str">
        <f>TEXT(Sales4[[#This Row],[Billing Date]],"mmmm-yy")</f>
        <v>September-25</v>
      </c>
      <c r="Y105" s="1">
        <f>Sales4[[#This Row],[Net Value]]/Sales4[[#This Row],[Billed Quantity]]</f>
        <v>132.38999999999999</v>
      </c>
      <c r="Z105" s="117">
        <f>Sales4[[#This Row],[Actual delivery qty]]</f>
        <v>1008</v>
      </c>
      <c r="AA105" s="12" t="e">
        <f>SUM(Sales4[[#This Row],[BOM Cost]:[Other Conversion cost pu]])</f>
        <v>#REF!</v>
      </c>
      <c r="AB10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0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05" s="12">
        <f>IFERROR(VLOOKUP(Sales4[[#This Row],[Material]],'COGS Break up'!#REF!,5,0),0)</f>
        <v>0</v>
      </c>
      <c r="AE10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05" s="48" t="e">
        <f>Sales4[[#This Row],[PGI per unit]]-Sales4[[#This Row],[BOM Cost]]-Sales4[[#This Row],[Labour cost per unit]]-Sales4[[#This Row],[Other Conversion cost pu]]</f>
        <v>#REF!</v>
      </c>
      <c r="AG105" s="48" t="e">
        <f>Sales4[[#This Row],[BOM Cost2]]+Sales4[[#This Row],[Labour Cost]]+Sales4[[#This Row],[Other conversion cost]]</f>
        <v>#REF!</v>
      </c>
      <c r="AH105" s="12" t="e">
        <f>Sales4[[#This Row],[Billed Quantity]]*Sales4[[#This Row],[BOM Cost]]</f>
        <v>#REF!</v>
      </c>
      <c r="AI105" s="12" t="e">
        <f>Sales4[[#This Row],[Billed Quantity]]*Sales4[[#This Row],[Labour cost per unit]]</f>
        <v>#REF!</v>
      </c>
      <c r="AJ105" s="12">
        <f>Sales4[[#This Row],[Droppage per unit]]*Sales4[[#This Row],[Billed Quantity]]</f>
        <v>0</v>
      </c>
      <c r="AK105" s="12" t="e">
        <f>Sales4[[#This Row],[Billed Quantity]]*Sales4[[#This Row],[Other Conversion cost pu]]</f>
        <v>#REF!</v>
      </c>
      <c r="AL105" s="48" t="e">
        <f>Sales4[[#This Row],[PGI Amount]]-Sales4[[#This Row],[BOM Cost2]]-Sales4[[#This Row],[Labour Cost]]-Sales4[[#This Row],[Other conversion cost]]</f>
        <v>#REF!</v>
      </c>
      <c r="AM105" s="121" t="e">
        <f>1-Sales4[[#This Row],[PGI COST]]/Sales4[[#This Row],[Net Value]]</f>
        <v>#REF!</v>
      </c>
      <c r="AN105" s="1">
        <f>Sales4[[#This Row],[PGI Amount]]/Sales4[[#This Row],[Billed Quantity]]</f>
        <v>125</v>
      </c>
      <c r="AO105" s="72" t="e">
        <f>SUMIFS('COGS Break up'!#REF!,'COGS Break up'!#REF!,Sales4[[#This Row],[Material]],'COGS Break up'!#REF!,'MIS Working'!$AO$1)</f>
        <v>#REF!</v>
      </c>
      <c r="AP105" s="72" t="e">
        <f>SUMIFS('COGS Break up'!#REF!,'COGS Break up'!#REF!,Sales4[[#This Row],[Material]],'COGS Break up'!#REF!,'MIS Working'!$AP$1)</f>
        <v>#REF!</v>
      </c>
      <c r="AQ105" s="72" t="e">
        <f>SUMIFS('COGS Break up'!#REF!,'COGS Break up'!#REF!,Sales4[[#This Row],[Material]],'COGS Break up'!#REF!,'MIS Working'!$AQ$1)</f>
        <v>#REF!</v>
      </c>
      <c r="AR105" s="72">
        <f>Sales4[[#This Row],[Droppage per unit]]</f>
        <v>0</v>
      </c>
      <c r="AS105" s="15" t="e">
        <f>AO105*Sales4[[#This Row],[Billed Quantity]]</f>
        <v>#REF!</v>
      </c>
      <c r="AT105" s="72" t="e">
        <f>AP105*Sales4[[#This Row],[Billed Quantity]]</f>
        <v>#REF!</v>
      </c>
      <c r="AU105" s="72" t="e">
        <f>AQ105*Sales4[[#This Row],[Billed Quantity]]</f>
        <v>#REF!</v>
      </c>
      <c r="AV105" s="72">
        <f>AR105*Sales4[[#This Row],[Billed Quantity]]</f>
        <v>0</v>
      </c>
    </row>
    <row r="106" spans="1:48" x14ac:dyDescent="0.3">
      <c r="A106" s="1" t="s">
        <v>479</v>
      </c>
      <c r="B106" s="2">
        <v>45917</v>
      </c>
      <c r="C106" s="1">
        <v>3271271167</v>
      </c>
      <c r="D106" s="1" t="s">
        <v>1429</v>
      </c>
      <c r="E106" s="1" t="s">
        <v>1430</v>
      </c>
      <c r="F106" s="1" t="s">
        <v>18</v>
      </c>
      <c r="G106" s="1" t="s">
        <v>48</v>
      </c>
      <c r="H106" s="1" t="s">
        <v>198</v>
      </c>
      <c r="I106" s="3">
        <v>30000</v>
      </c>
      <c r="J106" s="4">
        <v>27275.3</v>
      </c>
      <c r="K106" s="3">
        <v>30000</v>
      </c>
      <c r="L106" s="3">
        <v>30000</v>
      </c>
      <c r="M106" s="2">
        <v>45917</v>
      </c>
      <c r="N106" s="4">
        <v>26400</v>
      </c>
      <c r="O106" s="1" t="s">
        <v>21</v>
      </c>
      <c r="P106" s="1" t="s">
        <v>22</v>
      </c>
      <c r="Q106" s="1">
        <v>1</v>
      </c>
      <c r="R106" s="1" t="str">
        <f>VLOOKUP(Sales4[[#This Row],[Material type]],Master!$H$3:$I$8,2,0)</f>
        <v>Raw Material</v>
      </c>
      <c r="S106" s="1" t="str">
        <f>VLOOKUP(Sales4[[#This Row],[Material Group]],Master!B:C,2,0)</f>
        <v>RM-Eletro-Capacitor</v>
      </c>
      <c r="T106" s="1" t="str">
        <f>VLOOKUP(Sales4[[#This Row],[Material Group Descrip]],Master!E:F,2,0)</f>
        <v>Raw Material</v>
      </c>
      <c r="U106" s="9" t="b">
        <f ca="1">(TODAY()-1)=Sales4[[#This Row],[Billing Date]]</f>
        <v>0</v>
      </c>
      <c r="V106" s="10" t="e">
        <f>Sales4[[#This Row],[Net Value]]-Sales4[[#This Row],[PGI COST]]</f>
        <v>#REF!</v>
      </c>
      <c r="W106" s="11" t="e">
        <f>Sales4[[#This Row],[Gross Margin]]/Sales4[[#This Row],[Net Value]]</f>
        <v>#REF!</v>
      </c>
      <c r="X106" s="1" t="str">
        <f>TEXT(Sales4[[#This Row],[Billing Date]],"mmmm-yy")</f>
        <v>September-25</v>
      </c>
      <c r="Y106" s="1">
        <f>Sales4[[#This Row],[Net Value]]/Sales4[[#This Row],[Billed Quantity]]</f>
        <v>0.88</v>
      </c>
      <c r="Z106" s="117">
        <f>Sales4[[#This Row],[Actual delivery qty]]</f>
        <v>30000</v>
      </c>
      <c r="AA106" s="12" t="e">
        <f>SUM(Sales4[[#This Row],[BOM Cost]:[Other Conversion cost pu]])</f>
        <v>#REF!</v>
      </c>
      <c r="AB10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0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06" s="12">
        <f>IFERROR(VLOOKUP(Sales4[[#This Row],[Material]],'COGS Break up'!#REF!,5,0),0)</f>
        <v>0</v>
      </c>
      <c r="AE10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06" s="48" t="e">
        <f>Sales4[[#This Row],[PGI per unit]]-Sales4[[#This Row],[BOM Cost]]-Sales4[[#This Row],[Labour cost per unit]]-Sales4[[#This Row],[Other Conversion cost pu]]</f>
        <v>#REF!</v>
      </c>
      <c r="AG106" s="48" t="e">
        <f>Sales4[[#This Row],[BOM Cost2]]+Sales4[[#This Row],[Labour Cost]]+Sales4[[#This Row],[Other conversion cost]]</f>
        <v>#REF!</v>
      </c>
      <c r="AH106" s="12" t="e">
        <f>Sales4[[#This Row],[Billed Quantity]]*Sales4[[#This Row],[BOM Cost]]</f>
        <v>#REF!</v>
      </c>
      <c r="AI106" s="12" t="e">
        <f>Sales4[[#This Row],[Billed Quantity]]*Sales4[[#This Row],[Labour cost per unit]]</f>
        <v>#REF!</v>
      </c>
      <c r="AJ106" s="12">
        <f>Sales4[[#This Row],[Droppage per unit]]*Sales4[[#This Row],[Billed Quantity]]</f>
        <v>0</v>
      </c>
      <c r="AK106" s="12" t="e">
        <f>Sales4[[#This Row],[Billed Quantity]]*Sales4[[#This Row],[Other Conversion cost pu]]</f>
        <v>#REF!</v>
      </c>
      <c r="AL106" s="48" t="e">
        <f>Sales4[[#This Row],[PGI Amount]]-Sales4[[#This Row],[BOM Cost2]]-Sales4[[#This Row],[Labour Cost]]-Sales4[[#This Row],[Other conversion cost]]</f>
        <v>#REF!</v>
      </c>
      <c r="AM106" s="121" t="e">
        <f>1-Sales4[[#This Row],[PGI COST]]/Sales4[[#This Row],[Net Value]]</f>
        <v>#REF!</v>
      </c>
      <c r="AN106" s="1">
        <f>Sales4[[#This Row],[PGI Amount]]/Sales4[[#This Row],[Billed Quantity]]</f>
        <v>0.90917666666666663</v>
      </c>
      <c r="AO106" s="72" t="e">
        <f>SUMIFS('COGS Break up'!#REF!,'COGS Break up'!#REF!,Sales4[[#This Row],[Material]],'COGS Break up'!#REF!,'MIS Working'!$AO$1)</f>
        <v>#REF!</v>
      </c>
      <c r="AP106" s="72" t="e">
        <f>SUMIFS('COGS Break up'!#REF!,'COGS Break up'!#REF!,Sales4[[#This Row],[Material]],'COGS Break up'!#REF!,'MIS Working'!$AP$1)</f>
        <v>#REF!</v>
      </c>
      <c r="AQ106" s="72" t="e">
        <f>SUMIFS('COGS Break up'!#REF!,'COGS Break up'!#REF!,Sales4[[#This Row],[Material]],'COGS Break up'!#REF!,'MIS Working'!$AQ$1)</f>
        <v>#REF!</v>
      </c>
      <c r="AR106" s="72">
        <f>Sales4[[#This Row],[Droppage per unit]]</f>
        <v>0</v>
      </c>
      <c r="AS106" s="15" t="e">
        <f>AO106*Sales4[[#This Row],[Billed Quantity]]</f>
        <v>#REF!</v>
      </c>
      <c r="AT106" s="72" t="e">
        <f>AP106*Sales4[[#This Row],[Billed Quantity]]</f>
        <v>#REF!</v>
      </c>
      <c r="AU106" s="72" t="e">
        <f>AQ106*Sales4[[#This Row],[Billed Quantity]]</f>
        <v>#REF!</v>
      </c>
      <c r="AV106" s="72">
        <f>AR106*Sales4[[#This Row],[Billed Quantity]]</f>
        <v>0</v>
      </c>
    </row>
    <row r="107" spans="1:48" x14ac:dyDescent="0.3">
      <c r="A107" s="1" t="s">
        <v>479</v>
      </c>
      <c r="B107" s="2">
        <v>45917</v>
      </c>
      <c r="C107" s="1">
        <v>3271271167</v>
      </c>
      <c r="D107" s="1" t="s">
        <v>1431</v>
      </c>
      <c r="E107" s="1" t="s">
        <v>1432</v>
      </c>
      <c r="F107" s="1" t="s">
        <v>18</v>
      </c>
      <c r="G107" s="1" t="s">
        <v>48</v>
      </c>
      <c r="H107" s="1" t="s">
        <v>49</v>
      </c>
      <c r="I107" s="3">
        <v>15000</v>
      </c>
      <c r="J107" s="4">
        <v>158250</v>
      </c>
      <c r="K107" s="3">
        <v>15000</v>
      </c>
      <c r="L107" s="3">
        <v>15000</v>
      </c>
      <c r="M107" s="2">
        <v>45917</v>
      </c>
      <c r="N107" s="4">
        <v>158250</v>
      </c>
      <c r="O107" s="1" t="s">
        <v>21</v>
      </c>
      <c r="P107" s="1" t="s">
        <v>22</v>
      </c>
      <c r="Q107" s="1">
        <v>1</v>
      </c>
      <c r="R107" s="1" t="str">
        <f>VLOOKUP(Sales4[[#This Row],[Material type]],Master!$H$3:$I$8,2,0)</f>
        <v>Raw Material</v>
      </c>
      <c r="S107" s="1" t="str">
        <f>VLOOKUP(Sales4[[#This Row],[Material Group]],Master!B:C,2,0)</f>
        <v>RM-Eletro-Connecter</v>
      </c>
      <c r="T107" s="1" t="str">
        <f>VLOOKUP(Sales4[[#This Row],[Material Group Descrip]],Master!E:F,2,0)</f>
        <v>Raw Material</v>
      </c>
      <c r="U107" s="9" t="b">
        <f ca="1">(TODAY()-1)=Sales4[[#This Row],[Billing Date]]</f>
        <v>0</v>
      </c>
      <c r="V107" s="10" t="e">
        <f>Sales4[[#This Row],[Net Value]]-Sales4[[#This Row],[PGI COST]]</f>
        <v>#REF!</v>
      </c>
      <c r="W107" s="11" t="e">
        <f>Sales4[[#This Row],[Gross Margin]]/Sales4[[#This Row],[Net Value]]</f>
        <v>#REF!</v>
      </c>
      <c r="X107" s="1" t="str">
        <f>TEXT(Sales4[[#This Row],[Billing Date]],"mmmm-yy")</f>
        <v>September-25</v>
      </c>
      <c r="Y107" s="1">
        <f>Sales4[[#This Row],[Net Value]]/Sales4[[#This Row],[Billed Quantity]]</f>
        <v>10.55</v>
      </c>
      <c r="Z107" s="117">
        <f>Sales4[[#This Row],[Actual delivery qty]]</f>
        <v>15000</v>
      </c>
      <c r="AA107" s="12" t="e">
        <f>SUM(Sales4[[#This Row],[BOM Cost]:[Other Conversion cost pu]])</f>
        <v>#REF!</v>
      </c>
      <c r="AB10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0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07" s="12">
        <f>IFERROR(VLOOKUP(Sales4[[#This Row],[Material]],'COGS Break up'!#REF!,5,0),0)</f>
        <v>0</v>
      </c>
      <c r="AE10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07" s="48" t="e">
        <f>Sales4[[#This Row],[PGI per unit]]-Sales4[[#This Row],[BOM Cost]]-Sales4[[#This Row],[Labour cost per unit]]-Sales4[[#This Row],[Other Conversion cost pu]]</f>
        <v>#REF!</v>
      </c>
      <c r="AG107" s="48" t="e">
        <f>Sales4[[#This Row],[BOM Cost2]]+Sales4[[#This Row],[Labour Cost]]+Sales4[[#This Row],[Other conversion cost]]</f>
        <v>#REF!</v>
      </c>
      <c r="AH107" s="12" t="e">
        <f>Sales4[[#This Row],[Billed Quantity]]*Sales4[[#This Row],[BOM Cost]]</f>
        <v>#REF!</v>
      </c>
      <c r="AI107" s="12" t="e">
        <f>Sales4[[#This Row],[Billed Quantity]]*Sales4[[#This Row],[Labour cost per unit]]</f>
        <v>#REF!</v>
      </c>
      <c r="AJ107" s="12">
        <f>Sales4[[#This Row],[Droppage per unit]]*Sales4[[#This Row],[Billed Quantity]]</f>
        <v>0</v>
      </c>
      <c r="AK107" s="12" t="e">
        <f>Sales4[[#This Row],[Billed Quantity]]*Sales4[[#This Row],[Other Conversion cost pu]]</f>
        <v>#REF!</v>
      </c>
      <c r="AL107" s="48" t="e">
        <f>Sales4[[#This Row],[PGI Amount]]-Sales4[[#This Row],[BOM Cost2]]-Sales4[[#This Row],[Labour Cost]]-Sales4[[#This Row],[Other conversion cost]]</f>
        <v>#REF!</v>
      </c>
      <c r="AM107" s="121" t="e">
        <f>1-Sales4[[#This Row],[PGI COST]]/Sales4[[#This Row],[Net Value]]</f>
        <v>#REF!</v>
      </c>
      <c r="AN107" s="1">
        <f>Sales4[[#This Row],[PGI Amount]]/Sales4[[#This Row],[Billed Quantity]]</f>
        <v>10.55</v>
      </c>
      <c r="AO107" s="72" t="e">
        <f>SUMIFS('COGS Break up'!#REF!,'COGS Break up'!#REF!,Sales4[[#This Row],[Material]],'COGS Break up'!#REF!,'MIS Working'!$AO$1)</f>
        <v>#REF!</v>
      </c>
      <c r="AP107" s="72" t="e">
        <f>SUMIFS('COGS Break up'!#REF!,'COGS Break up'!#REF!,Sales4[[#This Row],[Material]],'COGS Break up'!#REF!,'MIS Working'!$AP$1)</f>
        <v>#REF!</v>
      </c>
      <c r="AQ107" s="72" t="e">
        <f>SUMIFS('COGS Break up'!#REF!,'COGS Break up'!#REF!,Sales4[[#This Row],[Material]],'COGS Break up'!#REF!,'MIS Working'!$AQ$1)</f>
        <v>#REF!</v>
      </c>
      <c r="AR107" s="72">
        <f>Sales4[[#This Row],[Droppage per unit]]</f>
        <v>0</v>
      </c>
      <c r="AS107" s="15" t="e">
        <f>AO107*Sales4[[#This Row],[Billed Quantity]]</f>
        <v>#REF!</v>
      </c>
      <c r="AT107" s="72" t="e">
        <f>AP107*Sales4[[#This Row],[Billed Quantity]]</f>
        <v>#REF!</v>
      </c>
      <c r="AU107" s="72" t="e">
        <f>AQ107*Sales4[[#This Row],[Billed Quantity]]</f>
        <v>#REF!</v>
      </c>
      <c r="AV107" s="72">
        <f>AR107*Sales4[[#This Row],[Billed Quantity]]</f>
        <v>0</v>
      </c>
    </row>
    <row r="108" spans="1:48" x14ac:dyDescent="0.3">
      <c r="A108" s="1" t="s">
        <v>479</v>
      </c>
      <c r="B108" s="2">
        <v>45917</v>
      </c>
      <c r="C108" s="1">
        <v>3271271167</v>
      </c>
      <c r="D108" s="1" t="s">
        <v>1433</v>
      </c>
      <c r="E108" s="1" t="s">
        <v>1434</v>
      </c>
      <c r="F108" s="1" t="s">
        <v>18</v>
      </c>
      <c r="G108" s="1" t="s">
        <v>48</v>
      </c>
      <c r="H108" s="1" t="s">
        <v>168</v>
      </c>
      <c r="I108" s="3">
        <v>38000</v>
      </c>
      <c r="J108" s="4">
        <v>298300</v>
      </c>
      <c r="K108" s="3">
        <v>38000</v>
      </c>
      <c r="L108" s="3">
        <v>38000</v>
      </c>
      <c r="M108" s="2">
        <v>45917</v>
      </c>
      <c r="N108" s="4">
        <v>298300</v>
      </c>
      <c r="O108" s="1" t="s">
        <v>21</v>
      </c>
      <c r="P108" s="1" t="s">
        <v>22</v>
      </c>
      <c r="Q108" s="1">
        <v>1</v>
      </c>
      <c r="R108" s="1" t="str">
        <f>VLOOKUP(Sales4[[#This Row],[Material type]],Master!$H$3:$I$8,2,0)</f>
        <v>Raw Material</v>
      </c>
      <c r="S108" s="1" t="str">
        <f>VLOOKUP(Sales4[[#This Row],[Material Group]],Master!B:C,2,0)</f>
        <v>Raw Materials</v>
      </c>
      <c r="T108" s="1" t="str">
        <f>VLOOKUP(Sales4[[#This Row],[Material Group Descrip]],Master!E:F,2,0)</f>
        <v>Raw Material</v>
      </c>
      <c r="U108" s="9" t="b">
        <f ca="1">(TODAY()-1)=Sales4[[#This Row],[Billing Date]]</f>
        <v>0</v>
      </c>
      <c r="V108" s="10" t="e">
        <f>Sales4[[#This Row],[Net Value]]-Sales4[[#This Row],[PGI COST]]</f>
        <v>#REF!</v>
      </c>
      <c r="W108" s="11" t="e">
        <f>Sales4[[#This Row],[Gross Margin]]/Sales4[[#This Row],[Net Value]]</f>
        <v>#REF!</v>
      </c>
      <c r="X108" s="1" t="str">
        <f>TEXT(Sales4[[#This Row],[Billing Date]],"mmmm-yy")</f>
        <v>September-25</v>
      </c>
      <c r="Y108" s="1">
        <f>Sales4[[#This Row],[Net Value]]/Sales4[[#This Row],[Billed Quantity]]</f>
        <v>7.85</v>
      </c>
      <c r="Z108" s="117">
        <f>Sales4[[#This Row],[Actual delivery qty]]</f>
        <v>38000</v>
      </c>
      <c r="AA108" s="12" t="e">
        <f>SUM(Sales4[[#This Row],[BOM Cost]:[Other Conversion cost pu]])</f>
        <v>#REF!</v>
      </c>
      <c r="AB10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0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08" s="12">
        <f>IFERROR(VLOOKUP(Sales4[[#This Row],[Material]],'COGS Break up'!#REF!,5,0),0)</f>
        <v>0</v>
      </c>
      <c r="AE10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08" s="48" t="e">
        <f>Sales4[[#This Row],[PGI per unit]]-Sales4[[#This Row],[BOM Cost]]-Sales4[[#This Row],[Labour cost per unit]]-Sales4[[#This Row],[Other Conversion cost pu]]</f>
        <v>#REF!</v>
      </c>
      <c r="AG108" s="48" t="e">
        <f>Sales4[[#This Row],[BOM Cost2]]+Sales4[[#This Row],[Labour Cost]]+Sales4[[#This Row],[Other conversion cost]]</f>
        <v>#REF!</v>
      </c>
      <c r="AH108" s="12" t="e">
        <f>Sales4[[#This Row],[Billed Quantity]]*Sales4[[#This Row],[BOM Cost]]</f>
        <v>#REF!</v>
      </c>
      <c r="AI108" s="12" t="e">
        <f>Sales4[[#This Row],[Billed Quantity]]*Sales4[[#This Row],[Labour cost per unit]]</f>
        <v>#REF!</v>
      </c>
      <c r="AJ108" s="12">
        <f>Sales4[[#This Row],[Droppage per unit]]*Sales4[[#This Row],[Billed Quantity]]</f>
        <v>0</v>
      </c>
      <c r="AK108" s="12" t="e">
        <f>Sales4[[#This Row],[Billed Quantity]]*Sales4[[#This Row],[Other Conversion cost pu]]</f>
        <v>#REF!</v>
      </c>
      <c r="AL108" s="48" t="e">
        <f>Sales4[[#This Row],[PGI Amount]]-Sales4[[#This Row],[BOM Cost2]]-Sales4[[#This Row],[Labour Cost]]-Sales4[[#This Row],[Other conversion cost]]</f>
        <v>#REF!</v>
      </c>
      <c r="AM108" s="121" t="e">
        <f>1-Sales4[[#This Row],[PGI COST]]/Sales4[[#This Row],[Net Value]]</f>
        <v>#REF!</v>
      </c>
      <c r="AN108" s="1">
        <f>Sales4[[#This Row],[PGI Amount]]/Sales4[[#This Row],[Billed Quantity]]</f>
        <v>7.85</v>
      </c>
      <c r="AO108" s="72" t="e">
        <f>SUMIFS('COGS Break up'!#REF!,'COGS Break up'!#REF!,Sales4[[#This Row],[Material]],'COGS Break up'!#REF!,'MIS Working'!$AO$1)</f>
        <v>#REF!</v>
      </c>
      <c r="AP108" s="72" t="e">
        <f>SUMIFS('COGS Break up'!#REF!,'COGS Break up'!#REF!,Sales4[[#This Row],[Material]],'COGS Break up'!#REF!,'MIS Working'!$AP$1)</f>
        <v>#REF!</v>
      </c>
      <c r="AQ108" s="72" t="e">
        <f>SUMIFS('COGS Break up'!#REF!,'COGS Break up'!#REF!,Sales4[[#This Row],[Material]],'COGS Break up'!#REF!,'MIS Working'!$AQ$1)</f>
        <v>#REF!</v>
      </c>
      <c r="AR108" s="72">
        <f>Sales4[[#This Row],[Droppage per unit]]</f>
        <v>0</v>
      </c>
      <c r="AS108" s="15" t="e">
        <f>AO108*Sales4[[#This Row],[Billed Quantity]]</f>
        <v>#REF!</v>
      </c>
      <c r="AT108" s="72" t="e">
        <f>AP108*Sales4[[#This Row],[Billed Quantity]]</f>
        <v>#REF!</v>
      </c>
      <c r="AU108" s="72" t="e">
        <f>AQ108*Sales4[[#This Row],[Billed Quantity]]</f>
        <v>#REF!</v>
      </c>
      <c r="AV108" s="72">
        <f>AR108*Sales4[[#This Row],[Billed Quantity]]</f>
        <v>0</v>
      </c>
    </row>
    <row r="109" spans="1:48" x14ac:dyDescent="0.3">
      <c r="A109" s="1" t="s">
        <v>479</v>
      </c>
      <c r="B109" s="2">
        <v>45917</v>
      </c>
      <c r="C109" s="1">
        <v>3271271167</v>
      </c>
      <c r="D109" s="1" t="s">
        <v>1435</v>
      </c>
      <c r="E109" s="1" t="s">
        <v>1436</v>
      </c>
      <c r="F109" s="1" t="s">
        <v>18</v>
      </c>
      <c r="G109" s="1" t="s">
        <v>48</v>
      </c>
      <c r="H109" s="1" t="s">
        <v>204</v>
      </c>
      <c r="I109" s="3">
        <v>15000</v>
      </c>
      <c r="J109" s="4">
        <v>15000</v>
      </c>
      <c r="K109" s="3">
        <v>15000</v>
      </c>
      <c r="L109" s="3">
        <v>15000</v>
      </c>
      <c r="M109" s="2">
        <v>45917</v>
      </c>
      <c r="N109" s="4">
        <v>15000</v>
      </c>
      <c r="O109" s="1" t="s">
        <v>21</v>
      </c>
      <c r="P109" s="1" t="s">
        <v>22</v>
      </c>
      <c r="Q109" s="1">
        <v>1</v>
      </c>
      <c r="R109" s="1" t="str">
        <f>VLOOKUP(Sales4[[#This Row],[Material type]],Master!$H$3:$I$8,2,0)</f>
        <v>Raw Material</v>
      </c>
      <c r="S109" s="1" t="str">
        <f>VLOOKUP(Sales4[[#This Row],[Material Group]],Master!B:C,2,0)</f>
        <v>RM-Eletro-Resistor</v>
      </c>
      <c r="T109" s="1" t="str">
        <f>VLOOKUP(Sales4[[#This Row],[Material Group Descrip]],Master!E:F,2,0)</f>
        <v>Raw Material</v>
      </c>
      <c r="U109" s="9" t="b">
        <f ca="1">(TODAY()-1)=Sales4[[#This Row],[Billing Date]]</f>
        <v>0</v>
      </c>
      <c r="V109" s="10" t="e">
        <f>Sales4[[#This Row],[Net Value]]-Sales4[[#This Row],[PGI COST]]</f>
        <v>#REF!</v>
      </c>
      <c r="W109" s="11" t="e">
        <f>Sales4[[#This Row],[Gross Margin]]/Sales4[[#This Row],[Net Value]]</f>
        <v>#REF!</v>
      </c>
      <c r="X109" s="1" t="str">
        <f>TEXT(Sales4[[#This Row],[Billing Date]],"mmmm-yy")</f>
        <v>September-25</v>
      </c>
      <c r="Y109" s="1">
        <f>Sales4[[#This Row],[Net Value]]/Sales4[[#This Row],[Billed Quantity]]</f>
        <v>1</v>
      </c>
      <c r="Z109" s="117">
        <f>Sales4[[#This Row],[Actual delivery qty]]</f>
        <v>15000</v>
      </c>
      <c r="AA109" s="12" t="e">
        <f>SUM(Sales4[[#This Row],[BOM Cost]:[Other Conversion cost pu]])</f>
        <v>#REF!</v>
      </c>
      <c r="AB10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0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09" s="12">
        <f>IFERROR(VLOOKUP(Sales4[[#This Row],[Material]],'COGS Break up'!#REF!,5,0),0)</f>
        <v>0</v>
      </c>
      <c r="AE10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09" s="48" t="e">
        <f>Sales4[[#This Row],[PGI per unit]]-Sales4[[#This Row],[BOM Cost]]-Sales4[[#This Row],[Labour cost per unit]]-Sales4[[#This Row],[Other Conversion cost pu]]</f>
        <v>#REF!</v>
      </c>
      <c r="AG109" s="48" t="e">
        <f>Sales4[[#This Row],[BOM Cost2]]+Sales4[[#This Row],[Labour Cost]]+Sales4[[#This Row],[Other conversion cost]]</f>
        <v>#REF!</v>
      </c>
      <c r="AH109" s="12" t="e">
        <f>Sales4[[#This Row],[Billed Quantity]]*Sales4[[#This Row],[BOM Cost]]</f>
        <v>#REF!</v>
      </c>
      <c r="AI109" s="12" t="e">
        <f>Sales4[[#This Row],[Billed Quantity]]*Sales4[[#This Row],[Labour cost per unit]]</f>
        <v>#REF!</v>
      </c>
      <c r="AJ109" s="12">
        <f>Sales4[[#This Row],[Droppage per unit]]*Sales4[[#This Row],[Billed Quantity]]</f>
        <v>0</v>
      </c>
      <c r="AK109" s="12" t="e">
        <f>Sales4[[#This Row],[Billed Quantity]]*Sales4[[#This Row],[Other Conversion cost pu]]</f>
        <v>#REF!</v>
      </c>
      <c r="AL109" s="48" t="e">
        <f>Sales4[[#This Row],[PGI Amount]]-Sales4[[#This Row],[BOM Cost2]]-Sales4[[#This Row],[Labour Cost]]-Sales4[[#This Row],[Other conversion cost]]</f>
        <v>#REF!</v>
      </c>
      <c r="AM109" s="121" t="e">
        <f>1-Sales4[[#This Row],[PGI COST]]/Sales4[[#This Row],[Net Value]]</f>
        <v>#REF!</v>
      </c>
      <c r="AN109" s="1">
        <f>Sales4[[#This Row],[PGI Amount]]/Sales4[[#This Row],[Billed Quantity]]</f>
        <v>1</v>
      </c>
      <c r="AO109" s="72" t="e">
        <f>SUMIFS('COGS Break up'!#REF!,'COGS Break up'!#REF!,Sales4[[#This Row],[Material]],'COGS Break up'!#REF!,'MIS Working'!$AO$1)</f>
        <v>#REF!</v>
      </c>
      <c r="AP109" s="72" t="e">
        <f>SUMIFS('COGS Break up'!#REF!,'COGS Break up'!#REF!,Sales4[[#This Row],[Material]],'COGS Break up'!#REF!,'MIS Working'!$AP$1)</f>
        <v>#REF!</v>
      </c>
      <c r="AQ109" s="72" t="e">
        <f>SUMIFS('COGS Break up'!#REF!,'COGS Break up'!#REF!,Sales4[[#This Row],[Material]],'COGS Break up'!#REF!,'MIS Working'!$AQ$1)</f>
        <v>#REF!</v>
      </c>
      <c r="AR109" s="72">
        <f>Sales4[[#This Row],[Droppage per unit]]</f>
        <v>0</v>
      </c>
      <c r="AS109" s="15" t="e">
        <f>AO109*Sales4[[#This Row],[Billed Quantity]]</f>
        <v>#REF!</v>
      </c>
      <c r="AT109" s="72" t="e">
        <f>AP109*Sales4[[#This Row],[Billed Quantity]]</f>
        <v>#REF!</v>
      </c>
      <c r="AU109" s="72" t="e">
        <f>AQ109*Sales4[[#This Row],[Billed Quantity]]</f>
        <v>#REF!</v>
      </c>
      <c r="AV109" s="72">
        <f>AR109*Sales4[[#This Row],[Billed Quantity]]</f>
        <v>0</v>
      </c>
    </row>
    <row r="110" spans="1:48" x14ac:dyDescent="0.3">
      <c r="A110" s="1" t="s">
        <v>479</v>
      </c>
      <c r="B110" s="2">
        <v>45917</v>
      </c>
      <c r="C110" s="1">
        <v>3271271167</v>
      </c>
      <c r="D110" s="1" t="s">
        <v>1437</v>
      </c>
      <c r="E110" s="1" t="s">
        <v>1438</v>
      </c>
      <c r="F110" s="1" t="s">
        <v>18</v>
      </c>
      <c r="G110" s="1" t="s">
        <v>48</v>
      </c>
      <c r="H110" s="1" t="s">
        <v>202</v>
      </c>
      <c r="I110" s="3">
        <v>30000</v>
      </c>
      <c r="J110" s="4">
        <v>542902.61</v>
      </c>
      <c r="K110" s="3">
        <v>30000</v>
      </c>
      <c r="L110" s="3">
        <v>30000</v>
      </c>
      <c r="M110" s="2">
        <v>45917</v>
      </c>
      <c r="N110" s="4">
        <v>510000</v>
      </c>
      <c r="O110" s="1" t="s">
        <v>21</v>
      </c>
      <c r="P110" s="1" t="s">
        <v>22</v>
      </c>
      <c r="Q110" s="1">
        <v>1</v>
      </c>
      <c r="R110" s="1" t="str">
        <f>VLOOKUP(Sales4[[#This Row],[Material type]],Master!$H$3:$I$8,2,0)</f>
        <v>Raw Material</v>
      </c>
      <c r="S110" s="1" t="str">
        <f>VLOOKUP(Sales4[[#This Row],[Material Group]],Master!B:C,2,0)</f>
        <v>RM-Eletro-IC</v>
      </c>
      <c r="T110" s="1" t="str">
        <f>VLOOKUP(Sales4[[#This Row],[Material Group Descrip]],Master!E:F,2,0)</f>
        <v>Raw Material</v>
      </c>
      <c r="U110" s="9" t="b">
        <f ca="1">(TODAY()-1)=Sales4[[#This Row],[Billing Date]]</f>
        <v>0</v>
      </c>
      <c r="V110" s="10" t="e">
        <f>Sales4[[#This Row],[Net Value]]-Sales4[[#This Row],[PGI COST]]</f>
        <v>#REF!</v>
      </c>
      <c r="W110" s="11" t="e">
        <f>Sales4[[#This Row],[Gross Margin]]/Sales4[[#This Row],[Net Value]]</f>
        <v>#REF!</v>
      </c>
      <c r="X110" s="1" t="str">
        <f>TEXT(Sales4[[#This Row],[Billing Date]],"mmmm-yy")</f>
        <v>September-25</v>
      </c>
      <c r="Y110" s="1">
        <f>Sales4[[#This Row],[Net Value]]/Sales4[[#This Row],[Billed Quantity]]</f>
        <v>17</v>
      </c>
      <c r="Z110" s="117">
        <f>Sales4[[#This Row],[Actual delivery qty]]</f>
        <v>30000</v>
      </c>
      <c r="AA110" s="12" t="e">
        <f>SUM(Sales4[[#This Row],[BOM Cost]:[Other Conversion cost pu]])</f>
        <v>#REF!</v>
      </c>
      <c r="AB11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1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10" s="12">
        <f>IFERROR(VLOOKUP(Sales4[[#This Row],[Material]],'COGS Break up'!#REF!,5,0),0)</f>
        <v>0</v>
      </c>
      <c r="AE11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10" s="48" t="e">
        <f>Sales4[[#This Row],[PGI per unit]]-Sales4[[#This Row],[BOM Cost]]-Sales4[[#This Row],[Labour cost per unit]]-Sales4[[#This Row],[Other Conversion cost pu]]</f>
        <v>#REF!</v>
      </c>
      <c r="AG110" s="48" t="e">
        <f>Sales4[[#This Row],[BOM Cost2]]+Sales4[[#This Row],[Labour Cost]]+Sales4[[#This Row],[Other conversion cost]]</f>
        <v>#REF!</v>
      </c>
      <c r="AH110" s="12" t="e">
        <f>Sales4[[#This Row],[Billed Quantity]]*Sales4[[#This Row],[BOM Cost]]</f>
        <v>#REF!</v>
      </c>
      <c r="AI110" s="12" t="e">
        <f>Sales4[[#This Row],[Billed Quantity]]*Sales4[[#This Row],[Labour cost per unit]]</f>
        <v>#REF!</v>
      </c>
      <c r="AJ110" s="12">
        <f>Sales4[[#This Row],[Droppage per unit]]*Sales4[[#This Row],[Billed Quantity]]</f>
        <v>0</v>
      </c>
      <c r="AK110" s="12" t="e">
        <f>Sales4[[#This Row],[Billed Quantity]]*Sales4[[#This Row],[Other Conversion cost pu]]</f>
        <v>#REF!</v>
      </c>
      <c r="AL110" s="48" t="e">
        <f>Sales4[[#This Row],[PGI Amount]]-Sales4[[#This Row],[BOM Cost2]]-Sales4[[#This Row],[Labour Cost]]-Sales4[[#This Row],[Other conversion cost]]</f>
        <v>#REF!</v>
      </c>
      <c r="AM110" s="121" t="e">
        <f>1-Sales4[[#This Row],[PGI COST]]/Sales4[[#This Row],[Net Value]]</f>
        <v>#REF!</v>
      </c>
      <c r="AN110" s="1">
        <f>Sales4[[#This Row],[PGI Amount]]/Sales4[[#This Row],[Billed Quantity]]</f>
        <v>18.096753666666665</v>
      </c>
      <c r="AO110" s="72" t="e">
        <f>SUMIFS('COGS Break up'!#REF!,'COGS Break up'!#REF!,Sales4[[#This Row],[Material]],'COGS Break up'!#REF!,'MIS Working'!$AO$1)</f>
        <v>#REF!</v>
      </c>
      <c r="AP110" s="72" t="e">
        <f>SUMIFS('COGS Break up'!#REF!,'COGS Break up'!#REF!,Sales4[[#This Row],[Material]],'COGS Break up'!#REF!,'MIS Working'!$AP$1)</f>
        <v>#REF!</v>
      </c>
      <c r="AQ110" s="72" t="e">
        <f>SUMIFS('COGS Break up'!#REF!,'COGS Break up'!#REF!,Sales4[[#This Row],[Material]],'COGS Break up'!#REF!,'MIS Working'!$AQ$1)</f>
        <v>#REF!</v>
      </c>
      <c r="AR110" s="72">
        <f>Sales4[[#This Row],[Droppage per unit]]</f>
        <v>0</v>
      </c>
      <c r="AS110" s="15" t="e">
        <f>AO110*Sales4[[#This Row],[Billed Quantity]]</f>
        <v>#REF!</v>
      </c>
      <c r="AT110" s="72" t="e">
        <f>AP110*Sales4[[#This Row],[Billed Quantity]]</f>
        <v>#REF!</v>
      </c>
      <c r="AU110" s="72" t="e">
        <f>AQ110*Sales4[[#This Row],[Billed Quantity]]</f>
        <v>#REF!</v>
      </c>
      <c r="AV110" s="72">
        <f>AR110*Sales4[[#This Row],[Billed Quantity]]</f>
        <v>0</v>
      </c>
    </row>
    <row r="111" spans="1:48" x14ac:dyDescent="0.3">
      <c r="A111" s="1" t="s">
        <v>479</v>
      </c>
      <c r="B111" s="2">
        <v>45917</v>
      </c>
      <c r="C111" s="1">
        <v>3271271167</v>
      </c>
      <c r="D111" s="1" t="s">
        <v>1439</v>
      </c>
      <c r="E111" s="1" t="s">
        <v>1440</v>
      </c>
      <c r="F111" s="1" t="s">
        <v>18</v>
      </c>
      <c r="G111" s="1" t="s">
        <v>48</v>
      </c>
      <c r="H111" s="1" t="s">
        <v>198</v>
      </c>
      <c r="I111" s="3">
        <v>30000</v>
      </c>
      <c r="J111" s="4">
        <v>18925.22</v>
      </c>
      <c r="K111" s="3">
        <v>30000</v>
      </c>
      <c r="L111" s="3">
        <v>30000</v>
      </c>
      <c r="M111" s="2">
        <v>45917</v>
      </c>
      <c r="N111" s="4">
        <v>18900</v>
      </c>
      <c r="O111" s="1" t="s">
        <v>21</v>
      </c>
      <c r="P111" s="1" t="s">
        <v>22</v>
      </c>
      <c r="Q111" s="1">
        <v>1</v>
      </c>
      <c r="R111" s="1" t="str">
        <f>VLOOKUP(Sales4[[#This Row],[Material type]],Master!$H$3:$I$8,2,0)</f>
        <v>Raw Material</v>
      </c>
      <c r="S111" s="1" t="str">
        <f>VLOOKUP(Sales4[[#This Row],[Material Group]],Master!B:C,2,0)</f>
        <v>RM-Eletro-Capacitor</v>
      </c>
      <c r="T111" s="1" t="str">
        <f>VLOOKUP(Sales4[[#This Row],[Material Group Descrip]],Master!E:F,2,0)</f>
        <v>Raw Material</v>
      </c>
      <c r="U111" s="9" t="b">
        <f ca="1">(TODAY()-1)=Sales4[[#This Row],[Billing Date]]</f>
        <v>0</v>
      </c>
      <c r="V111" s="10" t="e">
        <f>Sales4[[#This Row],[Net Value]]-Sales4[[#This Row],[PGI COST]]</f>
        <v>#REF!</v>
      </c>
      <c r="W111" s="11" t="e">
        <f>Sales4[[#This Row],[Gross Margin]]/Sales4[[#This Row],[Net Value]]</f>
        <v>#REF!</v>
      </c>
      <c r="X111" s="1" t="str">
        <f>TEXT(Sales4[[#This Row],[Billing Date]],"mmmm-yy")</f>
        <v>September-25</v>
      </c>
      <c r="Y111" s="1">
        <f>Sales4[[#This Row],[Net Value]]/Sales4[[#This Row],[Billed Quantity]]</f>
        <v>0.63</v>
      </c>
      <c r="Z111" s="117">
        <f>Sales4[[#This Row],[Actual delivery qty]]</f>
        <v>30000</v>
      </c>
      <c r="AA111" s="12" t="e">
        <f>SUM(Sales4[[#This Row],[BOM Cost]:[Other Conversion cost pu]])</f>
        <v>#REF!</v>
      </c>
      <c r="AB11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1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11" s="12">
        <f>IFERROR(VLOOKUP(Sales4[[#This Row],[Material]],'COGS Break up'!#REF!,5,0),0)</f>
        <v>0</v>
      </c>
      <c r="AE11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11" s="48" t="e">
        <f>Sales4[[#This Row],[PGI per unit]]-Sales4[[#This Row],[BOM Cost]]-Sales4[[#This Row],[Labour cost per unit]]-Sales4[[#This Row],[Other Conversion cost pu]]</f>
        <v>#REF!</v>
      </c>
      <c r="AG111" s="48" t="e">
        <f>Sales4[[#This Row],[BOM Cost2]]+Sales4[[#This Row],[Labour Cost]]+Sales4[[#This Row],[Other conversion cost]]</f>
        <v>#REF!</v>
      </c>
      <c r="AH111" s="12" t="e">
        <f>Sales4[[#This Row],[Billed Quantity]]*Sales4[[#This Row],[BOM Cost]]</f>
        <v>#REF!</v>
      </c>
      <c r="AI111" s="12" t="e">
        <f>Sales4[[#This Row],[Billed Quantity]]*Sales4[[#This Row],[Labour cost per unit]]</f>
        <v>#REF!</v>
      </c>
      <c r="AJ111" s="12">
        <f>Sales4[[#This Row],[Droppage per unit]]*Sales4[[#This Row],[Billed Quantity]]</f>
        <v>0</v>
      </c>
      <c r="AK111" s="12" t="e">
        <f>Sales4[[#This Row],[Billed Quantity]]*Sales4[[#This Row],[Other Conversion cost pu]]</f>
        <v>#REF!</v>
      </c>
      <c r="AL111" s="48" t="e">
        <f>Sales4[[#This Row],[PGI Amount]]-Sales4[[#This Row],[BOM Cost2]]-Sales4[[#This Row],[Labour Cost]]-Sales4[[#This Row],[Other conversion cost]]</f>
        <v>#REF!</v>
      </c>
      <c r="AM111" s="121" t="e">
        <f>1-Sales4[[#This Row],[PGI COST]]/Sales4[[#This Row],[Net Value]]</f>
        <v>#REF!</v>
      </c>
      <c r="AN111" s="1">
        <f>Sales4[[#This Row],[PGI Amount]]/Sales4[[#This Row],[Billed Quantity]]</f>
        <v>0.63084066666666672</v>
      </c>
      <c r="AO111" s="72" t="e">
        <f>SUMIFS('COGS Break up'!#REF!,'COGS Break up'!#REF!,Sales4[[#This Row],[Material]],'COGS Break up'!#REF!,'MIS Working'!$AO$1)</f>
        <v>#REF!</v>
      </c>
      <c r="AP111" s="72" t="e">
        <f>SUMIFS('COGS Break up'!#REF!,'COGS Break up'!#REF!,Sales4[[#This Row],[Material]],'COGS Break up'!#REF!,'MIS Working'!$AP$1)</f>
        <v>#REF!</v>
      </c>
      <c r="AQ111" s="72" t="e">
        <f>SUMIFS('COGS Break up'!#REF!,'COGS Break up'!#REF!,Sales4[[#This Row],[Material]],'COGS Break up'!#REF!,'MIS Working'!$AQ$1)</f>
        <v>#REF!</v>
      </c>
      <c r="AR111" s="72">
        <f>Sales4[[#This Row],[Droppage per unit]]</f>
        <v>0</v>
      </c>
      <c r="AS111" s="15" t="e">
        <f>AO111*Sales4[[#This Row],[Billed Quantity]]</f>
        <v>#REF!</v>
      </c>
      <c r="AT111" s="72" t="e">
        <f>AP111*Sales4[[#This Row],[Billed Quantity]]</f>
        <v>#REF!</v>
      </c>
      <c r="AU111" s="72" t="e">
        <f>AQ111*Sales4[[#This Row],[Billed Quantity]]</f>
        <v>#REF!</v>
      </c>
      <c r="AV111" s="72">
        <f>AR111*Sales4[[#This Row],[Billed Quantity]]</f>
        <v>0</v>
      </c>
    </row>
    <row r="112" spans="1:48" x14ac:dyDescent="0.3">
      <c r="A112" s="1" t="s">
        <v>479</v>
      </c>
      <c r="B112" s="2">
        <v>45917</v>
      </c>
      <c r="C112" s="1">
        <v>3271271167</v>
      </c>
      <c r="D112" s="1" t="s">
        <v>1441</v>
      </c>
      <c r="E112" s="1" t="s">
        <v>1442</v>
      </c>
      <c r="F112" s="1" t="s">
        <v>18</v>
      </c>
      <c r="G112" s="1" t="s">
        <v>48</v>
      </c>
      <c r="H112" s="1" t="s">
        <v>201</v>
      </c>
      <c r="I112" s="3">
        <v>30000</v>
      </c>
      <c r="J112" s="4">
        <v>53400</v>
      </c>
      <c r="K112" s="3">
        <v>30000</v>
      </c>
      <c r="L112" s="3">
        <v>30000</v>
      </c>
      <c r="M112" s="2">
        <v>45917</v>
      </c>
      <c r="N112" s="4">
        <v>53400</v>
      </c>
      <c r="O112" s="1" t="s">
        <v>21</v>
      </c>
      <c r="P112" s="1" t="s">
        <v>22</v>
      </c>
      <c r="Q112" s="1">
        <v>1</v>
      </c>
      <c r="R112" s="1" t="str">
        <f>VLOOKUP(Sales4[[#This Row],[Material type]],Master!$H$3:$I$8,2,0)</f>
        <v>Raw Material</v>
      </c>
      <c r="S112" s="1" t="str">
        <f>VLOOKUP(Sales4[[#This Row],[Material Group]],Master!B:C,2,0)</f>
        <v>RM-Eletro-Diodes</v>
      </c>
      <c r="T112" s="1" t="str">
        <f>VLOOKUP(Sales4[[#This Row],[Material Group Descrip]],Master!E:F,2,0)</f>
        <v>Raw Material</v>
      </c>
      <c r="U112" s="9" t="b">
        <f ca="1">(TODAY()-1)=Sales4[[#This Row],[Billing Date]]</f>
        <v>0</v>
      </c>
      <c r="V112" s="10" t="e">
        <f>Sales4[[#This Row],[Net Value]]-Sales4[[#This Row],[PGI COST]]</f>
        <v>#REF!</v>
      </c>
      <c r="W112" s="11" t="e">
        <f>Sales4[[#This Row],[Gross Margin]]/Sales4[[#This Row],[Net Value]]</f>
        <v>#REF!</v>
      </c>
      <c r="X112" s="1" t="str">
        <f>TEXT(Sales4[[#This Row],[Billing Date]],"mmmm-yy")</f>
        <v>September-25</v>
      </c>
      <c r="Y112" s="1">
        <f>Sales4[[#This Row],[Net Value]]/Sales4[[#This Row],[Billed Quantity]]</f>
        <v>1.78</v>
      </c>
      <c r="Z112" s="117">
        <f>Sales4[[#This Row],[Actual delivery qty]]</f>
        <v>30000</v>
      </c>
      <c r="AA112" s="12" t="e">
        <f>SUM(Sales4[[#This Row],[BOM Cost]:[Other Conversion cost pu]])</f>
        <v>#REF!</v>
      </c>
      <c r="AB11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1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12" s="12">
        <f>IFERROR(VLOOKUP(Sales4[[#This Row],[Material]],'COGS Break up'!#REF!,5,0),0)</f>
        <v>0</v>
      </c>
      <c r="AE11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12" s="48" t="e">
        <f>Sales4[[#This Row],[PGI per unit]]-Sales4[[#This Row],[BOM Cost]]-Sales4[[#This Row],[Labour cost per unit]]-Sales4[[#This Row],[Other Conversion cost pu]]</f>
        <v>#REF!</v>
      </c>
      <c r="AG112" s="48" t="e">
        <f>Sales4[[#This Row],[BOM Cost2]]+Sales4[[#This Row],[Labour Cost]]+Sales4[[#This Row],[Other conversion cost]]</f>
        <v>#REF!</v>
      </c>
      <c r="AH112" s="12" t="e">
        <f>Sales4[[#This Row],[Billed Quantity]]*Sales4[[#This Row],[BOM Cost]]</f>
        <v>#REF!</v>
      </c>
      <c r="AI112" s="12" t="e">
        <f>Sales4[[#This Row],[Billed Quantity]]*Sales4[[#This Row],[Labour cost per unit]]</f>
        <v>#REF!</v>
      </c>
      <c r="AJ112" s="12">
        <f>Sales4[[#This Row],[Droppage per unit]]*Sales4[[#This Row],[Billed Quantity]]</f>
        <v>0</v>
      </c>
      <c r="AK112" s="12" t="e">
        <f>Sales4[[#This Row],[Billed Quantity]]*Sales4[[#This Row],[Other Conversion cost pu]]</f>
        <v>#REF!</v>
      </c>
      <c r="AL112" s="48" t="e">
        <f>Sales4[[#This Row],[PGI Amount]]-Sales4[[#This Row],[BOM Cost2]]-Sales4[[#This Row],[Labour Cost]]-Sales4[[#This Row],[Other conversion cost]]</f>
        <v>#REF!</v>
      </c>
      <c r="AM112" s="121" t="e">
        <f>1-Sales4[[#This Row],[PGI COST]]/Sales4[[#This Row],[Net Value]]</f>
        <v>#REF!</v>
      </c>
      <c r="AN112" s="1">
        <f>Sales4[[#This Row],[PGI Amount]]/Sales4[[#This Row],[Billed Quantity]]</f>
        <v>1.78</v>
      </c>
      <c r="AO112" s="72" t="e">
        <f>SUMIFS('COGS Break up'!#REF!,'COGS Break up'!#REF!,Sales4[[#This Row],[Material]],'COGS Break up'!#REF!,'MIS Working'!$AO$1)</f>
        <v>#REF!</v>
      </c>
      <c r="AP112" s="72" t="e">
        <f>SUMIFS('COGS Break up'!#REF!,'COGS Break up'!#REF!,Sales4[[#This Row],[Material]],'COGS Break up'!#REF!,'MIS Working'!$AP$1)</f>
        <v>#REF!</v>
      </c>
      <c r="AQ112" s="72" t="e">
        <f>SUMIFS('COGS Break up'!#REF!,'COGS Break up'!#REF!,Sales4[[#This Row],[Material]],'COGS Break up'!#REF!,'MIS Working'!$AQ$1)</f>
        <v>#REF!</v>
      </c>
      <c r="AR112" s="72">
        <f>Sales4[[#This Row],[Droppage per unit]]</f>
        <v>0</v>
      </c>
      <c r="AS112" s="15" t="e">
        <f>AO112*Sales4[[#This Row],[Billed Quantity]]</f>
        <v>#REF!</v>
      </c>
      <c r="AT112" s="72" t="e">
        <f>AP112*Sales4[[#This Row],[Billed Quantity]]</f>
        <v>#REF!</v>
      </c>
      <c r="AU112" s="72" t="e">
        <f>AQ112*Sales4[[#This Row],[Billed Quantity]]</f>
        <v>#REF!</v>
      </c>
      <c r="AV112" s="72">
        <f>AR112*Sales4[[#This Row],[Billed Quantity]]</f>
        <v>0</v>
      </c>
    </row>
    <row r="113" spans="1:48" x14ac:dyDescent="0.3">
      <c r="A113" s="1" t="s">
        <v>479</v>
      </c>
      <c r="B113" s="2">
        <v>45917</v>
      </c>
      <c r="C113" s="1">
        <v>3271271167</v>
      </c>
      <c r="D113" s="1" t="s">
        <v>1443</v>
      </c>
      <c r="E113" s="1" t="s">
        <v>1444</v>
      </c>
      <c r="F113" s="1" t="s">
        <v>18</v>
      </c>
      <c r="G113" s="1" t="s">
        <v>48</v>
      </c>
      <c r="H113" s="1" t="s">
        <v>198</v>
      </c>
      <c r="I113" s="3">
        <v>20000</v>
      </c>
      <c r="J113" s="4">
        <v>16151.35</v>
      </c>
      <c r="K113" s="3">
        <v>20000</v>
      </c>
      <c r="L113" s="3">
        <v>20000</v>
      </c>
      <c r="M113" s="2">
        <v>45917</v>
      </c>
      <c r="N113" s="4">
        <v>16000</v>
      </c>
      <c r="O113" s="1" t="s">
        <v>21</v>
      </c>
      <c r="P113" s="1" t="s">
        <v>22</v>
      </c>
      <c r="Q113" s="1">
        <v>1</v>
      </c>
      <c r="R113" s="1" t="str">
        <f>VLOOKUP(Sales4[[#This Row],[Material type]],Master!$H$3:$I$8,2,0)</f>
        <v>Raw Material</v>
      </c>
      <c r="S113" s="1" t="str">
        <f>VLOOKUP(Sales4[[#This Row],[Material Group]],Master!B:C,2,0)</f>
        <v>RM-Eletro-Capacitor</v>
      </c>
      <c r="T113" s="1" t="str">
        <f>VLOOKUP(Sales4[[#This Row],[Material Group Descrip]],Master!E:F,2,0)</f>
        <v>Raw Material</v>
      </c>
      <c r="U113" s="9" t="b">
        <f ca="1">(TODAY()-1)=Sales4[[#This Row],[Billing Date]]</f>
        <v>0</v>
      </c>
      <c r="V113" s="10" t="e">
        <f>Sales4[[#This Row],[Net Value]]-Sales4[[#This Row],[PGI COST]]</f>
        <v>#REF!</v>
      </c>
      <c r="W113" s="11" t="e">
        <f>Sales4[[#This Row],[Gross Margin]]/Sales4[[#This Row],[Net Value]]</f>
        <v>#REF!</v>
      </c>
      <c r="X113" s="1" t="str">
        <f>TEXT(Sales4[[#This Row],[Billing Date]],"mmmm-yy")</f>
        <v>September-25</v>
      </c>
      <c r="Y113" s="1">
        <f>Sales4[[#This Row],[Net Value]]/Sales4[[#This Row],[Billed Quantity]]</f>
        <v>0.8</v>
      </c>
      <c r="Z113" s="117">
        <f>Sales4[[#This Row],[Actual delivery qty]]</f>
        <v>20000</v>
      </c>
      <c r="AA113" s="12" t="e">
        <f>SUM(Sales4[[#This Row],[BOM Cost]:[Other Conversion cost pu]])</f>
        <v>#REF!</v>
      </c>
      <c r="AB11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1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13" s="12">
        <f>IFERROR(VLOOKUP(Sales4[[#This Row],[Material]],'COGS Break up'!#REF!,5,0),0)</f>
        <v>0</v>
      </c>
      <c r="AE11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13" s="48" t="e">
        <f>Sales4[[#This Row],[PGI per unit]]-Sales4[[#This Row],[BOM Cost]]-Sales4[[#This Row],[Labour cost per unit]]-Sales4[[#This Row],[Other Conversion cost pu]]</f>
        <v>#REF!</v>
      </c>
      <c r="AG113" s="48" t="e">
        <f>Sales4[[#This Row],[BOM Cost2]]+Sales4[[#This Row],[Labour Cost]]+Sales4[[#This Row],[Other conversion cost]]</f>
        <v>#REF!</v>
      </c>
      <c r="AH113" s="12" t="e">
        <f>Sales4[[#This Row],[Billed Quantity]]*Sales4[[#This Row],[BOM Cost]]</f>
        <v>#REF!</v>
      </c>
      <c r="AI113" s="12" t="e">
        <f>Sales4[[#This Row],[Billed Quantity]]*Sales4[[#This Row],[Labour cost per unit]]</f>
        <v>#REF!</v>
      </c>
      <c r="AJ113" s="12">
        <f>Sales4[[#This Row],[Droppage per unit]]*Sales4[[#This Row],[Billed Quantity]]</f>
        <v>0</v>
      </c>
      <c r="AK113" s="12" t="e">
        <f>Sales4[[#This Row],[Billed Quantity]]*Sales4[[#This Row],[Other Conversion cost pu]]</f>
        <v>#REF!</v>
      </c>
      <c r="AL113" s="48" t="e">
        <f>Sales4[[#This Row],[PGI Amount]]-Sales4[[#This Row],[BOM Cost2]]-Sales4[[#This Row],[Labour Cost]]-Sales4[[#This Row],[Other conversion cost]]</f>
        <v>#REF!</v>
      </c>
      <c r="AM113" s="121" t="e">
        <f>1-Sales4[[#This Row],[PGI COST]]/Sales4[[#This Row],[Net Value]]</f>
        <v>#REF!</v>
      </c>
      <c r="AN113" s="1">
        <f>Sales4[[#This Row],[PGI Amount]]/Sales4[[#This Row],[Billed Quantity]]</f>
        <v>0.80756749999999999</v>
      </c>
      <c r="AO113" s="72" t="e">
        <f>SUMIFS('COGS Break up'!#REF!,'COGS Break up'!#REF!,Sales4[[#This Row],[Material]],'COGS Break up'!#REF!,'MIS Working'!$AO$1)</f>
        <v>#REF!</v>
      </c>
      <c r="AP113" s="72" t="e">
        <f>SUMIFS('COGS Break up'!#REF!,'COGS Break up'!#REF!,Sales4[[#This Row],[Material]],'COGS Break up'!#REF!,'MIS Working'!$AP$1)</f>
        <v>#REF!</v>
      </c>
      <c r="AQ113" s="72" t="e">
        <f>SUMIFS('COGS Break up'!#REF!,'COGS Break up'!#REF!,Sales4[[#This Row],[Material]],'COGS Break up'!#REF!,'MIS Working'!$AQ$1)</f>
        <v>#REF!</v>
      </c>
      <c r="AR113" s="72">
        <f>Sales4[[#This Row],[Droppage per unit]]</f>
        <v>0</v>
      </c>
      <c r="AS113" s="15" t="e">
        <f>AO113*Sales4[[#This Row],[Billed Quantity]]</f>
        <v>#REF!</v>
      </c>
      <c r="AT113" s="72" t="e">
        <f>AP113*Sales4[[#This Row],[Billed Quantity]]</f>
        <v>#REF!</v>
      </c>
      <c r="AU113" s="72" t="e">
        <f>AQ113*Sales4[[#This Row],[Billed Quantity]]</f>
        <v>#REF!</v>
      </c>
      <c r="AV113" s="72">
        <f>AR113*Sales4[[#This Row],[Billed Quantity]]</f>
        <v>0</v>
      </c>
    </row>
    <row r="114" spans="1:48" x14ac:dyDescent="0.3">
      <c r="A114" s="1" t="s">
        <v>479</v>
      </c>
      <c r="B114" s="2">
        <v>45917</v>
      </c>
      <c r="C114" s="1">
        <v>3271271167</v>
      </c>
      <c r="D114" s="1" t="s">
        <v>1445</v>
      </c>
      <c r="E114" s="1" t="s">
        <v>1446</v>
      </c>
      <c r="F114" s="1" t="s">
        <v>18</v>
      </c>
      <c r="G114" s="1" t="s">
        <v>48</v>
      </c>
      <c r="H114" s="1" t="s">
        <v>198</v>
      </c>
      <c r="I114" s="3">
        <v>20000</v>
      </c>
      <c r="J114" s="4">
        <v>29128.25</v>
      </c>
      <c r="K114" s="3">
        <v>20000</v>
      </c>
      <c r="L114" s="3">
        <v>20000</v>
      </c>
      <c r="M114" s="2">
        <v>45917</v>
      </c>
      <c r="N114" s="4">
        <v>29000</v>
      </c>
      <c r="O114" s="1" t="s">
        <v>21</v>
      </c>
      <c r="P114" s="1" t="s">
        <v>22</v>
      </c>
      <c r="Q114" s="1">
        <v>1</v>
      </c>
      <c r="R114" s="1" t="str">
        <f>VLOOKUP(Sales4[[#This Row],[Material type]],Master!$H$3:$I$8,2,0)</f>
        <v>Raw Material</v>
      </c>
      <c r="S114" s="1" t="str">
        <f>VLOOKUP(Sales4[[#This Row],[Material Group]],Master!B:C,2,0)</f>
        <v>RM-Eletro-Capacitor</v>
      </c>
      <c r="T114" s="1" t="str">
        <f>VLOOKUP(Sales4[[#This Row],[Material Group Descrip]],Master!E:F,2,0)</f>
        <v>Raw Material</v>
      </c>
      <c r="U114" s="9" t="b">
        <f ca="1">(TODAY()-1)=Sales4[[#This Row],[Billing Date]]</f>
        <v>0</v>
      </c>
      <c r="V114" s="10" t="e">
        <f>Sales4[[#This Row],[Net Value]]-Sales4[[#This Row],[PGI COST]]</f>
        <v>#REF!</v>
      </c>
      <c r="W114" s="11" t="e">
        <f>Sales4[[#This Row],[Gross Margin]]/Sales4[[#This Row],[Net Value]]</f>
        <v>#REF!</v>
      </c>
      <c r="X114" s="1" t="str">
        <f>TEXT(Sales4[[#This Row],[Billing Date]],"mmmm-yy")</f>
        <v>September-25</v>
      </c>
      <c r="Y114" s="1">
        <f>Sales4[[#This Row],[Net Value]]/Sales4[[#This Row],[Billed Quantity]]</f>
        <v>1.45</v>
      </c>
      <c r="Z114" s="117">
        <f>Sales4[[#This Row],[Actual delivery qty]]</f>
        <v>20000</v>
      </c>
      <c r="AA114" s="12" t="e">
        <f>SUM(Sales4[[#This Row],[BOM Cost]:[Other Conversion cost pu]])</f>
        <v>#REF!</v>
      </c>
      <c r="AB11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1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14" s="12">
        <f>IFERROR(VLOOKUP(Sales4[[#This Row],[Material]],'COGS Break up'!#REF!,5,0),0)</f>
        <v>0</v>
      </c>
      <c r="AE11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14" s="48" t="e">
        <f>Sales4[[#This Row],[PGI per unit]]-Sales4[[#This Row],[BOM Cost]]-Sales4[[#This Row],[Labour cost per unit]]-Sales4[[#This Row],[Other Conversion cost pu]]</f>
        <v>#REF!</v>
      </c>
      <c r="AG114" s="48" t="e">
        <f>Sales4[[#This Row],[BOM Cost2]]+Sales4[[#This Row],[Labour Cost]]+Sales4[[#This Row],[Other conversion cost]]</f>
        <v>#REF!</v>
      </c>
      <c r="AH114" s="12" t="e">
        <f>Sales4[[#This Row],[Billed Quantity]]*Sales4[[#This Row],[BOM Cost]]</f>
        <v>#REF!</v>
      </c>
      <c r="AI114" s="12" t="e">
        <f>Sales4[[#This Row],[Billed Quantity]]*Sales4[[#This Row],[Labour cost per unit]]</f>
        <v>#REF!</v>
      </c>
      <c r="AJ114" s="12">
        <f>Sales4[[#This Row],[Droppage per unit]]*Sales4[[#This Row],[Billed Quantity]]</f>
        <v>0</v>
      </c>
      <c r="AK114" s="12" t="e">
        <f>Sales4[[#This Row],[Billed Quantity]]*Sales4[[#This Row],[Other Conversion cost pu]]</f>
        <v>#REF!</v>
      </c>
      <c r="AL114" s="48" t="e">
        <f>Sales4[[#This Row],[PGI Amount]]-Sales4[[#This Row],[BOM Cost2]]-Sales4[[#This Row],[Labour Cost]]-Sales4[[#This Row],[Other conversion cost]]</f>
        <v>#REF!</v>
      </c>
      <c r="AM114" s="121" t="e">
        <f>1-Sales4[[#This Row],[PGI COST]]/Sales4[[#This Row],[Net Value]]</f>
        <v>#REF!</v>
      </c>
      <c r="AN114" s="1">
        <f>Sales4[[#This Row],[PGI Amount]]/Sales4[[#This Row],[Billed Quantity]]</f>
        <v>1.4564125000000001</v>
      </c>
      <c r="AO114" s="72" t="e">
        <f>SUMIFS('COGS Break up'!#REF!,'COGS Break up'!#REF!,Sales4[[#This Row],[Material]],'COGS Break up'!#REF!,'MIS Working'!$AO$1)</f>
        <v>#REF!</v>
      </c>
      <c r="AP114" s="72" t="e">
        <f>SUMIFS('COGS Break up'!#REF!,'COGS Break up'!#REF!,Sales4[[#This Row],[Material]],'COGS Break up'!#REF!,'MIS Working'!$AP$1)</f>
        <v>#REF!</v>
      </c>
      <c r="AQ114" s="72" t="e">
        <f>SUMIFS('COGS Break up'!#REF!,'COGS Break up'!#REF!,Sales4[[#This Row],[Material]],'COGS Break up'!#REF!,'MIS Working'!$AQ$1)</f>
        <v>#REF!</v>
      </c>
      <c r="AR114" s="72">
        <f>Sales4[[#This Row],[Droppage per unit]]</f>
        <v>0</v>
      </c>
      <c r="AS114" s="15" t="e">
        <f>AO114*Sales4[[#This Row],[Billed Quantity]]</f>
        <v>#REF!</v>
      </c>
      <c r="AT114" s="72" t="e">
        <f>AP114*Sales4[[#This Row],[Billed Quantity]]</f>
        <v>#REF!</v>
      </c>
      <c r="AU114" s="72" t="e">
        <f>AQ114*Sales4[[#This Row],[Billed Quantity]]</f>
        <v>#REF!</v>
      </c>
      <c r="AV114" s="72">
        <f>AR114*Sales4[[#This Row],[Billed Quantity]]</f>
        <v>0</v>
      </c>
    </row>
    <row r="115" spans="1:48" x14ac:dyDescent="0.3">
      <c r="A115" s="1" t="s">
        <v>479</v>
      </c>
      <c r="B115" s="2">
        <v>45917</v>
      </c>
      <c r="C115" s="1">
        <v>3271271167</v>
      </c>
      <c r="D115" s="1" t="s">
        <v>1447</v>
      </c>
      <c r="E115" s="1" t="s">
        <v>1448</v>
      </c>
      <c r="F115" s="1" t="s">
        <v>18</v>
      </c>
      <c r="G115" s="1" t="s">
        <v>48</v>
      </c>
      <c r="H115" s="1" t="s">
        <v>198</v>
      </c>
      <c r="I115" s="3">
        <v>5000</v>
      </c>
      <c r="J115" s="4">
        <v>20386.03</v>
      </c>
      <c r="K115" s="3">
        <v>5000</v>
      </c>
      <c r="L115" s="3">
        <v>5000</v>
      </c>
      <c r="M115" s="2">
        <v>45917</v>
      </c>
      <c r="N115" s="4">
        <v>19750</v>
      </c>
      <c r="O115" s="1" t="s">
        <v>21</v>
      </c>
      <c r="P115" s="1" t="s">
        <v>22</v>
      </c>
      <c r="Q115" s="1">
        <v>1</v>
      </c>
      <c r="R115" s="1" t="str">
        <f>VLOOKUP(Sales4[[#This Row],[Material type]],Master!$H$3:$I$8,2,0)</f>
        <v>Raw Material</v>
      </c>
      <c r="S115" s="1" t="str">
        <f>VLOOKUP(Sales4[[#This Row],[Material Group]],Master!B:C,2,0)</f>
        <v>RM-Eletro-Capacitor</v>
      </c>
      <c r="T115" s="1" t="str">
        <f>VLOOKUP(Sales4[[#This Row],[Material Group Descrip]],Master!E:F,2,0)</f>
        <v>Raw Material</v>
      </c>
      <c r="U115" s="9" t="b">
        <f ca="1">(TODAY()-1)=Sales4[[#This Row],[Billing Date]]</f>
        <v>0</v>
      </c>
      <c r="V115" s="10" t="e">
        <f>Sales4[[#This Row],[Net Value]]-Sales4[[#This Row],[PGI COST]]</f>
        <v>#REF!</v>
      </c>
      <c r="W115" s="11" t="e">
        <f>Sales4[[#This Row],[Gross Margin]]/Sales4[[#This Row],[Net Value]]</f>
        <v>#REF!</v>
      </c>
      <c r="X115" s="1" t="str">
        <f>TEXT(Sales4[[#This Row],[Billing Date]],"mmmm-yy")</f>
        <v>September-25</v>
      </c>
      <c r="Y115" s="1">
        <f>Sales4[[#This Row],[Net Value]]/Sales4[[#This Row],[Billed Quantity]]</f>
        <v>3.95</v>
      </c>
      <c r="Z115" s="117">
        <f>Sales4[[#This Row],[Actual delivery qty]]</f>
        <v>5000</v>
      </c>
      <c r="AA115" s="12" t="e">
        <f>SUM(Sales4[[#This Row],[BOM Cost]:[Other Conversion cost pu]])</f>
        <v>#REF!</v>
      </c>
      <c r="AB11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1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15" s="12">
        <f>IFERROR(VLOOKUP(Sales4[[#This Row],[Material]],'COGS Break up'!#REF!,5,0),0)</f>
        <v>0</v>
      </c>
      <c r="AE11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15" s="48" t="e">
        <f>Sales4[[#This Row],[PGI per unit]]-Sales4[[#This Row],[BOM Cost]]-Sales4[[#This Row],[Labour cost per unit]]-Sales4[[#This Row],[Other Conversion cost pu]]</f>
        <v>#REF!</v>
      </c>
      <c r="AG115" s="48" t="e">
        <f>Sales4[[#This Row],[BOM Cost2]]+Sales4[[#This Row],[Labour Cost]]+Sales4[[#This Row],[Other conversion cost]]</f>
        <v>#REF!</v>
      </c>
      <c r="AH115" s="12" t="e">
        <f>Sales4[[#This Row],[Billed Quantity]]*Sales4[[#This Row],[BOM Cost]]</f>
        <v>#REF!</v>
      </c>
      <c r="AI115" s="12" t="e">
        <f>Sales4[[#This Row],[Billed Quantity]]*Sales4[[#This Row],[Labour cost per unit]]</f>
        <v>#REF!</v>
      </c>
      <c r="AJ115" s="12">
        <f>Sales4[[#This Row],[Droppage per unit]]*Sales4[[#This Row],[Billed Quantity]]</f>
        <v>0</v>
      </c>
      <c r="AK115" s="12" t="e">
        <f>Sales4[[#This Row],[Billed Quantity]]*Sales4[[#This Row],[Other Conversion cost pu]]</f>
        <v>#REF!</v>
      </c>
      <c r="AL115" s="48" t="e">
        <f>Sales4[[#This Row],[PGI Amount]]-Sales4[[#This Row],[BOM Cost2]]-Sales4[[#This Row],[Labour Cost]]-Sales4[[#This Row],[Other conversion cost]]</f>
        <v>#REF!</v>
      </c>
      <c r="AM115" s="121" t="e">
        <f>1-Sales4[[#This Row],[PGI COST]]/Sales4[[#This Row],[Net Value]]</f>
        <v>#REF!</v>
      </c>
      <c r="AN115" s="1">
        <f>Sales4[[#This Row],[PGI Amount]]/Sales4[[#This Row],[Billed Quantity]]</f>
        <v>4.0772059999999994</v>
      </c>
      <c r="AO115" s="72" t="e">
        <f>SUMIFS('COGS Break up'!#REF!,'COGS Break up'!#REF!,Sales4[[#This Row],[Material]],'COGS Break up'!#REF!,'MIS Working'!$AO$1)</f>
        <v>#REF!</v>
      </c>
      <c r="AP115" s="72" t="e">
        <f>SUMIFS('COGS Break up'!#REF!,'COGS Break up'!#REF!,Sales4[[#This Row],[Material]],'COGS Break up'!#REF!,'MIS Working'!$AP$1)</f>
        <v>#REF!</v>
      </c>
      <c r="AQ115" s="72" t="e">
        <f>SUMIFS('COGS Break up'!#REF!,'COGS Break up'!#REF!,Sales4[[#This Row],[Material]],'COGS Break up'!#REF!,'MIS Working'!$AQ$1)</f>
        <v>#REF!</v>
      </c>
      <c r="AR115" s="72">
        <f>Sales4[[#This Row],[Droppage per unit]]</f>
        <v>0</v>
      </c>
      <c r="AS115" s="15" t="e">
        <f>AO115*Sales4[[#This Row],[Billed Quantity]]</f>
        <v>#REF!</v>
      </c>
      <c r="AT115" s="72" t="e">
        <f>AP115*Sales4[[#This Row],[Billed Quantity]]</f>
        <v>#REF!</v>
      </c>
      <c r="AU115" s="72" t="e">
        <f>AQ115*Sales4[[#This Row],[Billed Quantity]]</f>
        <v>#REF!</v>
      </c>
      <c r="AV115" s="72">
        <f>AR115*Sales4[[#This Row],[Billed Quantity]]</f>
        <v>0</v>
      </c>
    </row>
    <row r="116" spans="1:48" x14ac:dyDescent="0.3">
      <c r="A116" s="1" t="s">
        <v>479</v>
      </c>
      <c r="B116" s="2">
        <v>45917</v>
      </c>
      <c r="C116" s="1">
        <v>3271271167</v>
      </c>
      <c r="D116" s="1" t="s">
        <v>1449</v>
      </c>
      <c r="E116" s="1" t="s">
        <v>1450</v>
      </c>
      <c r="F116" s="1" t="s">
        <v>18</v>
      </c>
      <c r="G116" s="1" t="s">
        <v>48</v>
      </c>
      <c r="H116" s="1" t="s">
        <v>204</v>
      </c>
      <c r="I116" s="3">
        <v>12000</v>
      </c>
      <c r="J116" s="4">
        <v>19200</v>
      </c>
      <c r="K116" s="3">
        <v>12000</v>
      </c>
      <c r="L116" s="3">
        <v>12000</v>
      </c>
      <c r="M116" s="2">
        <v>45917</v>
      </c>
      <c r="N116" s="4">
        <v>19200</v>
      </c>
      <c r="O116" s="1" t="s">
        <v>21</v>
      </c>
      <c r="P116" s="1" t="s">
        <v>22</v>
      </c>
      <c r="Q116" s="1">
        <v>1</v>
      </c>
      <c r="R116" s="1" t="str">
        <f>VLOOKUP(Sales4[[#This Row],[Material type]],Master!$H$3:$I$8,2,0)</f>
        <v>Raw Material</v>
      </c>
      <c r="S116" s="1" t="str">
        <f>VLOOKUP(Sales4[[#This Row],[Material Group]],Master!B:C,2,0)</f>
        <v>RM-Eletro-Resistor</v>
      </c>
      <c r="T116" s="1" t="str">
        <f>VLOOKUP(Sales4[[#This Row],[Material Group Descrip]],Master!E:F,2,0)</f>
        <v>Raw Material</v>
      </c>
      <c r="U116" s="9" t="b">
        <f ca="1">(TODAY()-1)=Sales4[[#This Row],[Billing Date]]</f>
        <v>0</v>
      </c>
      <c r="V116" s="10" t="e">
        <f>Sales4[[#This Row],[Net Value]]-Sales4[[#This Row],[PGI COST]]</f>
        <v>#REF!</v>
      </c>
      <c r="W116" s="11" t="e">
        <f>Sales4[[#This Row],[Gross Margin]]/Sales4[[#This Row],[Net Value]]</f>
        <v>#REF!</v>
      </c>
      <c r="X116" s="1" t="str">
        <f>TEXT(Sales4[[#This Row],[Billing Date]],"mmmm-yy")</f>
        <v>September-25</v>
      </c>
      <c r="Y116" s="1">
        <f>Sales4[[#This Row],[Net Value]]/Sales4[[#This Row],[Billed Quantity]]</f>
        <v>1.6</v>
      </c>
      <c r="Z116" s="117">
        <f>Sales4[[#This Row],[Actual delivery qty]]</f>
        <v>12000</v>
      </c>
      <c r="AA116" s="12" t="e">
        <f>SUM(Sales4[[#This Row],[BOM Cost]:[Other Conversion cost pu]])</f>
        <v>#REF!</v>
      </c>
      <c r="AB11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1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16" s="12">
        <f>IFERROR(VLOOKUP(Sales4[[#This Row],[Material]],'COGS Break up'!#REF!,5,0),0)</f>
        <v>0</v>
      </c>
      <c r="AE11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16" s="48" t="e">
        <f>Sales4[[#This Row],[PGI per unit]]-Sales4[[#This Row],[BOM Cost]]-Sales4[[#This Row],[Labour cost per unit]]-Sales4[[#This Row],[Other Conversion cost pu]]</f>
        <v>#REF!</v>
      </c>
      <c r="AG116" s="48" t="e">
        <f>Sales4[[#This Row],[BOM Cost2]]+Sales4[[#This Row],[Labour Cost]]+Sales4[[#This Row],[Other conversion cost]]</f>
        <v>#REF!</v>
      </c>
      <c r="AH116" s="12" t="e">
        <f>Sales4[[#This Row],[Billed Quantity]]*Sales4[[#This Row],[BOM Cost]]</f>
        <v>#REF!</v>
      </c>
      <c r="AI116" s="12" t="e">
        <f>Sales4[[#This Row],[Billed Quantity]]*Sales4[[#This Row],[Labour cost per unit]]</f>
        <v>#REF!</v>
      </c>
      <c r="AJ116" s="12">
        <f>Sales4[[#This Row],[Droppage per unit]]*Sales4[[#This Row],[Billed Quantity]]</f>
        <v>0</v>
      </c>
      <c r="AK116" s="12" t="e">
        <f>Sales4[[#This Row],[Billed Quantity]]*Sales4[[#This Row],[Other Conversion cost pu]]</f>
        <v>#REF!</v>
      </c>
      <c r="AL116" s="48" t="e">
        <f>Sales4[[#This Row],[PGI Amount]]-Sales4[[#This Row],[BOM Cost2]]-Sales4[[#This Row],[Labour Cost]]-Sales4[[#This Row],[Other conversion cost]]</f>
        <v>#REF!</v>
      </c>
      <c r="AM116" s="121" t="e">
        <f>1-Sales4[[#This Row],[PGI COST]]/Sales4[[#This Row],[Net Value]]</f>
        <v>#REF!</v>
      </c>
      <c r="AN116" s="1">
        <f>Sales4[[#This Row],[PGI Amount]]/Sales4[[#This Row],[Billed Quantity]]</f>
        <v>1.6</v>
      </c>
      <c r="AO116" s="72" t="e">
        <f>SUMIFS('COGS Break up'!#REF!,'COGS Break up'!#REF!,Sales4[[#This Row],[Material]],'COGS Break up'!#REF!,'MIS Working'!$AO$1)</f>
        <v>#REF!</v>
      </c>
      <c r="AP116" s="72" t="e">
        <f>SUMIFS('COGS Break up'!#REF!,'COGS Break up'!#REF!,Sales4[[#This Row],[Material]],'COGS Break up'!#REF!,'MIS Working'!$AP$1)</f>
        <v>#REF!</v>
      </c>
      <c r="AQ116" s="72" t="e">
        <f>SUMIFS('COGS Break up'!#REF!,'COGS Break up'!#REF!,Sales4[[#This Row],[Material]],'COGS Break up'!#REF!,'MIS Working'!$AQ$1)</f>
        <v>#REF!</v>
      </c>
      <c r="AR116" s="72">
        <f>Sales4[[#This Row],[Droppage per unit]]</f>
        <v>0</v>
      </c>
      <c r="AS116" s="15" t="e">
        <f>AO116*Sales4[[#This Row],[Billed Quantity]]</f>
        <v>#REF!</v>
      </c>
      <c r="AT116" s="72" t="e">
        <f>AP116*Sales4[[#This Row],[Billed Quantity]]</f>
        <v>#REF!</v>
      </c>
      <c r="AU116" s="72" t="e">
        <f>AQ116*Sales4[[#This Row],[Billed Quantity]]</f>
        <v>#REF!</v>
      </c>
      <c r="AV116" s="72">
        <f>AR116*Sales4[[#This Row],[Billed Quantity]]</f>
        <v>0</v>
      </c>
    </row>
    <row r="117" spans="1:48" x14ac:dyDescent="0.3">
      <c r="A117" s="1" t="s">
        <v>479</v>
      </c>
      <c r="B117" s="2">
        <v>45917</v>
      </c>
      <c r="C117" s="1">
        <v>3271271167</v>
      </c>
      <c r="D117" s="1" t="s">
        <v>1401</v>
      </c>
      <c r="E117" s="1" t="s">
        <v>1402</v>
      </c>
      <c r="F117" s="1" t="s">
        <v>18</v>
      </c>
      <c r="G117" s="1" t="s">
        <v>48</v>
      </c>
      <c r="H117" s="1" t="s">
        <v>204</v>
      </c>
      <c r="I117" s="3">
        <v>6000</v>
      </c>
      <c r="J117" s="4">
        <v>13318.92</v>
      </c>
      <c r="K117" s="3">
        <v>6000</v>
      </c>
      <c r="L117" s="3">
        <v>6000</v>
      </c>
      <c r="M117" s="2">
        <v>45917</v>
      </c>
      <c r="N117" s="4">
        <v>9600</v>
      </c>
      <c r="O117" s="1" t="s">
        <v>21</v>
      </c>
      <c r="P117" s="1" t="s">
        <v>22</v>
      </c>
      <c r="Q117" s="1">
        <v>1</v>
      </c>
      <c r="R117" s="1" t="str">
        <f>VLOOKUP(Sales4[[#This Row],[Material type]],Master!$H$3:$I$8,2,0)</f>
        <v>Raw Material</v>
      </c>
      <c r="S117" s="1" t="str">
        <f>VLOOKUP(Sales4[[#This Row],[Material Group]],Master!B:C,2,0)</f>
        <v>RM-Eletro-Resistor</v>
      </c>
      <c r="T117" s="1" t="str">
        <f>VLOOKUP(Sales4[[#This Row],[Material Group Descrip]],Master!E:F,2,0)</f>
        <v>Raw Material</v>
      </c>
      <c r="U117" s="9" t="b">
        <f ca="1">(TODAY()-1)=Sales4[[#This Row],[Billing Date]]</f>
        <v>0</v>
      </c>
      <c r="V117" s="10" t="e">
        <f>Sales4[[#This Row],[Net Value]]-Sales4[[#This Row],[PGI COST]]</f>
        <v>#REF!</v>
      </c>
      <c r="W117" s="11" t="e">
        <f>Sales4[[#This Row],[Gross Margin]]/Sales4[[#This Row],[Net Value]]</f>
        <v>#REF!</v>
      </c>
      <c r="X117" s="1" t="str">
        <f>TEXT(Sales4[[#This Row],[Billing Date]],"mmmm-yy")</f>
        <v>September-25</v>
      </c>
      <c r="Y117" s="1">
        <f>Sales4[[#This Row],[Net Value]]/Sales4[[#This Row],[Billed Quantity]]</f>
        <v>1.6</v>
      </c>
      <c r="Z117" s="117">
        <f>Sales4[[#This Row],[Actual delivery qty]]</f>
        <v>6000</v>
      </c>
      <c r="AA117" s="12" t="e">
        <f>SUM(Sales4[[#This Row],[BOM Cost]:[Other Conversion cost pu]])</f>
        <v>#REF!</v>
      </c>
      <c r="AB11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1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17" s="12">
        <f>IFERROR(VLOOKUP(Sales4[[#This Row],[Material]],'COGS Break up'!#REF!,5,0),0)</f>
        <v>0</v>
      </c>
      <c r="AE11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17" s="48" t="e">
        <f>Sales4[[#This Row],[PGI per unit]]-Sales4[[#This Row],[BOM Cost]]-Sales4[[#This Row],[Labour cost per unit]]-Sales4[[#This Row],[Other Conversion cost pu]]</f>
        <v>#REF!</v>
      </c>
      <c r="AG117" s="48" t="e">
        <f>Sales4[[#This Row],[BOM Cost2]]+Sales4[[#This Row],[Labour Cost]]+Sales4[[#This Row],[Other conversion cost]]</f>
        <v>#REF!</v>
      </c>
      <c r="AH117" s="12" t="e">
        <f>Sales4[[#This Row],[Billed Quantity]]*Sales4[[#This Row],[BOM Cost]]</f>
        <v>#REF!</v>
      </c>
      <c r="AI117" s="12" t="e">
        <f>Sales4[[#This Row],[Billed Quantity]]*Sales4[[#This Row],[Labour cost per unit]]</f>
        <v>#REF!</v>
      </c>
      <c r="AJ117" s="12">
        <f>Sales4[[#This Row],[Droppage per unit]]*Sales4[[#This Row],[Billed Quantity]]</f>
        <v>0</v>
      </c>
      <c r="AK117" s="12" t="e">
        <f>Sales4[[#This Row],[Billed Quantity]]*Sales4[[#This Row],[Other Conversion cost pu]]</f>
        <v>#REF!</v>
      </c>
      <c r="AL117" s="48" t="e">
        <f>Sales4[[#This Row],[PGI Amount]]-Sales4[[#This Row],[BOM Cost2]]-Sales4[[#This Row],[Labour Cost]]-Sales4[[#This Row],[Other conversion cost]]</f>
        <v>#REF!</v>
      </c>
      <c r="AM117" s="121" t="e">
        <f>1-Sales4[[#This Row],[PGI COST]]/Sales4[[#This Row],[Net Value]]</f>
        <v>#REF!</v>
      </c>
      <c r="AN117" s="1">
        <f>Sales4[[#This Row],[PGI Amount]]/Sales4[[#This Row],[Billed Quantity]]</f>
        <v>2.2198199999999999</v>
      </c>
      <c r="AO117" s="72" t="e">
        <f>SUMIFS('COGS Break up'!#REF!,'COGS Break up'!#REF!,Sales4[[#This Row],[Material]],'COGS Break up'!#REF!,'MIS Working'!$AO$1)</f>
        <v>#REF!</v>
      </c>
      <c r="AP117" s="72" t="e">
        <f>SUMIFS('COGS Break up'!#REF!,'COGS Break up'!#REF!,Sales4[[#This Row],[Material]],'COGS Break up'!#REF!,'MIS Working'!$AP$1)</f>
        <v>#REF!</v>
      </c>
      <c r="AQ117" s="72" t="e">
        <f>SUMIFS('COGS Break up'!#REF!,'COGS Break up'!#REF!,Sales4[[#This Row],[Material]],'COGS Break up'!#REF!,'MIS Working'!$AQ$1)</f>
        <v>#REF!</v>
      </c>
      <c r="AR117" s="72">
        <f>Sales4[[#This Row],[Droppage per unit]]</f>
        <v>0</v>
      </c>
      <c r="AS117" s="15" t="e">
        <f>AO117*Sales4[[#This Row],[Billed Quantity]]</f>
        <v>#REF!</v>
      </c>
      <c r="AT117" s="72" t="e">
        <f>AP117*Sales4[[#This Row],[Billed Quantity]]</f>
        <v>#REF!</v>
      </c>
      <c r="AU117" s="72" t="e">
        <f>AQ117*Sales4[[#This Row],[Billed Quantity]]</f>
        <v>#REF!</v>
      </c>
      <c r="AV117" s="72">
        <f>AR117*Sales4[[#This Row],[Billed Quantity]]</f>
        <v>0</v>
      </c>
    </row>
    <row r="118" spans="1:48" x14ac:dyDescent="0.3">
      <c r="A118" s="1" t="s">
        <v>479</v>
      </c>
      <c r="B118" s="2">
        <v>45917</v>
      </c>
      <c r="C118" s="1">
        <v>3271271167</v>
      </c>
      <c r="D118" s="1" t="s">
        <v>1451</v>
      </c>
      <c r="E118" s="1" t="s">
        <v>1452</v>
      </c>
      <c r="F118" s="1" t="s">
        <v>18</v>
      </c>
      <c r="G118" s="1" t="s">
        <v>48</v>
      </c>
      <c r="H118" s="1" t="s">
        <v>202</v>
      </c>
      <c r="I118" s="3">
        <v>10500</v>
      </c>
      <c r="J118" s="4">
        <v>43195</v>
      </c>
      <c r="K118" s="3">
        <v>10500</v>
      </c>
      <c r="L118" s="3">
        <v>10500</v>
      </c>
      <c r="M118" s="2">
        <v>45917</v>
      </c>
      <c r="N118" s="4">
        <v>33600</v>
      </c>
      <c r="O118" s="1" t="s">
        <v>21</v>
      </c>
      <c r="P118" s="1" t="s">
        <v>22</v>
      </c>
      <c r="Q118" s="1">
        <v>1</v>
      </c>
      <c r="R118" s="1" t="str">
        <f>VLOOKUP(Sales4[[#This Row],[Material type]],Master!$H$3:$I$8,2,0)</f>
        <v>Raw Material</v>
      </c>
      <c r="S118" s="1" t="str">
        <f>VLOOKUP(Sales4[[#This Row],[Material Group]],Master!B:C,2,0)</f>
        <v>RM-Eletro-IC</v>
      </c>
      <c r="T118" s="1" t="str">
        <f>VLOOKUP(Sales4[[#This Row],[Material Group Descrip]],Master!E:F,2,0)</f>
        <v>Raw Material</v>
      </c>
      <c r="U118" s="9" t="b">
        <f ca="1">(TODAY()-1)=Sales4[[#This Row],[Billing Date]]</f>
        <v>0</v>
      </c>
      <c r="V118" s="10" t="e">
        <f>Sales4[[#This Row],[Net Value]]-Sales4[[#This Row],[PGI COST]]</f>
        <v>#REF!</v>
      </c>
      <c r="W118" s="11" t="e">
        <f>Sales4[[#This Row],[Gross Margin]]/Sales4[[#This Row],[Net Value]]</f>
        <v>#REF!</v>
      </c>
      <c r="X118" s="1" t="str">
        <f>TEXT(Sales4[[#This Row],[Billing Date]],"mmmm-yy")</f>
        <v>September-25</v>
      </c>
      <c r="Y118" s="1">
        <f>Sales4[[#This Row],[Net Value]]/Sales4[[#This Row],[Billed Quantity]]</f>
        <v>3.2</v>
      </c>
      <c r="Z118" s="117">
        <f>Sales4[[#This Row],[Actual delivery qty]]</f>
        <v>10500</v>
      </c>
      <c r="AA118" s="12" t="e">
        <f>SUM(Sales4[[#This Row],[BOM Cost]:[Other Conversion cost pu]])</f>
        <v>#REF!</v>
      </c>
      <c r="AB11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1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18" s="12">
        <f>IFERROR(VLOOKUP(Sales4[[#This Row],[Material]],'COGS Break up'!#REF!,5,0),0)</f>
        <v>0</v>
      </c>
      <c r="AE11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18" s="48" t="e">
        <f>Sales4[[#This Row],[PGI per unit]]-Sales4[[#This Row],[BOM Cost]]-Sales4[[#This Row],[Labour cost per unit]]-Sales4[[#This Row],[Other Conversion cost pu]]</f>
        <v>#REF!</v>
      </c>
      <c r="AG118" s="48" t="e">
        <f>Sales4[[#This Row],[BOM Cost2]]+Sales4[[#This Row],[Labour Cost]]+Sales4[[#This Row],[Other conversion cost]]</f>
        <v>#REF!</v>
      </c>
      <c r="AH118" s="12" t="e">
        <f>Sales4[[#This Row],[Billed Quantity]]*Sales4[[#This Row],[BOM Cost]]</f>
        <v>#REF!</v>
      </c>
      <c r="AI118" s="12" t="e">
        <f>Sales4[[#This Row],[Billed Quantity]]*Sales4[[#This Row],[Labour cost per unit]]</f>
        <v>#REF!</v>
      </c>
      <c r="AJ118" s="12">
        <f>Sales4[[#This Row],[Droppage per unit]]*Sales4[[#This Row],[Billed Quantity]]</f>
        <v>0</v>
      </c>
      <c r="AK118" s="12" t="e">
        <f>Sales4[[#This Row],[Billed Quantity]]*Sales4[[#This Row],[Other Conversion cost pu]]</f>
        <v>#REF!</v>
      </c>
      <c r="AL118" s="48" t="e">
        <f>Sales4[[#This Row],[PGI Amount]]-Sales4[[#This Row],[BOM Cost2]]-Sales4[[#This Row],[Labour Cost]]-Sales4[[#This Row],[Other conversion cost]]</f>
        <v>#REF!</v>
      </c>
      <c r="AM118" s="121" t="e">
        <f>1-Sales4[[#This Row],[PGI COST]]/Sales4[[#This Row],[Net Value]]</f>
        <v>#REF!</v>
      </c>
      <c r="AN118" s="1">
        <f>Sales4[[#This Row],[PGI Amount]]/Sales4[[#This Row],[Billed Quantity]]</f>
        <v>4.1138095238095236</v>
      </c>
      <c r="AO118" s="72" t="e">
        <f>SUMIFS('COGS Break up'!#REF!,'COGS Break up'!#REF!,Sales4[[#This Row],[Material]],'COGS Break up'!#REF!,'MIS Working'!$AO$1)</f>
        <v>#REF!</v>
      </c>
      <c r="AP118" s="72" t="e">
        <f>SUMIFS('COGS Break up'!#REF!,'COGS Break up'!#REF!,Sales4[[#This Row],[Material]],'COGS Break up'!#REF!,'MIS Working'!$AP$1)</f>
        <v>#REF!</v>
      </c>
      <c r="AQ118" s="72" t="e">
        <f>SUMIFS('COGS Break up'!#REF!,'COGS Break up'!#REF!,Sales4[[#This Row],[Material]],'COGS Break up'!#REF!,'MIS Working'!$AQ$1)</f>
        <v>#REF!</v>
      </c>
      <c r="AR118" s="72">
        <f>Sales4[[#This Row],[Droppage per unit]]</f>
        <v>0</v>
      </c>
      <c r="AS118" s="15" t="e">
        <f>AO118*Sales4[[#This Row],[Billed Quantity]]</f>
        <v>#REF!</v>
      </c>
      <c r="AT118" s="72" t="e">
        <f>AP118*Sales4[[#This Row],[Billed Quantity]]</f>
        <v>#REF!</v>
      </c>
      <c r="AU118" s="72" t="e">
        <f>AQ118*Sales4[[#This Row],[Billed Quantity]]</f>
        <v>#REF!</v>
      </c>
      <c r="AV118" s="72">
        <f>AR118*Sales4[[#This Row],[Billed Quantity]]</f>
        <v>0</v>
      </c>
    </row>
    <row r="119" spans="1:48" x14ac:dyDescent="0.3">
      <c r="A119" s="1" t="s">
        <v>479</v>
      </c>
      <c r="B119" s="2">
        <v>45917</v>
      </c>
      <c r="C119" s="1">
        <v>3271271167</v>
      </c>
      <c r="D119" s="1" t="s">
        <v>1453</v>
      </c>
      <c r="E119" s="1" t="s">
        <v>1454</v>
      </c>
      <c r="F119" s="1" t="s">
        <v>18</v>
      </c>
      <c r="G119" s="1" t="s">
        <v>48</v>
      </c>
      <c r="H119" s="1" t="s">
        <v>202</v>
      </c>
      <c r="I119" s="3">
        <v>10000</v>
      </c>
      <c r="J119" s="4">
        <v>89235.86</v>
      </c>
      <c r="K119" s="3">
        <v>10000</v>
      </c>
      <c r="L119" s="3">
        <v>10000</v>
      </c>
      <c r="M119" s="2">
        <v>45917</v>
      </c>
      <c r="N119" s="4">
        <v>90500</v>
      </c>
      <c r="O119" s="1" t="s">
        <v>21</v>
      </c>
      <c r="P119" s="1" t="s">
        <v>22</v>
      </c>
      <c r="Q119" s="1">
        <v>1</v>
      </c>
      <c r="R119" s="1" t="str">
        <f>VLOOKUP(Sales4[[#This Row],[Material type]],Master!$H$3:$I$8,2,0)</f>
        <v>Raw Material</v>
      </c>
      <c r="S119" s="1" t="str">
        <f>VLOOKUP(Sales4[[#This Row],[Material Group]],Master!B:C,2,0)</f>
        <v>RM-Eletro-IC</v>
      </c>
      <c r="T119" s="1" t="str">
        <f>VLOOKUP(Sales4[[#This Row],[Material Group Descrip]],Master!E:F,2,0)</f>
        <v>Raw Material</v>
      </c>
      <c r="U119" s="9" t="b">
        <f ca="1">(TODAY()-1)=Sales4[[#This Row],[Billing Date]]</f>
        <v>0</v>
      </c>
      <c r="V119" s="10" t="e">
        <f>Sales4[[#This Row],[Net Value]]-Sales4[[#This Row],[PGI COST]]</f>
        <v>#REF!</v>
      </c>
      <c r="W119" s="11" t="e">
        <f>Sales4[[#This Row],[Gross Margin]]/Sales4[[#This Row],[Net Value]]</f>
        <v>#REF!</v>
      </c>
      <c r="X119" s="1" t="str">
        <f>TEXT(Sales4[[#This Row],[Billing Date]],"mmmm-yy")</f>
        <v>September-25</v>
      </c>
      <c r="Y119" s="1">
        <f>Sales4[[#This Row],[Net Value]]/Sales4[[#This Row],[Billed Quantity]]</f>
        <v>9.0500000000000007</v>
      </c>
      <c r="Z119" s="117">
        <f>Sales4[[#This Row],[Actual delivery qty]]</f>
        <v>10000</v>
      </c>
      <c r="AA119" s="12" t="e">
        <f>SUM(Sales4[[#This Row],[BOM Cost]:[Other Conversion cost pu]])</f>
        <v>#REF!</v>
      </c>
      <c r="AB11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1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19" s="12">
        <f>IFERROR(VLOOKUP(Sales4[[#This Row],[Material]],'COGS Break up'!#REF!,5,0),0)</f>
        <v>0</v>
      </c>
      <c r="AE11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19" s="48" t="e">
        <f>Sales4[[#This Row],[PGI per unit]]-Sales4[[#This Row],[BOM Cost]]-Sales4[[#This Row],[Labour cost per unit]]-Sales4[[#This Row],[Other Conversion cost pu]]</f>
        <v>#REF!</v>
      </c>
      <c r="AG119" s="48" t="e">
        <f>Sales4[[#This Row],[BOM Cost2]]+Sales4[[#This Row],[Labour Cost]]+Sales4[[#This Row],[Other conversion cost]]</f>
        <v>#REF!</v>
      </c>
      <c r="AH119" s="12" t="e">
        <f>Sales4[[#This Row],[Billed Quantity]]*Sales4[[#This Row],[BOM Cost]]</f>
        <v>#REF!</v>
      </c>
      <c r="AI119" s="12" t="e">
        <f>Sales4[[#This Row],[Billed Quantity]]*Sales4[[#This Row],[Labour cost per unit]]</f>
        <v>#REF!</v>
      </c>
      <c r="AJ119" s="12">
        <f>Sales4[[#This Row],[Droppage per unit]]*Sales4[[#This Row],[Billed Quantity]]</f>
        <v>0</v>
      </c>
      <c r="AK119" s="12" t="e">
        <f>Sales4[[#This Row],[Billed Quantity]]*Sales4[[#This Row],[Other Conversion cost pu]]</f>
        <v>#REF!</v>
      </c>
      <c r="AL119" s="48" t="e">
        <f>Sales4[[#This Row],[PGI Amount]]-Sales4[[#This Row],[BOM Cost2]]-Sales4[[#This Row],[Labour Cost]]-Sales4[[#This Row],[Other conversion cost]]</f>
        <v>#REF!</v>
      </c>
      <c r="AM119" s="121" t="e">
        <f>1-Sales4[[#This Row],[PGI COST]]/Sales4[[#This Row],[Net Value]]</f>
        <v>#REF!</v>
      </c>
      <c r="AN119" s="1">
        <f>Sales4[[#This Row],[PGI Amount]]/Sales4[[#This Row],[Billed Quantity]]</f>
        <v>8.9235860000000002</v>
      </c>
      <c r="AO119" s="72" t="e">
        <f>SUMIFS('COGS Break up'!#REF!,'COGS Break up'!#REF!,Sales4[[#This Row],[Material]],'COGS Break up'!#REF!,'MIS Working'!$AO$1)</f>
        <v>#REF!</v>
      </c>
      <c r="AP119" s="72" t="e">
        <f>SUMIFS('COGS Break up'!#REF!,'COGS Break up'!#REF!,Sales4[[#This Row],[Material]],'COGS Break up'!#REF!,'MIS Working'!$AP$1)</f>
        <v>#REF!</v>
      </c>
      <c r="AQ119" s="72" t="e">
        <f>SUMIFS('COGS Break up'!#REF!,'COGS Break up'!#REF!,Sales4[[#This Row],[Material]],'COGS Break up'!#REF!,'MIS Working'!$AQ$1)</f>
        <v>#REF!</v>
      </c>
      <c r="AR119" s="72">
        <f>Sales4[[#This Row],[Droppage per unit]]</f>
        <v>0</v>
      </c>
      <c r="AS119" s="15" t="e">
        <f>AO119*Sales4[[#This Row],[Billed Quantity]]</f>
        <v>#REF!</v>
      </c>
      <c r="AT119" s="72" t="e">
        <f>AP119*Sales4[[#This Row],[Billed Quantity]]</f>
        <v>#REF!</v>
      </c>
      <c r="AU119" s="72" t="e">
        <f>AQ119*Sales4[[#This Row],[Billed Quantity]]</f>
        <v>#REF!</v>
      </c>
      <c r="AV119" s="72">
        <f>AR119*Sales4[[#This Row],[Billed Quantity]]</f>
        <v>0</v>
      </c>
    </row>
    <row r="120" spans="1:48" x14ac:dyDescent="0.3">
      <c r="A120" s="1" t="s">
        <v>479</v>
      </c>
      <c r="B120" s="2">
        <v>45917</v>
      </c>
      <c r="C120" s="1">
        <v>3271271167</v>
      </c>
      <c r="D120" s="1" t="s">
        <v>1455</v>
      </c>
      <c r="E120" s="1" t="s">
        <v>1456</v>
      </c>
      <c r="F120" s="1" t="s">
        <v>18</v>
      </c>
      <c r="G120" s="1" t="s">
        <v>48</v>
      </c>
      <c r="H120" s="1" t="s">
        <v>198</v>
      </c>
      <c r="I120" s="3">
        <v>30000</v>
      </c>
      <c r="J120" s="4">
        <v>75556.95</v>
      </c>
      <c r="K120" s="3">
        <v>30000</v>
      </c>
      <c r="L120" s="3">
        <v>30000</v>
      </c>
      <c r="M120" s="2">
        <v>45917</v>
      </c>
      <c r="N120" s="4">
        <v>76500</v>
      </c>
      <c r="O120" s="1" t="s">
        <v>21</v>
      </c>
      <c r="P120" s="1" t="s">
        <v>22</v>
      </c>
      <c r="Q120" s="1">
        <v>1</v>
      </c>
      <c r="R120" s="1" t="str">
        <f>VLOOKUP(Sales4[[#This Row],[Material type]],Master!$H$3:$I$8,2,0)</f>
        <v>Raw Material</v>
      </c>
      <c r="S120" s="1" t="str">
        <f>VLOOKUP(Sales4[[#This Row],[Material Group]],Master!B:C,2,0)</f>
        <v>RM-Eletro-Capacitor</v>
      </c>
      <c r="T120" s="1" t="str">
        <f>VLOOKUP(Sales4[[#This Row],[Material Group Descrip]],Master!E:F,2,0)</f>
        <v>Raw Material</v>
      </c>
      <c r="U120" s="9" t="b">
        <f ca="1">(TODAY()-1)=Sales4[[#This Row],[Billing Date]]</f>
        <v>0</v>
      </c>
      <c r="V120" s="10" t="e">
        <f>Sales4[[#This Row],[Net Value]]-Sales4[[#This Row],[PGI COST]]</f>
        <v>#REF!</v>
      </c>
      <c r="W120" s="11" t="e">
        <f>Sales4[[#This Row],[Gross Margin]]/Sales4[[#This Row],[Net Value]]</f>
        <v>#REF!</v>
      </c>
      <c r="X120" s="1" t="str">
        <f>TEXT(Sales4[[#This Row],[Billing Date]],"mmmm-yy")</f>
        <v>September-25</v>
      </c>
      <c r="Y120" s="1">
        <f>Sales4[[#This Row],[Net Value]]/Sales4[[#This Row],[Billed Quantity]]</f>
        <v>2.5499999999999998</v>
      </c>
      <c r="Z120" s="117">
        <f>Sales4[[#This Row],[Actual delivery qty]]</f>
        <v>30000</v>
      </c>
      <c r="AA120" s="12" t="e">
        <f>SUM(Sales4[[#This Row],[BOM Cost]:[Other Conversion cost pu]])</f>
        <v>#REF!</v>
      </c>
      <c r="AB12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2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20" s="12">
        <f>IFERROR(VLOOKUP(Sales4[[#This Row],[Material]],'COGS Break up'!#REF!,5,0),0)</f>
        <v>0</v>
      </c>
      <c r="AE12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20" s="48" t="e">
        <f>Sales4[[#This Row],[PGI per unit]]-Sales4[[#This Row],[BOM Cost]]-Sales4[[#This Row],[Labour cost per unit]]-Sales4[[#This Row],[Other Conversion cost pu]]</f>
        <v>#REF!</v>
      </c>
      <c r="AG120" s="48" t="e">
        <f>Sales4[[#This Row],[BOM Cost2]]+Sales4[[#This Row],[Labour Cost]]+Sales4[[#This Row],[Other conversion cost]]</f>
        <v>#REF!</v>
      </c>
      <c r="AH120" s="12" t="e">
        <f>Sales4[[#This Row],[Billed Quantity]]*Sales4[[#This Row],[BOM Cost]]</f>
        <v>#REF!</v>
      </c>
      <c r="AI120" s="12" t="e">
        <f>Sales4[[#This Row],[Billed Quantity]]*Sales4[[#This Row],[Labour cost per unit]]</f>
        <v>#REF!</v>
      </c>
      <c r="AJ120" s="12">
        <f>Sales4[[#This Row],[Droppage per unit]]*Sales4[[#This Row],[Billed Quantity]]</f>
        <v>0</v>
      </c>
      <c r="AK120" s="12" t="e">
        <f>Sales4[[#This Row],[Billed Quantity]]*Sales4[[#This Row],[Other Conversion cost pu]]</f>
        <v>#REF!</v>
      </c>
      <c r="AL120" s="48" t="e">
        <f>Sales4[[#This Row],[PGI Amount]]-Sales4[[#This Row],[BOM Cost2]]-Sales4[[#This Row],[Labour Cost]]-Sales4[[#This Row],[Other conversion cost]]</f>
        <v>#REF!</v>
      </c>
      <c r="AM120" s="121" t="e">
        <f>1-Sales4[[#This Row],[PGI COST]]/Sales4[[#This Row],[Net Value]]</f>
        <v>#REF!</v>
      </c>
      <c r="AN120" s="1">
        <f>Sales4[[#This Row],[PGI Amount]]/Sales4[[#This Row],[Billed Quantity]]</f>
        <v>2.5185649999999997</v>
      </c>
      <c r="AO120" s="72" t="e">
        <f>SUMIFS('COGS Break up'!#REF!,'COGS Break up'!#REF!,Sales4[[#This Row],[Material]],'COGS Break up'!#REF!,'MIS Working'!$AO$1)</f>
        <v>#REF!</v>
      </c>
      <c r="AP120" s="72" t="e">
        <f>SUMIFS('COGS Break up'!#REF!,'COGS Break up'!#REF!,Sales4[[#This Row],[Material]],'COGS Break up'!#REF!,'MIS Working'!$AP$1)</f>
        <v>#REF!</v>
      </c>
      <c r="AQ120" s="72" t="e">
        <f>SUMIFS('COGS Break up'!#REF!,'COGS Break up'!#REF!,Sales4[[#This Row],[Material]],'COGS Break up'!#REF!,'MIS Working'!$AQ$1)</f>
        <v>#REF!</v>
      </c>
      <c r="AR120" s="72">
        <f>Sales4[[#This Row],[Droppage per unit]]</f>
        <v>0</v>
      </c>
      <c r="AS120" s="15" t="e">
        <f>AO120*Sales4[[#This Row],[Billed Quantity]]</f>
        <v>#REF!</v>
      </c>
      <c r="AT120" s="72" t="e">
        <f>AP120*Sales4[[#This Row],[Billed Quantity]]</f>
        <v>#REF!</v>
      </c>
      <c r="AU120" s="72" t="e">
        <f>AQ120*Sales4[[#This Row],[Billed Quantity]]</f>
        <v>#REF!</v>
      </c>
      <c r="AV120" s="72">
        <f>AR120*Sales4[[#This Row],[Billed Quantity]]</f>
        <v>0</v>
      </c>
    </row>
    <row r="121" spans="1:48" x14ac:dyDescent="0.3">
      <c r="A121" s="1" t="s">
        <v>479</v>
      </c>
      <c r="B121" s="2">
        <v>45917</v>
      </c>
      <c r="C121" s="1">
        <v>3271271167</v>
      </c>
      <c r="D121" s="1" t="s">
        <v>1427</v>
      </c>
      <c r="E121" s="1" t="s">
        <v>1428</v>
      </c>
      <c r="F121" s="1" t="s">
        <v>18</v>
      </c>
      <c r="G121" s="1" t="s">
        <v>48</v>
      </c>
      <c r="H121" s="1" t="s">
        <v>168</v>
      </c>
      <c r="I121" s="3">
        <v>5000</v>
      </c>
      <c r="J121" s="4">
        <v>8350</v>
      </c>
      <c r="K121" s="3">
        <v>5000</v>
      </c>
      <c r="L121" s="3">
        <v>5000</v>
      </c>
      <c r="M121" s="2">
        <v>45917</v>
      </c>
      <c r="N121" s="4">
        <v>8350</v>
      </c>
      <c r="O121" s="1" t="s">
        <v>21</v>
      </c>
      <c r="P121" s="1" t="s">
        <v>22</v>
      </c>
      <c r="Q121" s="1">
        <v>1</v>
      </c>
      <c r="R121" s="1" t="str">
        <f>VLOOKUP(Sales4[[#This Row],[Material type]],Master!$H$3:$I$8,2,0)</f>
        <v>Raw Material</v>
      </c>
      <c r="S121" s="1" t="str">
        <f>VLOOKUP(Sales4[[#This Row],[Material Group]],Master!B:C,2,0)</f>
        <v>Raw Materials</v>
      </c>
      <c r="T121" s="1" t="str">
        <f>VLOOKUP(Sales4[[#This Row],[Material Group Descrip]],Master!E:F,2,0)</f>
        <v>Raw Material</v>
      </c>
      <c r="U121" s="9" t="b">
        <f ca="1">(TODAY()-1)=Sales4[[#This Row],[Billing Date]]</f>
        <v>0</v>
      </c>
      <c r="V121" s="10" t="e">
        <f>Sales4[[#This Row],[Net Value]]-Sales4[[#This Row],[PGI COST]]</f>
        <v>#REF!</v>
      </c>
      <c r="W121" s="11" t="e">
        <f>Sales4[[#This Row],[Gross Margin]]/Sales4[[#This Row],[Net Value]]</f>
        <v>#REF!</v>
      </c>
      <c r="X121" s="1" t="str">
        <f>TEXT(Sales4[[#This Row],[Billing Date]],"mmmm-yy")</f>
        <v>September-25</v>
      </c>
      <c r="Y121" s="1">
        <f>Sales4[[#This Row],[Net Value]]/Sales4[[#This Row],[Billed Quantity]]</f>
        <v>1.67</v>
      </c>
      <c r="Z121" s="117">
        <f>Sales4[[#This Row],[Actual delivery qty]]</f>
        <v>5000</v>
      </c>
      <c r="AA121" s="12" t="e">
        <f>SUM(Sales4[[#This Row],[BOM Cost]:[Other Conversion cost pu]])</f>
        <v>#REF!</v>
      </c>
      <c r="AB12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2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21" s="12">
        <f>IFERROR(VLOOKUP(Sales4[[#This Row],[Material]],'COGS Break up'!#REF!,5,0),0)</f>
        <v>0</v>
      </c>
      <c r="AE12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21" s="48" t="e">
        <f>Sales4[[#This Row],[PGI per unit]]-Sales4[[#This Row],[BOM Cost]]-Sales4[[#This Row],[Labour cost per unit]]-Sales4[[#This Row],[Other Conversion cost pu]]</f>
        <v>#REF!</v>
      </c>
      <c r="AG121" s="48" t="e">
        <f>Sales4[[#This Row],[BOM Cost2]]+Sales4[[#This Row],[Labour Cost]]+Sales4[[#This Row],[Other conversion cost]]</f>
        <v>#REF!</v>
      </c>
      <c r="AH121" s="12" t="e">
        <f>Sales4[[#This Row],[Billed Quantity]]*Sales4[[#This Row],[BOM Cost]]</f>
        <v>#REF!</v>
      </c>
      <c r="AI121" s="12" t="e">
        <f>Sales4[[#This Row],[Billed Quantity]]*Sales4[[#This Row],[Labour cost per unit]]</f>
        <v>#REF!</v>
      </c>
      <c r="AJ121" s="12">
        <f>Sales4[[#This Row],[Droppage per unit]]*Sales4[[#This Row],[Billed Quantity]]</f>
        <v>0</v>
      </c>
      <c r="AK121" s="12" t="e">
        <f>Sales4[[#This Row],[Billed Quantity]]*Sales4[[#This Row],[Other Conversion cost pu]]</f>
        <v>#REF!</v>
      </c>
      <c r="AL121" s="48" t="e">
        <f>Sales4[[#This Row],[PGI Amount]]-Sales4[[#This Row],[BOM Cost2]]-Sales4[[#This Row],[Labour Cost]]-Sales4[[#This Row],[Other conversion cost]]</f>
        <v>#REF!</v>
      </c>
      <c r="AM121" s="121" t="e">
        <f>1-Sales4[[#This Row],[PGI COST]]/Sales4[[#This Row],[Net Value]]</f>
        <v>#REF!</v>
      </c>
      <c r="AN121" s="1">
        <f>Sales4[[#This Row],[PGI Amount]]/Sales4[[#This Row],[Billed Quantity]]</f>
        <v>1.67</v>
      </c>
      <c r="AO121" s="72" t="e">
        <f>SUMIFS('COGS Break up'!#REF!,'COGS Break up'!#REF!,Sales4[[#This Row],[Material]],'COGS Break up'!#REF!,'MIS Working'!$AO$1)</f>
        <v>#REF!</v>
      </c>
      <c r="AP121" s="72" t="e">
        <f>SUMIFS('COGS Break up'!#REF!,'COGS Break up'!#REF!,Sales4[[#This Row],[Material]],'COGS Break up'!#REF!,'MIS Working'!$AP$1)</f>
        <v>#REF!</v>
      </c>
      <c r="AQ121" s="72" t="e">
        <f>SUMIFS('COGS Break up'!#REF!,'COGS Break up'!#REF!,Sales4[[#This Row],[Material]],'COGS Break up'!#REF!,'MIS Working'!$AQ$1)</f>
        <v>#REF!</v>
      </c>
      <c r="AR121" s="72">
        <f>Sales4[[#This Row],[Droppage per unit]]</f>
        <v>0</v>
      </c>
      <c r="AS121" s="15" t="e">
        <f>AO121*Sales4[[#This Row],[Billed Quantity]]</f>
        <v>#REF!</v>
      </c>
      <c r="AT121" s="72" t="e">
        <f>AP121*Sales4[[#This Row],[Billed Quantity]]</f>
        <v>#REF!</v>
      </c>
      <c r="AU121" s="72" t="e">
        <f>AQ121*Sales4[[#This Row],[Billed Quantity]]</f>
        <v>#REF!</v>
      </c>
      <c r="AV121" s="72">
        <f>AR121*Sales4[[#This Row],[Billed Quantity]]</f>
        <v>0</v>
      </c>
    </row>
    <row r="122" spans="1:48" x14ac:dyDescent="0.3">
      <c r="A122" s="1" t="s">
        <v>479</v>
      </c>
      <c r="B122" s="2">
        <v>45917</v>
      </c>
      <c r="C122" s="1">
        <v>3271271167</v>
      </c>
      <c r="D122" s="1" t="s">
        <v>1425</v>
      </c>
      <c r="E122" s="1" t="s">
        <v>1426</v>
      </c>
      <c r="F122" s="1" t="s">
        <v>18</v>
      </c>
      <c r="G122" s="1" t="s">
        <v>48</v>
      </c>
      <c r="H122" s="1" t="s">
        <v>168</v>
      </c>
      <c r="I122" s="3">
        <v>5000</v>
      </c>
      <c r="J122" s="4">
        <v>8350</v>
      </c>
      <c r="K122" s="3">
        <v>5000</v>
      </c>
      <c r="L122" s="3">
        <v>5000</v>
      </c>
      <c r="M122" s="2">
        <v>45917</v>
      </c>
      <c r="N122" s="4">
        <v>8350</v>
      </c>
      <c r="O122" s="1" t="s">
        <v>21</v>
      </c>
      <c r="P122" s="1" t="s">
        <v>22</v>
      </c>
      <c r="Q122" s="1">
        <v>1</v>
      </c>
      <c r="R122" s="1" t="str">
        <f>VLOOKUP(Sales4[[#This Row],[Material type]],Master!$H$3:$I$8,2,0)</f>
        <v>Raw Material</v>
      </c>
      <c r="S122" s="1" t="str">
        <f>VLOOKUP(Sales4[[#This Row],[Material Group]],Master!B:C,2,0)</f>
        <v>Raw Materials</v>
      </c>
      <c r="T122" s="1" t="str">
        <f>VLOOKUP(Sales4[[#This Row],[Material Group Descrip]],Master!E:F,2,0)</f>
        <v>Raw Material</v>
      </c>
      <c r="U122" s="9" t="b">
        <f ca="1">(TODAY()-1)=Sales4[[#This Row],[Billing Date]]</f>
        <v>0</v>
      </c>
      <c r="V122" s="10" t="e">
        <f>Sales4[[#This Row],[Net Value]]-Sales4[[#This Row],[PGI COST]]</f>
        <v>#REF!</v>
      </c>
      <c r="W122" s="11" t="e">
        <f>Sales4[[#This Row],[Gross Margin]]/Sales4[[#This Row],[Net Value]]</f>
        <v>#REF!</v>
      </c>
      <c r="X122" s="1" t="str">
        <f>TEXT(Sales4[[#This Row],[Billing Date]],"mmmm-yy")</f>
        <v>September-25</v>
      </c>
      <c r="Y122" s="1">
        <f>Sales4[[#This Row],[Net Value]]/Sales4[[#This Row],[Billed Quantity]]</f>
        <v>1.67</v>
      </c>
      <c r="Z122" s="117">
        <f>Sales4[[#This Row],[Actual delivery qty]]</f>
        <v>5000</v>
      </c>
      <c r="AA122" s="12" t="e">
        <f>SUM(Sales4[[#This Row],[BOM Cost]:[Other Conversion cost pu]])</f>
        <v>#REF!</v>
      </c>
      <c r="AB12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2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22" s="12">
        <f>IFERROR(VLOOKUP(Sales4[[#This Row],[Material]],'COGS Break up'!#REF!,5,0),0)</f>
        <v>0</v>
      </c>
      <c r="AE12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22" s="48" t="e">
        <f>Sales4[[#This Row],[PGI per unit]]-Sales4[[#This Row],[BOM Cost]]-Sales4[[#This Row],[Labour cost per unit]]-Sales4[[#This Row],[Other Conversion cost pu]]</f>
        <v>#REF!</v>
      </c>
      <c r="AG122" s="48" t="e">
        <f>Sales4[[#This Row],[BOM Cost2]]+Sales4[[#This Row],[Labour Cost]]+Sales4[[#This Row],[Other conversion cost]]</f>
        <v>#REF!</v>
      </c>
      <c r="AH122" s="12" t="e">
        <f>Sales4[[#This Row],[Billed Quantity]]*Sales4[[#This Row],[BOM Cost]]</f>
        <v>#REF!</v>
      </c>
      <c r="AI122" s="12" t="e">
        <f>Sales4[[#This Row],[Billed Quantity]]*Sales4[[#This Row],[Labour cost per unit]]</f>
        <v>#REF!</v>
      </c>
      <c r="AJ122" s="12">
        <f>Sales4[[#This Row],[Droppage per unit]]*Sales4[[#This Row],[Billed Quantity]]</f>
        <v>0</v>
      </c>
      <c r="AK122" s="12" t="e">
        <f>Sales4[[#This Row],[Billed Quantity]]*Sales4[[#This Row],[Other Conversion cost pu]]</f>
        <v>#REF!</v>
      </c>
      <c r="AL122" s="48" t="e">
        <f>Sales4[[#This Row],[PGI Amount]]-Sales4[[#This Row],[BOM Cost2]]-Sales4[[#This Row],[Labour Cost]]-Sales4[[#This Row],[Other conversion cost]]</f>
        <v>#REF!</v>
      </c>
      <c r="AM122" s="121" t="e">
        <f>1-Sales4[[#This Row],[PGI COST]]/Sales4[[#This Row],[Net Value]]</f>
        <v>#REF!</v>
      </c>
      <c r="AN122" s="1">
        <f>Sales4[[#This Row],[PGI Amount]]/Sales4[[#This Row],[Billed Quantity]]</f>
        <v>1.67</v>
      </c>
      <c r="AO122" s="72" t="e">
        <f>SUMIFS('COGS Break up'!#REF!,'COGS Break up'!#REF!,Sales4[[#This Row],[Material]],'COGS Break up'!#REF!,'MIS Working'!$AO$1)</f>
        <v>#REF!</v>
      </c>
      <c r="AP122" s="72" t="e">
        <f>SUMIFS('COGS Break up'!#REF!,'COGS Break up'!#REF!,Sales4[[#This Row],[Material]],'COGS Break up'!#REF!,'MIS Working'!$AP$1)</f>
        <v>#REF!</v>
      </c>
      <c r="AQ122" s="72" t="e">
        <f>SUMIFS('COGS Break up'!#REF!,'COGS Break up'!#REF!,Sales4[[#This Row],[Material]],'COGS Break up'!#REF!,'MIS Working'!$AQ$1)</f>
        <v>#REF!</v>
      </c>
      <c r="AR122" s="72">
        <f>Sales4[[#This Row],[Droppage per unit]]</f>
        <v>0</v>
      </c>
      <c r="AS122" s="15" t="e">
        <f>AO122*Sales4[[#This Row],[Billed Quantity]]</f>
        <v>#REF!</v>
      </c>
      <c r="AT122" s="72" t="e">
        <f>AP122*Sales4[[#This Row],[Billed Quantity]]</f>
        <v>#REF!</v>
      </c>
      <c r="AU122" s="72" t="e">
        <f>AQ122*Sales4[[#This Row],[Billed Quantity]]</f>
        <v>#REF!</v>
      </c>
      <c r="AV122" s="72">
        <f>AR122*Sales4[[#This Row],[Billed Quantity]]</f>
        <v>0</v>
      </c>
    </row>
    <row r="123" spans="1:48" x14ac:dyDescent="0.3">
      <c r="A123" s="1" t="s">
        <v>1212</v>
      </c>
      <c r="B123" s="2">
        <v>45917</v>
      </c>
      <c r="C123" s="1">
        <v>3271271168</v>
      </c>
      <c r="D123" s="1" t="s">
        <v>1457</v>
      </c>
      <c r="E123" s="1" t="s">
        <v>1458</v>
      </c>
      <c r="F123" s="1" t="s">
        <v>18</v>
      </c>
      <c r="G123" s="1" t="s">
        <v>48</v>
      </c>
      <c r="H123" s="1" t="s">
        <v>168</v>
      </c>
      <c r="I123" s="3">
        <v>25500</v>
      </c>
      <c r="J123" s="4">
        <v>70125</v>
      </c>
      <c r="K123" s="3">
        <v>25500</v>
      </c>
      <c r="L123" s="3">
        <v>25500</v>
      </c>
      <c r="M123" s="2">
        <v>45917</v>
      </c>
      <c r="N123" s="4">
        <v>70125</v>
      </c>
      <c r="O123" s="1" t="s">
        <v>21</v>
      </c>
      <c r="P123" s="1" t="s">
        <v>22</v>
      </c>
      <c r="Q123" s="1">
        <v>6</v>
      </c>
      <c r="R123" s="1" t="str">
        <f>VLOOKUP(Sales4[[#This Row],[Material type]],Master!$H$3:$I$8,2,0)</f>
        <v>Raw Material</v>
      </c>
      <c r="S123" s="1" t="str">
        <f>VLOOKUP(Sales4[[#This Row],[Material Group]],Master!B:C,2,0)</f>
        <v>Raw Materials</v>
      </c>
      <c r="T123" s="1" t="str">
        <f>VLOOKUP(Sales4[[#This Row],[Material Group Descrip]],Master!E:F,2,0)</f>
        <v>Raw Material</v>
      </c>
      <c r="U123" s="9" t="b">
        <f ca="1">(TODAY()-1)=Sales4[[#This Row],[Billing Date]]</f>
        <v>0</v>
      </c>
      <c r="V123" s="10" t="e">
        <f>Sales4[[#This Row],[Net Value]]-Sales4[[#This Row],[PGI COST]]</f>
        <v>#REF!</v>
      </c>
      <c r="W123" s="11" t="e">
        <f>Sales4[[#This Row],[Gross Margin]]/Sales4[[#This Row],[Net Value]]</f>
        <v>#REF!</v>
      </c>
      <c r="X123" s="1" t="str">
        <f>TEXT(Sales4[[#This Row],[Billing Date]],"mmmm-yy")</f>
        <v>September-25</v>
      </c>
      <c r="Y123" s="1">
        <f>Sales4[[#This Row],[Net Value]]/Sales4[[#This Row],[Billed Quantity]]</f>
        <v>2.75</v>
      </c>
      <c r="Z123" s="117">
        <f>Sales4[[#This Row],[Actual delivery qty]]</f>
        <v>25500</v>
      </c>
      <c r="AA123" s="12" t="e">
        <f>SUM(Sales4[[#This Row],[BOM Cost]:[Other Conversion cost pu]])</f>
        <v>#REF!</v>
      </c>
      <c r="AB12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2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23" s="12">
        <f>IFERROR(VLOOKUP(Sales4[[#This Row],[Material]],'COGS Break up'!#REF!,5,0),0)</f>
        <v>0</v>
      </c>
      <c r="AE12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23" s="48" t="e">
        <f>Sales4[[#This Row],[PGI per unit]]-Sales4[[#This Row],[BOM Cost]]-Sales4[[#This Row],[Labour cost per unit]]-Sales4[[#This Row],[Other Conversion cost pu]]</f>
        <v>#REF!</v>
      </c>
      <c r="AG123" s="48" t="e">
        <f>Sales4[[#This Row],[BOM Cost2]]+Sales4[[#This Row],[Labour Cost]]+Sales4[[#This Row],[Other conversion cost]]</f>
        <v>#REF!</v>
      </c>
      <c r="AH123" s="12" t="e">
        <f>Sales4[[#This Row],[Billed Quantity]]*Sales4[[#This Row],[BOM Cost]]</f>
        <v>#REF!</v>
      </c>
      <c r="AI123" s="12" t="e">
        <f>Sales4[[#This Row],[Billed Quantity]]*Sales4[[#This Row],[Labour cost per unit]]</f>
        <v>#REF!</v>
      </c>
      <c r="AJ123" s="12">
        <f>Sales4[[#This Row],[Droppage per unit]]*Sales4[[#This Row],[Billed Quantity]]</f>
        <v>0</v>
      </c>
      <c r="AK123" s="12" t="e">
        <f>Sales4[[#This Row],[Billed Quantity]]*Sales4[[#This Row],[Other Conversion cost pu]]</f>
        <v>#REF!</v>
      </c>
      <c r="AL123" s="48" t="e">
        <f>Sales4[[#This Row],[PGI Amount]]-Sales4[[#This Row],[BOM Cost2]]-Sales4[[#This Row],[Labour Cost]]-Sales4[[#This Row],[Other conversion cost]]</f>
        <v>#REF!</v>
      </c>
      <c r="AM123" s="121" t="e">
        <f>1-Sales4[[#This Row],[PGI COST]]/Sales4[[#This Row],[Net Value]]</f>
        <v>#REF!</v>
      </c>
      <c r="AN123" s="1">
        <f>Sales4[[#This Row],[PGI Amount]]/Sales4[[#This Row],[Billed Quantity]]</f>
        <v>2.75</v>
      </c>
      <c r="AO123" s="72" t="e">
        <f>SUMIFS('COGS Break up'!#REF!,'COGS Break up'!#REF!,Sales4[[#This Row],[Material]],'COGS Break up'!#REF!,'MIS Working'!$AO$1)</f>
        <v>#REF!</v>
      </c>
      <c r="AP123" s="72" t="e">
        <f>SUMIFS('COGS Break up'!#REF!,'COGS Break up'!#REF!,Sales4[[#This Row],[Material]],'COGS Break up'!#REF!,'MIS Working'!$AP$1)</f>
        <v>#REF!</v>
      </c>
      <c r="AQ123" s="72" t="e">
        <f>SUMIFS('COGS Break up'!#REF!,'COGS Break up'!#REF!,Sales4[[#This Row],[Material]],'COGS Break up'!#REF!,'MIS Working'!$AQ$1)</f>
        <v>#REF!</v>
      </c>
      <c r="AR123" s="72">
        <f>Sales4[[#This Row],[Droppage per unit]]</f>
        <v>0</v>
      </c>
      <c r="AS123" s="15" t="e">
        <f>AO123*Sales4[[#This Row],[Billed Quantity]]</f>
        <v>#REF!</v>
      </c>
      <c r="AT123" s="72" t="e">
        <f>AP123*Sales4[[#This Row],[Billed Quantity]]</f>
        <v>#REF!</v>
      </c>
      <c r="AU123" s="72" t="e">
        <f>AQ123*Sales4[[#This Row],[Billed Quantity]]</f>
        <v>#REF!</v>
      </c>
      <c r="AV123" s="72">
        <f>AR123*Sales4[[#This Row],[Billed Quantity]]</f>
        <v>0</v>
      </c>
    </row>
    <row r="124" spans="1:48" x14ac:dyDescent="0.3">
      <c r="A124" s="1" t="s">
        <v>479</v>
      </c>
      <c r="B124" s="2">
        <v>45916</v>
      </c>
      <c r="C124" s="1">
        <v>3271270910</v>
      </c>
      <c r="D124" s="1" t="s">
        <v>38</v>
      </c>
      <c r="E124" s="1" t="s">
        <v>39</v>
      </c>
      <c r="F124" s="1" t="s">
        <v>18</v>
      </c>
      <c r="G124" s="1" t="s">
        <v>19</v>
      </c>
      <c r="H124" s="1" t="s">
        <v>27</v>
      </c>
      <c r="I124" s="3">
        <v>1120</v>
      </c>
      <c r="J124" s="4">
        <v>368995.2</v>
      </c>
      <c r="K124" s="3">
        <v>1120</v>
      </c>
      <c r="L124" s="3">
        <v>1120</v>
      </c>
      <c r="M124" s="2">
        <v>45916</v>
      </c>
      <c r="N124" s="4">
        <v>401284.8</v>
      </c>
      <c r="O124" s="1" t="s">
        <v>21</v>
      </c>
      <c r="P124" s="1" t="s">
        <v>22</v>
      </c>
      <c r="Q124" s="1">
        <v>1</v>
      </c>
      <c r="R124" s="1" t="str">
        <f>VLOOKUP(Sales4[[#This Row],[Material type]],Master!$H$3:$I$8,2,0)</f>
        <v>Finished Goods</v>
      </c>
      <c r="S124" s="1" t="str">
        <f>VLOOKUP(Sales4[[#This Row],[Material Group]],Master!B:C,2,0)</f>
        <v>FG-PCB-CF</v>
      </c>
      <c r="T124" s="1" t="str">
        <f>VLOOKUP(Sales4[[#This Row],[Material Group Descrip]],Master!E:F,2,0)</f>
        <v>FG-PCB-CF</v>
      </c>
      <c r="U124" s="9" t="b">
        <f ca="1">(TODAY()-1)=Sales4[[#This Row],[Billing Date]]</f>
        <v>0</v>
      </c>
      <c r="V124" s="10" t="e">
        <f>Sales4[[#This Row],[Net Value]]-Sales4[[#This Row],[PGI COST]]</f>
        <v>#REF!</v>
      </c>
      <c r="W124" s="11" t="e">
        <f>Sales4[[#This Row],[Gross Margin]]/Sales4[[#This Row],[Net Value]]</f>
        <v>#REF!</v>
      </c>
      <c r="X124" s="1" t="str">
        <f>TEXT(Sales4[[#This Row],[Billing Date]],"mmmm-yy")</f>
        <v>September-25</v>
      </c>
      <c r="Y124" s="1">
        <f>Sales4[[#This Row],[Net Value]]/Sales4[[#This Row],[Billed Quantity]]</f>
        <v>358.28999999999996</v>
      </c>
      <c r="Z124" s="117">
        <f>Sales4[[#This Row],[Actual delivery qty]]</f>
        <v>1120</v>
      </c>
      <c r="AA124" s="12" t="e">
        <f>SUM(Sales4[[#This Row],[BOM Cost]:[Other Conversion cost pu]])</f>
        <v>#REF!</v>
      </c>
      <c r="AB12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2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24" s="12">
        <f>IFERROR(VLOOKUP(Sales4[[#This Row],[Material]],'COGS Break up'!#REF!,5,0),0)</f>
        <v>0</v>
      </c>
      <c r="AE12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24" s="48" t="e">
        <f>Sales4[[#This Row],[PGI per unit]]-Sales4[[#This Row],[BOM Cost]]-Sales4[[#This Row],[Labour cost per unit]]-Sales4[[#This Row],[Other Conversion cost pu]]</f>
        <v>#REF!</v>
      </c>
      <c r="AG124" s="48" t="e">
        <f>Sales4[[#This Row],[BOM Cost2]]+Sales4[[#This Row],[Labour Cost]]+Sales4[[#This Row],[Other conversion cost]]</f>
        <v>#REF!</v>
      </c>
      <c r="AH124" s="12" t="e">
        <f>Sales4[[#This Row],[Billed Quantity]]*Sales4[[#This Row],[BOM Cost]]</f>
        <v>#REF!</v>
      </c>
      <c r="AI124" s="12" t="e">
        <f>Sales4[[#This Row],[Billed Quantity]]*Sales4[[#This Row],[Labour cost per unit]]</f>
        <v>#REF!</v>
      </c>
      <c r="AJ124" s="12">
        <f>Sales4[[#This Row],[Droppage per unit]]*Sales4[[#This Row],[Billed Quantity]]</f>
        <v>0</v>
      </c>
      <c r="AK124" s="12" t="e">
        <f>Sales4[[#This Row],[Billed Quantity]]*Sales4[[#This Row],[Other Conversion cost pu]]</f>
        <v>#REF!</v>
      </c>
      <c r="AL124" s="48" t="e">
        <f>Sales4[[#This Row],[PGI Amount]]-Sales4[[#This Row],[BOM Cost2]]-Sales4[[#This Row],[Labour Cost]]-Sales4[[#This Row],[Other conversion cost]]</f>
        <v>#REF!</v>
      </c>
      <c r="AM124" s="121" t="e">
        <f>1-Sales4[[#This Row],[PGI COST]]/Sales4[[#This Row],[Net Value]]</f>
        <v>#REF!</v>
      </c>
      <c r="AN124" s="1">
        <f>Sales4[[#This Row],[PGI Amount]]/Sales4[[#This Row],[Billed Quantity]]</f>
        <v>329.46000000000004</v>
      </c>
      <c r="AO124" s="72" t="e">
        <f>SUMIFS('COGS Break up'!#REF!,'COGS Break up'!#REF!,Sales4[[#This Row],[Material]],'COGS Break up'!#REF!,'MIS Working'!$AO$1)</f>
        <v>#REF!</v>
      </c>
      <c r="AP124" s="72" t="e">
        <f>SUMIFS('COGS Break up'!#REF!,'COGS Break up'!#REF!,Sales4[[#This Row],[Material]],'COGS Break up'!#REF!,'MIS Working'!$AP$1)</f>
        <v>#REF!</v>
      </c>
      <c r="AQ124" s="72" t="e">
        <f>SUMIFS('COGS Break up'!#REF!,'COGS Break up'!#REF!,Sales4[[#This Row],[Material]],'COGS Break up'!#REF!,'MIS Working'!$AQ$1)</f>
        <v>#REF!</v>
      </c>
      <c r="AR124" s="72">
        <f>Sales4[[#This Row],[Droppage per unit]]</f>
        <v>0</v>
      </c>
      <c r="AS124" s="15" t="e">
        <f>AO124*Sales4[[#This Row],[Billed Quantity]]</f>
        <v>#REF!</v>
      </c>
      <c r="AT124" s="72" t="e">
        <f>AP124*Sales4[[#This Row],[Billed Quantity]]</f>
        <v>#REF!</v>
      </c>
      <c r="AU124" s="72" t="e">
        <f>AQ124*Sales4[[#This Row],[Billed Quantity]]</f>
        <v>#REF!</v>
      </c>
      <c r="AV124" s="72">
        <f>AR124*Sales4[[#This Row],[Billed Quantity]]</f>
        <v>0</v>
      </c>
    </row>
    <row r="125" spans="1:48" x14ac:dyDescent="0.3">
      <c r="A125" s="1" t="s">
        <v>479</v>
      </c>
      <c r="B125" s="2">
        <v>45916</v>
      </c>
      <c r="C125" s="1">
        <v>3271270718</v>
      </c>
      <c r="D125" s="1" t="s">
        <v>38</v>
      </c>
      <c r="E125" s="1" t="s">
        <v>39</v>
      </c>
      <c r="F125" s="1" t="s">
        <v>18</v>
      </c>
      <c r="G125" s="1" t="s">
        <v>19</v>
      </c>
      <c r="H125" s="1" t="s">
        <v>27</v>
      </c>
      <c r="I125" s="3">
        <v>840</v>
      </c>
      <c r="J125" s="4">
        <v>276746.40000000002</v>
      </c>
      <c r="K125" s="3">
        <v>840</v>
      </c>
      <c r="L125" s="3">
        <v>840</v>
      </c>
      <c r="M125" s="2">
        <v>45916</v>
      </c>
      <c r="N125" s="4">
        <v>300963.59999999998</v>
      </c>
      <c r="O125" s="1" t="s">
        <v>21</v>
      </c>
      <c r="P125" s="1" t="s">
        <v>22</v>
      </c>
      <c r="Q125" s="1">
        <v>1</v>
      </c>
      <c r="R125" s="1" t="str">
        <f>VLOOKUP(Sales4[[#This Row],[Material type]],Master!$H$3:$I$8,2,0)</f>
        <v>Finished Goods</v>
      </c>
      <c r="S125" s="1" t="str">
        <f>VLOOKUP(Sales4[[#This Row],[Material Group]],Master!B:C,2,0)</f>
        <v>FG-PCB-CF</v>
      </c>
      <c r="T125" s="1" t="str">
        <f>VLOOKUP(Sales4[[#This Row],[Material Group Descrip]],Master!E:F,2,0)</f>
        <v>FG-PCB-CF</v>
      </c>
      <c r="U125" s="9" t="b">
        <f ca="1">(TODAY()-1)=Sales4[[#This Row],[Billing Date]]</f>
        <v>0</v>
      </c>
      <c r="V125" s="10" t="e">
        <f>Sales4[[#This Row],[Net Value]]-Sales4[[#This Row],[PGI COST]]</f>
        <v>#REF!</v>
      </c>
      <c r="W125" s="11" t="e">
        <f>Sales4[[#This Row],[Gross Margin]]/Sales4[[#This Row],[Net Value]]</f>
        <v>#REF!</v>
      </c>
      <c r="X125" s="1" t="str">
        <f>TEXT(Sales4[[#This Row],[Billing Date]],"mmmm-yy")</f>
        <v>September-25</v>
      </c>
      <c r="Y125" s="1">
        <f>Sales4[[#This Row],[Net Value]]/Sales4[[#This Row],[Billed Quantity]]</f>
        <v>358.28999999999996</v>
      </c>
      <c r="Z125" s="117">
        <f>Sales4[[#This Row],[Actual delivery qty]]</f>
        <v>840</v>
      </c>
      <c r="AA125" s="12" t="e">
        <f>SUM(Sales4[[#This Row],[BOM Cost]:[Other Conversion cost pu]])</f>
        <v>#REF!</v>
      </c>
      <c r="AB12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2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25" s="12">
        <f>IFERROR(VLOOKUP(Sales4[[#This Row],[Material]],'COGS Break up'!#REF!,5,0),0)</f>
        <v>0</v>
      </c>
      <c r="AE12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25" s="48" t="e">
        <f>Sales4[[#This Row],[PGI per unit]]-Sales4[[#This Row],[BOM Cost]]-Sales4[[#This Row],[Labour cost per unit]]-Sales4[[#This Row],[Other Conversion cost pu]]</f>
        <v>#REF!</v>
      </c>
      <c r="AG125" s="48" t="e">
        <f>Sales4[[#This Row],[BOM Cost2]]+Sales4[[#This Row],[Labour Cost]]+Sales4[[#This Row],[Other conversion cost]]</f>
        <v>#REF!</v>
      </c>
      <c r="AH125" s="12" t="e">
        <f>Sales4[[#This Row],[Billed Quantity]]*Sales4[[#This Row],[BOM Cost]]</f>
        <v>#REF!</v>
      </c>
      <c r="AI125" s="12" t="e">
        <f>Sales4[[#This Row],[Billed Quantity]]*Sales4[[#This Row],[Labour cost per unit]]</f>
        <v>#REF!</v>
      </c>
      <c r="AJ125" s="12">
        <f>Sales4[[#This Row],[Droppage per unit]]*Sales4[[#This Row],[Billed Quantity]]</f>
        <v>0</v>
      </c>
      <c r="AK125" s="12" t="e">
        <f>Sales4[[#This Row],[Billed Quantity]]*Sales4[[#This Row],[Other Conversion cost pu]]</f>
        <v>#REF!</v>
      </c>
      <c r="AL125" s="48" t="e">
        <f>Sales4[[#This Row],[PGI Amount]]-Sales4[[#This Row],[BOM Cost2]]-Sales4[[#This Row],[Labour Cost]]-Sales4[[#This Row],[Other conversion cost]]</f>
        <v>#REF!</v>
      </c>
      <c r="AM125" s="121" t="e">
        <f>1-Sales4[[#This Row],[PGI COST]]/Sales4[[#This Row],[Net Value]]</f>
        <v>#REF!</v>
      </c>
      <c r="AN125" s="1">
        <f>Sales4[[#This Row],[PGI Amount]]/Sales4[[#This Row],[Billed Quantity]]</f>
        <v>329.46000000000004</v>
      </c>
      <c r="AO125" s="72" t="e">
        <f>SUMIFS('COGS Break up'!#REF!,'COGS Break up'!#REF!,Sales4[[#This Row],[Material]],'COGS Break up'!#REF!,'MIS Working'!$AO$1)</f>
        <v>#REF!</v>
      </c>
      <c r="AP125" s="72" t="e">
        <f>SUMIFS('COGS Break up'!#REF!,'COGS Break up'!#REF!,Sales4[[#This Row],[Material]],'COGS Break up'!#REF!,'MIS Working'!$AP$1)</f>
        <v>#REF!</v>
      </c>
      <c r="AQ125" s="72" t="e">
        <f>SUMIFS('COGS Break up'!#REF!,'COGS Break up'!#REF!,Sales4[[#This Row],[Material]],'COGS Break up'!#REF!,'MIS Working'!$AQ$1)</f>
        <v>#REF!</v>
      </c>
      <c r="AR125" s="72">
        <f>Sales4[[#This Row],[Droppage per unit]]</f>
        <v>0</v>
      </c>
      <c r="AS125" s="15" t="e">
        <f>AO125*Sales4[[#This Row],[Billed Quantity]]</f>
        <v>#REF!</v>
      </c>
      <c r="AT125" s="72" t="e">
        <f>AP125*Sales4[[#This Row],[Billed Quantity]]</f>
        <v>#REF!</v>
      </c>
      <c r="AU125" s="72" t="e">
        <f>AQ125*Sales4[[#This Row],[Billed Quantity]]</f>
        <v>#REF!</v>
      </c>
      <c r="AV125" s="72">
        <f>AR125*Sales4[[#This Row],[Billed Quantity]]</f>
        <v>0</v>
      </c>
    </row>
    <row r="126" spans="1:48" x14ac:dyDescent="0.3">
      <c r="A126" s="1" t="s">
        <v>479</v>
      </c>
      <c r="B126" s="2">
        <v>45916</v>
      </c>
      <c r="C126" s="1">
        <v>3271270672</v>
      </c>
      <c r="D126" s="1" t="s">
        <v>38</v>
      </c>
      <c r="E126" s="1" t="s">
        <v>39</v>
      </c>
      <c r="F126" s="1" t="s">
        <v>18</v>
      </c>
      <c r="G126" s="1" t="s">
        <v>19</v>
      </c>
      <c r="H126" s="1" t="s">
        <v>27</v>
      </c>
      <c r="I126" s="3">
        <v>2100</v>
      </c>
      <c r="J126" s="4">
        <v>691866</v>
      </c>
      <c r="K126" s="3">
        <v>2100</v>
      </c>
      <c r="L126" s="3">
        <v>2100</v>
      </c>
      <c r="M126" s="2">
        <v>45916</v>
      </c>
      <c r="N126" s="4">
        <v>752409</v>
      </c>
      <c r="O126" s="1" t="s">
        <v>21</v>
      </c>
      <c r="P126" s="1" t="s">
        <v>22</v>
      </c>
      <c r="Q126" s="1">
        <v>1</v>
      </c>
      <c r="R126" s="1" t="str">
        <f>VLOOKUP(Sales4[[#This Row],[Material type]],Master!$H$3:$I$8,2,0)</f>
        <v>Finished Goods</v>
      </c>
      <c r="S126" s="1" t="str">
        <f>VLOOKUP(Sales4[[#This Row],[Material Group]],Master!B:C,2,0)</f>
        <v>FG-PCB-CF</v>
      </c>
      <c r="T126" s="1" t="str">
        <f>VLOOKUP(Sales4[[#This Row],[Material Group Descrip]],Master!E:F,2,0)</f>
        <v>FG-PCB-CF</v>
      </c>
      <c r="U126" s="9" t="b">
        <f ca="1">(TODAY()-1)=Sales4[[#This Row],[Billing Date]]</f>
        <v>0</v>
      </c>
      <c r="V126" s="10" t="e">
        <f>Sales4[[#This Row],[Net Value]]-Sales4[[#This Row],[PGI COST]]</f>
        <v>#REF!</v>
      </c>
      <c r="W126" s="11" t="e">
        <f>Sales4[[#This Row],[Gross Margin]]/Sales4[[#This Row],[Net Value]]</f>
        <v>#REF!</v>
      </c>
      <c r="X126" s="1" t="str">
        <f>TEXT(Sales4[[#This Row],[Billing Date]],"mmmm-yy")</f>
        <v>September-25</v>
      </c>
      <c r="Y126" s="1">
        <f>Sales4[[#This Row],[Net Value]]/Sales4[[#This Row],[Billed Quantity]]</f>
        <v>358.29</v>
      </c>
      <c r="Z126" s="117">
        <f>Sales4[[#This Row],[Actual delivery qty]]</f>
        <v>2100</v>
      </c>
      <c r="AA126" s="12" t="e">
        <f>SUM(Sales4[[#This Row],[BOM Cost]:[Other Conversion cost pu]])</f>
        <v>#REF!</v>
      </c>
      <c r="AB12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2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26" s="12">
        <f>IFERROR(VLOOKUP(Sales4[[#This Row],[Material]],'COGS Break up'!#REF!,5,0),0)</f>
        <v>0</v>
      </c>
      <c r="AE12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26" s="48" t="e">
        <f>Sales4[[#This Row],[PGI per unit]]-Sales4[[#This Row],[BOM Cost]]-Sales4[[#This Row],[Labour cost per unit]]-Sales4[[#This Row],[Other Conversion cost pu]]</f>
        <v>#REF!</v>
      </c>
      <c r="AG126" s="48" t="e">
        <f>Sales4[[#This Row],[BOM Cost2]]+Sales4[[#This Row],[Labour Cost]]+Sales4[[#This Row],[Other conversion cost]]</f>
        <v>#REF!</v>
      </c>
      <c r="AH126" s="12" t="e">
        <f>Sales4[[#This Row],[Billed Quantity]]*Sales4[[#This Row],[BOM Cost]]</f>
        <v>#REF!</v>
      </c>
      <c r="AI126" s="12" t="e">
        <f>Sales4[[#This Row],[Billed Quantity]]*Sales4[[#This Row],[Labour cost per unit]]</f>
        <v>#REF!</v>
      </c>
      <c r="AJ126" s="12">
        <f>Sales4[[#This Row],[Droppage per unit]]*Sales4[[#This Row],[Billed Quantity]]</f>
        <v>0</v>
      </c>
      <c r="AK126" s="12" t="e">
        <f>Sales4[[#This Row],[Billed Quantity]]*Sales4[[#This Row],[Other Conversion cost pu]]</f>
        <v>#REF!</v>
      </c>
      <c r="AL126" s="48" t="e">
        <f>Sales4[[#This Row],[PGI Amount]]-Sales4[[#This Row],[BOM Cost2]]-Sales4[[#This Row],[Labour Cost]]-Sales4[[#This Row],[Other conversion cost]]</f>
        <v>#REF!</v>
      </c>
      <c r="AM126" s="121" t="e">
        <f>1-Sales4[[#This Row],[PGI COST]]/Sales4[[#This Row],[Net Value]]</f>
        <v>#REF!</v>
      </c>
      <c r="AN126" s="1">
        <f>Sales4[[#This Row],[PGI Amount]]/Sales4[[#This Row],[Billed Quantity]]</f>
        <v>329.46</v>
      </c>
      <c r="AO126" s="72" t="e">
        <f>SUMIFS('COGS Break up'!#REF!,'COGS Break up'!#REF!,Sales4[[#This Row],[Material]],'COGS Break up'!#REF!,'MIS Working'!$AO$1)</f>
        <v>#REF!</v>
      </c>
      <c r="AP126" s="72" t="e">
        <f>SUMIFS('COGS Break up'!#REF!,'COGS Break up'!#REF!,Sales4[[#This Row],[Material]],'COGS Break up'!#REF!,'MIS Working'!$AP$1)</f>
        <v>#REF!</v>
      </c>
      <c r="AQ126" s="72" t="e">
        <f>SUMIFS('COGS Break up'!#REF!,'COGS Break up'!#REF!,Sales4[[#This Row],[Material]],'COGS Break up'!#REF!,'MIS Working'!$AQ$1)</f>
        <v>#REF!</v>
      </c>
      <c r="AR126" s="72">
        <f>Sales4[[#This Row],[Droppage per unit]]</f>
        <v>0</v>
      </c>
      <c r="AS126" s="15" t="e">
        <f>AO126*Sales4[[#This Row],[Billed Quantity]]</f>
        <v>#REF!</v>
      </c>
      <c r="AT126" s="72" t="e">
        <f>AP126*Sales4[[#This Row],[Billed Quantity]]</f>
        <v>#REF!</v>
      </c>
      <c r="AU126" s="72" t="e">
        <f>AQ126*Sales4[[#This Row],[Billed Quantity]]</f>
        <v>#REF!</v>
      </c>
      <c r="AV126" s="72">
        <f>AR126*Sales4[[#This Row],[Billed Quantity]]</f>
        <v>0</v>
      </c>
    </row>
    <row r="127" spans="1:48" x14ac:dyDescent="0.3">
      <c r="A127" s="1" t="s">
        <v>479</v>
      </c>
      <c r="B127" s="2">
        <v>45916</v>
      </c>
      <c r="C127" s="1">
        <v>3271270962</v>
      </c>
      <c r="D127" s="1" t="s">
        <v>23</v>
      </c>
      <c r="E127" s="1" t="s">
        <v>24</v>
      </c>
      <c r="F127" s="1" t="s">
        <v>18</v>
      </c>
      <c r="G127" s="1" t="s">
        <v>19</v>
      </c>
      <c r="H127" s="1" t="s">
        <v>27</v>
      </c>
      <c r="I127" s="3">
        <v>105</v>
      </c>
      <c r="J127" s="4">
        <v>44565.15</v>
      </c>
      <c r="K127" s="3">
        <v>105</v>
      </c>
      <c r="L127" s="3">
        <v>105</v>
      </c>
      <c r="M127" s="2">
        <v>45916</v>
      </c>
      <c r="N127" s="4">
        <v>50731.8</v>
      </c>
      <c r="O127" s="1" t="s">
        <v>21</v>
      </c>
      <c r="P127" s="1" t="s">
        <v>22</v>
      </c>
      <c r="Q127" s="1">
        <v>1</v>
      </c>
      <c r="R127" s="1" t="str">
        <f>VLOOKUP(Sales4[[#This Row],[Material type]],Master!$H$3:$I$8,2,0)</f>
        <v>Finished Goods</v>
      </c>
      <c r="S127" s="1" t="str">
        <f>VLOOKUP(Sales4[[#This Row],[Material Group]],Master!B:C,2,0)</f>
        <v>FG-PCB-CF</v>
      </c>
      <c r="T127" s="1" t="str">
        <f>VLOOKUP(Sales4[[#This Row],[Material Group Descrip]],Master!E:F,2,0)</f>
        <v>FG-PCB-CF</v>
      </c>
      <c r="U127" s="9" t="b">
        <f ca="1">(TODAY()-1)=Sales4[[#This Row],[Billing Date]]</f>
        <v>0</v>
      </c>
      <c r="V127" s="10" t="e">
        <f>Sales4[[#This Row],[Net Value]]-Sales4[[#This Row],[PGI COST]]</f>
        <v>#REF!</v>
      </c>
      <c r="W127" s="11" t="e">
        <f>Sales4[[#This Row],[Gross Margin]]/Sales4[[#This Row],[Net Value]]</f>
        <v>#REF!</v>
      </c>
      <c r="X127" s="1" t="str">
        <f>TEXT(Sales4[[#This Row],[Billing Date]],"mmmm-yy")</f>
        <v>September-25</v>
      </c>
      <c r="Y127" s="1">
        <f>Sales4[[#This Row],[Net Value]]/Sales4[[#This Row],[Billed Quantity]]</f>
        <v>483.16</v>
      </c>
      <c r="Z127" s="117">
        <f>Sales4[[#This Row],[Actual delivery qty]]</f>
        <v>105</v>
      </c>
      <c r="AA127" s="12" t="e">
        <f>SUM(Sales4[[#This Row],[BOM Cost]:[Other Conversion cost pu]])</f>
        <v>#REF!</v>
      </c>
      <c r="AB12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2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27" s="12">
        <f>IFERROR(VLOOKUP(Sales4[[#This Row],[Material]],'COGS Break up'!#REF!,5,0),0)</f>
        <v>0</v>
      </c>
      <c r="AE12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27" s="48" t="e">
        <f>Sales4[[#This Row],[PGI per unit]]-Sales4[[#This Row],[BOM Cost]]-Sales4[[#This Row],[Labour cost per unit]]-Sales4[[#This Row],[Other Conversion cost pu]]</f>
        <v>#REF!</v>
      </c>
      <c r="AG127" s="48" t="e">
        <f>Sales4[[#This Row],[BOM Cost2]]+Sales4[[#This Row],[Labour Cost]]+Sales4[[#This Row],[Other conversion cost]]</f>
        <v>#REF!</v>
      </c>
      <c r="AH127" s="12" t="e">
        <f>Sales4[[#This Row],[Billed Quantity]]*Sales4[[#This Row],[BOM Cost]]</f>
        <v>#REF!</v>
      </c>
      <c r="AI127" s="12" t="e">
        <f>Sales4[[#This Row],[Billed Quantity]]*Sales4[[#This Row],[Labour cost per unit]]</f>
        <v>#REF!</v>
      </c>
      <c r="AJ127" s="12">
        <f>Sales4[[#This Row],[Droppage per unit]]*Sales4[[#This Row],[Billed Quantity]]</f>
        <v>0</v>
      </c>
      <c r="AK127" s="12" t="e">
        <f>Sales4[[#This Row],[Billed Quantity]]*Sales4[[#This Row],[Other Conversion cost pu]]</f>
        <v>#REF!</v>
      </c>
      <c r="AL127" s="48" t="e">
        <f>Sales4[[#This Row],[PGI Amount]]-Sales4[[#This Row],[BOM Cost2]]-Sales4[[#This Row],[Labour Cost]]-Sales4[[#This Row],[Other conversion cost]]</f>
        <v>#REF!</v>
      </c>
      <c r="AM127" s="121" t="e">
        <f>1-Sales4[[#This Row],[PGI COST]]/Sales4[[#This Row],[Net Value]]</f>
        <v>#REF!</v>
      </c>
      <c r="AN127" s="1">
        <f>Sales4[[#This Row],[PGI Amount]]/Sales4[[#This Row],[Billed Quantity]]</f>
        <v>424.43</v>
      </c>
      <c r="AO127" s="72" t="e">
        <f>SUMIFS('COGS Break up'!#REF!,'COGS Break up'!#REF!,Sales4[[#This Row],[Material]],'COGS Break up'!#REF!,'MIS Working'!$AO$1)</f>
        <v>#REF!</v>
      </c>
      <c r="AP127" s="72" t="e">
        <f>SUMIFS('COGS Break up'!#REF!,'COGS Break up'!#REF!,Sales4[[#This Row],[Material]],'COGS Break up'!#REF!,'MIS Working'!$AP$1)</f>
        <v>#REF!</v>
      </c>
      <c r="AQ127" s="72" t="e">
        <f>SUMIFS('COGS Break up'!#REF!,'COGS Break up'!#REF!,Sales4[[#This Row],[Material]],'COGS Break up'!#REF!,'MIS Working'!$AQ$1)</f>
        <v>#REF!</v>
      </c>
      <c r="AR127" s="72">
        <f>Sales4[[#This Row],[Droppage per unit]]</f>
        <v>0</v>
      </c>
      <c r="AS127" s="15" t="e">
        <f>AO127*Sales4[[#This Row],[Billed Quantity]]</f>
        <v>#REF!</v>
      </c>
      <c r="AT127" s="72" t="e">
        <f>AP127*Sales4[[#This Row],[Billed Quantity]]</f>
        <v>#REF!</v>
      </c>
      <c r="AU127" s="72" t="e">
        <f>AQ127*Sales4[[#This Row],[Billed Quantity]]</f>
        <v>#REF!</v>
      </c>
      <c r="AV127" s="72">
        <f>AR127*Sales4[[#This Row],[Billed Quantity]]</f>
        <v>0</v>
      </c>
    </row>
    <row r="128" spans="1:48" x14ac:dyDescent="0.3">
      <c r="A128" s="1" t="s">
        <v>479</v>
      </c>
      <c r="B128" s="2">
        <v>45916</v>
      </c>
      <c r="C128" s="1">
        <v>3271270961</v>
      </c>
      <c r="D128" s="1" t="s">
        <v>23</v>
      </c>
      <c r="E128" s="1" t="s">
        <v>24</v>
      </c>
      <c r="F128" s="1" t="s">
        <v>18</v>
      </c>
      <c r="G128" s="1" t="s">
        <v>19</v>
      </c>
      <c r="H128" s="1" t="s">
        <v>27</v>
      </c>
      <c r="I128" s="3">
        <v>350</v>
      </c>
      <c r="J128" s="4">
        <v>148550.5</v>
      </c>
      <c r="K128" s="3">
        <v>350</v>
      </c>
      <c r="L128" s="3">
        <v>350</v>
      </c>
      <c r="M128" s="2">
        <v>45916</v>
      </c>
      <c r="N128" s="4">
        <v>169106</v>
      </c>
      <c r="O128" s="1" t="s">
        <v>21</v>
      </c>
      <c r="P128" s="1" t="s">
        <v>22</v>
      </c>
      <c r="Q128" s="1">
        <v>1</v>
      </c>
      <c r="R128" s="1" t="str">
        <f>VLOOKUP(Sales4[[#This Row],[Material type]],Master!$H$3:$I$8,2,0)</f>
        <v>Finished Goods</v>
      </c>
      <c r="S128" s="1" t="str">
        <f>VLOOKUP(Sales4[[#This Row],[Material Group]],Master!B:C,2,0)</f>
        <v>FG-PCB-CF</v>
      </c>
      <c r="T128" s="1" t="str">
        <f>VLOOKUP(Sales4[[#This Row],[Material Group Descrip]],Master!E:F,2,0)</f>
        <v>FG-PCB-CF</v>
      </c>
      <c r="U128" s="9" t="b">
        <f ca="1">(TODAY()-1)=Sales4[[#This Row],[Billing Date]]</f>
        <v>0</v>
      </c>
      <c r="V128" s="10" t="e">
        <f>Sales4[[#This Row],[Net Value]]-Sales4[[#This Row],[PGI COST]]</f>
        <v>#REF!</v>
      </c>
      <c r="W128" s="11" t="e">
        <f>Sales4[[#This Row],[Gross Margin]]/Sales4[[#This Row],[Net Value]]</f>
        <v>#REF!</v>
      </c>
      <c r="X128" s="1" t="str">
        <f>TEXT(Sales4[[#This Row],[Billing Date]],"mmmm-yy")</f>
        <v>September-25</v>
      </c>
      <c r="Y128" s="1">
        <f>Sales4[[#This Row],[Net Value]]/Sales4[[#This Row],[Billed Quantity]]</f>
        <v>483.16</v>
      </c>
      <c r="Z128" s="117">
        <f>Sales4[[#This Row],[Actual delivery qty]]</f>
        <v>350</v>
      </c>
      <c r="AA128" s="12" t="e">
        <f>SUM(Sales4[[#This Row],[BOM Cost]:[Other Conversion cost pu]])</f>
        <v>#REF!</v>
      </c>
      <c r="AB12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2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28" s="12">
        <f>IFERROR(VLOOKUP(Sales4[[#This Row],[Material]],'COGS Break up'!#REF!,5,0),0)</f>
        <v>0</v>
      </c>
      <c r="AE12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28" s="48" t="e">
        <f>Sales4[[#This Row],[PGI per unit]]-Sales4[[#This Row],[BOM Cost]]-Sales4[[#This Row],[Labour cost per unit]]-Sales4[[#This Row],[Other Conversion cost pu]]</f>
        <v>#REF!</v>
      </c>
      <c r="AG128" s="48" t="e">
        <f>Sales4[[#This Row],[BOM Cost2]]+Sales4[[#This Row],[Labour Cost]]+Sales4[[#This Row],[Other conversion cost]]</f>
        <v>#REF!</v>
      </c>
      <c r="AH128" s="12" t="e">
        <f>Sales4[[#This Row],[Billed Quantity]]*Sales4[[#This Row],[BOM Cost]]</f>
        <v>#REF!</v>
      </c>
      <c r="AI128" s="12" t="e">
        <f>Sales4[[#This Row],[Billed Quantity]]*Sales4[[#This Row],[Labour cost per unit]]</f>
        <v>#REF!</v>
      </c>
      <c r="AJ128" s="12">
        <f>Sales4[[#This Row],[Droppage per unit]]*Sales4[[#This Row],[Billed Quantity]]</f>
        <v>0</v>
      </c>
      <c r="AK128" s="12" t="e">
        <f>Sales4[[#This Row],[Billed Quantity]]*Sales4[[#This Row],[Other Conversion cost pu]]</f>
        <v>#REF!</v>
      </c>
      <c r="AL128" s="48" t="e">
        <f>Sales4[[#This Row],[PGI Amount]]-Sales4[[#This Row],[BOM Cost2]]-Sales4[[#This Row],[Labour Cost]]-Sales4[[#This Row],[Other conversion cost]]</f>
        <v>#REF!</v>
      </c>
      <c r="AM128" s="121" t="e">
        <f>1-Sales4[[#This Row],[PGI COST]]/Sales4[[#This Row],[Net Value]]</f>
        <v>#REF!</v>
      </c>
      <c r="AN128" s="1">
        <f>Sales4[[#This Row],[PGI Amount]]/Sales4[[#This Row],[Billed Quantity]]</f>
        <v>424.43</v>
      </c>
      <c r="AO128" s="72" t="e">
        <f>SUMIFS('COGS Break up'!#REF!,'COGS Break up'!#REF!,Sales4[[#This Row],[Material]],'COGS Break up'!#REF!,'MIS Working'!$AO$1)</f>
        <v>#REF!</v>
      </c>
      <c r="AP128" s="72" t="e">
        <f>SUMIFS('COGS Break up'!#REF!,'COGS Break up'!#REF!,Sales4[[#This Row],[Material]],'COGS Break up'!#REF!,'MIS Working'!$AP$1)</f>
        <v>#REF!</v>
      </c>
      <c r="AQ128" s="72" t="e">
        <f>SUMIFS('COGS Break up'!#REF!,'COGS Break up'!#REF!,Sales4[[#This Row],[Material]],'COGS Break up'!#REF!,'MIS Working'!$AQ$1)</f>
        <v>#REF!</v>
      </c>
      <c r="AR128" s="72">
        <f>Sales4[[#This Row],[Droppage per unit]]</f>
        <v>0</v>
      </c>
      <c r="AS128" s="15" t="e">
        <f>AO128*Sales4[[#This Row],[Billed Quantity]]</f>
        <v>#REF!</v>
      </c>
      <c r="AT128" s="72" t="e">
        <f>AP128*Sales4[[#This Row],[Billed Quantity]]</f>
        <v>#REF!</v>
      </c>
      <c r="AU128" s="72" t="e">
        <f>AQ128*Sales4[[#This Row],[Billed Quantity]]</f>
        <v>#REF!</v>
      </c>
      <c r="AV128" s="72">
        <f>AR128*Sales4[[#This Row],[Billed Quantity]]</f>
        <v>0</v>
      </c>
    </row>
    <row r="129" spans="1:48" x14ac:dyDescent="0.3">
      <c r="A129" s="1" t="s">
        <v>479</v>
      </c>
      <c r="B129" s="2">
        <v>45916</v>
      </c>
      <c r="C129" s="1">
        <v>3271270718</v>
      </c>
      <c r="D129" s="1" t="s">
        <v>23</v>
      </c>
      <c r="E129" s="1" t="s">
        <v>24</v>
      </c>
      <c r="F129" s="1" t="s">
        <v>18</v>
      </c>
      <c r="G129" s="1" t="s">
        <v>19</v>
      </c>
      <c r="H129" s="1" t="s">
        <v>27</v>
      </c>
      <c r="I129" s="3">
        <v>980</v>
      </c>
      <c r="J129" s="4">
        <v>415941.4</v>
      </c>
      <c r="K129" s="3">
        <v>980</v>
      </c>
      <c r="L129" s="3">
        <v>980</v>
      </c>
      <c r="M129" s="2">
        <v>45916</v>
      </c>
      <c r="N129" s="4">
        <v>473496.8</v>
      </c>
      <c r="O129" s="1" t="s">
        <v>21</v>
      </c>
      <c r="P129" s="1" t="s">
        <v>22</v>
      </c>
      <c r="Q129" s="1">
        <v>1</v>
      </c>
      <c r="R129" s="1" t="str">
        <f>VLOOKUP(Sales4[[#This Row],[Material type]],Master!$H$3:$I$8,2,0)</f>
        <v>Finished Goods</v>
      </c>
      <c r="S129" s="1" t="str">
        <f>VLOOKUP(Sales4[[#This Row],[Material Group]],Master!B:C,2,0)</f>
        <v>FG-PCB-CF</v>
      </c>
      <c r="T129" s="1" t="str">
        <f>VLOOKUP(Sales4[[#This Row],[Material Group Descrip]],Master!E:F,2,0)</f>
        <v>FG-PCB-CF</v>
      </c>
      <c r="U129" s="9" t="b">
        <f ca="1">(TODAY()-1)=Sales4[[#This Row],[Billing Date]]</f>
        <v>0</v>
      </c>
      <c r="V129" s="10" t="e">
        <f>Sales4[[#This Row],[Net Value]]-Sales4[[#This Row],[PGI COST]]</f>
        <v>#REF!</v>
      </c>
      <c r="W129" s="11" t="e">
        <f>Sales4[[#This Row],[Gross Margin]]/Sales4[[#This Row],[Net Value]]</f>
        <v>#REF!</v>
      </c>
      <c r="X129" s="1" t="str">
        <f>TEXT(Sales4[[#This Row],[Billing Date]],"mmmm-yy")</f>
        <v>September-25</v>
      </c>
      <c r="Y129" s="1">
        <f>Sales4[[#This Row],[Net Value]]/Sales4[[#This Row],[Billed Quantity]]</f>
        <v>483.15999999999997</v>
      </c>
      <c r="Z129" s="117">
        <f>Sales4[[#This Row],[Actual delivery qty]]</f>
        <v>980</v>
      </c>
      <c r="AA129" s="12" t="e">
        <f>SUM(Sales4[[#This Row],[BOM Cost]:[Other Conversion cost pu]])</f>
        <v>#REF!</v>
      </c>
      <c r="AB12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2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29" s="12">
        <f>IFERROR(VLOOKUP(Sales4[[#This Row],[Material]],'COGS Break up'!#REF!,5,0),0)</f>
        <v>0</v>
      </c>
      <c r="AE12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29" s="48" t="e">
        <f>Sales4[[#This Row],[PGI per unit]]-Sales4[[#This Row],[BOM Cost]]-Sales4[[#This Row],[Labour cost per unit]]-Sales4[[#This Row],[Other Conversion cost pu]]</f>
        <v>#REF!</v>
      </c>
      <c r="AG129" s="48" t="e">
        <f>Sales4[[#This Row],[BOM Cost2]]+Sales4[[#This Row],[Labour Cost]]+Sales4[[#This Row],[Other conversion cost]]</f>
        <v>#REF!</v>
      </c>
      <c r="AH129" s="12" t="e">
        <f>Sales4[[#This Row],[Billed Quantity]]*Sales4[[#This Row],[BOM Cost]]</f>
        <v>#REF!</v>
      </c>
      <c r="AI129" s="12" t="e">
        <f>Sales4[[#This Row],[Billed Quantity]]*Sales4[[#This Row],[Labour cost per unit]]</f>
        <v>#REF!</v>
      </c>
      <c r="AJ129" s="12">
        <f>Sales4[[#This Row],[Droppage per unit]]*Sales4[[#This Row],[Billed Quantity]]</f>
        <v>0</v>
      </c>
      <c r="AK129" s="12" t="e">
        <f>Sales4[[#This Row],[Billed Quantity]]*Sales4[[#This Row],[Other Conversion cost pu]]</f>
        <v>#REF!</v>
      </c>
      <c r="AL129" s="48" t="e">
        <f>Sales4[[#This Row],[PGI Amount]]-Sales4[[#This Row],[BOM Cost2]]-Sales4[[#This Row],[Labour Cost]]-Sales4[[#This Row],[Other conversion cost]]</f>
        <v>#REF!</v>
      </c>
      <c r="AM129" s="121" t="e">
        <f>1-Sales4[[#This Row],[PGI COST]]/Sales4[[#This Row],[Net Value]]</f>
        <v>#REF!</v>
      </c>
      <c r="AN129" s="1">
        <f>Sales4[[#This Row],[PGI Amount]]/Sales4[[#This Row],[Billed Quantity]]</f>
        <v>424.43</v>
      </c>
      <c r="AO129" s="72" t="e">
        <f>SUMIFS('COGS Break up'!#REF!,'COGS Break up'!#REF!,Sales4[[#This Row],[Material]],'COGS Break up'!#REF!,'MIS Working'!$AO$1)</f>
        <v>#REF!</v>
      </c>
      <c r="AP129" s="72" t="e">
        <f>SUMIFS('COGS Break up'!#REF!,'COGS Break up'!#REF!,Sales4[[#This Row],[Material]],'COGS Break up'!#REF!,'MIS Working'!$AP$1)</f>
        <v>#REF!</v>
      </c>
      <c r="AQ129" s="72" t="e">
        <f>SUMIFS('COGS Break up'!#REF!,'COGS Break up'!#REF!,Sales4[[#This Row],[Material]],'COGS Break up'!#REF!,'MIS Working'!$AQ$1)</f>
        <v>#REF!</v>
      </c>
      <c r="AR129" s="72">
        <f>Sales4[[#This Row],[Droppage per unit]]</f>
        <v>0</v>
      </c>
      <c r="AS129" s="15" t="e">
        <f>AO129*Sales4[[#This Row],[Billed Quantity]]</f>
        <v>#REF!</v>
      </c>
      <c r="AT129" s="72" t="e">
        <f>AP129*Sales4[[#This Row],[Billed Quantity]]</f>
        <v>#REF!</v>
      </c>
      <c r="AU129" s="72" t="e">
        <f>AQ129*Sales4[[#This Row],[Billed Quantity]]</f>
        <v>#REF!</v>
      </c>
      <c r="AV129" s="72">
        <f>AR129*Sales4[[#This Row],[Billed Quantity]]</f>
        <v>0</v>
      </c>
    </row>
    <row r="130" spans="1:48" x14ac:dyDescent="0.3">
      <c r="A130" s="1" t="s">
        <v>479</v>
      </c>
      <c r="B130" s="2">
        <v>45916</v>
      </c>
      <c r="C130" s="1">
        <v>3271270624</v>
      </c>
      <c r="D130" s="1" t="s">
        <v>23</v>
      </c>
      <c r="E130" s="1" t="s">
        <v>24</v>
      </c>
      <c r="F130" s="1" t="s">
        <v>18</v>
      </c>
      <c r="G130" s="1" t="s">
        <v>19</v>
      </c>
      <c r="H130" s="1" t="s">
        <v>27</v>
      </c>
      <c r="I130" s="3">
        <v>105</v>
      </c>
      <c r="J130" s="4">
        <v>44565.15</v>
      </c>
      <c r="K130" s="3">
        <v>105</v>
      </c>
      <c r="L130" s="3">
        <v>105</v>
      </c>
      <c r="M130" s="2">
        <v>45916</v>
      </c>
      <c r="N130" s="4">
        <v>50731.8</v>
      </c>
      <c r="O130" s="1" t="s">
        <v>21</v>
      </c>
      <c r="P130" s="1" t="s">
        <v>22</v>
      </c>
      <c r="Q130" s="1">
        <v>1</v>
      </c>
      <c r="R130" s="1" t="str">
        <f>VLOOKUP(Sales4[[#This Row],[Material type]],Master!$H$3:$I$8,2,0)</f>
        <v>Finished Goods</v>
      </c>
      <c r="S130" s="1" t="str">
        <f>VLOOKUP(Sales4[[#This Row],[Material Group]],Master!B:C,2,0)</f>
        <v>FG-PCB-CF</v>
      </c>
      <c r="T130" s="1" t="str">
        <f>VLOOKUP(Sales4[[#This Row],[Material Group Descrip]],Master!E:F,2,0)</f>
        <v>FG-PCB-CF</v>
      </c>
      <c r="U130" s="9" t="b">
        <f ca="1">(TODAY()-1)=Sales4[[#This Row],[Billing Date]]</f>
        <v>0</v>
      </c>
      <c r="V130" s="10" t="e">
        <f>Sales4[[#This Row],[Net Value]]-Sales4[[#This Row],[PGI COST]]</f>
        <v>#REF!</v>
      </c>
      <c r="W130" s="11" t="e">
        <f>Sales4[[#This Row],[Gross Margin]]/Sales4[[#This Row],[Net Value]]</f>
        <v>#REF!</v>
      </c>
      <c r="X130" s="1" t="str">
        <f>TEXT(Sales4[[#This Row],[Billing Date]],"mmmm-yy")</f>
        <v>September-25</v>
      </c>
      <c r="Y130" s="1">
        <f>Sales4[[#This Row],[Net Value]]/Sales4[[#This Row],[Billed Quantity]]</f>
        <v>483.16</v>
      </c>
      <c r="Z130" s="117">
        <f>Sales4[[#This Row],[Actual delivery qty]]</f>
        <v>105</v>
      </c>
      <c r="AA130" s="12" t="e">
        <f>SUM(Sales4[[#This Row],[BOM Cost]:[Other Conversion cost pu]])</f>
        <v>#REF!</v>
      </c>
      <c r="AB13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3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30" s="12">
        <f>IFERROR(VLOOKUP(Sales4[[#This Row],[Material]],'COGS Break up'!#REF!,5,0),0)</f>
        <v>0</v>
      </c>
      <c r="AE13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30" s="48" t="e">
        <f>Sales4[[#This Row],[PGI per unit]]-Sales4[[#This Row],[BOM Cost]]-Sales4[[#This Row],[Labour cost per unit]]-Sales4[[#This Row],[Other Conversion cost pu]]</f>
        <v>#REF!</v>
      </c>
      <c r="AG130" s="48" t="e">
        <f>Sales4[[#This Row],[BOM Cost2]]+Sales4[[#This Row],[Labour Cost]]+Sales4[[#This Row],[Other conversion cost]]</f>
        <v>#REF!</v>
      </c>
      <c r="AH130" s="12" t="e">
        <f>Sales4[[#This Row],[Billed Quantity]]*Sales4[[#This Row],[BOM Cost]]</f>
        <v>#REF!</v>
      </c>
      <c r="AI130" s="12" t="e">
        <f>Sales4[[#This Row],[Billed Quantity]]*Sales4[[#This Row],[Labour cost per unit]]</f>
        <v>#REF!</v>
      </c>
      <c r="AJ130" s="12">
        <f>Sales4[[#This Row],[Droppage per unit]]*Sales4[[#This Row],[Billed Quantity]]</f>
        <v>0</v>
      </c>
      <c r="AK130" s="12" t="e">
        <f>Sales4[[#This Row],[Billed Quantity]]*Sales4[[#This Row],[Other Conversion cost pu]]</f>
        <v>#REF!</v>
      </c>
      <c r="AL130" s="48" t="e">
        <f>Sales4[[#This Row],[PGI Amount]]-Sales4[[#This Row],[BOM Cost2]]-Sales4[[#This Row],[Labour Cost]]-Sales4[[#This Row],[Other conversion cost]]</f>
        <v>#REF!</v>
      </c>
      <c r="AM130" s="121" t="e">
        <f>1-Sales4[[#This Row],[PGI COST]]/Sales4[[#This Row],[Net Value]]</f>
        <v>#REF!</v>
      </c>
      <c r="AN130" s="1">
        <f>Sales4[[#This Row],[PGI Amount]]/Sales4[[#This Row],[Billed Quantity]]</f>
        <v>424.43</v>
      </c>
      <c r="AO130" s="72" t="e">
        <f>SUMIFS('COGS Break up'!#REF!,'COGS Break up'!#REF!,Sales4[[#This Row],[Material]],'COGS Break up'!#REF!,'MIS Working'!$AO$1)</f>
        <v>#REF!</v>
      </c>
      <c r="AP130" s="72" t="e">
        <f>SUMIFS('COGS Break up'!#REF!,'COGS Break up'!#REF!,Sales4[[#This Row],[Material]],'COGS Break up'!#REF!,'MIS Working'!$AP$1)</f>
        <v>#REF!</v>
      </c>
      <c r="AQ130" s="72" t="e">
        <f>SUMIFS('COGS Break up'!#REF!,'COGS Break up'!#REF!,Sales4[[#This Row],[Material]],'COGS Break up'!#REF!,'MIS Working'!$AQ$1)</f>
        <v>#REF!</v>
      </c>
      <c r="AR130" s="72">
        <f>Sales4[[#This Row],[Droppage per unit]]</f>
        <v>0</v>
      </c>
      <c r="AS130" s="15" t="e">
        <f>AO130*Sales4[[#This Row],[Billed Quantity]]</f>
        <v>#REF!</v>
      </c>
      <c r="AT130" s="72" t="e">
        <f>AP130*Sales4[[#This Row],[Billed Quantity]]</f>
        <v>#REF!</v>
      </c>
      <c r="AU130" s="72" t="e">
        <f>AQ130*Sales4[[#This Row],[Billed Quantity]]</f>
        <v>#REF!</v>
      </c>
      <c r="AV130" s="72">
        <f>AR130*Sales4[[#This Row],[Billed Quantity]]</f>
        <v>0</v>
      </c>
    </row>
    <row r="131" spans="1:48" x14ac:dyDescent="0.3">
      <c r="A131" s="1" t="s">
        <v>479</v>
      </c>
      <c r="B131" s="2">
        <v>45916</v>
      </c>
      <c r="C131" s="1">
        <v>3271270910</v>
      </c>
      <c r="D131" s="1" t="s">
        <v>362</v>
      </c>
      <c r="E131" s="1" t="s">
        <v>363</v>
      </c>
      <c r="F131" s="1" t="s">
        <v>18</v>
      </c>
      <c r="G131" s="1" t="s">
        <v>19</v>
      </c>
      <c r="H131" s="1" t="s">
        <v>483</v>
      </c>
      <c r="I131" s="3">
        <v>245</v>
      </c>
      <c r="J131" s="4">
        <v>179611.95</v>
      </c>
      <c r="K131" s="3">
        <v>245</v>
      </c>
      <c r="L131" s="3">
        <v>245</v>
      </c>
      <c r="M131" s="2">
        <v>45916</v>
      </c>
      <c r="N131" s="4">
        <v>211248.8</v>
      </c>
      <c r="O131" s="1" t="s">
        <v>21</v>
      </c>
      <c r="P131" s="1" t="s">
        <v>22</v>
      </c>
      <c r="Q131" s="1">
        <v>1</v>
      </c>
      <c r="R131" s="1" t="str">
        <f>VLOOKUP(Sales4[[#This Row],[Material type]],Master!$H$3:$I$8,2,0)</f>
        <v>Finished Goods</v>
      </c>
      <c r="S131" s="1" t="str">
        <f>VLOOKUP(Sales4[[#This Row],[Material Group]],Master!B:C,2,0)</f>
        <v>FG-PCB-MG</v>
      </c>
      <c r="T131" s="1" t="str">
        <f>VLOOKUP(Sales4[[#This Row],[Material Group Descrip]],Master!E:F,2,0)</f>
        <v>FG-PCB-MG</v>
      </c>
      <c r="U131" s="9" t="b">
        <f ca="1">(TODAY()-1)=Sales4[[#This Row],[Billing Date]]</f>
        <v>0</v>
      </c>
      <c r="V131" s="10" t="e">
        <f>Sales4[[#This Row],[Net Value]]-Sales4[[#This Row],[PGI COST]]</f>
        <v>#REF!</v>
      </c>
      <c r="W131" s="11" t="e">
        <f>Sales4[[#This Row],[Gross Margin]]/Sales4[[#This Row],[Net Value]]</f>
        <v>#REF!</v>
      </c>
      <c r="X131" s="1" t="str">
        <f>TEXT(Sales4[[#This Row],[Billing Date]],"mmmm-yy")</f>
        <v>September-25</v>
      </c>
      <c r="Y131" s="1">
        <f>Sales4[[#This Row],[Net Value]]/Sales4[[#This Row],[Billed Quantity]]</f>
        <v>862.24</v>
      </c>
      <c r="Z131" s="117">
        <f>Sales4[[#This Row],[Actual delivery qty]]</f>
        <v>245</v>
      </c>
      <c r="AA131" s="12" t="e">
        <f>SUM(Sales4[[#This Row],[BOM Cost]:[Other Conversion cost pu]])</f>
        <v>#REF!</v>
      </c>
      <c r="AB13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3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31" s="12">
        <f>IFERROR(VLOOKUP(Sales4[[#This Row],[Material]],'COGS Break up'!#REF!,5,0),0)</f>
        <v>0</v>
      </c>
      <c r="AE13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31" s="48" t="e">
        <f>Sales4[[#This Row],[PGI per unit]]-Sales4[[#This Row],[BOM Cost]]-Sales4[[#This Row],[Labour cost per unit]]-Sales4[[#This Row],[Other Conversion cost pu]]</f>
        <v>#REF!</v>
      </c>
      <c r="AG131" s="48" t="e">
        <f>Sales4[[#This Row],[BOM Cost2]]+Sales4[[#This Row],[Labour Cost]]+Sales4[[#This Row],[Other conversion cost]]</f>
        <v>#REF!</v>
      </c>
      <c r="AH131" s="12" t="e">
        <f>Sales4[[#This Row],[Billed Quantity]]*Sales4[[#This Row],[BOM Cost]]</f>
        <v>#REF!</v>
      </c>
      <c r="AI131" s="12" t="e">
        <f>Sales4[[#This Row],[Billed Quantity]]*Sales4[[#This Row],[Labour cost per unit]]</f>
        <v>#REF!</v>
      </c>
      <c r="AJ131" s="12">
        <f>Sales4[[#This Row],[Droppage per unit]]*Sales4[[#This Row],[Billed Quantity]]</f>
        <v>0</v>
      </c>
      <c r="AK131" s="12" t="e">
        <f>Sales4[[#This Row],[Billed Quantity]]*Sales4[[#This Row],[Other Conversion cost pu]]</f>
        <v>#REF!</v>
      </c>
      <c r="AL131" s="48" t="e">
        <f>Sales4[[#This Row],[PGI Amount]]-Sales4[[#This Row],[BOM Cost2]]-Sales4[[#This Row],[Labour Cost]]-Sales4[[#This Row],[Other conversion cost]]</f>
        <v>#REF!</v>
      </c>
      <c r="AM131" s="121" t="e">
        <f>1-Sales4[[#This Row],[PGI COST]]/Sales4[[#This Row],[Net Value]]</f>
        <v>#REF!</v>
      </c>
      <c r="AN131" s="1">
        <f>Sales4[[#This Row],[PGI Amount]]/Sales4[[#This Row],[Billed Quantity]]</f>
        <v>733.11</v>
      </c>
      <c r="AO131" s="72" t="e">
        <f>SUMIFS('COGS Break up'!#REF!,'COGS Break up'!#REF!,Sales4[[#This Row],[Material]],'COGS Break up'!#REF!,'MIS Working'!$AO$1)</f>
        <v>#REF!</v>
      </c>
      <c r="AP131" s="72" t="e">
        <f>SUMIFS('COGS Break up'!#REF!,'COGS Break up'!#REF!,Sales4[[#This Row],[Material]],'COGS Break up'!#REF!,'MIS Working'!$AP$1)</f>
        <v>#REF!</v>
      </c>
      <c r="AQ131" s="72" t="e">
        <f>SUMIFS('COGS Break up'!#REF!,'COGS Break up'!#REF!,Sales4[[#This Row],[Material]],'COGS Break up'!#REF!,'MIS Working'!$AQ$1)</f>
        <v>#REF!</v>
      </c>
      <c r="AR131" s="72">
        <f>Sales4[[#This Row],[Droppage per unit]]</f>
        <v>0</v>
      </c>
      <c r="AS131" s="15" t="e">
        <f>AO131*Sales4[[#This Row],[Billed Quantity]]</f>
        <v>#REF!</v>
      </c>
      <c r="AT131" s="72" t="e">
        <f>AP131*Sales4[[#This Row],[Billed Quantity]]</f>
        <v>#REF!</v>
      </c>
      <c r="AU131" s="72" t="e">
        <f>AQ131*Sales4[[#This Row],[Billed Quantity]]</f>
        <v>#REF!</v>
      </c>
      <c r="AV131" s="72">
        <f>AR131*Sales4[[#This Row],[Billed Quantity]]</f>
        <v>0</v>
      </c>
    </row>
    <row r="132" spans="1:48" x14ac:dyDescent="0.3">
      <c r="A132" s="1" t="s">
        <v>479</v>
      </c>
      <c r="B132" s="2">
        <v>45916</v>
      </c>
      <c r="C132" s="1">
        <v>3271270774</v>
      </c>
      <c r="D132" s="1" t="s">
        <v>362</v>
      </c>
      <c r="E132" s="1" t="s">
        <v>363</v>
      </c>
      <c r="F132" s="1" t="s">
        <v>18</v>
      </c>
      <c r="G132" s="1" t="s">
        <v>19</v>
      </c>
      <c r="H132" s="1" t="s">
        <v>483</v>
      </c>
      <c r="I132" s="3">
        <v>175</v>
      </c>
      <c r="J132" s="4">
        <v>128294.25</v>
      </c>
      <c r="K132" s="3">
        <v>175</v>
      </c>
      <c r="L132" s="3">
        <v>175</v>
      </c>
      <c r="M132" s="2">
        <v>45916</v>
      </c>
      <c r="N132" s="4">
        <v>150892</v>
      </c>
      <c r="O132" s="1" t="s">
        <v>21</v>
      </c>
      <c r="P132" s="1" t="s">
        <v>22</v>
      </c>
      <c r="Q132" s="1">
        <v>1</v>
      </c>
      <c r="R132" s="1" t="str">
        <f>VLOOKUP(Sales4[[#This Row],[Material type]],Master!$H$3:$I$8,2,0)</f>
        <v>Finished Goods</v>
      </c>
      <c r="S132" s="1" t="str">
        <f>VLOOKUP(Sales4[[#This Row],[Material Group]],Master!B:C,2,0)</f>
        <v>FG-PCB-MG</v>
      </c>
      <c r="T132" s="1" t="str">
        <f>VLOOKUP(Sales4[[#This Row],[Material Group Descrip]],Master!E:F,2,0)</f>
        <v>FG-PCB-MG</v>
      </c>
      <c r="U132" s="9" t="b">
        <f ca="1">(TODAY()-1)=Sales4[[#This Row],[Billing Date]]</f>
        <v>0</v>
      </c>
      <c r="V132" s="10" t="e">
        <f>Sales4[[#This Row],[Net Value]]-Sales4[[#This Row],[PGI COST]]</f>
        <v>#REF!</v>
      </c>
      <c r="W132" s="11" t="e">
        <f>Sales4[[#This Row],[Gross Margin]]/Sales4[[#This Row],[Net Value]]</f>
        <v>#REF!</v>
      </c>
      <c r="X132" s="1" t="str">
        <f>TEXT(Sales4[[#This Row],[Billing Date]],"mmmm-yy")</f>
        <v>September-25</v>
      </c>
      <c r="Y132" s="1">
        <f>Sales4[[#This Row],[Net Value]]/Sales4[[#This Row],[Billed Quantity]]</f>
        <v>862.24</v>
      </c>
      <c r="Z132" s="117">
        <f>Sales4[[#This Row],[Actual delivery qty]]</f>
        <v>175</v>
      </c>
      <c r="AA132" s="12" t="e">
        <f>SUM(Sales4[[#This Row],[BOM Cost]:[Other Conversion cost pu]])</f>
        <v>#REF!</v>
      </c>
      <c r="AB13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3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32" s="12">
        <f>IFERROR(VLOOKUP(Sales4[[#This Row],[Material]],'COGS Break up'!#REF!,5,0),0)</f>
        <v>0</v>
      </c>
      <c r="AE13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32" s="48" t="e">
        <f>Sales4[[#This Row],[PGI per unit]]-Sales4[[#This Row],[BOM Cost]]-Sales4[[#This Row],[Labour cost per unit]]-Sales4[[#This Row],[Other Conversion cost pu]]</f>
        <v>#REF!</v>
      </c>
      <c r="AG132" s="48" t="e">
        <f>Sales4[[#This Row],[BOM Cost2]]+Sales4[[#This Row],[Labour Cost]]+Sales4[[#This Row],[Other conversion cost]]</f>
        <v>#REF!</v>
      </c>
      <c r="AH132" s="12" t="e">
        <f>Sales4[[#This Row],[Billed Quantity]]*Sales4[[#This Row],[BOM Cost]]</f>
        <v>#REF!</v>
      </c>
      <c r="AI132" s="12" t="e">
        <f>Sales4[[#This Row],[Billed Quantity]]*Sales4[[#This Row],[Labour cost per unit]]</f>
        <v>#REF!</v>
      </c>
      <c r="AJ132" s="12">
        <f>Sales4[[#This Row],[Droppage per unit]]*Sales4[[#This Row],[Billed Quantity]]</f>
        <v>0</v>
      </c>
      <c r="AK132" s="12" t="e">
        <f>Sales4[[#This Row],[Billed Quantity]]*Sales4[[#This Row],[Other Conversion cost pu]]</f>
        <v>#REF!</v>
      </c>
      <c r="AL132" s="48" t="e">
        <f>Sales4[[#This Row],[PGI Amount]]-Sales4[[#This Row],[BOM Cost2]]-Sales4[[#This Row],[Labour Cost]]-Sales4[[#This Row],[Other conversion cost]]</f>
        <v>#REF!</v>
      </c>
      <c r="AM132" s="121" t="e">
        <f>1-Sales4[[#This Row],[PGI COST]]/Sales4[[#This Row],[Net Value]]</f>
        <v>#REF!</v>
      </c>
      <c r="AN132" s="1">
        <f>Sales4[[#This Row],[PGI Amount]]/Sales4[[#This Row],[Billed Quantity]]</f>
        <v>733.11</v>
      </c>
      <c r="AO132" s="72" t="e">
        <f>SUMIFS('COGS Break up'!#REF!,'COGS Break up'!#REF!,Sales4[[#This Row],[Material]],'COGS Break up'!#REF!,'MIS Working'!$AO$1)</f>
        <v>#REF!</v>
      </c>
      <c r="AP132" s="72" t="e">
        <f>SUMIFS('COGS Break up'!#REF!,'COGS Break up'!#REF!,Sales4[[#This Row],[Material]],'COGS Break up'!#REF!,'MIS Working'!$AP$1)</f>
        <v>#REF!</v>
      </c>
      <c r="AQ132" s="72" t="e">
        <f>SUMIFS('COGS Break up'!#REF!,'COGS Break up'!#REF!,Sales4[[#This Row],[Material]],'COGS Break up'!#REF!,'MIS Working'!$AQ$1)</f>
        <v>#REF!</v>
      </c>
      <c r="AR132" s="72">
        <f>Sales4[[#This Row],[Droppage per unit]]</f>
        <v>0</v>
      </c>
      <c r="AS132" s="15" t="e">
        <f>AO132*Sales4[[#This Row],[Billed Quantity]]</f>
        <v>#REF!</v>
      </c>
      <c r="AT132" s="72" t="e">
        <f>AP132*Sales4[[#This Row],[Billed Quantity]]</f>
        <v>#REF!</v>
      </c>
      <c r="AU132" s="72" t="e">
        <f>AQ132*Sales4[[#This Row],[Billed Quantity]]</f>
        <v>#REF!</v>
      </c>
      <c r="AV132" s="72">
        <f>AR132*Sales4[[#This Row],[Billed Quantity]]</f>
        <v>0</v>
      </c>
    </row>
    <row r="133" spans="1:48" x14ac:dyDescent="0.3">
      <c r="A133" s="1" t="s">
        <v>479</v>
      </c>
      <c r="B133" s="2">
        <v>45916</v>
      </c>
      <c r="C133" s="1">
        <v>3271270732</v>
      </c>
      <c r="D133" s="1" t="s">
        <v>362</v>
      </c>
      <c r="E133" s="1" t="s">
        <v>363</v>
      </c>
      <c r="F133" s="1" t="s">
        <v>18</v>
      </c>
      <c r="G133" s="1" t="s">
        <v>19</v>
      </c>
      <c r="H133" s="1" t="s">
        <v>483</v>
      </c>
      <c r="I133" s="3">
        <v>70</v>
      </c>
      <c r="J133" s="4">
        <v>51317.7</v>
      </c>
      <c r="K133" s="3">
        <v>70</v>
      </c>
      <c r="L133" s="3">
        <v>70</v>
      </c>
      <c r="M133" s="2">
        <v>45916</v>
      </c>
      <c r="N133" s="4">
        <v>60356.800000000003</v>
      </c>
      <c r="O133" s="1" t="s">
        <v>21</v>
      </c>
      <c r="P133" s="1" t="s">
        <v>22</v>
      </c>
      <c r="Q133" s="1">
        <v>1</v>
      </c>
      <c r="R133" s="1" t="str">
        <f>VLOOKUP(Sales4[[#This Row],[Material type]],Master!$H$3:$I$8,2,0)</f>
        <v>Finished Goods</v>
      </c>
      <c r="S133" s="1" t="str">
        <f>VLOOKUP(Sales4[[#This Row],[Material Group]],Master!B:C,2,0)</f>
        <v>FG-PCB-MG</v>
      </c>
      <c r="T133" s="1" t="str">
        <f>VLOOKUP(Sales4[[#This Row],[Material Group Descrip]],Master!E:F,2,0)</f>
        <v>FG-PCB-MG</v>
      </c>
      <c r="U133" s="9" t="b">
        <f ca="1">(TODAY()-1)=Sales4[[#This Row],[Billing Date]]</f>
        <v>0</v>
      </c>
      <c r="V133" s="10" t="e">
        <f>Sales4[[#This Row],[Net Value]]-Sales4[[#This Row],[PGI COST]]</f>
        <v>#REF!</v>
      </c>
      <c r="W133" s="11" t="e">
        <f>Sales4[[#This Row],[Gross Margin]]/Sales4[[#This Row],[Net Value]]</f>
        <v>#REF!</v>
      </c>
      <c r="X133" s="1" t="str">
        <f>TEXT(Sales4[[#This Row],[Billing Date]],"mmmm-yy")</f>
        <v>September-25</v>
      </c>
      <c r="Y133" s="1">
        <f>Sales4[[#This Row],[Net Value]]/Sales4[[#This Row],[Billed Quantity]]</f>
        <v>862.24</v>
      </c>
      <c r="Z133" s="117">
        <f>Sales4[[#This Row],[Actual delivery qty]]</f>
        <v>70</v>
      </c>
      <c r="AA133" s="12" t="e">
        <f>SUM(Sales4[[#This Row],[BOM Cost]:[Other Conversion cost pu]])</f>
        <v>#REF!</v>
      </c>
      <c r="AB13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3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33" s="12">
        <f>IFERROR(VLOOKUP(Sales4[[#This Row],[Material]],'COGS Break up'!#REF!,5,0),0)</f>
        <v>0</v>
      </c>
      <c r="AE13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33" s="48" t="e">
        <f>Sales4[[#This Row],[PGI per unit]]-Sales4[[#This Row],[BOM Cost]]-Sales4[[#This Row],[Labour cost per unit]]-Sales4[[#This Row],[Other Conversion cost pu]]</f>
        <v>#REF!</v>
      </c>
      <c r="AG133" s="48" t="e">
        <f>Sales4[[#This Row],[BOM Cost2]]+Sales4[[#This Row],[Labour Cost]]+Sales4[[#This Row],[Other conversion cost]]</f>
        <v>#REF!</v>
      </c>
      <c r="AH133" s="12" t="e">
        <f>Sales4[[#This Row],[Billed Quantity]]*Sales4[[#This Row],[BOM Cost]]</f>
        <v>#REF!</v>
      </c>
      <c r="AI133" s="12" t="e">
        <f>Sales4[[#This Row],[Billed Quantity]]*Sales4[[#This Row],[Labour cost per unit]]</f>
        <v>#REF!</v>
      </c>
      <c r="AJ133" s="12">
        <f>Sales4[[#This Row],[Droppage per unit]]*Sales4[[#This Row],[Billed Quantity]]</f>
        <v>0</v>
      </c>
      <c r="AK133" s="12" t="e">
        <f>Sales4[[#This Row],[Billed Quantity]]*Sales4[[#This Row],[Other Conversion cost pu]]</f>
        <v>#REF!</v>
      </c>
      <c r="AL133" s="48" t="e">
        <f>Sales4[[#This Row],[PGI Amount]]-Sales4[[#This Row],[BOM Cost2]]-Sales4[[#This Row],[Labour Cost]]-Sales4[[#This Row],[Other conversion cost]]</f>
        <v>#REF!</v>
      </c>
      <c r="AM133" s="121" t="e">
        <f>1-Sales4[[#This Row],[PGI COST]]/Sales4[[#This Row],[Net Value]]</f>
        <v>#REF!</v>
      </c>
      <c r="AN133" s="1">
        <f>Sales4[[#This Row],[PGI Amount]]/Sales4[[#This Row],[Billed Quantity]]</f>
        <v>733.11</v>
      </c>
      <c r="AO133" s="72" t="e">
        <f>SUMIFS('COGS Break up'!#REF!,'COGS Break up'!#REF!,Sales4[[#This Row],[Material]],'COGS Break up'!#REF!,'MIS Working'!$AO$1)</f>
        <v>#REF!</v>
      </c>
      <c r="AP133" s="72" t="e">
        <f>SUMIFS('COGS Break up'!#REF!,'COGS Break up'!#REF!,Sales4[[#This Row],[Material]],'COGS Break up'!#REF!,'MIS Working'!$AP$1)</f>
        <v>#REF!</v>
      </c>
      <c r="AQ133" s="72" t="e">
        <f>SUMIFS('COGS Break up'!#REF!,'COGS Break up'!#REF!,Sales4[[#This Row],[Material]],'COGS Break up'!#REF!,'MIS Working'!$AQ$1)</f>
        <v>#REF!</v>
      </c>
      <c r="AR133" s="72">
        <f>Sales4[[#This Row],[Droppage per unit]]</f>
        <v>0</v>
      </c>
      <c r="AS133" s="15" t="e">
        <f>AO133*Sales4[[#This Row],[Billed Quantity]]</f>
        <v>#REF!</v>
      </c>
      <c r="AT133" s="72" t="e">
        <f>AP133*Sales4[[#This Row],[Billed Quantity]]</f>
        <v>#REF!</v>
      </c>
      <c r="AU133" s="72" t="e">
        <f>AQ133*Sales4[[#This Row],[Billed Quantity]]</f>
        <v>#REF!</v>
      </c>
      <c r="AV133" s="72">
        <f>AR133*Sales4[[#This Row],[Billed Quantity]]</f>
        <v>0</v>
      </c>
    </row>
    <row r="134" spans="1:48" x14ac:dyDescent="0.3">
      <c r="A134" s="1" t="s">
        <v>479</v>
      </c>
      <c r="B134" s="2">
        <v>45916</v>
      </c>
      <c r="C134" s="1">
        <v>3271270721</v>
      </c>
      <c r="D134" s="1" t="s">
        <v>362</v>
      </c>
      <c r="E134" s="1" t="s">
        <v>363</v>
      </c>
      <c r="F134" s="1" t="s">
        <v>18</v>
      </c>
      <c r="G134" s="1" t="s">
        <v>19</v>
      </c>
      <c r="H134" s="1" t="s">
        <v>483</v>
      </c>
      <c r="I134" s="3">
        <v>35</v>
      </c>
      <c r="J134" s="4">
        <v>25658.85</v>
      </c>
      <c r="K134" s="3">
        <v>35</v>
      </c>
      <c r="L134" s="3">
        <v>35</v>
      </c>
      <c r="M134" s="2">
        <v>45916</v>
      </c>
      <c r="N134" s="4">
        <v>30178.400000000001</v>
      </c>
      <c r="O134" s="1" t="s">
        <v>21</v>
      </c>
      <c r="P134" s="1" t="s">
        <v>22</v>
      </c>
      <c r="Q134" s="1">
        <v>1</v>
      </c>
      <c r="R134" s="1" t="str">
        <f>VLOOKUP(Sales4[[#This Row],[Material type]],Master!$H$3:$I$8,2,0)</f>
        <v>Finished Goods</v>
      </c>
      <c r="S134" s="1" t="str">
        <f>VLOOKUP(Sales4[[#This Row],[Material Group]],Master!B:C,2,0)</f>
        <v>FG-PCB-MG</v>
      </c>
      <c r="T134" s="1" t="str">
        <f>VLOOKUP(Sales4[[#This Row],[Material Group Descrip]],Master!E:F,2,0)</f>
        <v>FG-PCB-MG</v>
      </c>
      <c r="U134" s="9" t="b">
        <f ca="1">(TODAY()-1)=Sales4[[#This Row],[Billing Date]]</f>
        <v>0</v>
      </c>
      <c r="V134" s="10" t="e">
        <f>Sales4[[#This Row],[Net Value]]-Sales4[[#This Row],[PGI COST]]</f>
        <v>#REF!</v>
      </c>
      <c r="W134" s="11" t="e">
        <f>Sales4[[#This Row],[Gross Margin]]/Sales4[[#This Row],[Net Value]]</f>
        <v>#REF!</v>
      </c>
      <c r="X134" s="1" t="str">
        <f>TEXT(Sales4[[#This Row],[Billing Date]],"mmmm-yy")</f>
        <v>September-25</v>
      </c>
      <c r="Y134" s="1">
        <f>Sales4[[#This Row],[Net Value]]/Sales4[[#This Row],[Billed Quantity]]</f>
        <v>862.24</v>
      </c>
      <c r="Z134" s="117">
        <f>Sales4[[#This Row],[Actual delivery qty]]</f>
        <v>35</v>
      </c>
      <c r="AA134" s="12" t="e">
        <f>SUM(Sales4[[#This Row],[BOM Cost]:[Other Conversion cost pu]])</f>
        <v>#REF!</v>
      </c>
      <c r="AB13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3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34" s="12">
        <f>IFERROR(VLOOKUP(Sales4[[#This Row],[Material]],'COGS Break up'!#REF!,5,0),0)</f>
        <v>0</v>
      </c>
      <c r="AE13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34" s="48" t="e">
        <f>Sales4[[#This Row],[PGI per unit]]-Sales4[[#This Row],[BOM Cost]]-Sales4[[#This Row],[Labour cost per unit]]-Sales4[[#This Row],[Other Conversion cost pu]]</f>
        <v>#REF!</v>
      </c>
      <c r="AG134" s="48" t="e">
        <f>Sales4[[#This Row],[BOM Cost2]]+Sales4[[#This Row],[Labour Cost]]+Sales4[[#This Row],[Other conversion cost]]</f>
        <v>#REF!</v>
      </c>
      <c r="AH134" s="12" t="e">
        <f>Sales4[[#This Row],[Billed Quantity]]*Sales4[[#This Row],[BOM Cost]]</f>
        <v>#REF!</v>
      </c>
      <c r="AI134" s="12" t="e">
        <f>Sales4[[#This Row],[Billed Quantity]]*Sales4[[#This Row],[Labour cost per unit]]</f>
        <v>#REF!</v>
      </c>
      <c r="AJ134" s="12">
        <f>Sales4[[#This Row],[Droppage per unit]]*Sales4[[#This Row],[Billed Quantity]]</f>
        <v>0</v>
      </c>
      <c r="AK134" s="12" t="e">
        <f>Sales4[[#This Row],[Billed Quantity]]*Sales4[[#This Row],[Other Conversion cost pu]]</f>
        <v>#REF!</v>
      </c>
      <c r="AL134" s="48" t="e">
        <f>Sales4[[#This Row],[PGI Amount]]-Sales4[[#This Row],[BOM Cost2]]-Sales4[[#This Row],[Labour Cost]]-Sales4[[#This Row],[Other conversion cost]]</f>
        <v>#REF!</v>
      </c>
      <c r="AM134" s="121" t="e">
        <f>1-Sales4[[#This Row],[PGI COST]]/Sales4[[#This Row],[Net Value]]</f>
        <v>#REF!</v>
      </c>
      <c r="AN134" s="1">
        <f>Sales4[[#This Row],[PGI Amount]]/Sales4[[#This Row],[Billed Quantity]]</f>
        <v>733.11</v>
      </c>
      <c r="AO134" s="72" t="e">
        <f>SUMIFS('COGS Break up'!#REF!,'COGS Break up'!#REF!,Sales4[[#This Row],[Material]],'COGS Break up'!#REF!,'MIS Working'!$AO$1)</f>
        <v>#REF!</v>
      </c>
      <c r="AP134" s="72" t="e">
        <f>SUMIFS('COGS Break up'!#REF!,'COGS Break up'!#REF!,Sales4[[#This Row],[Material]],'COGS Break up'!#REF!,'MIS Working'!$AP$1)</f>
        <v>#REF!</v>
      </c>
      <c r="AQ134" s="72" t="e">
        <f>SUMIFS('COGS Break up'!#REF!,'COGS Break up'!#REF!,Sales4[[#This Row],[Material]],'COGS Break up'!#REF!,'MIS Working'!$AQ$1)</f>
        <v>#REF!</v>
      </c>
      <c r="AR134" s="72">
        <f>Sales4[[#This Row],[Droppage per unit]]</f>
        <v>0</v>
      </c>
      <c r="AS134" s="15" t="e">
        <f>AO134*Sales4[[#This Row],[Billed Quantity]]</f>
        <v>#REF!</v>
      </c>
      <c r="AT134" s="72" t="e">
        <f>AP134*Sales4[[#This Row],[Billed Quantity]]</f>
        <v>#REF!</v>
      </c>
      <c r="AU134" s="72" t="e">
        <f>AQ134*Sales4[[#This Row],[Billed Quantity]]</f>
        <v>#REF!</v>
      </c>
      <c r="AV134" s="72">
        <f>AR134*Sales4[[#This Row],[Billed Quantity]]</f>
        <v>0</v>
      </c>
    </row>
    <row r="135" spans="1:48" x14ac:dyDescent="0.3">
      <c r="A135" s="1" t="s">
        <v>479</v>
      </c>
      <c r="B135" s="2">
        <v>45916</v>
      </c>
      <c r="C135" s="1">
        <v>3271270718</v>
      </c>
      <c r="D135" s="1" t="s">
        <v>362</v>
      </c>
      <c r="E135" s="1" t="s">
        <v>363</v>
      </c>
      <c r="F135" s="1" t="s">
        <v>18</v>
      </c>
      <c r="G135" s="1" t="s">
        <v>19</v>
      </c>
      <c r="H135" s="1" t="s">
        <v>483</v>
      </c>
      <c r="I135" s="3">
        <v>93</v>
      </c>
      <c r="J135" s="4">
        <v>68179.23</v>
      </c>
      <c r="K135" s="3">
        <v>93</v>
      </c>
      <c r="L135" s="3">
        <v>93</v>
      </c>
      <c r="M135" s="2">
        <v>45916</v>
      </c>
      <c r="N135" s="4">
        <v>80188.320000000007</v>
      </c>
      <c r="O135" s="1" t="s">
        <v>21</v>
      </c>
      <c r="P135" s="1" t="s">
        <v>22</v>
      </c>
      <c r="Q135" s="1">
        <v>1</v>
      </c>
      <c r="R135" s="1" t="str">
        <f>VLOOKUP(Sales4[[#This Row],[Material type]],Master!$H$3:$I$8,2,0)</f>
        <v>Finished Goods</v>
      </c>
      <c r="S135" s="1" t="str">
        <f>VLOOKUP(Sales4[[#This Row],[Material Group]],Master!B:C,2,0)</f>
        <v>FG-PCB-MG</v>
      </c>
      <c r="T135" s="1" t="str">
        <f>VLOOKUP(Sales4[[#This Row],[Material Group Descrip]],Master!E:F,2,0)</f>
        <v>FG-PCB-MG</v>
      </c>
      <c r="U135" s="9" t="b">
        <f ca="1">(TODAY()-1)=Sales4[[#This Row],[Billing Date]]</f>
        <v>0</v>
      </c>
      <c r="V135" s="10" t="e">
        <f>Sales4[[#This Row],[Net Value]]-Sales4[[#This Row],[PGI COST]]</f>
        <v>#REF!</v>
      </c>
      <c r="W135" s="11" t="e">
        <f>Sales4[[#This Row],[Gross Margin]]/Sales4[[#This Row],[Net Value]]</f>
        <v>#REF!</v>
      </c>
      <c r="X135" s="1" t="str">
        <f>TEXT(Sales4[[#This Row],[Billing Date]],"mmmm-yy")</f>
        <v>September-25</v>
      </c>
      <c r="Y135" s="1">
        <f>Sales4[[#This Row],[Net Value]]/Sales4[[#This Row],[Billed Quantity]]</f>
        <v>862.24000000000012</v>
      </c>
      <c r="Z135" s="117">
        <f>Sales4[[#This Row],[Actual delivery qty]]</f>
        <v>93</v>
      </c>
      <c r="AA135" s="12" t="e">
        <f>SUM(Sales4[[#This Row],[BOM Cost]:[Other Conversion cost pu]])</f>
        <v>#REF!</v>
      </c>
      <c r="AB13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3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35" s="12">
        <f>IFERROR(VLOOKUP(Sales4[[#This Row],[Material]],'COGS Break up'!#REF!,5,0),0)</f>
        <v>0</v>
      </c>
      <c r="AE13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35" s="48" t="e">
        <f>Sales4[[#This Row],[PGI per unit]]-Sales4[[#This Row],[BOM Cost]]-Sales4[[#This Row],[Labour cost per unit]]-Sales4[[#This Row],[Other Conversion cost pu]]</f>
        <v>#REF!</v>
      </c>
      <c r="AG135" s="48" t="e">
        <f>Sales4[[#This Row],[BOM Cost2]]+Sales4[[#This Row],[Labour Cost]]+Sales4[[#This Row],[Other conversion cost]]</f>
        <v>#REF!</v>
      </c>
      <c r="AH135" s="12" t="e">
        <f>Sales4[[#This Row],[Billed Quantity]]*Sales4[[#This Row],[BOM Cost]]</f>
        <v>#REF!</v>
      </c>
      <c r="AI135" s="12" t="e">
        <f>Sales4[[#This Row],[Billed Quantity]]*Sales4[[#This Row],[Labour cost per unit]]</f>
        <v>#REF!</v>
      </c>
      <c r="AJ135" s="12">
        <f>Sales4[[#This Row],[Droppage per unit]]*Sales4[[#This Row],[Billed Quantity]]</f>
        <v>0</v>
      </c>
      <c r="AK135" s="12" t="e">
        <f>Sales4[[#This Row],[Billed Quantity]]*Sales4[[#This Row],[Other Conversion cost pu]]</f>
        <v>#REF!</v>
      </c>
      <c r="AL135" s="48" t="e">
        <f>Sales4[[#This Row],[PGI Amount]]-Sales4[[#This Row],[BOM Cost2]]-Sales4[[#This Row],[Labour Cost]]-Sales4[[#This Row],[Other conversion cost]]</f>
        <v>#REF!</v>
      </c>
      <c r="AM135" s="121" t="e">
        <f>1-Sales4[[#This Row],[PGI COST]]/Sales4[[#This Row],[Net Value]]</f>
        <v>#REF!</v>
      </c>
      <c r="AN135" s="1">
        <f>Sales4[[#This Row],[PGI Amount]]/Sales4[[#This Row],[Billed Quantity]]</f>
        <v>733.1099999999999</v>
      </c>
      <c r="AO135" s="72" t="e">
        <f>SUMIFS('COGS Break up'!#REF!,'COGS Break up'!#REF!,Sales4[[#This Row],[Material]],'COGS Break up'!#REF!,'MIS Working'!$AO$1)</f>
        <v>#REF!</v>
      </c>
      <c r="AP135" s="72" t="e">
        <f>SUMIFS('COGS Break up'!#REF!,'COGS Break up'!#REF!,Sales4[[#This Row],[Material]],'COGS Break up'!#REF!,'MIS Working'!$AP$1)</f>
        <v>#REF!</v>
      </c>
      <c r="AQ135" s="72" t="e">
        <f>SUMIFS('COGS Break up'!#REF!,'COGS Break up'!#REF!,Sales4[[#This Row],[Material]],'COGS Break up'!#REF!,'MIS Working'!$AQ$1)</f>
        <v>#REF!</v>
      </c>
      <c r="AR135" s="72">
        <f>Sales4[[#This Row],[Droppage per unit]]</f>
        <v>0</v>
      </c>
      <c r="AS135" s="15" t="e">
        <f>AO135*Sales4[[#This Row],[Billed Quantity]]</f>
        <v>#REF!</v>
      </c>
      <c r="AT135" s="72" t="e">
        <f>AP135*Sales4[[#This Row],[Billed Quantity]]</f>
        <v>#REF!</v>
      </c>
      <c r="AU135" s="72" t="e">
        <f>AQ135*Sales4[[#This Row],[Billed Quantity]]</f>
        <v>#REF!</v>
      </c>
      <c r="AV135" s="72">
        <f>AR135*Sales4[[#This Row],[Billed Quantity]]</f>
        <v>0</v>
      </c>
    </row>
    <row r="136" spans="1:48" x14ac:dyDescent="0.3">
      <c r="A136" s="1" t="s">
        <v>479</v>
      </c>
      <c r="B136" s="2">
        <v>45916</v>
      </c>
      <c r="C136" s="1">
        <v>3271270624</v>
      </c>
      <c r="D136" s="1" t="s">
        <v>362</v>
      </c>
      <c r="E136" s="1" t="s">
        <v>363</v>
      </c>
      <c r="F136" s="1" t="s">
        <v>18</v>
      </c>
      <c r="G136" s="1" t="s">
        <v>19</v>
      </c>
      <c r="H136" s="1" t="s">
        <v>483</v>
      </c>
      <c r="I136" s="3">
        <v>210</v>
      </c>
      <c r="J136" s="4">
        <v>153953.1</v>
      </c>
      <c r="K136" s="3">
        <v>210</v>
      </c>
      <c r="L136" s="3">
        <v>210</v>
      </c>
      <c r="M136" s="2">
        <v>45916</v>
      </c>
      <c r="N136" s="4">
        <v>181070.4</v>
      </c>
      <c r="O136" s="1" t="s">
        <v>21</v>
      </c>
      <c r="P136" s="1" t="s">
        <v>22</v>
      </c>
      <c r="Q136" s="1">
        <v>1</v>
      </c>
      <c r="R136" s="1" t="str">
        <f>VLOOKUP(Sales4[[#This Row],[Material type]],Master!$H$3:$I$8,2,0)</f>
        <v>Finished Goods</v>
      </c>
      <c r="S136" s="1" t="str">
        <f>VLOOKUP(Sales4[[#This Row],[Material Group]],Master!B:C,2,0)</f>
        <v>FG-PCB-MG</v>
      </c>
      <c r="T136" s="1" t="str">
        <f>VLOOKUP(Sales4[[#This Row],[Material Group Descrip]],Master!E:F,2,0)</f>
        <v>FG-PCB-MG</v>
      </c>
      <c r="U136" s="9" t="b">
        <f ca="1">(TODAY()-1)=Sales4[[#This Row],[Billing Date]]</f>
        <v>0</v>
      </c>
      <c r="V136" s="10" t="e">
        <f>Sales4[[#This Row],[Net Value]]-Sales4[[#This Row],[PGI COST]]</f>
        <v>#REF!</v>
      </c>
      <c r="W136" s="11" t="e">
        <f>Sales4[[#This Row],[Gross Margin]]/Sales4[[#This Row],[Net Value]]</f>
        <v>#REF!</v>
      </c>
      <c r="X136" s="1" t="str">
        <f>TEXT(Sales4[[#This Row],[Billing Date]],"mmmm-yy")</f>
        <v>September-25</v>
      </c>
      <c r="Y136" s="1">
        <f>Sales4[[#This Row],[Net Value]]/Sales4[[#This Row],[Billed Quantity]]</f>
        <v>862.24</v>
      </c>
      <c r="Z136" s="117">
        <f>Sales4[[#This Row],[Actual delivery qty]]</f>
        <v>210</v>
      </c>
      <c r="AA136" s="12" t="e">
        <f>SUM(Sales4[[#This Row],[BOM Cost]:[Other Conversion cost pu]])</f>
        <v>#REF!</v>
      </c>
      <c r="AB13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3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36" s="12">
        <f>IFERROR(VLOOKUP(Sales4[[#This Row],[Material]],'COGS Break up'!#REF!,5,0),0)</f>
        <v>0</v>
      </c>
      <c r="AE13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36" s="48" t="e">
        <f>Sales4[[#This Row],[PGI per unit]]-Sales4[[#This Row],[BOM Cost]]-Sales4[[#This Row],[Labour cost per unit]]-Sales4[[#This Row],[Other Conversion cost pu]]</f>
        <v>#REF!</v>
      </c>
      <c r="AG136" s="48" t="e">
        <f>Sales4[[#This Row],[BOM Cost2]]+Sales4[[#This Row],[Labour Cost]]+Sales4[[#This Row],[Other conversion cost]]</f>
        <v>#REF!</v>
      </c>
      <c r="AH136" s="12" t="e">
        <f>Sales4[[#This Row],[Billed Quantity]]*Sales4[[#This Row],[BOM Cost]]</f>
        <v>#REF!</v>
      </c>
      <c r="AI136" s="12" t="e">
        <f>Sales4[[#This Row],[Billed Quantity]]*Sales4[[#This Row],[Labour cost per unit]]</f>
        <v>#REF!</v>
      </c>
      <c r="AJ136" s="12">
        <f>Sales4[[#This Row],[Droppage per unit]]*Sales4[[#This Row],[Billed Quantity]]</f>
        <v>0</v>
      </c>
      <c r="AK136" s="12" t="e">
        <f>Sales4[[#This Row],[Billed Quantity]]*Sales4[[#This Row],[Other Conversion cost pu]]</f>
        <v>#REF!</v>
      </c>
      <c r="AL136" s="48" t="e">
        <f>Sales4[[#This Row],[PGI Amount]]-Sales4[[#This Row],[BOM Cost2]]-Sales4[[#This Row],[Labour Cost]]-Sales4[[#This Row],[Other conversion cost]]</f>
        <v>#REF!</v>
      </c>
      <c r="AM136" s="121" t="e">
        <f>1-Sales4[[#This Row],[PGI COST]]/Sales4[[#This Row],[Net Value]]</f>
        <v>#REF!</v>
      </c>
      <c r="AN136" s="1">
        <f>Sales4[[#This Row],[PGI Amount]]/Sales4[[#This Row],[Billed Quantity]]</f>
        <v>733.11</v>
      </c>
      <c r="AO136" s="72" t="e">
        <f>SUMIFS('COGS Break up'!#REF!,'COGS Break up'!#REF!,Sales4[[#This Row],[Material]],'COGS Break up'!#REF!,'MIS Working'!$AO$1)</f>
        <v>#REF!</v>
      </c>
      <c r="AP136" s="72" t="e">
        <f>SUMIFS('COGS Break up'!#REF!,'COGS Break up'!#REF!,Sales4[[#This Row],[Material]],'COGS Break up'!#REF!,'MIS Working'!$AP$1)</f>
        <v>#REF!</v>
      </c>
      <c r="AQ136" s="72" t="e">
        <f>SUMIFS('COGS Break up'!#REF!,'COGS Break up'!#REF!,Sales4[[#This Row],[Material]],'COGS Break up'!#REF!,'MIS Working'!$AQ$1)</f>
        <v>#REF!</v>
      </c>
      <c r="AR136" s="72">
        <f>Sales4[[#This Row],[Droppage per unit]]</f>
        <v>0</v>
      </c>
      <c r="AS136" s="15" t="e">
        <f>AO136*Sales4[[#This Row],[Billed Quantity]]</f>
        <v>#REF!</v>
      </c>
      <c r="AT136" s="72" t="e">
        <f>AP136*Sales4[[#This Row],[Billed Quantity]]</f>
        <v>#REF!</v>
      </c>
      <c r="AU136" s="72" t="e">
        <f>AQ136*Sales4[[#This Row],[Billed Quantity]]</f>
        <v>#REF!</v>
      </c>
      <c r="AV136" s="72">
        <f>AR136*Sales4[[#This Row],[Billed Quantity]]</f>
        <v>0</v>
      </c>
    </row>
    <row r="137" spans="1:48" x14ac:dyDescent="0.3">
      <c r="A137" s="1" t="s">
        <v>479</v>
      </c>
      <c r="B137" s="2">
        <v>45916</v>
      </c>
      <c r="C137" s="1">
        <v>3271270624</v>
      </c>
      <c r="D137" s="1" t="s">
        <v>364</v>
      </c>
      <c r="E137" s="1" t="s">
        <v>365</v>
      </c>
      <c r="F137" s="1" t="s">
        <v>18</v>
      </c>
      <c r="G137" s="1" t="s">
        <v>19</v>
      </c>
      <c r="H137" s="1" t="s">
        <v>771</v>
      </c>
      <c r="I137" s="3">
        <v>245</v>
      </c>
      <c r="J137" s="4">
        <v>26712.35</v>
      </c>
      <c r="K137" s="3">
        <v>245</v>
      </c>
      <c r="L137" s="3">
        <v>245</v>
      </c>
      <c r="M137" s="2">
        <v>45916</v>
      </c>
      <c r="N137" s="4">
        <v>24803.8</v>
      </c>
      <c r="O137" s="1" t="s">
        <v>21</v>
      </c>
      <c r="P137" s="1" t="s">
        <v>22</v>
      </c>
      <c r="Q137" s="1">
        <v>1</v>
      </c>
      <c r="R137" s="1" t="str">
        <f>VLOOKUP(Sales4[[#This Row],[Material type]],Master!$H$3:$I$8,2,0)</f>
        <v>Finished Goods</v>
      </c>
      <c r="S137" s="1" t="str">
        <f>VLOOKUP(Sales4[[#This Row],[Material Group]],Master!B:C,2,0)</f>
        <v>FG-PCB-MG Interface</v>
      </c>
      <c r="T137" s="1" t="str">
        <f>VLOOKUP(Sales4[[#This Row],[Material Group Descrip]],Master!E:F,2,0)</f>
        <v>FG-PCB-MG</v>
      </c>
      <c r="U137" s="9" t="b">
        <f ca="1">(TODAY()-1)=Sales4[[#This Row],[Billing Date]]</f>
        <v>0</v>
      </c>
      <c r="V137" s="10" t="e">
        <f>Sales4[[#This Row],[Net Value]]-Sales4[[#This Row],[PGI COST]]</f>
        <v>#REF!</v>
      </c>
      <c r="W137" s="11" t="e">
        <f>Sales4[[#This Row],[Gross Margin]]/Sales4[[#This Row],[Net Value]]</f>
        <v>#REF!</v>
      </c>
      <c r="X137" s="1" t="str">
        <f>TEXT(Sales4[[#This Row],[Billing Date]],"mmmm-yy")</f>
        <v>September-25</v>
      </c>
      <c r="Y137" s="1">
        <f>Sales4[[#This Row],[Net Value]]/Sales4[[#This Row],[Billed Quantity]]</f>
        <v>101.24</v>
      </c>
      <c r="Z137" s="117"/>
      <c r="AA137" s="12" t="e">
        <f>SUM(Sales4[[#This Row],[BOM Cost]:[Other Conversion cost pu]])</f>
        <v>#REF!</v>
      </c>
      <c r="AB13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3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37" s="12">
        <f>IFERROR(VLOOKUP(Sales4[[#This Row],[Material]],'COGS Break up'!#REF!,5,0),0)</f>
        <v>0</v>
      </c>
      <c r="AE13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37" s="48" t="e">
        <f>Sales4[[#This Row],[PGI per unit]]-Sales4[[#This Row],[BOM Cost]]-Sales4[[#This Row],[Labour cost per unit]]-Sales4[[#This Row],[Other Conversion cost pu]]</f>
        <v>#REF!</v>
      </c>
      <c r="AG137" s="48" t="e">
        <f>Sales4[[#This Row],[BOM Cost2]]+Sales4[[#This Row],[Labour Cost]]+Sales4[[#This Row],[Other conversion cost]]</f>
        <v>#REF!</v>
      </c>
      <c r="AH137" s="12" t="e">
        <f>Sales4[[#This Row],[Billed Quantity]]*Sales4[[#This Row],[BOM Cost]]</f>
        <v>#REF!</v>
      </c>
      <c r="AI137" s="12" t="e">
        <f>Sales4[[#This Row],[Billed Quantity]]*Sales4[[#This Row],[Labour cost per unit]]</f>
        <v>#REF!</v>
      </c>
      <c r="AJ137" s="12">
        <f>Sales4[[#This Row],[Droppage per unit]]*Sales4[[#This Row],[Billed Quantity]]</f>
        <v>0</v>
      </c>
      <c r="AK137" s="12" t="e">
        <f>Sales4[[#This Row],[Billed Quantity]]*Sales4[[#This Row],[Other Conversion cost pu]]</f>
        <v>#REF!</v>
      </c>
      <c r="AL137" s="48" t="e">
        <f>Sales4[[#This Row],[PGI Amount]]-Sales4[[#This Row],[BOM Cost2]]-Sales4[[#This Row],[Labour Cost]]-Sales4[[#This Row],[Other conversion cost]]</f>
        <v>#REF!</v>
      </c>
      <c r="AM137" s="121" t="e">
        <f>1-Sales4[[#This Row],[PGI COST]]/Sales4[[#This Row],[Net Value]]</f>
        <v>#REF!</v>
      </c>
      <c r="AN137" s="1">
        <f>Sales4[[#This Row],[PGI Amount]]/Sales4[[#This Row],[Billed Quantity]]</f>
        <v>109.03</v>
      </c>
      <c r="AO137" s="72" t="e">
        <f>SUMIFS('COGS Break up'!#REF!,'COGS Break up'!#REF!,Sales4[[#This Row],[Material]],'COGS Break up'!#REF!,'MIS Working'!$AO$1)</f>
        <v>#REF!</v>
      </c>
      <c r="AP137" s="72" t="e">
        <f>SUMIFS('COGS Break up'!#REF!,'COGS Break up'!#REF!,Sales4[[#This Row],[Material]],'COGS Break up'!#REF!,'MIS Working'!$AP$1)</f>
        <v>#REF!</v>
      </c>
      <c r="AQ137" s="72" t="e">
        <f>SUMIFS('COGS Break up'!#REF!,'COGS Break up'!#REF!,Sales4[[#This Row],[Material]],'COGS Break up'!#REF!,'MIS Working'!$AQ$1)</f>
        <v>#REF!</v>
      </c>
      <c r="AR137" s="72">
        <f>Sales4[[#This Row],[Droppage per unit]]</f>
        <v>0</v>
      </c>
      <c r="AS137" s="15" t="e">
        <f>AO137*Sales4[[#This Row],[Billed Quantity]]</f>
        <v>#REF!</v>
      </c>
      <c r="AT137" s="72" t="e">
        <f>AP137*Sales4[[#This Row],[Billed Quantity]]</f>
        <v>#REF!</v>
      </c>
      <c r="AU137" s="72" t="e">
        <f>AQ137*Sales4[[#This Row],[Billed Quantity]]</f>
        <v>#REF!</v>
      </c>
      <c r="AV137" s="72">
        <f>AR137*Sales4[[#This Row],[Billed Quantity]]</f>
        <v>0</v>
      </c>
    </row>
    <row r="138" spans="1:48" x14ac:dyDescent="0.3">
      <c r="A138" s="1" t="s">
        <v>479</v>
      </c>
      <c r="B138" s="2">
        <v>45916</v>
      </c>
      <c r="C138" s="1">
        <v>3271270624</v>
      </c>
      <c r="D138" s="1" t="s">
        <v>46</v>
      </c>
      <c r="E138" s="1" t="s">
        <v>47</v>
      </c>
      <c r="F138" s="1" t="s">
        <v>18</v>
      </c>
      <c r="G138" s="1" t="s">
        <v>19</v>
      </c>
      <c r="H138" s="1" t="s">
        <v>27</v>
      </c>
      <c r="I138" s="3">
        <v>1120</v>
      </c>
      <c r="J138" s="4">
        <v>368961.6</v>
      </c>
      <c r="K138" s="3">
        <v>1120</v>
      </c>
      <c r="L138" s="3">
        <v>1120</v>
      </c>
      <c r="M138" s="2">
        <v>45916</v>
      </c>
      <c r="N138" s="4">
        <v>401284.8</v>
      </c>
      <c r="O138" s="1" t="s">
        <v>21</v>
      </c>
      <c r="P138" s="1" t="s">
        <v>22</v>
      </c>
      <c r="Q138" s="1">
        <v>1</v>
      </c>
      <c r="R138" s="1" t="str">
        <f>VLOOKUP(Sales4[[#This Row],[Material type]],Master!$H$3:$I$8,2,0)</f>
        <v>Finished Goods</v>
      </c>
      <c r="S138" s="1" t="str">
        <f>VLOOKUP(Sales4[[#This Row],[Material Group]],Master!B:C,2,0)</f>
        <v>FG-PCB-CF</v>
      </c>
      <c r="T138" s="1" t="str">
        <f>VLOOKUP(Sales4[[#This Row],[Material Group Descrip]],Master!E:F,2,0)</f>
        <v>FG-PCB-CF</v>
      </c>
      <c r="U138" s="9" t="b">
        <f ca="1">(TODAY()-1)=Sales4[[#This Row],[Billing Date]]</f>
        <v>0</v>
      </c>
      <c r="V138" s="10" t="e">
        <f>Sales4[[#This Row],[Net Value]]-Sales4[[#This Row],[PGI COST]]</f>
        <v>#REF!</v>
      </c>
      <c r="W138" s="11" t="e">
        <f>Sales4[[#This Row],[Gross Margin]]/Sales4[[#This Row],[Net Value]]</f>
        <v>#REF!</v>
      </c>
      <c r="X138" s="1" t="str">
        <f>TEXT(Sales4[[#This Row],[Billing Date]],"mmmm-yy")</f>
        <v>September-25</v>
      </c>
      <c r="Y138" s="1">
        <f>Sales4[[#This Row],[Net Value]]/Sales4[[#This Row],[Billed Quantity]]</f>
        <v>358.28999999999996</v>
      </c>
      <c r="Z138" s="117">
        <f>Sales4[[#This Row],[Actual delivery qty]]</f>
        <v>1120</v>
      </c>
      <c r="AA138" s="12" t="e">
        <f>SUM(Sales4[[#This Row],[BOM Cost]:[Other Conversion cost pu]])</f>
        <v>#REF!</v>
      </c>
      <c r="AB13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3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38" s="12">
        <f>IFERROR(VLOOKUP(Sales4[[#This Row],[Material]],'COGS Break up'!#REF!,5,0),0)</f>
        <v>0</v>
      </c>
      <c r="AE13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38" s="48" t="e">
        <f>Sales4[[#This Row],[PGI per unit]]-Sales4[[#This Row],[BOM Cost]]-Sales4[[#This Row],[Labour cost per unit]]-Sales4[[#This Row],[Other Conversion cost pu]]</f>
        <v>#REF!</v>
      </c>
      <c r="AG138" s="48" t="e">
        <f>Sales4[[#This Row],[BOM Cost2]]+Sales4[[#This Row],[Labour Cost]]+Sales4[[#This Row],[Other conversion cost]]</f>
        <v>#REF!</v>
      </c>
      <c r="AH138" s="12" t="e">
        <f>Sales4[[#This Row],[Billed Quantity]]*Sales4[[#This Row],[BOM Cost]]</f>
        <v>#REF!</v>
      </c>
      <c r="AI138" s="12" t="e">
        <f>Sales4[[#This Row],[Billed Quantity]]*Sales4[[#This Row],[Labour cost per unit]]</f>
        <v>#REF!</v>
      </c>
      <c r="AJ138" s="12">
        <f>Sales4[[#This Row],[Droppage per unit]]*Sales4[[#This Row],[Billed Quantity]]</f>
        <v>0</v>
      </c>
      <c r="AK138" s="12" t="e">
        <f>Sales4[[#This Row],[Billed Quantity]]*Sales4[[#This Row],[Other Conversion cost pu]]</f>
        <v>#REF!</v>
      </c>
      <c r="AL138" s="48" t="e">
        <f>Sales4[[#This Row],[PGI Amount]]-Sales4[[#This Row],[BOM Cost2]]-Sales4[[#This Row],[Labour Cost]]-Sales4[[#This Row],[Other conversion cost]]</f>
        <v>#REF!</v>
      </c>
      <c r="AM138" s="121" t="e">
        <f>1-Sales4[[#This Row],[PGI COST]]/Sales4[[#This Row],[Net Value]]</f>
        <v>#REF!</v>
      </c>
      <c r="AN138" s="1">
        <f>Sales4[[#This Row],[PGI Amount]]/Sales4[[#This Row],[Billed Quantity]]</f>
        <v>329.43</v>
      </c>
      <c r="AO138" s="72" t="e">
        <f>SUMIFS('COGS Break up'!#REF!,'COGS Break up'!#REF!,Sales4[[#This Row],[Material]],'COGS Break up'!#REF!,'MIS Working'!$AO$1)</f>
        <v>#REF!</v>
      </c>
      <c r="AP138" s="72" t="e">
        <f>SUMIFS('COGS Break up'!#REF!,'COGS Break up'!#REF!,Sales4[[#This Row],[Material]],'COGS Break up'!#REF!,'MIS Working'!$AP$1)</f>
        <v>#REF!</v>
      </c>
      <c r="AQ138" s="72" t="e">
        <f>SUMIFS('COGS Break up'!#REF!,'COGS Break up'!#REF!,Sales4[[#This Row],[Material]],'COGS Break up'!#REF!,'MIS Working'!$AQ$1)</f>
        <v>#REF!</v>
      </c>
      <c r="AR138" s="72">
        <f>Sales4[[#This Row],[Droppage per unit]]</f>
        <v>0</v>
      </c>
      <c r="AS138" s="15" t="e">
        <f>AO138*Sales4[[#This Row],[Billed Quantity]]</f>
        <v>#REF!</v>
      </c>
      <c r="AT138" s="72" t="e">
        <f>AP138*Sales4[[#This Row],[Billed Quantity]]</f>
        <v>#REF!</v>
      </c>
      <c r="AU138" s="72" t="e">
        <f>AQ138*Sales4[[#This Row],[Billed Quantity]]</f>
        <v>#REF!</v>
      </c>
      <c r="AV138" s="72">
        <f>AR138*Sales4[[#This Row],[Billed Quantity]]</f>
        <v>0</v>
      </c>
    </row>
    <row r="139" spans="1:48" x14ac:dyDescent="0.3">
      <c r="A139" s="1" t="s">
        <v>479</v>
      </c>
      <c r="B139" s="2">
        <v>45916</v>
      </c>
      <c r="C139" s="1">
        <v>3271270672</v>
      </c>
      <c r="D139" s="1" t="s">
        <v>46</v>
      </c>
      <c r="E139" s="1" t="s">
        <v>47</v>
      </c>
      <c r="F139" s="1" t="s">
        <v>18</v>
      </c>
      <c r="G139" s="1" t="s">
        <v>19</v>
      </c>
      <c r="H139" s="1" t="s">
        <v>27</v>
      </c>
      <c r="I139" s="3">
        <v>2240</v>
      </c>
      <c r="J139" s="4">
        <v>737923.2</v>
      </c>
      <c r="K139" s="3">
        <v>2240</v>
      </c>
      <c r="L139" s="3">
        <v>2240</v>
      </c>
      <c r="M139" s="2">
        <v>45916</v>
      </c>
      <c r="N139" s="4">
        <v>802569.6</v>
      </c>
      <c r="O139" s="1" t="s">
        <v>21</v>
      </c>
      <c r="P139" s="1" t="s">
        <v>22</v>
      </c>
      <c r="Q139" s="1">
        <v>1</v>
      </c>
      <c r="R139" s="1" t="str">
        <f>VLOOKUP(Sales4[[#This Row],[Material type]],Master!$H$3:$I$8,2,0)</f>
        <v>Finished Goods</v>
      </c>
      <c r="S139" s="1" t="str">
        <f>VLOOKUP(Sales4[[#This Row],[Material Group]],Master!B:C,2,0)</f>
        <v>FG-PCB-CF</v>
      </c>
      <c r="T139" s="1" t="str">
        <f>VLOOKUP(Sales4[[#This Row],[Material Group Descrip]],Master!E:F,2,0)</f>
        <v>FG-PCB-CF</v>
      </c>
      <c r="U139" s="9" t="b">
        <f ca="1">(TODAY()-1)=Sales4[[#This Row],[Billing Date]]</f>
        <v>0</v>
      </c>
      <c r="V139" s="10" t="e">
        <f>Sales4[[#This Row],[Net Value]]-Sales4[[#This Row],[PGI COST]]</f>
        <v>#REF!</v>
      </c>
      <c r="W139" s="11" t="e">
        <f>Sales4[[#This Row],[Gross Margin]]/Sales4[[#This Row],[Net Value]]</f>
        <v>#REF!</v>
      </c>
      <c r="X139" s="1" t="str">
        <f>TEXT(Sales4[[#This Row],[Billing Date]],"mmmm-yy")</f>
        <v>September-25</v>
      </c>
      <c r="Y139" s="1">
        <f>Sales4[[#This Row],[Net Value]]/Sales4[[#This Row],[Billed Quantity]]</f>
        <v>358.28999999999996</v>
      </c>
      <c r="Z139" s="117">
        <f>Sales4[[#This Row],[Actual delivery qty]]</f>
        <v>2240</v>
      </c>
      <c r="AA139" s="12" t="e">
        <f>SUM(Sales4[[#This Row],[BOM Cost]:[Other Conversion cost pu]])</f>
        <v>#REF!</v>
      </c>
      <c r="AB13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3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39" s="12">
        <f>IFERROR(VLOOKUP(Sales4[[#This Row],[Material]],'COGS Break up'!#REF!,5,0),0)</f>
        <v>0</v>
      </c>
      <c r="AE13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39" s="48" t="e">
        <f>Sales4[[#This Row],[PGI per unit]]-Sales4[[#This Row],[BOM Cost]]-Sales4[[#This Row],[Labour cost per unit]]-Sales4[[#This Row],[Other Conversion cost pu]]</f>
        <v>#REF!</v>
      </c>
      <c r="AG139" s="48" t="e">
        <f>Sales4[[#This Row],[BOM Cost2]]+Sales4[[#This Row],[Labour Cost]]+Sales4[[#This Row],[Other conversion cost]]</f>
        <v>#REF!</v>
      </c>
      <c r="AH139" s="12" t="e">
        <f>Sales4[[#This Row],[Billed Quantity]]*Sales4[[#This Row],[BOM Cost]]</f>
        <v>#REF!</v>
      </c>
      <c r="AI139" s="12" t="e">
        <f>Sales4[[#This Row],[Billed Quantity]]*Sales4[[#This Row],[Labour cost per unit]]</f>
        <v>#REF!</v>
      </c>
      <c r="AJ139" s="12">
        <f>Sales4[[#This Row],[Droppage per unit]]*Sales4[[#This Row],[Billed Quantity]]</f>
        <v>0</v>
      </c>
      <c r="AK139" s="12" t="e">
        <f>Sales4[[#This Row],[Billed Quantity]]*Sales4[[#This Row],[Other Conversion cost pu]]</f>
        <v>#REF!</v>
      </c>
      <c r="AL139" s="48" t="e">
        <f>Sales4[[#This Row],[PGI Amount]]-Sales4[[#This Row],[BOM Cost2]]-Sales4[[#This Row],[Labour Cost]]-Sales4[[#This Row],[Other conversion cost]]</f>
        <v>#REF!</v>
      </c>
      <c r="AM139" s="121" t="e">
        <f>1-Sales4[[#This Row],[PGI COST]]/Sales4[[#This Row],[Net Value]]</f>
        <v>#REF!</v>
      </c>
      <c r="AN139" s="1">
        <f>Sales4[[#This Row],[PGI Amount]]/Sales4[[#This Row],[Billed Quantity]]</f>
        <v>329.43</v>
      </c>
      <c r="AO139" s="72" t="e">
        <f>SUMIFS('COGS Break up'!#REF!,'COGS Break up'!#REF!,Sales4[[#This Row],[Material]],'COGS Break up'!#REF!,'MIS Working'!$AO$1)</f>
        <v>#REF!</v>
      </c>
      <c r="AP139" s="72" t="e">
        <f>SUMIFS('COGS Break up'!#REF!,'COGS Break up'!#REF!,Sales4[[#This Row],[Material]],'COGS Break up'!#REF!,'MIS Working'!$AP$1)</f>
        <v>#REF!</v>
      </c>
      <c r="AQ139" s="72" t="e">
        <f>SUMIFS('COGS Break up'!#REF!,'COGS Break up'!#REF!,Sales4[[#This Row],[Material]],'COGS Break up'!#REF!,'MIS Working'!$AQ$1)</f>
        <v>#REF!</v>
      </c>
      <c r="AR139" s="72">
        <f>Sales4[[#This Row],[Droppage per unit]]</f>
        <v>0</v>
      </c>
      <c r="AS139" s="15" t="e">
        <f>AO139*Sales4[[#This Row],[Billed Quantity]]</f>
        <v>#REF!</v>
      </c>
      <c r="AT139" s="72" t="e">
        <f>AP139*Sales4[[#This Row],[Billed Quantity]]</f>
        <v>#REF!</v>
      </c>
      <c r="AU139" s="72" t="e">
        <f>AQ139*Sales4[[#This Row],[Billed Quantity]]</f>
        <v>#REF!</v>
      </c>
      <c r="AV139" s="72">
        <f>AR139*Sales4[[#This Row],[Billed Quantity]]</f>
        <v>0</v>
      </c>
    </row>
    <row r="140" spans="1:48" x14ac:dyDescent="0.3">
      <c r="A140" s="1" t="s">
        <v>479</v>
      </c>
      <c r="B140" s="2">
        <v>45916</v>
      </c>
      <c r="C140" s="1">
        <v>3271270910</v>
      </c>
      <c r="D140" s="1" t="s">
        <v>46</v>
      </c>
      <c r="E140" s="1" t="s">
        <v>47</v>
      </c>
      <c r="F140" s="1" t="s">
        <v>18</v>
      </c>
      <c r="G140" s="1" t="s">
        <v>19</v>
      </c>
      <c r="H140" s="1" t="s">
        <v>27</v>
      </c>
      <c r="I140" s="3">
        <v>490</v>
      </c>
      <c r="J140" s="4">
        <v>161420.70000000001</v>
      </c>
      <c r="K140" s="3">
        <v>490</v>
      </c>
      <c r="L140" s="3">
        <v>490</v>
      </c>
      <c r="M140" s="2">
        <v>45916</v>
      </c>
      <c r="N140" s="4">
        <v>175562.1</v>
      </c>
      <c r="O140" s="1" t="s">
        <v>21</v>
      </c>
      <c r="P140" s="1" t="s">
        <v>22</v>
      </c>
      <c r="Q140" s="1">
        <v>1</v>
      </c>
      <c r="R140" s="1" t="str">
        <f>VLOOKUP(Sales4[[#This Row],[Material type]],Master!$H$3:$I$8,2,0)</f>
        <v>Finished Goods</v>
      </c>
      <c r="S140" s="1" t="str">
        <f>VLOOKUP(Sales4[[#This Row],[Material Group]],Master!B:C,2,0)</f>
        <v>FG-PCB-CF</v>
      </c>
      <c r="T140" s="1" t="str">
        <f>VLOOKUP(Sales4[[#This Row],[Material Group Descrip]],Master!E:F,2,0)</f>
        <v>FG-PCB-CF</v>
      </c>
      <c r="U140" s="9" t="b">
        <f ca="1">(TODAY()-1)=Sales4[[#This Row],[Billing Date]]</f>
        <v>0</v>
      </c>
      <c r="V140" s="10" t="e">
        <f>Sales4[[#This Row],[Net Value]]-Sales4[[#This Row],[PGI COST]]</f>
        <v>#REF!</v>
      </c>
      <c r="W140" s="11" t="e">
        <f>Sales4[[#This Row],[Gross Margin]]/Sales4[[#This Row],[Net Value]]</f>
        <v>#REF!</v>
      </c>
      <c r="X140" s="1" t="str">
        <f>TEXT(Sales4[[#This Row],[Billing Date]],"mmmm-yy")</f>
        <v>September-25</v>
      </c>
      <c r="Y140" s="1">
        <f>Sales4[[#This Row],[Net Value]]/Sales4[[#This Row],[Billed Quantity]]</f>
        <v>358.29</v>
      </c>
      <c r="Z140" s="117">
        <f>Sales4[[#This Row],[Actual delivery qty]]</f>
        <v>490</v>
      </c>
      <c r="AA140" s="12" t="e">
        <f>SUM(Sales4[[#This Row],[BOM Cost]:[Other Conversion cost pu]])</f>
        <v>#REF!</v>
      </c>
      <c r="AB14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4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40" s="12">
        <f>IFERROR(VLOOKUP(Sales4[[#This Row],[Material]],'COGS Break up'!#REF!,5,0),0)</f>
        <v>0</v>
      </c>
      <c r="AE14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40" s="48" t="e">
        <f>Sales4[[#This Row],[PGI per unit]]-Sales4[[#This Row],[BOM Cost]]-Sales4[[#This Row],[Labour cost per unit]]-Sales4[[#This Row],[Other Conversion cost pu]]</f>
        <v>#REF!</v>
      </c>
      <c r="AG140" s="48" t="e">
        <f>Sales4[[#This Row],[BOM Cost2]]+Sales4[[#This Row],[Labour Cost]]+Sales4[[#This Row],[Other conversion cost]]</f>
        <v>#REF!</v>
      </c>
      <c r="AH140" s="12" t="e">
        <f>Sales4[[#This Row],[Billed Quantity]]*Sales4[[#This Row],[BOM Cost]]</f>
        <v>#REF!</v>
      </c>
      <c r="AI140" s="12" t="e">
        <f>Sales4[[#This Row],[Billed Quantity]]*Sales4[[#This Row],[Labour cost per unit]]</f>
        <v>#REF!</v>
      </c>
      <c r="AJ140" s="12">
        <f>Sales4[[#This Row],[Droppage per unit]]*Sales4[[#This Row],[Billed Quantity]]</f>
        <v>0</v>
      </c>
      <c r="AK140" s="12" t="e">
        <f>Sales4[[#This Row],[Billed Quantity]]*Sales4[[#This Row],[Other Conversion cost pu]]</f>
        <v>#REF!</v>
      </c>
      <c r="AL140" s="48" t="e">
        <f>Sales4[[#This Row],[PGI Amount]]-Sales4[[#This Row],[BOM Cost2]]-Sales4[[#This Row],[Labour Cost]]-Sales4[[#This Row],[Other conversion cost]]</f>
        <v>#REF!</v>
      </c>
      <c r="AM140" s="121" t="e">
        <f>1-Sales4[[#This Row],[PGI COST]]/Sales4[[#This Row],[Net Value]]</f>
        <v>#REF!</v>
      </c>
      <c r="AN140" s="1">
        <f>Sales4[[#This Row],[PGI Amount]]/Sales4[[#This Row],[Billed Quantity]]</f>
        <v>329.43</v>
      </c>
      <c r="AO140" s="72" t="e">
        <f>SUMIFS('COGS Break up'!#REF!,'COGS Break up'!#REF!,Sales4[[#This Row],[Material]],'COGS Break up'!#REF!,'MIS Working'!$AO$1)</f>
        <v>#REF!</v>
      </c>
      <c r="AP140" s="72" t="e">
        <f>SUMIFS('COGS Break up'!#REF!,'COGS Break up'!#REF!,Sales4[[#This Row],[Material]],'COGS Break up'!#REF!,'MIS Working'!$AP$1)</f>
        <v>#REF!</v>
      </c>
      <c r="AQ140" s="72" t="e">
        <f>SUMIFS('COGS Break up'!#REF!,'COGS Break up'!#REF!,Sales4[[#This Row],[Material]],'COGS Break up'!#REF!,'MIS Working'!$AQ$1)</f>
        <v>#REF!</v>
      </c>
      <c r="AR140" s="72">
        <f>Sales4[[#This Row],[Droppage per unit]]</f>
        <v>0</v>
      </c>
      <c r="AS140" s="15" t="e">
        <f>AO140*Sales4[[#This Row],[Billed Quantity]]</f>
        <v>#REF!</v>
      </c>
      <c r="AT140" s="72" t="e">
        <f>AP140*Sales4[[#This Row],[Billed Quantity]]</f>
        <v>#REF!</v>
      </c>
      <c r="AU140" s="72" t="e">
        <f>AQ140*Sales4[[#This Row],[Billed Quantity]]</f>
        <v>#REF!</v>
      </c>
      <c r="AV140" s="72">
        <f>AR140*Sales4[[#This Row],[Billed Quantity]]</f>
        <v>0</v>
      </c>
    </row>
    <row r="141" spans="1:48" x14ac:dyDescent="0.3">
      <c r="A141" s="1" t="s">
        <v>479</v>
      </c>
      <c r="B141" s="2">
        <v>45916</v>
      </c>
      <c r="C141" s="1">
        <v>3271270624</v>
      </c>
      <c r="D141" s="1" t="s">
        <v>637</v>
      </c>
      <c r="E141" s="1" t="s">
        <v>638</v>
      </c>
      <c r="F141" s="1" t="s">
        <v>18</v>
      </c>
      <c r="G141" s="1" t="s">
        <v>19</v>
      </c>
      <c r="H141" s="1" t="s">
        <v>27</v>
      </c>
      <c r="I141" s="3">
        <v>173</v>
      </c>
      <c r="J141" s="4">
        <v>55363.46</v>
      </c>
      <c r="K141" s="3">
        <v>173</v>
      </c>
      <c r="L141" s="3">
        <v>173</v>
      </c>
      <c r="M141" s="2">
        <v>45916</v>
      </c>
      <c r="N141" s="4">
        <v>63297.24</v>
      </c>
      <c r="O141" s="1" t="s">
        <v>21</v>
      </c>
      <c r="P141" s="1" t="s">
        <v>22</v>
      </c>
      <c r="Q141" s="1">
        <v>1</v>
      </c>
      <c r="R141" s="1" t="str">
        <f>VLOOKUP(Sales4[[#This Row],[Material type]],Master!$H$3:$I$8,2,0)</f>
        <v>Finished Goods</v>
      </c>
      <c r="S141" s="1" t="str">
        <f>VLOOKUP(Sales4[[#This Row],[Material Group]],Master!B:C,2,0)</f>
        <v>FG-PCB-CF</v>
      </c>
      <c r="T141" s="1" t="str">
        <f>VLOOKUP(Sales4[[#This Row],[Material Group Descrip]],Master!E:F,2,0)</f>
        <v>FG-PCB-CF</v>
      </c>
      <c r="U141" s="9" t="b">
        <f ca="1">(TODAY()-1)=Sales4[[#This Row],[Billing Date]]</f>
        <v>0</v>
      </c>
      <c r="V141" s="10" t="e">
        <f>Sales4[[#This Row],[Net Value]]-Sales4[[#This Row],[PGI COST]]</f>
        <v>#REF!</v>
      </c>
      <c r="W141" s="11" t="e">
        <f>Sales4[[#This Row],[Gross Margin]]/Sales4[[#This Row],[Net Value]]</f>
        <v>#REF!</v>
      </c>
      <c r="X141" s="1" t="str">
        <f>TEXT(Sales4[[#This Row],[Billing Date]],"mmmm-yy")</f>
        <v>September-25</v>
      </c>
      <c r="Y141" s="1">
        <f>Sales4[[#This Row],[Net Value]]/Sales4[[#This Row],[Billed Quantity]]</f>
        <v>365.88</v>
      </c>
      <c r="Z141" s="117">
        <f>Sales4[[#This Row],[Actual delivery qty]]</f>
        <v>173</v>
      </c>
      <c r="AA141" s="12" t="e">
        <f>SUM(Sales4[[#This Row],[BOM Cost]:[Other Conversion cost pu]])</f>
        <v>#REF!</v>
      </c>
      <c r="AB14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4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41" s="12">
        <f>IFERROR(VLOOKUP(Sales4[[#This Row],[Material]],'COGS Break up'!#REF!,5,0),0)</f>
        <v>0</v>
      </c>
      <c r="AE14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41" s="48" t="e">
        <f>Sales4[[#This Row],[PGI per unit]]-Sales4[[#This Row],[BOM Cost]]-Sales4[[#This Row],[Labour cost per unit]]-Sales4[[#This Row],[Other Conversion cost pu]]</f>
        <v>#REF!</v>
      </c>
      <c r="AG141" s="48" t="e">
        <f>Sales4[[#This Row],[BOM Cost2]]+Sales4[[#This Row],[Labour Cost]]+Sales4[[#This Row],[Other conversion cost]]</f>
        <v>#REF!</v>
      </c>
      <c r="AH141" s="12" t="e">
        <f>Sales4[[#This Row],[Billed Quantity]]*Sales4[[#This Row],[BOM Cost]]</f>
        <v>#REF!</v>
      </c>
      <c r="AI141" s="12" t="e">
        <f>Sales4[[#This Row],[Billed Quantity]]*Sales4[[#This Row],[Labour cost per unit]]</f>
        <v>#REF!</v>
      </c>
      <c r="AJ141" s="12">
        <f>Sales4[[#This Row],[Droppage per unit]]*Sales4[[#This Row],[Billed Quantity]]</f>
        <v>0</v>
      </c>
      <c r="AK141" s="12" t="e">
        <f>Sales4[[#This Row],[Billed Quantity]]*Sales4[[#This Row],[Other Conversion cost pu]]</f>
        <v>#REF!</v>
      </c>
      <c r="AL141" s="48" t="e">
        <f>Sales4[[#This Row],[PGI Amount]]-Sales4[[#This Row],[BOM Cost2]]-Sales4[[#This Row],[Labour Cost]]-Sales4[[#This Row],[Other conversion cost]]</f>
        <v>#REF!</v>
      </c>
      <c r="AM141" s="121" t="e">
        <f>1-Sales4[[#This Row],[PGI COST]]/Sales4[[#This Row],[Net Value]]</f>
        <v>#REF!</v>
      </c>
      <c r="AN141" s="1">
        <f>Sales4[[#This Row],[PGI Amount]]/Sales4[[#This Row],[Billed Quantity]]</f>
        <v>320.02</v>
      </c>
      <c r="AO141" s="72" t="e">
        <f>SUMIFS('COGS Break up'!#REF!,'COGS Break up'!#REF!,Sales4[[#This Row],[Material]],'COGS Break up'!#REF!,'MIS Working'!$AO$1)</f>
        <v>#REF!</v>
      </c>
      <c r="AP141" s="72" t="e">
        <f>SUMIFS('COGS Break up'!#REF!,'COGS Break up'!#REF!,Sales4[[#This Row],[Material]],'COGS Break up'!#REF!,'MIS Working'!$AP$1)</f>
        <v>#REF!</v>
      </c>
      <c r="AQ141" s="72" t="e">
        <f>SUMIFS('COGS Break up'!#REF!,'COGS Break up'!#REF!,Sales4[[#This Row],[Material]],'COGS Break up'!#REF!,'MIS Working'!$AQ$1)</f>
        <v>#REF!</v>
      </c>
      <c r="AR141" s="72">
        <f>Sales4[[#This Row],[Droppage per unit]]</f>
        <v>0</v>
      </c>
      <c r="AS141" s="15" t="e">
        <f>AO141*Sales4[[#This Row],[Billed Quantity]]</f>
        <v>#REF!</v>
      </c>
      <c r="AT141" s="72" t="e">
        <f>AP141*Sales4[[#This Row],[Billed Quantity]]</f>
        <v>#REF!</v>
      </c>
      <c r="AU141" s="72" t="e">
        <f>AQ141*Sales4[[#This Row],[Billed Quantity]]</f>
        <v>#REF!</v>
      </c>
      <c r="AV141" s="72">
        <f>AR141*Sales4[[#This Row],[Billed Quantity]]</f>
        <v>0</v>
      </c>
    </row>
    <row r="142" spans="1:48" x14ac:dyDescent="0.3">
      <c r="A142" s="1" t="s">
        <v>479</v>
      </c>
      <c r="B142" s="2">
        <v>45916</v>
      </c>
      <c r="C142" s="1">
        <v>3271270732</v>
      </c>
      <c r="D142" s="1" t="s">
        <v>637</v>
      </c>
      <c r="E142" s="1" t="s">
        <v>638</v>
      </c>
      <c r="F142" s="1" t="s">
        <v>18</v>
      </c>
      <c r="G142" s="1" t="s">
        <v>19</v>
      </c>
      <c r="H142" s="1" t="s">
        <v>27</v>
      </c>
      <c r="I142" s="3">
        <v>280</v>
      </c>
      <c r="J142" s="4">
        <v>89605.6</v>
      </c>
      <c r="K142" s="3">
        <v>280</v>
      </c>
      <c r="L142" s="3">
        <v>280</v>
      </c>
      <c r="M142" s="2">
        <v>45916</v>
      </c>
      <c r="N142" s="4">
        <v>102446.39999999999</v>
      </c>
      <c r="O142" s="1" t="s">
        <v>21</v>
      </c>
      <c r="P142" s="1" t="s">
        <v>22</v>
      </c>
      <c r="Q142" s="1">
        <v>1</v>
      </c>
      <c r="R142" s="1" t="str">
        <f>VLOOKUP(Sales4[[#This Row],[Material type]],Master!$H$3:$I$8,2,0)</f>
        <v>Finished Goods</v>
      </c>
      <c r="S142" s="1" t="str">
        <f>VLOOKUP(Sales4[[#This Row],[Material Group]],Master!B:C,2,0)</f>
        <v>FG-PCB-CF</v>
      </c>
      <c r="T142" s="1" t="str">
        <f>VLOOKUP(Sales4[[#This Row],[Material Group Descrip]],Master!E:F,2,0)</f>
        <v>FG-PCB-CF</v>
      </c>
      <c r="U142" s="9" t="b">
        <f ca="1">(TODAY()-1)=Sales4[[#This Row],[Billing Date]]</f>
        <v>0</v>
      </c>
      <c r="V142" s="10" t="e">
        <f>Sales4[[#This Row],[Net Value]]-Sales4[[#This Row],[PGI COST]]</f>
        <v>#REF!</v>
      </c>
      <c r="W142" s="11" t="e">
        <f>Sales4[[#This Row],[Gross Margin]]/Sales4[[#This Row],[Net Value]]</f>
        <v>#REF!</v>
      </c>
      <c r="X142" s="1" t="str">
        <f>TEXT(Sales4[[#This Row],[Billing Date]],"mmmm-yy")</f>
        <v>September-25</v>
      </c>
      <c r="Y142" s="1">
        <f>Sales4[[#This Row],[Net Value]]/Sales4[[#This Row],[Billed Quantity]]</f>
        <v>365.88</v>
      </c>
      <c r="Z142" s="117">
        <f>Sales4[[#This Row],[Actual delivery qty]]</f>
        <v>280</v>
      </c>
      <c r="AA142" s="12" t="e">
        <f>SUM(Sales4[[#This Row],[BOM Cost]:[Other Conversion cost pu]])</f>
        <v>#REF!</v>
      </c>
      <c r="AB14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4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42" s="12">
        <f>IFERROR(VLOOKUP(Sales4[[#This Row],[Material]],'COGS Break up'!#REF!,5,0),0)</f>
        <v>0</v>
      </c>
      <c r="AE14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42" s="48" t="e">
        <f>Sales4[[#This Row],[PGI per unit]]-Sales4[[#This Row],[BOM Cost]]-Sales4[[#This Row],[Labour cost per unit]]-Sales4[[#This Row],[Other Conversion cost pu]]</f>
        <v>#REF!</v>
      </c>
      <c r="AG142" s="48" t="e">
        <f>Sales4[[#This Row],[BOM Cost2]]+Sales4[[#This Row],[Labour Cost]]+Sales4[[#This Row],[Other conversion cost]]</f>
        <v>#REF!</v>
      </c>
      <c r="AH142" s="12" t="e">
        <f>Sales4[[#This Row],[Billed Quantity]]*Sales4[[#This Row],[BOM Cost]]</f>
        <v>#REF!</v>
      </c>
      <c r="AI142" s="12" t="e">
        <f>Sales4[[#This Row],[Billed Quantity]]*Sales4[[#This Row],[Labour cost per unit]]</f>
        <v>#REF!</v>
      </c>
      <c r="AJ142" s="12">
        <f>Sales4[[#This Row],[Droppage per unit]]*Sales4[[#This Row],[Billed Quantity]]</f>
        <v>0</v>
      </c>
      <c r="AK142" s="12" t="e">
        <f>Sales4[[#This Row],[Billed Quantity]]*Sales4[[#This Row],[Other Conversion cost pu]]</f>
        <v>#REF!</v>
      </c>
      <c r="AL142" s="48" t="e">
        <f>Sales4[[#This Row],[PGI Amount]]-Sales4[[#This Row],[BOM Cost2]]-Sales4[[#This Row],[Labour Cost]]-Sales4[[#This Row],[Other conversion cost]]</f>
        <v>#REF!</v>
      </c>
      <c r="AM142" s="121" t="e">
        <f>1-Sales4[[#This Row],[PGI COST]]/Sales4[[#This Row],[Net Value]]</f>
        <v>#REF!</v>
      </c>
      <c r="AN142" s="1">
        <f>Sales4[[#This Row],[PGI Amount]]/Sales4[[#This Row],[Billed Quantity]]</f>
        <v>320.02000000000004</v>
      </c>
      <c r="AO142" s="72" t="e">
        <f>SUMIFS('COGS Break up'!#REF!,'COGS Break up'!#REF!,Sales4[[#This Row],[Material]],'COGS Break up'!#REF!,'MIS Working'!$AO$1)</f>
        <v>#REF!</v>
      </c>
      <c r="AP142" s="72" t="e">
        <f>SUMIFS('COGS Break up'!#REF!,'COGS Break up'!#REF!,Sales4[[#This Row],[Material]],'COGS Break up'!#REF!,'MIS Working'!$AP$1)</f>
        <v>#REF!</v>
      </c>
      <c r="AQ142" s="72" t="e">
        <f>SUMIFS('COGS Break up'!#REF!,'COGS Break up'!#REF!,Sales4[[#This Row],[Material]],'COGS Break up'!#REF!,'MIS Working'!$AQ$1)</f>
        <v>#REF!</v>
      </c>
      <c r="AR142" s="72">
        <f>Sales4[[#This Row],[Droppage per unit]]</f>
        <v>0</v>
      </c>
      <c r="AS142" s="15" t="e">
        <f>AO142*Sales4[[#This Row],[Billed Quantity]]</f>
        <v>#REF!</v>
      </c>
      <c r="AT142" s="72" t="e">
        <f>AP142*Sales4[[#This Row],[Billed Quantity]]</f>
        <v>#REF!</v>
      </c>
      <c r="AU142" s="72" t="e">
        <f>AQ142*Sales4[[#This Row],[Billed Quantity]]</f>
        <v>#REF!</v>
      </c>
      <c r="AV142" s="72">
        <f>AR142*Sales4[[#This Row],[Billed Quantity]]</f>
        <v>0</v>
      </c>
    </row>
    <row r="143" spans="1:48" x14ac:dyDescent="0.3">
      <c r="A143" s="1" t="s">
        <v>479</v>
      </c>
      <c r="B143" s="2">
        <v>45916</v>
      </c>
      <c r="C143" s="1">
        <v>3271270624</v>
      </c>
      <c r="D143" s="1" t="s">
        <v>641</v>
      </c>
      <c r="E143" s="1" t="s">
        <v>642</v>
      </c>
      <c r="F143" s="1" t="s">
        <v>18</v>
      </c>
      <c r="G143" s="1" t="s">
        <v>19</v>
      </c>
      <c r="H143" s="1" t="s">
        <v>27</v>
      </c>
      <c r="I143" s="3">
        <v>210</v>
      </c>
      <c r="J143" s="4">
        <v>96033</v>
      </c>
      <c r="K143" s="3">
        <v>210</v>
      </c>
      <c r="L143" s="3">
        <v>210</v>
      </c>
      <c r="M143" s="2">
        <v>45916</v>
      </c>
      <c r="N143" s="4">
        <v>103950</v>
      </c>
      <c r="O143" s="1" t="s">
        <v>21</v>
      </c>
      <c r="P143" s="1" t="s">
        <v>22</v>
      </c>
      <c r="Q143" s="1">
        <v>1</v>
      </c>
      <c r="R143" s="1" t="str">
        <f>VLOOKUP(Sales4[[#This Row],[Material type]],Master!$H$3:$I$8,2,0)</f>
        <v>Finished Goods</v>
      </c>
      <c r="S143" s="1" t="str">
        <f>VLOOKUP(Sales4[[#This Row],[Material Group]],Master!B:C,2,0)</f>
        <v>FG-PCB-CF</v>
      </c>
      <c r="T143" s="1" t="str">
        <f>VLOOKUP(Sales4[[#This Row],[Material Group Descrip]],Master!E:F,2,0)</f>
        <v>FG-PCB-CF</v>
      </c>
      <c r="U143" s="9" t="b">
        <f ca="1">(TODAY()-1)=Sales4[[#This Row],[Billing Date]]</f>
        <v>0</v>
      </c>
      <c r="V143" s="10" t="e">
        <f>Sales4[[#This Row],[Net Value]]-Sales4[[#This Row],[PGI COST]]</f>
        <v>#REF!</v>
      </c>
      <c r="W143" s="11" t="e">
        <f>Sales4[[#This Row],[Gross Margin]]/Sales4[[#This Row],[Net Value]]</f>
        <v>#REF!</v>
      </c>
      <c r="X143" s="1" t="str">
        <f>TEXT(Sales4[[#This Row],[Billing Date]],"mmmm-yy")</f>
        <v>September-25</v>
      </c>
      <c r="Y143" s="1">
        <f>Sales4[[#This Row],[Net Value]]/Sales4[[#This Row],[Billed Quantity]]</f>
        <v>495</v>
      </c>
      <c r="Z143" s="117">
        <f>Sales4[[#This Row],[Actual delivery qty]]</f>
        <v>210</v>
      </c>
      <c r="AA143" s="12" t="e">
        <f>SUM(Sales4[[#This Row],[BOM Cost]:[Other Conversion cost pu]])</f>
        <v>#REF!</v>
      </c>
      <c r="AB14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4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43" s="12">
        <f>IFERROR(VLOOKUP(Sales4[[#This Row],[Material]],'COGS Break up'!#REF!,5,0),0)</f>
        <v>0</v>
      </c>
      <c r="AE14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43" s="48" t="e">
        <f>Sales4[[#This Row],[PGI per unit]]-Sales4[[#This Row],[BOM Cost]]-Sales4[[#This Row],[Labour cost per unit]]-Sales4[[#This Row],[Other Conversion cost pu]]</f>
        <v>#REF!</v>
      </c>
      <c r="AG143" s="48" t="e">
        <f>Sales4[[#This Row],[BOM Cost2]]+Sales4[[#This Row],[Labour Cost]]+Sales4[[#This Row],[Other conversion cost]]</f>
        <v>#REF!</v>
      </c>
      <c r="AH143" s="12" t="e">
        <f>Sales4[[#This Row],[Billed Quantity]]*Sales4[[#This Row],[BOM Cost]]</f>
        <v>#REF!</v>
      </c>
      <c r="AI143" s="12" t="e">
        <f>Sales4[[#This Row],[Billed Quantity]]*Sales4[[#This Row],[Labour cost per unit]]</f>
        <v>#REF!</v>
      </c>
      <c r="AJ143" s="12">
        <f>Sales4[[#This Row],[Droppage per unit]]*Sales4[[#This Row],[Billed Quantity]]</f>
        <v>0</v>
      </c>
      <c r="AK143" s="12" t="e">
        <f>Sales4[[#This Row],[Billed Quantity]]*Sales4[[#This Row],[Other Conversion cost pu]]</f>
        <v>#REF!</v>
      </c>
      <c r="AL143" s="48" t="e">
        <f>Sales4[[#This Row],[PGI Amount]]-Sales4[[#This Row],[BOM Cost2]]-Sales4[[#This Row],[Labour Cost]]-Sales4[[#This Row],[Other conversion cost]]</f>
        <v>#REF!</v>
      </c>
      <c r="AM143" s="121" t="e">
        <f>1-Sales4[[#This Row],[PGI COST]]/Sales4[[#This Row],[Net Value]]</f>
        <v>#REF!</v>
      </c>
      <c r="AN143" s="1">
        <f>Sales4[[#This Row],[PGI Amount]]/Sales4[[#This Row],[Billed Quantity]]</f>
        <v>457.3</v>
      </c>
      <c r="AO143" s="72" t="e">
        <f>SUMIFS('COGS Break up'!#REF!,'COGS Break up'!#REF!,Sales4[[#This Row],[Material]],'COGS Break up'!#REF!,'MIS Working'!$AO$1)</f>
        <v>#REF!</v>
      </c>
      <c r="AP143" s="72" t="e">
        <f>SUMIFS('COGS Break up'!#REF!,'COGS Break up'!#REF!,Sales4[[#This Row],[Material]],'COGS Break up'!#REF!,'MIS Working'!$AP$1)</f>
        <v>#REF!</v>
      </c>
      <c r="AQ143" s="72" t="e">
        <f>SUMIFS('COGS Break up'!#REF!,'COGS Break up'!#REF!,Sales4[[#This Row],[Material]],'COGS Break up'!#REF!,'MIS Working'!$AQ$1)</f>
        <v>#REF!</v>
      </c>
      <c r="AR143" s="72">
        <f>Sales4[[#This Row],[Droppage per unit]]</f>
        <v>0</v>
      </c>
      <c r="AS143" s="15" t="e">
        <f>AO143*Sales4[[#This Row],[Billed Quantity]]</f>
        <v>#REF!</v>
      </c>
      <c r="AT143" s="72" t="e">
        <f>AP143*Sales4[[#This Row],[Billed Quantity]]</f>
        <v>#REF!</v>
      </c>
      <c r="AU143" s="72" t="e">
        <f>AQ143*Sales4[[#This Row],[Billed Quantity]]</f>
        <v>#REF!</v>
      </c>
      <c r="AV143" s="72">
        <f>AR143*Sales4[[#This Row],[Billed Quantity]]</f>
        <v>0</v>
      </c>
    </row>
    <row r="144" spans="1:48" x14ac:dyDescent="0.3">
      <c r="A144" s="1" t="s">
        <v>479</v>
      </c>
      <c r="B144" s="2">
        <v>45916</v>
      </c>
      <c r="C144" s="1">
        <v>3271270961</v>
      </c>
      <c r="D144" s="1" t="s">
        <v>368</v>
      </c>
      <c r="E144" s="1" t="s">
        <v>369</v>
      </c>
      <c r="F144" s="1" t="s">
        <v>18</v>
      </c>
      <c r="G144" s="1" t="s">
        <v>19</v>
      </c>
      <c r="H144" s="1" t="s">
        <v>483</v>
      </c>
      <c r="I144" s="3">
        <v>175</v>
      </c>
      <c r="J144" s="4">
        <v>60105.5</v>
      </c>
      <c r="K144" s="3">
        <v>175</v>
      </c>
      <c r="L144" s="3">
        <v>175</v>
      </c>
      <c r="M144" s="2">
        <v>45916</v>
      </c>
      <c r="N144" s="4">
        <v>54139.75</v>
      </c>
      <c r="O144" s="1" t="s">
        <v>21</v>
      </c>
      <c r="P144" s="1" t="s">
        <v>22</v>
      </c>
      <c r="Q144" s="1">
        <v>1</v>
      </c>
      <c r="R144" s="1" t="str">
        <f>VLOOKUP(Sales4[[#This Row],[Material type]],Master!$H$3:$I$8,2,0)</f>
        <v>Finished Goods</v>
      </c>
      <c r="S144" s="1" t="str">
        <f>VLOOKUP(Sales4[[#This Row],[Material Group]],Master!B:C,2,0)</f>
        <v>FG-PCB-MG</v>
      </c>
      <c r="T144" s="1" t="str">
        <f>VLOOKUP(Sales4[[#This Row],[Material Group Descrip]],Master!E:F,2,0)</f>
        <v>FG-PCB-MG</v>
      </c>
      <c r="U144" s="9" t="b">
        <f ca="1">(TODAY()-1)=Sales4[[#This Row],[Billing Date]]</f>
        <v>0</v>
      </c>
      <c r="V144" s="10" t="e">
        <f>Sales4[[#This Row],[Net Value]]-Sales4[[#This Row],[PGI COST]]</f>
        <v>#REF!</v>
      </c>
      <c r="W144" s="11" t="e">
        <f>Sales4[[#This Row],[Gross Margin]]/Sales4[[#This Row],[Net Value]]</f>
        <v>#REF!</v>
      </c>
      <c r="X144" s="1" t="str">
        <f>TEXT(Sales4[[#This Row],[Billing Date]],"mmmm-yy")</f>
        <v>September-25</v>
      </c>
      <c r="Y144" s="1">
        <f>Sales4[[#This Row],[Net Value]]/Sales4[[#This Row],[Billed Quantity]]</f>
        <v>309.37</v>
      </c>
      <c r="Z144" s="117">
        <f>Sales4[[#This Row],[Actual delivery qty]]</f>
        <v>175</v>
      </c>
      <c r="AA144" s="12" t="e">
        <f>SUM(Sales4[[#This Row],[BOM Cost]:[Other Conversion cost pu]])</f>
        <v>#REF!</v>
      </c>
      <c r="AB14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4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44" s="12">
        <f>IFERROR(VLOOKUP(Sales4[[#This Row],[Material]],'COGS Break up'!#REF!,5,0),0)</f>
        <v>0</v>
      </c>
      <c r="AE14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44" s="48" t="e">
        <f>Sales4[[#This Row],[PGI per unit]]-Sales4[[#This Row],[BOM Cost]]-Sales4[[#This Row],[Labour cost per unit]]-Sales4[[#This Row],[Other Conversion cost pu]]</f>
        <v>#REF!</v>
      </c>
      <c r="AG144" s="48" t="e">
        <f>Sales4[[#This Row],[BOM Cost2]]+Sales4[[#This Row],[Labour Cost]]+Sales4[[#This Row],[Other conversion cost]]</f>
        <v>#REF!</v>
      </c>
      <c r="AH144" s="12" t="e">
        <f>Sales4[[#This Row],[Billed Quantity]]*Sales4[[#This Row],[BOM Cost]]</f>
        <v>#REF!</v>
      </c>
      <c r="AI144" s="12" t="e">
        <f>Sales4[[#This Row],[Billed Quantity]]*Sales4[[#This Row],[Labour cost per unit]]</f>
        <v>#REF!</v>
      </c>
      <c r="AJ144" s="12">
        <f>Sales4[[#This Row],[Droppage per unit]]*Sales4[[#This Row],[Billed Quantity]]</f>
        <v>0</v>
      </c>
      <c r="AK144" s="12" t="e">
        <f>Sales4[[#This Row],[Billed Quantity]]*Sales4[[#This Row],[Other Conversion cost pu]]</f>
        <v>#REF!</v>
      </c>
      <c r="AL144" s="48" t="e">
        <f>Sales4[[#This Row],[PGI Amount]]-Sales4[[#This Row],[BOM Cost2]]-Sales4[[#This Row],[Labour Cost]]-Sales4[[#This Row],[Other conversion cost]]</f>
        <v>#REF!</v>
      </c>
      <c r="AM144" s="121" t="e">
        <f>1-Sales4[[#This Row],[PGI COST]]/Sales4[[#This Row],[Net Value]]</f>
        <v>#REF!</v>
      </c>
      <c r="AN144" s="1">
        <f>Sales4[[#This Row],[PGI Amount]]/Sales4[[#This Row],[Billed Quantity]]</f>
        <v>343.46</v>
      </c>
      <c r="AO144" s="72" t="e">
        <f>SUMIFS('COGS Break up'!#REF!,'COGS Break up'!#REF!,Sales4[[#This Row],[Material]],'COGS Break up'!#REF!,'MIS Working'!$AO$1)</f>
        <v>#REF!</v>
      </c>
      <c r="AP144" s="72" t="e">
        <f>SUMIFS('COGS Break up'!#REF!,'COGS Break up'!#REF!,Sales4[[#This Row],[Material]],'COGS Break up'!#REF!,'MIS Working'!$AP$1)</f>
        <v>#REF!</v>
      </c>
      <c r="AQ144" s="72" t="e">
        <f>SUMIFS('COGS Break up'!#REF!,'COGS Break up'!#REF!,Sales4[[#This Row],[Material]],'COGS Break up'!#REF!,'MIS Working'!$AQ$1)</f>
        <v>#REF!</v>
      </c>
      <c r="AR144" s="72">
        <f>Sales4[[#This Row],[Droppage per unit]]</f>
        <v>0</v>
      </c>
      <c r="AS144" s="15" t="e">
        <f>AO144*Sales4[[#This Row],[Billed Quantity]]</f>
        <v>#REF!</v>
      </c>
      <c r="AT144" s="72" t="e">
        <f>AP144*Sales4[[#This Row],[Billed Quantity]]</f>
        <v>#REF!</v>
      </c>
      <c r="AU144" s="72" t="e">
        <f>AQ144*Sales4[[#This Row],[Billed Quantity]]</f>
        <v>#REF!</v>
      </c>
      <c r="AV144" s="72">
        <f>AR144*Sales4[[#This Row],[Billed Quantity]]</f>
        <v>0</v>
      </c>
    </row>
    <row r="145" spans="1:48" x14ac:dyDescent="0.3">
      <c r="A145" s="1" t="s">
        <v>479</v>
      </c>
      <c r="B145" s="2">
        <v>45916</v>
      </c>
      <c r="C145" s="1">
        <v>3271270961</v>
      </c>
      <c r="D145" s="1" t="s">
        <v>366</v>
      </c>
      <c r="E145" s="1" t="s">
        <v>367</v>
      </c>
      <c r="F145" s="1" t="s">
        <v>18</v>
      </c>
      <c r="G145" s="1" t="s">
        <v>19</v>
      </c>
      <c r="H145" s="1" t="s">
        <v>483</v>
      </c>
      <c r="I145" s="3">
        <v>35</v>
      </c>
      <c r="J145" s="4">
        <v>12129.6</v>
      </c>
      <c r="K145" s="3">
        <v>35</v>
      </c>
      <c r="L145" s="3">
        <v>35</v>
      </c>
      <c r="M145" s="2">
        <v>45916</v>
      </c>
      <c r="N145" s="4">
        <v>10993.15</v>
      </c>
      <c r="O145" s="1" t="s">
        <v>21</v>
      </c>
      <c r="P145" s="1" t="s">
        <v>22</v>
      </c>
      <c r="Q145" s="1">
        <v>1</v>
      </c>
      <c r="R145" s="1" t="str">
        <f>VLOOKUP(Sales4[[#This Row],[Material type]],Master!$H$3:$I$8,2,0)</f>
        <v>Finished Goods</v>
      </c>
      <c r="S145" s="1" t="str">
        <f>VLOOKUP(Sales4[[#This Row],[Material Group]],Master!B:C,2,0)</f>
        <v>FG-PCB-MG</v>
      </c>
      <c r="T145" s="1" t="str">
        <f>VLOOKUP(Sales4[[#This Row],[Material Group Descrip]],Master!E:F,2,0)</f>
        <v>FG-PCB-MG</v>
      </c>
      <c r="U145" s="9" t="b">
        <f ca="1">(TODAY()-1)=Sales4[[#This Row],[Billing Date]]</f>
        <v>0</v>
      </c>
      <c r="V145" s="10" t="e">
        <f>Sales4[[#This Row],[Net Value]]-Sales4[[#This Row],[PGI COST]]</f>
        <v>#REF!</v>
      </c>
      <c r="W145" s="11" t="e">
        <f>Sales4[[#This Row],[Gross Margin]]/Sales4[[#This Row],[Net Value]]</f>
        <v>#REF!</v>
      </c>
      <c r="X145" s="1" t="str">
        <f>TEXT(Sales4[[#This Row],[Billing Date]],"mmmm-yy")</f>
        <v>September-25</v>
      </c>
      <c r="Y145" s="1">
        <f>Sales4[[#This Row],[Net Value]]/Sales4[[#This Row],[Billed Quantity]]</f>
        <v>314.08999999999997</v>
      </c>
      <c r="Z145" s="117">
        <f>Sales4[[#This Row],[Actual delivery qty]]</f>
        <v>35</v>
      </c>
      <c r="AA145" s="12" t="e">
        <f>SUM(Sales4[[#This Row],[BOM Cost]:[Other Conversion cost pu]])</f>
        <v>#REF!</v>
      </c>
      <c r="AB14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4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45" s="12">
        <f>IFERROR(VLOOKUP(Sales4[[#This Row],[Material]],'COGS Break up'!#REF!,5,0),0)</f>
        <v>0</v>
      </c>
      <c r="AE14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45" s="48" t="e">
        <f>Sales4[[#This Row],[PGI per unit]]-Sales4[[#This Row],[BOM Cost]]-Sales4[[#This Row],[Labour cost per unit]]-Sales4[[#This Row],[Other Conversion cost pu]]</f>
        <v>#REF!</v>
      </c>
      <c r="AG145" s="48" t="e">
        <f>Sales4[[#This Row],[BOM Cost2]]+Sales4[[#This Row],[Labour Cost]]+Sales4[[#This Row],[Other conversion cost]]</f>
        <v>#REF!</v>
      </c>
      <c r="AH145" s="12" t="e">
        <f>Sales4[[#This Row],[Billed Quantity]]*Sales4[[#This Row],[BOM Cost]]</f>
        <v>#REF!</v>
      </c>
      <c r="AI145" s="12" t="e">
        <f>Sales4[[#This Row],[Billed Quantity]]*Sales4[[#This Row],[Labour cost per unit]]</f>
        <v>#REF!</v>
      </c>
      <c r="AJ145" s="12">
        <f>Sales4[[#This Row],[Droppage per unit]]*Sales4[[#This Row],[Billed Quantity]]</f>
        <v>0</v>
      </c>
      <c r="AK145" s="12" t="e">
        <f>Sales4[[#This Row],[Billed Quantity]]*Sales4[[#This Row],[Other Conversion cost pu]]</f>
        <v>#REF!</v>
      </c>
      <c r="AL145" s="48" t="e">
        <f>Sales4[[#This Row],[PGI Amount]]-Sales4[[#This Row],[BOM Cost2]]-Sales4[[#This Row],[Labour Cost]]-Sales4[[#This Row],[Other conversion cost]]</f>
        <v>#REF!</v>
      </c>
      <c r="AM145" s="121" t="e">
        <f>1-Sales4[[#This Row],[PGI COST]]/Sales4[[#This Row],[Net Value]]</f>
        <v>#REF!</v>
      </c>
      <c r="AN145" s="1">
        <f>Sales4[[#This Row],[PGI Amount]]/Sales4[[#This Row],[Billed Quantity]]</f>
        <v>346.56</v>
      </c>
      <c r="AO145" s="72" t="e">
        <f>SUMIFS('COGS Break up'!#REF!,'COGS Break up'!#REF!,Sales4[[#This Row],[Material]],'COGS Break up'!#REF!,'MIS Working'!$AO$1)</f>
        <v>#REF!</v>
      </c>
      <c r="AP145" s="72" t="e">
        <f>SUMIFS('COGS Break up'!#REF!,'COGS Break up'!#REF!,Sales4[[#This Row],[Material]],'COGS Break up'!#REF!,'MIS Working'!$AP$1)</f>
        <v>#REF!</v>
      </c>
      <c r="AQ145" s="72" t="e">
        <f>SUMIFS('COGS Break up'!#REF!,'COGS Break up'!#REF!,Sales4[[#This Row],[Material]],'COGS Break up'!#REF!,'MIS Working'!$AQ$1)</f>
        <v>#REF!</v>
      </c>
      <c r="AR145" s="72">
        <f>Sales4[[#This Row],[Droppage per unit]]</f>
        <v>0</v>
      </c>
      <c r="AS145" s="15" t="e">
        <f>AO145*Sales4[[#This Row],[Billed Quantity]]</f>
        <v>#REF!</v>
      </c>
      <c r="AT145" s="72" t="e">
        <f>AP145*Sales4[[#This Row],[Billed Quantity]]</f>
        <v>#REF!</v>
      </c>
      <c r="AU145" s="72" t="e">
        <f>AQ145*Sales4[[#This Row],[Billed Quantity]]</f>
        <v>#REF!</v>
      </c>
      <c r="AV145" s="72">
        <f>AR145*Sales4[[#This Row],[Billed Quantity]]</f>
        <v>0</v>
      </c>
    </row>
    <row r="146" spans="1:48" x14ac:dyDescent="0.3">
      <c r="A146" s="1" t="s">
        <v>479</v>
      </c>
      <c r="B146" s="2">
        <v>45916</v>
      </c>
      <c r="C146" s="1">
        <v>3271270669</v>
      </c>
      <c r="D146" s="1" t="s">
        <v>40</v>
      </c>
      <c r="E146" s="1" t="s">
        <v>41</v>
      </c>
      <c r="F146" s="1" t="s">
        <v>18</v>
      </c>
      <c r="G146" s="1" t="s">
        <v>34</v>
      </c>
      <c r="H146" s="1" t="s">
        <v>772</v>
      </c>
      <c r="I146" s="3">
        <v>2016</v>
      </c>
      <c r="J146" s="4">
        <v>297440.64000000001</v>
      </c>
      <c r="K146" s="3">
        <v>2016</v>
      </c>
      <c r="L146" s="3">
        <v>2016</v>
      </c>
      <c r="M146" s="2">
        <v>45916</v>
      </c>
      <c r="N146" s="4">
        <v>328487.03999999998</v>
      </c>
      <c r="O146" s="1" t="s">
        <v>21</v>
      </c>
      <c r="P146" s="1" t="s">
        <v>22</v>
      </c>
      <c r="Q146" s="1">
        <v>1</v>
      </c>
      <c r="R146" s="1" t="str">
        <f>VLOOKUP(Sales4[[#This Row],[Material type]],Master!$H$3:$I$8,2,0)</f>
        <v>Semi-Finished Goods</v>
      </c>
      <c r="S146" s="1" t="str">
        <f>VLOOKUP(Sales4[[#This Row],[Material Group]],Master!B:C,2,0)</f>
        <v>SFG-GV5 Stator</v>
      </c>
      <c r="T146" s="1" t="str">
        <f>VLOOKUP(Sales4[[#This Row],[Material Group Descrip]],Master!E:F,2,0)</f>
        <v>Sub Ass.-Mech Stator</v>
      </c>
      <c r="U146" s="9" t="b">
        <f ca="1">(TODAY()-1)=Sales4[[#This Row],[Billing Date]]</f>
        <v>0</v>
      </c>
      <c r="V146" s="10" t="e">
        <f>Sales4[[#This Row],[Net Value]]-Sales4[[#This Row],[PGI COST]]</f>
        <v>#REF!</v>
      </c>
      <c r="W146" s="11" t="e">
        <f>Sales4[[#This Row],[Gross Margin]]/Sales4[[#This Row],[Net Value]]</f>
        <v>#REF!</v>
      </c>
      <c r="X146" s="1" t="str">
        <f>TEXT(Sales4[[#This Row],[Billing Date]],"mmmm-yy")</f>
        <v>September-25</v>
      </c>
      <c r="Y146" s="1">
        <f>Sales4[[#This Row],[Net Value]]/Sales4[[#This Row],[Billed Quantity]]</f>
        <v>162.94</v>
      </c>
      <c r="Z146" s="117">
        <f>Sales4[[#This Row],[Actual delivery qty]]</f>
        <v>2016</v>
      </c>
      <c r="AA146" s="12" t="e">
        <f>SUM(Sales4[[#This Row],[BOM Cost]:[Other Conversion cost pu]])</f>
        <v>#REF!</v>
      </c>
      <c r="AB14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4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46" s="12">
        <f>IFERROR(VLOOKUP(Sales4[[#This Row],[Material]],'COGS Break up'!#REF!,5,0),0)</f>
        <v>0</v>
      </c>
      <c r="AE14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46" s="48" t="e">
        <f>Sales4[[#This Row],[PGI per unit]]-Sales4[[#This Row],[BOM Cost]]-Sales4[[#This Row],[Labour cost per unit]]-Sales4[[#This Row],[Other Conversion cost pu]]</f>
        <v>#REF!</v>
      </c>
      <c r="AG146" s="48" t="e">
        <f>Sales4[[#This Row],[BOM Cost2]]+Sales4[[#This Row],[Labour Cost]]+Sales4[[#This Row],[Other conversion cost]]</f>
        <v>#REF!</v>
      </c>
      <c r="AH146" s="12" t="e">
        <f>Sales4[[#This Row],[Billed Quantity]]*Sales4[[#This Row],[BOM Cost]]</f>
        <v>#REF!</v>
      </c>
      <c r="AI146" s="12" t="e">
        <f>Sales4[[#This Row],[Billed Quantity]]*Sales4[[#This Row],[Labour cost per unit]]</f>
        <v>#REF!</v>
      </c>
      <c r="AJ146" s="12">
        <f>Sales4[[#This Row],[Droppage per unit]]*Sales4[[#This Row],[Billed Quantity]]</f>
        <v>0</v>
      </c>
      <c r="AK146" s="12" t="e">
        <f>Sales4[[#This Row],[Billed Quantity]]*Sales4[[#This Row],[Other Conversion cost pu]]</f>
        <v>#REF!</v>
      </c>
      <c r="AL146" s="48" t="e">
        <f>Sales4[[#This Row],[PGI Amount]]-Sales4[[#This Row],[BOM Cost2]]-Sales4[[#This Row],[Labour Cost]]-Sales4[[#This Row],[Other conversion cost]]</f>
        <v>#REF!</v>
      </c>
      <c r="AM146" s="121" t="e">
        <f>1-Sales4[[#This Row],[PGI COST]]/Sales4[[#This Row],[Net Value]]</f>
        <v>#REF!</v>
      </c>
      <c r="AN146" s="1">
        <f>Sales4[[#This Row],[PGI Amount]]/Sales4[[#This Row],[Billed Quantity]]</f>
        <v>147.54000000000002</v>
      </c>
      <c r="AO146" s="72" t="e">
        <f>SUMIFS('COGS Break up'!#REF!,'COGS Break up'!#REF!,Sales4[[#This Row],[Material]],'COGS Break up'!#REF!,'MIS Working'!$AO$1)</f>
        <v>#REF!</v>
      </c>
      <c r="AP146" s="72" t="e">
        <f>SUMIFS('COGS Break up'!#REF!,'COGS Break up'!#REF!,Sales4[[#This Row],[Material]],'COGS Break up'!#REF!,'MIS Working'!$AP$1)</f>
        <v>#REF!</v>
      </c>
      <c r="AQ146" s="72" t="e">
        <f>SUMIFS('COGS Break up'!#REF!,'COGS Break up'!#REF!,Sales4[[#This Row],[Material]],'COGS Break up'!#REF!,'MIS Working'!$AQ$1)</f>
        <v>#REF!</v>
      </c>
      <c r="AR146" s="72">
        <f>Sales4[[#This Row],[Droppage per unit]]</f>
        <v>0</v>
      </c>
      <c r="AS146" s="15" t="e">
        <f>AO146*Sales4[[#This Row],[Billed Quantity]]</f>
        <v>#REF!</v>
      </c>
      <c r="AT146" s="72" t="e">
        <f>AP146*Sales4[[#This Row],[Billed Quantity]]</f>
        <v>#REF!</v>
      </c>
      <c r="AU146" s="72" t="e">
        <f>AQ146*Sales4[[#This Row],[Billed Quantity]]</f>
        <v>#REF!</v>
      </c>
      <c r="AV146" s="72">
        <f>AR146*Sales4[[#This Row],[Billed Quantity]]</f>
        <v>0</v>
      </c>
    </row>
    <row r="147" spans="1:48" x14ac:dyDescent="0.3">
      <c r="A147" s="1" t="s">
        <v>479</v>
      </c>
      <c r="B147" s="2">
        <v>45916</v>
      </c>
      <c r="C147" s="1">
        <v>3271270671</v>
      </c>
      <c r="D147" s="1" t="s">
        <v>595</v>
      </c>
      <c r="E147" s="1" t="s">
        <v>596</v>
      </c>
      <c r="F147" s="1" t="s">
        <v>18</v>
      </c>
      <c r="G147" s="1" t="s">
        <v>34</v>
      </c>
      <c r="H147" s="1" t="s">
        <v>772</v>
      </c>
      <c r="I147" s="3">
        <v>1832</v>
      </c>
      <c r="J147" s="4">
        <v>229000</v>
      </c>
      <c r="K147" s="3">
        <v>1832</v>
      </c>
      <c r="L147" s="3">
        <v>1832</v>
      </c>
      <c r="M147" s="2">
        <v>45916</v>
      </c>
      <c r="N147" s="4">
        <v>242538.48</v>
      </c>
      <c r="O147" s="1" t="s">
        <v>21</v>
      </c>
      <c r="P147" s="1" t="s">
        <v>22</v>
      </c>
      <c r="Q147" s="1">
        <v>1</v>
      </c>
      <c r="R147" s="1" t="str">
        <f>VLOOKUP(Sales4[[#This Row],[Material type]],Master!$H$3:$I$8,2,0)</f>
        <v>Semi-Finished Goods</v>
      </c>
      <c r="S147" s="1" t="str">
        <f>VLOOKUP(Sales4[[#This Row],[Material Group]],Master!B:C,2,0)</f>
        <v>SFG-GV5 Stator</v>
      </c>
      <c r="T147" s="1" t="str">
        <f>VLOOKUP(Sales4[[#This Row],[Material Group Descrip]],Master!E:F,2,0)</f>
        <v>Sub Ass.-Mech Stator</v>
      </c>
      <c r="U147" s="9" t="b">
        <f ca="1">(TODAY()-1)=Sales4[[#This Row],[Billing Date]]</f>
        <v>0</v>
      </c>
      <c r="V147" s="10" t="e">
        <f>Sales4[[#This Row],[Net Value]]-Sales4[[#This Row],[PGI COST]]</f>
        <v>#REF!</v>
      </c>
      <c r="W147" s="11" t="e">
        <f>Sales4[[#This Row],[Gross Margin]]/Sales4[[#This Row],[Net Value]]</f>
        <v>#REF!</v>
      </c>
      <c r="X147" s="1" t="str">
        <f>TEXT(Sales4[[#This Row],[Billing Date]],"mmmm-yy")</f>
        <v>September-25</v>
      </c>
      <c r="Y147" s="1">
        <f>Sales4[[#This Row],[Net Value]]/Sales4[[#This Row],[Billed Quantity]]</f>
        <v>132.39000000000001</v>
      </c>
      <c r="Z147" s="117">
        <f>Sales4[[#This Row],[Actual delivery qty]]</f>
        <v>1832</v>
      </c>
      <c r="AA147" s="12" t="e">
        <f>SUM(Sales4[[#This Row],[BOM Cost]:[Other Conversion cost pu]])</f>
        <v>#REF!</v>
      </c>
      <c r="AB14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4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47" s="12">
        <f>IFERROR(VLOOKUP(Sales4[[#This Row],[Material]],'COGS Break up'!#REF!,5,0),0)</f>
        <v>0</v>
      </c>
      <c r="AE14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47" s="48" t="e">
        <f>Sales4[[#This Row],[PGI per unit]]-Sales4[[#This Row],[BOM Cost]]-Sales4[[#This Row],[Labour cost per unit]]-Sales4[[#This Row],[Other Conversion cost pu]]</f>
        <v>#REF!</v>
      </c>
      <c r="AG147" s="48" t="e">
        <f>Sales4[[#This Row],[BOM Cost2]]+Sales4[[#This Row],[Labour Cost]]+Sales4[[#This Row],[Other conversion cost]]</f>
        <v>#REF!</v>
      </c>
      <c r="AH147" s="12" t="e">
        <f>Sales4[[#This Row],[Billed Quantity]]*Sales4[[#This Row],[BOM Cost]]</f>
        <v>#REF!</v>
      </c>
      <c r="AI147" s="12" t="e">
        <f>Sales4[[#This Row],[Billed Quantity]]*Sales4[[#This Row],[Labour cost per unit]]</f>
        <v>#REF!</v>
      </c>
      <c r="AJ147" s="12">
        <f>Sales4[[#This Row],[Droppage per unit]]*Sales4[[#This Row],[Billed Quantity]]</f>
        <v>0</v>
      </c>
      <c r="AK147" s="12" t="e">
        <f>Sales4[[#This Row],[Billed Quantity]]*Sales4[[#This Row],[Other Conversion cost pu]]</f>
        <v>#REF!</v>
      </c>
      <c r="AL147" s="48" t="e">
        <f>Sales4[[#This Row],[PGI Amount]]-Sales4[[#This Row],[BOM Cost2]]-Sales4[[#This Row],[Labour Cost]]-Sales4[[#This Row],[Other conversion cost]]</f>
        <v>#REF!</v>
      </c>
      <c r="AM147" s="121" t="e">
        <f>1-Sales4[[#This Row],[PGI COST]]/Sales4[[#This Row],[Net Value]]</f>
        <v>#REF!</v>
      </c>
      <c r="AN147" s="1">
        <f>Sales4[[#This Row],[PGI Amount]]/Sales4[[#This Row],[Billed Quantity]]</f>
        <v>125</v>
      </c>
      <c r="AO147" s="72" t="e">
        <f>SUMIFS('COGS Break up'!#REF!,'COGS Break up'!#REF!,Sales4[[#This Row],[Material]],'COGS Break up'!#REF!,'MIS Working'!$AO$1)</f>
        <v>#REF!</v>
      </c>
      <c r="AP147" s="72" t="e">
        <f>SUMIFS('COGS Break up'!#REF!,'COGS Break up'!#REF!,Sales4[[#This Row],[Material]],'COGS Break up'!#REF!,'MIS Working'!$AP$1)</f>
        <v>#REF!</v>
      </c>
      <c r="AQ147" s="72" t="e">
        <f>SUMIFS('COGS Break up'!#REF!,'COGS Break up'!#REF!,Sales4[[#This Row],[Material]],'COGS Break up'!#REF!,'MIS Working'!$AQ$1)</f>
        <v>#REF!</v>
      </c>
      <c r="AR147" s="72">
        <f>Sales4[[#This Row],[Droppage per unit]]</f>
        <v>0</v>
      </c>
      <c r="AS147" s="15" t="e">
        <f>AO147*Sales4[[#This Row],[Billed Quantity]]</f>
        <v>#REF!</v>
      </c>
      <c r="AT147" s="72" t="e">
        <f>AP147*Sales4[[#This Row],[Billed Quantity]]</f>
        <v>#REF!</v>
      </c>
      <c r="AU147" s="72" t="e">
        <f>AQ147*Sales4[[#This Row],[Billed Quantity]]</f>
        <v>#REF!</v>
      </c>
      <c r="AV147" s="72">
        <f>AR147*Sales4[[#This Row],[Billed Quantity]]</f>
        <v>0</v>
      </c>
    </row>
    <row r="148" spans="1:48" x14ac:dyDescent="0.3">
      <c r="A148" s="1" t="s">
        <v>1394</v>
      </c>
      <c r="B148" s="2">
        <v>45916</v>
      </c>
      <c r="C148" s="1">
        <v>3271270780</v>
      </c>
      <c r="D148" s="1" t="s">
        <v>38</v>
      </c>
      <c r="E148" s="1" t="s">
        <v>39</v>
      </c>
      <c r="F148" s="1" t="s">
        <v>18</v>
      </c>
      <c r="G148" s="1" t="s">
        <v>19</v>
      </c>
      <c r="H148" s="1" t="s">
        <v>27</v>
      </c>
      <c r="I148" s="3">
        <v>1440</v>
      </c>
      <c r="J148" s="4">
        <v>474422.4</v>
      </c>
      <c r="K148" s="3">
        <v>1440</v>
      </c>
      <c r="L148" s="3">
        <v>1440</v>
      </c>
      <c r="M148" s="2">
        <v>45916</v>
      </c>
      <c r="N148" s="4">
        <v>525830.40000000002</v>
      </c>
      <c r="O148" s="1" t="s">
        <v>21</v>
      </c>
      <c r="P148" s="1" t="s">
        <v>22</v>
      </c>
      <c r="Q148" s="1">
        <v>3</v>
      </c>
      <c r="R148" s="1" t="str">
        <f>VLOOKUP(Sales4[[#This Row],[Material type]],Master!$H$3:$I$8,2,0)</f>
        <v>Finished Goods</v>
      </c>
      <c r="S148" s="1" t="str">
        <f>VLOOKUP(Sales4[[#This Row],[Material Group]],Master!B:C,2,0)</f>
        <v>FG-PCB-CF</v>
      </c>
      <c r="T148" s="1" t="str">
        <f>VLOOKUP(Sales4[[#This Row],[Material Group Descrip]],Master!E:F,2,0)</f>
        <v>FG-PCB-CF</v>
      </c>
      <c r="U148" s="9" t="b">
        <f ca="1">(TODAY()-1)=Sales4[[#This Row],[Billing Date]]</f>
        <v>0</v>
      </c>
      <c r="V148" s="10" t="e">
        <f>Sales4[[#This Row],[Net Value]]-Sales4[[#This Row],[PGI COST]]</f>
        <v>#REF!</v>
      </c>
      <c r="W148" s="11" t="e">
        <f>Sales4[[#This Row],[Gross Margin]]/Sales4[[#This Row],[Net Value]]</f>
        <v>#REF!</v>
      </c>
      <c r="X148" s="1" t="str">
        <f>TEXT(Sales4[[#This Row],[Billing Date]],"mmmm-yy")</f>
        <v>September-25</v>
      </c>
      <c r="Y148" s="1">
        <f>Sales4[[#This Row],[Net Value]]/Sales4[[#This Row],[Billed Quantity]]</f>
        <v>365.16</v>
      </c>
      <c r="Z148" s="117">
        <f>Sales4[[#This Row],[Actual delivery qty]]</f>
        <v>1440</v>
      </c>
      <c r="AA148" s="12" t="e">
        <f>SUM(Sales4[[#This Row],[BOM Cost]:[Other Conversion cost pu]])</f>
        <v>#REF!</v>
      </c>
      <c r="AB14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4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48" s="12">
        <f>IFERROR(VLOOKUP(Sales4[[#This Row],[Material]],'COGS Break up'!#REF!,5,0),0)</f>
        <v>0</v>
      </c>
      <c r="AE14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48" s="48" t="e">
        <f>Sales4[[#This Row],[PGI per unit]]-Sales4[[#This Row],[BOM Cost]]-Sales4[[#This Row],[Labour cost per unit]]-Sales4[[#This Row],[Other Conversion cost pu]]</f>
        <v>#REF!</v>
      </c>
      <c r="AG148" s="48" t="e">
        <f>Sales4[[#This Row],[BOM Cost2]]+Sales4[[#This Row],[Labour Cost]]+Sales4[[#This Row],[Other conversion cost]]</f>
        <v>#REF!</v>
      </c>
      <c r="AH148" s="12" t="e">
        <f>Sales4[[#This Row],[Billed Quantity]]*Sales4[[#This Row],[BOM Cost]]</f>
        <v>#REF!</v>
      </c>
      <c r="AI148" s="12" t="e">
        <f>Sales4[[#This Row],[Billed Quantity]]*Sales4[[#This Row],[Labour cost per unit]]</f>
        <v>#REF!</v>
      </c>
      <c r="AJ148" s="12">
        <f>Sales4[[#This Row],[Droppage per unit]]*Sales4[[#This Row],[Billed Quantity]]</f>
        <v>0</v>
      </c>
      <c r="AK148" s="12" t="e">
        <f>Sales4[[#This Row],[Billed Quantity]]*Sales4[[#This Row],[Other Conversion cost pu]]</f>
        <v>#REF!</v>
      </c>
      <c r="AL148" s="48" t="e">
        <f>Sales4[[#This Row],[PGI Amount]]-Sales4[[#This Row],[BOM Cost2]]-Sales4[[#This Row],[Labour Cost]]-Sales4[[#This Row],[Other conversion cost]]</f>
        <v>#REF!</v>
      </c>
      <c r="AM148" s="121" t="e">
        <f>1-Sales4[[#This Row],[PGI COST]]/Sales4[[#This Row],[Net Value]]</f>
        <v>#REF!</v>
      </c>
      <c r="AN148" s="1">
        <f>Sales4[[#This Row],[PGI Amount]]/Sales4[[#This Row],[Billed Quantity]]</f>
        <v>329.46000000000004</v>
      </c>
      <c r="AO148" s="72" t="e">
        <f>SUMIFS('COGS Break up'!#REF!,'COGS Break up'!#REF!,Sales4[[#This Row],[Material]],'COGS Break up'!#REF!,'MIS Working'!$AO$1)</f>
        <v>#REF!</v>
      </c>
      <c r="AP148" s="72" t="e">
        <f>SUMIFS('COGS Break up'!#REF!,'COGS Break up'!#REF!,Sales4[[#This Row],[Material]],'COGS Break up'!#REF!,'MIS Working'!$AP$1)</f>
        <v>#REF!</v>
      </c>
      <c r="AQ148" s="72" t="e">
        <f>SUMIFS('COGS Break up'!#REF!,'COGS Break up'!#REF!,Sales4[[#This Row],[Material]],'COGS Break up'!#REF!,'MIS Working'!$AQ$1)</f>
        <v>#REF!</v>
      </c>
      <c r="AR148" s="72">
        <f>Sales4[[#This Row],[Droppage per unit]]</f>
        <v>0</v>
      </c>
      <c r="AS148" s="15" t="e">
        <f>AO148*Sales4[[#This Row],[Billed Quantity]]</f>
        <v>#REF!</v>
      </c>
      <c r="AT148" s="72" t="e">
        <f>AP148*Sales4[[#This Row],[Billed Quantity]]</f>
        <v>#REF!</v>
      </c>
      <c r="AU148" s="72" t="e">
        <f>AQ148*Sales4[[#This Row],[Billed Quantity]]</f>
        <v>#REF!</v>
      </c>
      <c r="AV148" s="72">
        <f>AR148*Sales4[[#This Row],[Billed Quantity]]</f>
        <v>0</v>
      </c>
    </row>
    <row r="149" spans="1:48" x14ac:dyDescent="0.3">
      <c r="A149" s="1" t="s">
        <v>479</v>
      </c>
      <c r="B149" s="2">
        <v>45915</v>
      </c>
      <c r="C149" s="1">
        <v>3271270605</v>
      </c>
      <c r="D149" s="1" t="s">
        <v>38</v>
      </c>
      <c r="E149" s="1" t="s">
        <v>39</v>
      </c>
      <c r="F149" s="1" t="s">
        <v>18</v>
      </c>
      <c r="G149" s="1" t="s">
        <v>19</v>
      </c>
      <c r="H149" s="1" t="s">
        <v>27</v>
      </c>
      <c r="I149" s="3">
        <v>1120</v>
      </c>
      <c r="J149" s="4">
        <v>368995.2</v>
      </c>
      <c r="K149" s="3">
        <v>1120</v>
      </c>
      <c r="L149" s="3">
        <v>1120</v>
      </c>
      <c r="M149" s="2">
        <v>45915</v>
      </c>
      <c r="N149" s="4">
        <v>401284.8</v>
      </c>
      <c r="O149" s="1" t="s">
        <v>21</v>
      </c>
      <c r="P149" s="1" t="s">
        <v>22</v>
      </c>
      <c r="Q149" s="1">
        <v>1</v>
      </c>
      <c r="R149" s="1" t="str">
        <f>VLOOKUP(Sales4[[#This Row],[Material type]],Master!$H$3:$I$8,2,0)</f>
        <v>Finished Goods</v>
      </c>
      <c r="S149" s="1" t="str">
        <f>VLOOKUP(Sales4[[#This Row],[Material Group]],Master!B:C,2,0)</f>
        <v>FG-PCB-CF</v>
      </c>
      <c r="T149" s="1" t="str">
        <f>VLOOKUP(Sales4[[#This Row],[Material Group Descrip]],Master!E:F,2,0)</f>
        <v>FG-PCB-CF</v>
      </c>
      <c r="U149" s="9" t="b">
        <f ca="1">(TODAY()-1)=Sales4[[#This Row],[Billing Date]]</f>
        <v>0</v>
      </c>
      <c r="V149" s="10" t="e">
        <f>Sales4[[#This Row],[Net Value]]-Sales4[[#This Row],[PGI COST]]</f>
        <v>#REF!</v>
      </c>
      <c r="W149" s="11" t="e">
        <f>Sales4[[#This Row],[Gross Margin]]/Sales4[[#This Row],[Net Value]]</f>
        <v>#REF!</v>
      </c>
      <c r="X149" s="1" t="str">
        <f>TEXT(Sales4[[#This Row],[Billing Date]],"mmmm-yy")</f>
        <v>September-25</v>
      </c>
      <c r="Y149" s="1">
        <f>Sales4[[#This Row],[Net Value]]/Sales4[[#This Row],[Billed Quantity]]</f>
        <v>358.28999999999996</v>
      </c>
      <c r="Z149" s="117">
        <f>Sales4[[#This Row],[Actual delivery qty]]</f>
        <v>1120</v>
      </c>
      <c r="AA149" s="12" t="e">
        <f>SUM(Sales4[[#This Row],[BOM Cost]:[Other Conversion cost pu]])</f>
        <v>#REF!</v>
      </c>
      <c r="AB14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4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49" s="12">
        <f>IFERROR(VLOOKUP(Sales4[[#This Row],[Material]],'COGS Break up'!#REF!,5,0),0)</f>
        <v>0</v>
      </c>
      <c r="AE14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49" s="48" t="e">
        <f>Sales4[[#This Row],[PGI per unit]]-Sales4[[#This Row],[BOM Cost]]-Sales4[[#This Row],[Labour cost per unit]]-Sales4[[#This Row],[Other Conversion cost pu]]</f>
        <v>#REF!</v>
      </c>
      <c r="AG149" s="48" t="e">
        <f>Sales4[[#This Row],[BOM Cost2]]+Sales4[[#This Row],[Labour Cost]]+Sales4[[#This Row],[Other conversion cost]]</f>
        <v>#REF!</v>
      </c>
      <c r="AH149" s="12" t="e">
        <f>Sales4[[#This Row],[Billed Quantity]]*Sales4[[#This Row],[BOM Cost]]</f>
        <v>#REF!</v>
      </c>
      <c r="AI149" s="12" t="e">
        <f>Sales4[[#This Row],[Billed Quantity]]*Sales4[[#This Row],[Labour cost per unit]]</f>
        <v>#REF!</v>
      </c>
      <c r="AJ149" s="12">
        <f>Sales4[[#This Row],[Droppage per unit]]*Sales4[[#This Row],[Billed Quantity]]</f>
        <v>0</v>
      </c>
      <c r="AK149" s="12" t="e">
        <f>Sales4[[#This Row],[Billed Quantity]]*Sales4[[#This Row],[Other Conversion cost pu]]</f>
        <v>#REF!</v>
      </c>
      <c r="AL149" s="48" t="e">
        <f>Sales4[[#This Row],[PGI Amount]]-Sales4[[#This Row],[BOM Cost2]]-Sales4[[#This Row],[Labour Cost]]-Sales4[[#This Row],[Other conversion cost]]</f>
        <v>#REF!</v>
      </c>
      <c r="AM149" s="121" t="e">
        <f>1-Sales4[[#This Row],[PGI COST]]/Sales4[[#This Row],[Net Value]]</f>
        <v>#REF!</v>
      </c>
      <c r="AN149" s="1">
        <f>Sales4[[#This Row],[PGI Amount]]/Sales4[[#This Row],[Billed Quantity]]</f>
        <v>329.46000000000004</v>
      </c>
      <c r="AO149" s="72" t="e">
        <f>SUMIFS('COGS Break up'!#REF!,'COGS Break up'!#REF!,Sales4[[#This Row],[Material]],'COGS Break up'!#REF!,'MIS Working'!$AO$1)</f>
        <v>#REF!</v>
      </c>
      <c r="AP149" s="72" t="e">
        <f>SUMIFS('COGS Break up'!#REF!,'COGS Break up'!#REF!,Sales4[[#This Row],[Material]],'COGS Break up'!#REF!,'MIS Working'!$AP$1)</f>
        <v>#REF!</v>
      </c>
      <c r="AQ149" s="72" t="e">
        <f>SUMIFS('COGS Break up'!#REF!,'COGS Break up'!#REF!,Sales4[[#This Row],[Material]],'COGS Break up'!#REF!,'MIS Working'!$AQ$1)</f>
        <v>#REF!</v>
      </c>
      <c r="AR149" s="72">
        <f>Sales4[[#This Row],[Droppage per unit]]</f>
        <v>0</v>
      </c>
      <c r="AS149" s="15" t="e">
        <f>AO149*Sales4[[#This Row],[Billed Quantity]]</f>
        <v>#REF!</v>
      </c>
      <c r="AT149" s="72" t="e">
        <f>AP149*Sales4[[#This Row],[Billed Quantity]]</f>
        <v>#REF!</v>
      </c>
      <c r="AU149" s="72" t="e">
        <f>AQ149*Sales4[[#This Row],[Billed Quantity]]</f>
        <v>#REF!</v>
      </c>
      <c r="AV149" s="72">
        <f>AR149*Sales4[[#This Row],[Billed Quantity]]</f>
        <v>0</v>
      </c>
    </row>
    <row r="150" spans="1:48" x14ac:dyDescent="0.3">
      <c r="A150" s="1" t="s">
        <v>479</v>
      </c>
      <c r="B150" s="2">
        <v>45915</v>
      </c>
      <c r="C150" s="1">
        <v>3271270433</v>
      </c>
      <c r="D150" s="1" t="s">
        <v>38</v>
      </c>
      <c r="E150" s="1" t="s">
        <v>39</v>
      </c>
      <c r="F150" s="1" t="s">
        <v>18</v>
      </c>
      <c r="G150" s="1" t="s">
        <v>19</v>
      </c>
      <c r="H150" s="1" t="s">
        <v>27</v>
      </c>
      <c r="I150" s="3">
        <v>4200</v>
      </c>
      <c r="J150" s="4">
        <v>1383732</v>
      </c>
      <c r="K150" s="3">
        <v>4200</v>
      </c>
      <c r="L150" s="3">
        <v>4200</v>
      </c>
      <c r="M150" s="2">
        <v>45915</v>
      </c>
      <c r="N150" s="4">
        <v>1504818</v>
      </c>
      <c r="O150" s="1" t="s">
        <v>21</v>
      </c>
      <c r="P150" s="1" t="s">
        <v>22</v>
      </c>
      <c r="Q150" s="1">
        <v>1</v>
      </c>
      <c r="R150" s="1" t="str">
        <f>VLOOKUP(Sales4[[#This Row],[Material type]],Master!$H$3:$I$8,2,0)</f>
        <v>Finished Goods</v>
      </c>
      <c r="S150" s="1" t="str">
        <f>VLOOKUP(Sales4[[#This Row],[Material Group]],Master!B:C,2,0)</f>
        <v>FG-PCB-CF</v>
      </c>
      <c r="T150" s="1" t="str">
        <f>VLOOKUP(Sales4[[#This Row],[Material Group Descrip]],Master!E:F,2,0)</f>
        <v>FG-PCB-CF</v>
      </c>
      <c r="U150" s="9" t="b">
        <f ca="1">(TODAY()-1)=Sales4[[#This Row],[Billing Date]]</f>
        <v>0</v>
      </c>
      <c r="V150" s="10" t="e">
        <f>Sales4[[#This Row],[Net Value]]-Sales4[[#This Row],[PGI COST]]</f>
        <v>#REF!</v>
      </c>
      <c r="W150" s="11" t="e">
        <f>Sales4[[#This Row],[Gross Margin]]/Sales4[[#This Row],[Net Value]]</f>
        <v>#REF!</v>
      </c>
      <c r="X150" s="1" t="str">
        <f>TEXT(Sales4[[#This Row],[Billing Date]],"mmmm-yy")</f>
        <v>September-25</v>
      </c>
      <c r="Y150" s="1">
        <f>Sales4[[#This Row],[Net Value]]/Sales4[[#This Row],[Billed Quantity]]</f>
        <v>358.29</v>
      </c>
      <c r="Z150" s="117">
        <f>Sales4[[#This Row],[Actual delivery qty]]</f>
        <v>4200</v>
      </c>
      <c r="AA150" s="12" t="e">
        <f>SUM(Sales4[[#This Row],[BOM Cost]:[Other Conversion cost pu]])</f>
        <v>#REF!</v>
      </c>
      <c r="AB15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5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50" s="12">
        <f>IFERROR(VLOOKUP(Sales4[[#This Row],[Material]],'COGS Break up'!#REF!,5,0),0)</f>
        <v>0</v>
      </c>
      <c r="AE15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50" s="48" t="e">
        <f>Sales4[[#This Row],[PGI per unit]]-Sales4[[#This Row],[BOM Cost]]-Sales4[[#This Row],[Labour cost per unit]]-Sales4[[#This Row],[Other Conversion cost pu]]</f>
        <v>#REF!</v>
      </c>
      <c r="AG150" s="48" t="e">
        <f>Sales4[[#This Row],[BOM Cost2]]+Sales4[[#This Row],[Labour Cost]]+Sales4[[#This Row],[Other conversion cost]]</f>
        <v>#REF!</v>
      </c>
      <c r="AH150" s="12" t="e">
        <f>Sales4[[#This Row],[Billed Quantity]]*Sales4[[#This Row],[BOM Cost]]</f>
        <v>#REF!</v>
      </c>
      <c r="AI150" s="12" t="e">
        <f>Sales4[[#This Row],[Billed Quantity]]*Sales4[[#This Row],[Labour cost per unit]]</f>
        <v>#REF!</v>
      </c>
      <c r="AJ150" s="12">
        <f>Sales4[[#This Row],[Droppage per unit]]*Sales4[[#This Row],[Billed Quantity]]</f>
        <v>0</v>
      </c>
      <c r="AK150" s="12" t="e">
        <f>Sales4[[#This Row],[Billed Quantity]]*Sales4[[#This Row],[Other Conversion cost pu]]</f>
        <v>#REF!</v>
      </c>
      <c r="AL150" s="48" t="e">
        <f>Sales4[[#This Row],[PGI Amount]]-Sales4[[#This Row],[BOM Cost2]]-Sales4[[#This Row],[Labour Cost]]-Sales4[[#This Row],[Other conversion cost]]</f>
        <v>#REF!</v>
      </c>
      <c r="AM150" s="121" t="e">
        <f>1-Sales4[[#This Row],[PGI COST]]/Sales4[[#This Row],[Net Value]]</f>
        <v>#REF!</v>
      </c>
      <c r="AN150" s="1">
        <f>Sales4[[#This Row],[PGI Amount]]/Sales4[[#This Row],[Billed Quantity]]</f>
        <v>329.46</v>
      </c>
      <c r="AO150" s="72" t="e">
        <f>SUMIFS('COGS Break up'!#REF!,'COGS Break up'!#REF!,Sales4[[#This Row],[Material]],'COGS Break up'!#REF!,'MIS Working'!$AO$1)</f>
        <v>#REF!</v>
      </c>
      <c r="AP150" s="72" t="e">
        <f>SUMIFS('COGS Break up'!#REF!,'COGS Break up'!#REF!,Sales4[[#This Row],[Material]],'COGS Break up'!#REF!,'MIS Working'!$AP$1)</f>
        <v>#REF!</v>
      </c>
      <c r="AQ150" s="72" t="e">
        <f>SUMIFS('COGS Break up'!#REF!,'COGS Break up'!#REF!,Sales4[[#This Row],[Material]],'COGS Break up'!#REF!,'MIS Working'!$AQ$1)</f>
        <v>#REF!</v>
      </c>
      <c r="AR150" s="72">
        <f>Sales4[[#This Row],[Droppage per unit]]</f>
        <v>0</v>
      </c>
      <c r="AS150" s="15" t="e">
        <f>AO150*Sales4[[#This Row],[Billed Quantity]]</f>
        <v>#REF!</v>
      </c>
      <c r="AT150" s="72" t="e">
        <f>AP150*Sales4[[#This Row],[Billed Quantity]]</f>
        <v>#REF!</v>
      </c>
      <c r="AU150" s="72" t="e">
        <f>AQ150*Sales4[[#This Row],[Billed Quantity]]</f>
        <v>#REF!</v>
      </c>
      <c r="AV150" s="72">
        <f>AR150*Sales4[[#This Row],[Billed Quantity]]</f>
        <v>0</v>
      </c>
    </row>
    <row r="151" spans="1:48" x14ac:dyDescent="0.3">
      <c r="A151" s="1" t="s">
        <v>479</v>
      </c>
      <c r="B151" s="2">
        <v>45915</v>
      </c>
      <c r="C151" s="1">
        <v>3271270278</v>
      </c>
      <c r="D151" s="1" t="s">
        <v>38</v>
      </c>
      <c r="E151" s="1" t="s">
        <v>39</v>
      </c>
      <c r="F151" s="1" t="s">
        <v>18</v>
      </c>
      <c r="G151" s="1" t="s">
        <v>19</v>
      </c>
      <c r="H151" s="1" t="s">
        <v>27</v>
      </c>
      <c r="I151" s="3">
        <v>840</v>
      </c>
      <c r="J151" s="4">
        <v>276746.40000000002</v>
      </c>
      <c r="K151" s="3">
        <v>840</v>
      </c>
      <c r="L151" s="3">
        <v>840</v>
      </c>
      <c r="M151" s="2">
        <v>45915</v>
      </c>
      <c r="N151" s="4">
        <v>300963.59999999998</v>
      </c>
      <c r="O151" s="1" t="s">
        <v>21</v>
      </c>
      <c r="P151" s="1" t="s">
        <v>22</v>
      </c>
      <c r="Q151" s="1">
        <v>1</v>
      </c>
      <c r="R151" s="1" t="str">
        <f>VLOOKUP(Sales4[[#This Row],[Material type]],Master!$H$3:$I$8,2,0)</f>
        <v>Finished Goods</v>
      </c>
      <c r="S151" s="1" t="str">
        <f>VLOOKUP(Sales4[[#This Row],[Material Group]],Master!B:C,2,0)</f>
        <v>FG-PCB-CF</v>
      </c>
      <c r="T151" s="1" t="str">
        <f>VLOOKUP(Sales4[[#This Row],[Material Group Descrip]],Master!E:F,2,0)</f>
        <v>FG-PCB-CF</v>
      </c>
      <c r="U151" s="9" t="b">
        <f ca="1">(TODAY()-1)=Sales4[[#This Row],[Billing Date]]</f>
        <v>0</v>
      </c>
      <c r="V151" s="10" t="e">
        <f>Sales4[[#This Row],[Net Value]]-Sales4[[#This Row],[PGI COST]]</f>
        <v>#REF!</v>
      </c>
      <c r="W151" s="11" t="e">
        <f>Sales4[[#This Row],[Gross Margin]]/Sales4[[#This Row],[Net Value]]</f>
        <v>#REF!</v>
      </c>
      <c r="X151" s="1" t="str">
        <f>TEXT(Sales4[[#This Row],[Billing Date]],"mmmm-yy")</f>
        <v>September-25</v>
      </c>
      <c r="Y151" s="1">
        <f>Sales4[[#This Row],[Net Value]]/Sales4[[#This Row],[Billed Quantity]]</f>
        <v>358.28999999999996</v>
      </c>
      <c r="Z151" s="117">
        <f>Sales4[[#This Row],[Actual delivery qty]]</f>
        <v>840</v>
      </c>
      <c r="AA151" s="12" t="e">
        <f>SUM(Sales4[[#This Row],[BOM Cost]:[Other Conversion cost pu]])</f>
        <v>#REF!</v>
      </c>
      <c r="AB15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5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51" s="12">
        <f>IFERROR(VLOOKUP(Sales4[[#This Row],[Material]],'COGS Break up'!#REF!,5,0),0)</f>
        <v>0</v>
      </c>
      <c r="AE15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51" s="48" t="e">
        <f>Sales4[[#This Row],[PGI per unit]]-Sales4[[#This Row],[BOM Cost]]-Sales4[[#This Row],[Labour cost per unit]]-Sales4[[#This Row],[Other Conversion cost pu]]</f>
        <v>#REF!</v>
      </c>
      <c r="AG151" s="48" t="e">
        <f>Sales4[[#This Row],[BOM Cost2]]+Sales4[[#This Row],[Labour Cost]]+Sales4[[#This Row],[Other conversion cost]]</f>
        <v>#REF!</v>
      </c>
      <c r="AH151" s="12" t="e">
        <f>Sales4[[#This Row],[Billed Quantity]]*Sales4[[#This Row],[BOM Cost]]</f>
        <v>#REF!</v>
      </c>
      <c r="AI151" s="12" t="e">
        <f>Sales4[[#This Row],[Billed Quantity]]*Sales4[[#This Row],[Labour cost per unit]]</f>
        <v>#REF!</v>
      </c>
      <c r="AJ151" s="12">
        <f>Sales4[[#This Row],[Droppage per unit]]*Sales4[[#This Row],[Billed Quantity]]</f>
        <v>0</v>
      </c>
      <c r="AK151" s="12" t="e">
        <f>Sales4[[#This Row],[Billed Quantity]]*Sales4[[#This Row],[Other Conversion cost pu]]</f>
        <v>#REF!</v>
      </c>
      <c r="AL151" s="48" t="e">
        <f>Sales4[[#This Row],[PGI Amount]]-Sales4[[#This Row],[BOM Cost2]]-Sales4[[#This Row],[Labour Cost]]-Sales4[[#This Row],[Other conversion cost]]</f>
        <v>#REF!</v>
      </c>
      <c r="AM151" s="121" t="e">
        <f>1-Sales4[[#This Row],[PGI COST]]/Sales4[[#This Row],[Net Value]]</f>
        <v>#REF!</v>
      </c>
      <c r="AN151" s="1">
        <f>Sales4[[#This Row],[PGI Amount]]/Sales4[[#This Row],[Billed Quantity]]</f>
        <v>329.46000000000004</v>
      </c>
      <c r="AO151" s="72" t="e">
        <f>SUMIFS('COGS Break up'!#REF!,'COGS Break up'!#REF!,Sales4[[#This Row],[Material]],'COGS Break up'!#REF!,'MIS Working'!$AO$1)</f>
        <v>#REF!</v>
      </c>
      <c r="AP151" s="72" t="e">
        <f>SUMIFS('COGS Break up'!#REF!,'COGS Break up'!#REF!,Sales4[[#This Row],[Material]],'COGS Break up'!#REF!,'MIS Working'!$AP$1)</f>
        <v>#REF!</v>
      </c>
      <c r="AQ151" s="72" t="e">
        <f>SUMIFS('COGS Break up'!#REF!,'COGS Break up'!#REF!,Sales4[[#This Row],[Material]],'COGS Break up'!#REF!,'MIS Working'!$AQ$1)</f>
        <v>#REF!</v>
      </c>
      <c r="AR151" s="72">
        <f>Sales4[[#This Row],[Droppage per unit]]</f>
        <v>0</v>
      </c>
      <c r="AS151" s="15" t="e">
        <f>AO151*Sales4[[#This Row],[Billed Quantity]]</f>
        <v>#REF!</v>
      </c>
      <c r="AT151" s="72" t="e">
        <f>AP151*Sales4[[#This Row],[Billed Quantity]]</f>
        <v>#REF!</v>
      </c>
      <c r="AU151" s="72" t="e">
        <f>AQ151*Sales4[[#This Row],[Billed Quantity]]</f>
        <v>#REF!</v>
      </c>
      <c r="AV151" s="72">
        <f>AR151*Sales4[[#This Row],[Billed Quantity]]</f>
        <v>0</v>
      </c>
    </row>
    <row r="152" spans="1:48" x14ac:dyDescent="0.3">
      <c r="A152" s="1" t="s">
        <v>479</v>
      </c>
      <c r="B152" s="2">
        <v>45915</v>
      </c>
      <c r="C152" s="1">
        <v>3271270618</v>
      </c>
      <c r="D152" s="1" t="s">
        <v>38</v>
      </c>
      <c r="E152" s="1" t="s">
        <v>39</v>
      </c>
      <c r="F152" s="1" t="s">
        <v>18</v>
      </c>
      <c r="G152" s="1" t="s">
        <v>19</v>
      </c>
      <c r="H152" s="1" t="s">
        <v>27</v>
      </c>
      <c r="I152" s="3">
        <v>840</v>
      </c>
      <c r="J152" s="4">
        <v>276746.40000000002</v>
      </c>
      <c r="K152" s="3">
        <v>840</v>
      </c>
      <c r="L152" s="3">
        <v>840</v>
      </c>
      <c r="M152" s="2">
        <v>45915</v>
      </c>
      <c r="N152" s="4">
        <v>300963.59999999998</v>
      </c>
      <c r="O152" s="1" t="s">
        <v>21</v>
      </c>
      <c r="P152" s="1" t="s">
        <v>22</v>
      </c>
      <c r="Q152" s="1">
        <v>1</v>
      </c>
      <c r="R152" s="1" t="str">
        <f>VLOOKUP(Sales4[[#This Row],[Material type]],Master!$H$3:$I$8,2,0)</f>
        <v>Finished Goods</v>
      </c>
      <c r="S152" s="1" t="str">
        <f>VLOOKUP(Sales4[[#This Row],[Material Group]],Master!B:C,2,0)</f>
        <v>FG-PCB-CF</v>
      </c>
      <c r="T152" s="1" t="str">
        <f>VLOOKUP(Sales4[[#This Row],[Material Group Descrip]],Master!E:F,2,0)</f>
        <v>FG-PCB-CF</v>
      </c>
      <c r="U152" s="9" t="b">
        <f ca="1">(TODAY()-1)=Sales4[[#This Row],[Billing Date]]</f>
        <v>0</v>
      </c>
      <c r="V152" s="10" t="e">
        <f>Sales4[[#This Row],[Net Value]]-Sales4[[#This Row],[PGI COST]]</f>
        <v>#REF!</v>
      </c>
      <c r="W152" s="11" t="e">
        <f>Sales4[[#This Row],[Gross Margin]]/Sales4[[#This Row],[Net Value]]</f>
        <v>#REF!</v>
      </c>
      <c r="X152" s="1" t="str">
        <f>TEXT(Sales4[[#This Row],[Billing Date]],"mmmm-yy")</f>
        <v>September-25</v>
      </c>
      <c r="Y152" s="1">
        <f>Sales4[[#This Row],[Net Value]]/Sales4[[#This Row],[Billed Quantity]]</f>
        <v>358.28999999999996</v>
      </c>
      <c r="Z152" s="117">
        <f>Sales4[[#This Row],[Actual delivery qty]]</f>
        <v>840</v>
      </c>
      <c r="AA152" s="12" t="e">
        <f>SUM(Sales4[[#This Row],[BOM Cost]:[Other Conversion cost pu]])</f>
        <v>#REF!</v>
      </c>
      <c r="AB15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5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52" s="12">
        <f>IFERROR(VLOOKUP(Sales4[[#This Row],[Material]],'COGS Break up'!#REF!,5,0),0)</f>
        <v>0</v>
      </c>
      <c r="AE15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52" s="48" t="e">
        <f>Sales4[[#This Row],[PGI per unit]]-Sales4[[#This Row],[BOM Cost]]-Sales4[[#This Row],[Labour cost per unit]]-Sales4[[#This Row],[Other Conversion cost pu]]</f>
        <v>#REF!</v>
      </c>
      <c r="AG152" s="48" t="e">
        <f>Sales4[[#This Row],[BOM Cost2]]+Sales4[[#This Row],[Labour Cost]]+Sales4[[#This Row],[Other conversion cost]]</f>
        <v>#REF!</v>
      </c>
      <c r="AH152" s="12" t="e">
        <f>Sales4[[#This Row],[Billed Quantity]]*Sales4[[#This Row],[BOM Cost]]</f>
        <v>#REF!</v>
      </c>
      <c r="AI152" s="12" t="e">
        <f>Sales4[[#This Row],[Billed Quantity]]*Sales4[[#This Row],[Labour cost per unit]]</f>
        <v>#REF!</v>
      </c>
      <c r="AJ152" s="12">
        <f>Sales4[[#This Row],[Droppage per unit]]*Sales4[[#This Row],[Billed Quantity]]</f>
        <v>0</v>
      </c>
      <c r="AK152" s="12" t="e">
        <f>Sales4[[#This Row],[Billed Quantity]]*Sales4[[#This Row],[Other Conversion cost pu]]</f>
        <v>#REF!</v>
      </c>
      <c r="AL152" s="48" t="e">
        <f>Sales4[[#This Row],[PGI Amount]]-Sales4[[#This Row],[BOM Cost2]]-Sales4[[#This Row],[Labour Cost]]-Sales4[[#This Row],[Other conversion cost]]</f>
        <v>#REF!</v>
      </c>
      <c r="AM152" s="121" t="e">
        <f>1-Sales4[[#This Row],[PGI COST]]/Sales4[[#This Row],[Net Value]]</f>
        <v>#REF!</v>
      </c>
      <c r="AN152" s="1">
        <f>Sales4[[#This Row],[PGI Amount]]/Sales4[[#This Row],[Billed Quantity]]</f>
        <v>329.46000000000004</v>
      </c>
      <c r="AO152" s="72" t="e">
        <f>SUMIFS('COGS Break up'!#REF!,'COGS Break up'!#REF!,Sales4[[#This Row],[Material]],'COGS Break up'!#REF!,'MIS Working'!$AO$1)</f>
        <v>#REF!</v>
      </c>
      <c r="AP152" s="72" t="e">
        <f>SUMIFS('COGS Break up'!#REF!,'COGS Break up'!#REF!,Sales4[[#This Row],[Material]],'COGS Break up'!#REF!,'MIS Working'!$AP$1)</f>
        <v>#REF!</v>
      </c>
      <c r="AQ152" s="72" t="e">
        <f>SUMIFS('COGS Break up'!#REF!,'COGS Break up'!#REF!,Sales4[[#This Row],[Material]],'COGS Break up'!#REF!,'MIS Working'!$AQ$1)</f>
        <v>#REF!</v>
      </c>
      <c r="AR152" s="72">
        <f>Sales4[[#This Row],[Droppage per unit]]</f>
        <v>0</v>
      </c>
      <c r="AS152" s="15" t="e">
        <f>AO152*Sales4[[#This Row],[Billed Quantity]]</f>
        <v>#REF!</v>
      </c>
      <c r="AT152" s="72" t="e">
        <f>AP152*Sales4[[#This Row],[Billed Quantity]]</f>
        <v>#REF!</v>
      </c>
      <c r="AU152" s="72" t="e">
        <f>AQ152*Sales4[[#This Row],[Billed Quantity]]</f>
        <v>#REF!</v>
      </c>
      <c r="AV152" s="72">
        <f>AR152*Sales4[[#This Row],[Billed Quantity]]</f>
        <v>0</v>
      </c>
    </row>
    <row r="153" spans="1:48" x14ac:dyDescent="0.3">
      <c r="A153" s="1" t="s">
        <v>479</v>
      </c>
      <c r="B153" s="2">
        <v>45915</v>
      </c>
      <c r="C153" s="1">
        <v>3271270618</v>
      </c>
      <c r="D153" s="1" t="s">
        <v>23</v>
      </c>
      <c r="E153" s="1" t="s">
        <v>24</v>
      </c>
      <c r="F153" s="1" t="s">
        <v>18</v>
      </c>
      <c r="G153" s="1" t="s">
        <v>19</v>
      </c>
      <c r="H153" s="1" t="s">
        <v>27</v>
      </c>
      <c r="I153" s="3">
        <v>175</v>
      </c>
      <c r="J153" s="4">
        <v>74275.25</v>
      </c>
      <c r="K153" s="3">
        <v>175</v>
      </c>
      <c r="L153" s="3">
        <v>175</v>
      </c>
      <c r="M153" s="2">
        <v>45915</v>
      </c>
      <c r="N153" s="4">
        <v>84553</v>
      </c>
      <c r="O153" s="1" t="s">
        <v>21</v>
      </c>
      <c r="P153" s="1" t="s">
        <v>22</v>
      </c>
      <c r="Q153" s="1">
        <v>1</v>
      </c>
      <c r="R153" s="1" t="str">
        <f>VLOOKUP(Sales4[[#This Row],[Material type]],Master!$H$3:$I$8,2,0)</f>
        <v>Finished Goods</v>
      </c>
      <c r="S153" s="1" t="str">
        <f>VLOOKUP(Sales4[[#This Row],[Material Group]],Master!B:C,2,0)</f>
        <v>FG-PCB-CF</v>
      </c>
      <c r="T153" s="1" t="str">
        <f>VLOOKUP(Sales4[[#This Row],[Material Group Descrip]],Master!E:F,2,0)</f>
        <v>FG-PCB-CF</v>
      </c>
      <c r="U153" s="9" t="b">
        <f ca="1">(TODAY()-1)=Sales4[[#This Row],[Billing Date]]</f>
        <v>0</v>
      </c>
      <c r="V153" s="10" t="e">
        <f>Sales4[[#This Row],[Net Value]]-Sales4[[#This Row],[PGI COST]]</f>
        <v>#REF!</v>
      </c>
      <c r="W153" s="11" t="e">
        <f>Sales4[[#This Row],[Gross Margin]]/Sales4[[#This Row],[Net Value]]</f>
        <v>#REF!</v>
      </c>
      <c r="X153" s="1" t="str">
        <f>TEXT(Sales4[[#This Row],[Billing Date]],"mmmm-yy")</f>
        <v>September-25</v>
      </c>
      <c r="Y153" s="1">
        <f>Sales4[[#This Row],[Net Value]]/Sales4[[#This Row],[Billed Quantity]]</f>
        <v>483.16</v>
      </c>
      <c r="Z153" s="117">
        <f>Sales4[[#This Row],[Actual delivery qty]]</f>
        <v>175</v>
      </c>
      <c r="AA153" s="12" t="e">
        <f>SUM(Sales4[[#This Row],[BOM Cost]:[Other Conversion cost pu]])</f>
        <v>#REF!</v>
      </c>
      <c r="AB15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5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53" s="12">
        <f>IFERROR(VLOOKUP(Sales4[[#This Row],[Material]],'COGS Break up'!#REF!,5,0),0)</f>
        <v>0</v>
      </c>
      <c r="AE15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53" s="48" t="e">
        <f>Sales4[[#This Row],[PGI per unit]]-Sales4[[#This Row],[BOM Cost]]-Sales4[[#This Row],[Labour cost per unit]]-Sales4[[#This Row],[Other Conversion cost pu]]</f>
        <v>#REF!</v>
      </c>
      <c r="AG153" s="48" t="e">
        <f>Sales4[[#This Row],[BOM Cost2]]+Sales4[[#This Row],[Labour Cost]]+Sales4[[#This Row],[Other conversion cost]]</f>
        <v>#REF!</v>
      </c>
      <c r="AH153" s="12" t="e">
        <f>Sales4[[#This Row],[Billed Quantity]]*Sales4[[#This Row],[BOM Cost]]</f>
        <v>#REF!</v>
      </c>
      <c r="AI153" s="12" t="e">
        <f>Sales4[[#This Row],[Billed Quantity]]*Sales4[[#This Row],[Labour cost per unit]]</f>
        <v>#REF!</v>
      </c>
      <c r="AJ153" s="12">
        <f>Sales4[[#This Row],[Droppage per unit]]*Sales4[[#This Row],[Billed Quantity]]</f>
        <v>0</v>
      </c>
      <c r="AK153" s="12" t="e">
        <f>Sales4[[#This Row],[Billed Quantity]]*Sales4[[#This Row],[Other Conversion cost pu]]</f>
        <v>#REF!</v>
      </c>
      <c r="AL153" s="48" t="e">
        <f>Sales4[[#This Row],[PGI Amount]]-Sales4[[#This Row],[BOM Cost2]]-Sales4[[#This Row],[Labour Cost]]-Sales4[[#This Row],[Other conversion cost]]</f>
        <v>#REF!</v>
      </c>
      <c r="AM153" s="121" t="e">
        <f>1-Sales4[[#This Row],[PGI COST]]/Sales4[[#This Row],[Net Value]]</f>
        <v>#REF!</v>
      </c>
      <c r="AN153" s="1">
        <f>Sales4[[#This Row],[PGI Amount]]/Sales4[[#This Row],[Billed Quantity]]</f>
        <v>424.43</v>
      </c>
      <c r="AO153" s="72" t="e">
        <f>SUMIFS('COGS Break up'!#REF!,'COGS Break up'!#REF!,Sales4[[#This Row],[Material]],'COGS Break up'!#REF!,'MIS Working'!$AO$1)</f>
        <v>#REF!</v>
      </c>
      <c r="AP153" s="72" t="e">
        <f>SUMIFS('COGS Break up'!#REF!,'COGS Break up'!#REF!,Sales4[[#This Row],[Material]],'COGS Break up'!#REF!,'MIS Working'!$AP$1)</f>
        <v>#REF!</v>
      </c>
      <c r="AQ153" s="72" t="e">
        <f>SUMIFS('COGS Break up'!#REF!,'COGS Break up'!#REF!,Sales4[[#This Row],[Material]],'COGS Break up'!#REF!,'MIS Working'!$AQ$1)</f>
        <v>#REF!</v>
      </c>
      <c r="AR153" s="72">
        <f>Sales4[[#This Row],[Droppage per unit]]</f>
        <v>0</v>
      </c>
      <c r="AS153" s="15" t="e">
        <f>AO153*Sales4[[#This Row],[Billed Quantity]]</f>
        <v>#REF!</v>
      </c>
      <c r="AT153" s="72" t="e">
        <f>AP153*Sales4[[#This Row],[Billed Quantity]]</f>
        <v>#REF!</v>
      </c>
      <c r="AU153" s="72" t="e">
        <f>AQ153*Sales4[[#This Row],[Billed Quantity]]</f>
        <v>#REF!</v>
      </c>
      <c r="AV153" s="72">
        <f>AR153*Sales4[[#This Row],[Billed Quantity]]</f>
        <v>0</v>
      </c>
    </row>
    <row r="154" spans="1:48" x14ac:dyDescent="0.3">
      <c r="A154" s="1" t="s">
        <v>479</v>
      </c>
      <c r="B154" s="2">
        <v>45915</v>
      </c>
      <c r="C154" s="1">
        <v>3271270605</v>
      </c>
      <c r="D154" s="1" t="s">
        <v>23</v>
      </c>
      <c r="E154" s="1" t="s">
        <v>24</v>
      </c>
      <c r="F154" s="1" t="s">
        <v>18</v>
      </c>
      <c r="G154" s="1" t="s">
        <v>19</v>
      </c>
      <c r="H154" s="1" t="s">
        <v>27</v>
      </c>
      <c r="I154" s="3">
        <v>245</v>
      </c>
      <c r="J154" s="4">
        <v>103985.35</v>
      </c>
      <c r="K154" s="3">
        <v>245</v>
      </c>
      <c r="L154" s="3">
        <v>245</v>
      </c>
      <c r="M154" s="2">
        <v>45915</v>
      </c>
      <c r="N154" s="4">
        <v>118374.2</v>
      </c>
      <c r="O154" s="1" t="s">
        <v>21</v>
      </c>
      <c r="P154" s="1" t="s">
        <v>22</v>
      </c>
      <c r="Q154" s="1">
        <v>1</v>
      </c>
      <c r="R154" s="1" t="str">
        <f>VLOOKUP(Sales4[[#This Row],[Material type]],Master!$H$3:$I$8,2,0)</f>
        <v>Finished Goods</v>
      </c>
      <c r="S154" s="1" t="str">
        <f>VLOOKUP(Sales4[[#This Row],[Material Group]],Master!B:C,2,0)</f>
        <v>FG-PCB-CF</v>
      </c>
      <c r="T154" s="1" t="str">
        <f>VLOOKUP(Sales4[[#This Row],[Material Group Descrip]],Master!E:F,2,0)</f>
        <v>FG-PCB-CF</v>
      </c>
      <c r="U154" s="9" t="b">
        <f ca="1">(TODAY()-1)=Sales4[[#This Row],[Billing Date]]</f>
        <v>0</v>
      </c>
      <c r="V154" s="10" t="e">
        <f>Sales4[[#This Row],[Net Value]]-Sales4[[#This Row],[PGI COST]]</f>
        <v>#REF!</v>
      </c>
      <c r="W154" s="11" t="e">
        <f>Sales4[[#This Row],[Gross Margin]]/Sales4[[#This Row],[Net Value]]</f>
        <v>#REF!</v>
      </c>
      <c r="X154" s="1" t="str">
        <f>TEXT(Sales4[[#This Row],[Billing Date]],"mmmm-yy")</f>
        <v>September-25</v>
      </c>
      <c r="Y154" s="1">
        <f>Sales4[[#This Row],[Net Value]]/Sales4[[#This Row],[Billed Quantity]]</f>
        <v>483.15999999999997</v>
      </c>
      <c r="Z154" s="117">
        <f>Sales4[[#This Row],[Actual delivery qty]]</f>
        <v>245</v>
      </c>
      <c r="AA154" s="12" t="e">
        <f>SUM(Sales4[[#This Row],[BOM Cost]:[Other Conversion cost pu]])</f>
        <v>#REF!</v>
      </c>
      <c r="AB15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5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54" s="12">
        <f>IFERROR(VLOOKUP(Sales4[[#This Row],[Material]],'COGS Break up'!#REF!,5,0),0)</f>
        <v>0</v>
      </c>
      <c r="AE15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54" s="48" t="e">
        <f>Sales4[[#This Row],[PGI per unit]]-Sales4[[#This Row],[BOM Cost]]-Sales4[[#This Row],[Labour cost per unit]]-Sales4[[#This Row],[Other Conversion cost pu]]</f>
        <v>#REF!</v>
      </c>
      <c r="AG154" s="48" t="e">
        <f>Sales4[[#This Row],[BOM Cost2]]+Sales4[[#This Row],[Labour Cost]]+Sales4[[#This Row],[Other conversion cost]]</f>
        <v>#REF!</v>
      </c>
      <c r="AH154" s="12" t="e">
        <f>Sales4[[#This Row],[Billed Quantity]]*Sales4[[#This Row],[BOM Cost]]</f>
        <v>#REF!</v>
      </c>
      <c r="AI154" s="12" t="e">
        <f>Sales4[[#This Row],[Billed Quantity]]*Sales4[[#This Row],[Labour cost per unit]]</f>
        <v>#REF!</v>
      </c>
      <c r="AJ154" s="12">
        <f>Sales4[[#This Row],[Droppage per unit]]*Sales4[[#This Row],[Billed Quantity]]</f>
        <v>0</v>
      </c>
      <c r="AK154" s="12" t="e">
        <f>Sales4[[#This Row],[Billed Quantity]]*Sales4[[#This Row],[Other Conversion cost pu]]</f>
        <v>#REF!</v>
      </c>
      <c r="AL154" s="48" t="e">
        <f>Sales4[[#This Row],[PGI Amount]]-Sales4[[#This Row],[BOM Cost2]]-Sales4[[#This Row],[Labour Cost]]-Sales4[[#This Row],[Other conversion cost]]</f>
        <v>#REF!</v>
      </c>
      <c r="AM154" s="121" t="e">
        <f>1-Sales4[[#This Row],[PGI COST]]/Sales4[[#This Row],[Net Value]]</f>
        <v>#REF!</v>
      </c>
      <c r="AN154" s="1">
        <f>Sales4[[#This Row],[PGI Amount]]/Sales4[[#This Row],[Billed Quantity]]</f>
        <v>424.43</v>
      </c>
      <c r="AO154" s="72" t="e">
        <f>SUMIFS('COGS Break up'!#REF!,'COGS Break up'!#REF!,Sales4[[#This Row],[Material]],'COGS Break up'!#REF!,'MIS Working'!$AO$1)</f>
        <v>#REF!</v>
      </c>
      <c r="AP154" s="72" t="e">
        <f>SUMIFS('COGS Break up'!#REF!,'COGS Break up'!#REF!,Sales4[[#This Row],[Material]],'COGS Break up'!#REF!,'MIS Working'!$AP$1)</f>
        <v>#REF!</v>
      </c>
      <c r="AQ154" s="72" t="e">
        <f>SUMIFS('COGS Break up'!#REF!,'COGS Break up'!#REF!,Sales4[[#This Row],[Material]],'COGS Break up'!#REF!,'MIS Working'!$AQ$1)</f>
        <v>#REF!</v>
      </c>
      <c r="AR154" s="72">
        <f>Sales4[[#This Row],[Droppage per unit]]</f>
        <v>0</v>
      </c>
      <c r="AS154" s="15" t="e">
        <f>AO154*Sales4[[#This Row],[Billed Quantity]]</f>
        <v>#REF!</v>
      </c>
      <c r="AT154" s="72" t="e">
        <f>AP154*Sales4[[#This Row],[Billed Quantity]]</f>
        <v>#REF!</v>
      </c>
      <c r="AU154" s="72" t="e">
        <f>AQ154*Sales4[[#This Row],[Billed Quantity]]</f>
        <v>#REF!</v>
      </c>
      <c r="AV154" s="72">
        <f>AR154*Sales4[[#This Row],[Billed Quantity]]</f>
        <v>0</v>
      </c>
    </row>
    <row r="155" spans="1:48" x14ac:dyDescent="0.3">
      <c r="A155" s="1" t="s">
        <v>479</v>
      </c>
      <c r="B155" s="2">
        <v>45915</v>
      </c>
      <c r="C155" s="1">
        <v>3271270278</v>
      </c>
      <c r="D155" s="1" t="s">
        <v>23</v>
      </c>
      <c r="E155" s="1" t="s">
        <v>24</v>
      </c>
      <c r="F155" s="1" t="s">
        <v>18</v>
      </c>
      <c r="G155" s="1" t="s">
        <v>19</v>
      </c>
      <c r="H155" s="1" t="s">
        <v>27</v>
      </c>
      <c r="I155" s="3">
        <v>840</v>
      </c>
      <c r="J155" s="4">
        <v>356521.2</v>
      </c>
      <c r="K155" s="3">
        <v>840</v>
      </c>
      <c r="L155" s="3">
        <v>840</v>
      </c>
      <c r="M155" s="2">
        <v>45915</v>
      </c>
      <c r="N155" s="4">
        <v>405854.4</v>
      </c>
      <c r="O155" s="1" t="s">
        <v>21</v>
      </c>
      <c r="P155" s="1" t="s">
        <v>22</v>
      </c>
      <c r="Q155" s="1">
        <v>1</v>
      </c>
      <c r="R155" s="1" t="str">
        <f>VLOOKUP(Sales4[[#This Row],[Material type]],Master!$H$3:$I$8,2,0)</f>
        <v>Finished Goods</v>
      </c>
      <c r="S155" s="1" t="str">
        <f>VLOOKUP(Sales4[[#This Row],[Material Group]],Master!B:C,2,0)</f>
        <v>FG-PCB-CF</v>
      </c>
      <c r="T155" s="1" t="str">
        <f>VLOOKUP(Sales4[[#This Row],[Material Group Descrip]],Master!E:F,2,0)</f>
        <v>FG-PCB-CF</v>
      </c>
      <c r="U155" s="9" t="b">
        <f ca="1">(TODAY()-1)=Sales4[[#This Row],[Billing Date]]</f>
        <v>0</v>
      </c>
      <c r="V155" s="10" t="e">
        <f>Sales4[[#This Row],[Net Value]]-Sales4[[#This Row],[PGI COST]]</f>
        <v>#REF!</v>
      </c>
      <c r="W155" s="11" t="e">
        <f>Sales4[[#This Row],[Gross Margin]]/Sales4[[#This Row],[Net Value]]</f>
        <v>#REF!</v>
      </c>
      <c r="X155" s="1" t="str">
        <f>TEXT(Sales4[[#This Row],[Billing Date]],"mmmm-yy")</f>
        <v>September-25</v>
      </c>
      <c r="Y155" s="1">
        <f>Sales4[[#This Row],[Net Value]]/Sales4[[#This Row],[Billed Quantity]]</f>
        <v>483.16</v>
      </c>
      <c r="Z155" s="117">
        <f>Sales4[[#This Row],[Actual delivery qty]]</f>
        <v>840</v>
      </c>
      <c r="AA155" s="12" t="e">
        <f>SUM(Sales4[[#This Row],[BOM Cost]:[Other Conversion cost pu]])</f>
        <v>#REF!</v>
      </c>
      <c r="AB15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5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55" s="12">
        <f>IFERROR(VLOOKUP(Sales4[[#This Row],[Material]],'COGS Break up'!#REF!,5,0),0)</f>
        <v>0</v>
      </c>
      <c r="AE15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55" s="48" t="e">
        <f>Sales4[[#This Row],[PGI per unit]]-Sales4[[#This Row],[BOM Cost]]-Sales4[[#This Row],[Labour cost per unit]]-Sales4[[#This Row],[Other Conversion cost pu]]</f>
        <v>#REF!</v>
      </c>
      <c r="AG155" s="48" t="e">
        <f>Sales4[[#This Row],[BOM Cost2]]+Sales4[[#This Row],[Labour Cost]]+Sales4[[#This Row],[Other conversion cost]]</f>
        <v>#REF!</v>
      </c>
      <c r="AH155" s="12" t="e">
        <f>Sales4[[#This Row],[Billed Quantity]]*Sales4[[#This Row],[BOM Cost]]</f>
        <v>#REF!</v>
      </c>
      <c r="AI155" s="12" t="e">
        <f>Sales4[[#This Row],[Billed Quantity]]*Sales4[[#This Row],[Labour cost per unit]]</f>
        <v>#REF!</v>
      </c>
      <c r="AJ155" s="12">
        <f>Sales4[[#This Row],[Droppage per unit]]*Sales4[[#This Row],[Billed Quantity]]</f>
        <v>0</v>
      </c>
      <c r="AK155" s="12" t="e">
        <f>Sales4[[#This Row],[Billed Quantity]]*Sales4[[#This Row],[Other Conversion cost pu]]</f>
        <v>#REF!</v>
      </c>
      <c r="AL155" s="48" t="e">
        <f>Sales4[[#This Row],[PGI Amount]]-Sales4[[#This Row],[BOM Cost2]]-Sales4[[#This Row],[Labour Cost]]-Sales4[[#This Row],[Other conversion cost]]</f>
        <v>#REF!</v>
      </c>
      <c r="AM155" s="121" t="e">
        <f>1-Sales4[[#This Row],[PGI COST]]/Sales4[[#This Row],[Net Value]]</f>
        <v>#REF!</v>
      </c>
      <c r="AN155" s="1">
        <f>Sales4[[#This Row],[PGI Amount]]/Sales4[[#This Row],[Billed Quantity]]</f>
        <v>424.43</v>
      </c>
      <c r="AO155" s="72" t="e">
        <f>SUMIFS('COGS Break up'!#REF!,'COGS Break up'!#REF!,Sales4[[#This Row],[Material]],'COGS Break up'!#REF!,'MIS Working'!$AO$1)</f>
        <v>#REF!</v>
      </c>
      <c r="AP155" s="72" t="e">
        <f>SUMIFS('COGS Break up'!#REF!,'COGS Break up'!#REF!,Sales4[[#This Row],[Material]],'COGS Break up'!#REF!,'MIS Working'!$AP$1)</f>
        <v>#REF!</v>
      </c>
      <c r="AQ155" s="72" t="e">
        <f>SUMIFS('COGS Break up'!#REF!,'COGS Break up'!#REF!,Sales4[[#This Row],[Material]],'COGS Break up'!#REF!,'MIS Working'!$AQ$1)</f>
        <v>#REF!</v>
      </c>
      <c r="AR155" s="72">
        <f>Sales4[[#This Row],[Droppage per unit]]</f>
        <v>0</v>
      </c>
      <c r="AS155" s="15" t="e">
        <f>AO155*Sales4[[#This Row],[Billed Quantity]]</f>
        <v>#REF!</v>
      </c>
      <c r="AT155" s="72" t="e">
        <f>AP155*Sales4[[#This Row],[Billed Quantity]]</f>
        <v>#REF!</v>
      </c>
      <c r="AU155" s="72" t="e">
        <f>AQ155*Sales4[[#This Row],[Billed Quantity]]</f>
        <v>#REF!</v>
      </c>
      <c r="AV155" s="72">
        <f>AR155*Sales4[[#This Row],[Billed Quantity]]</f>
        <v>0</v>
      </c>
    </row>
    <row r="156" spans="1:48" x14ac:dyDescent="0.3">
      <c r="A156" s="1" t="s">
        <v>479</v>
      </c>
      <c r="B156" s="2">
        <v>45915</v>
      </c>
      <c r="C156" s="1">
        <v>3271270255</v>
      </c>
      <c r="D156" s="1" t="s">
        <v>23</v>
      </c>
      <c r="E156" s="1" t="s">
        <v>24</v>
      </c>
      <c r="F156" s="1" t="s">
        <v>18</v>
      </c>
      <c r="G156" s="1" t="s">
        <v>19</v>
      </c>
      <c r="H156" s="1" t="s">
        <v>27</v>
      </c>
      <c r="I156" s="3">
        <v>840</v>
      </c>
      <c r="J156" s="4">
        <v>356521.2</v>
      </c>
      <c r="K156" s="3">
        <v>840</v>
      </c>
      <c r="L156" s="3">
        <v>840</v>
      </c>
      <c r="M156" s="2">
        <v>45915</v>
      </c>
      <c r="N156" s="4">
        <v>405854.4</v>
      </c>
      <c r="O156" s="1" t="s">
        <v>21</v>
      </c>
      <c r="P156" s="1" t="s">
        <v>22</v>
      </c>
      <c r="Q156" s="1">
        <v>1</v>
      </c>
      <c r="R156" s="1" t="str">
        <f>VLOOKUP(Sales4[[#This Row],[Material type]],Master!$H$3:$I$8,2,0)</f>
        <v>Finished Goods</v>
      </c>
      <c r="S156" s="1" t="str">
        <f>VLOOKUP(Sales4[[#This Row],[Material Group]],Master!B:C,2,0)</f>
        <v>FG-PCB-CF</v>
      </c>
      <c r="T156" s="1" t="str">
        <f>VLOOKUP(Sales4[[#This Row],[Material Group Descrip]],Master!E:F,2,0)</f>
        <v>FG-PCB-CF</v>
      </c>
      <c r="U156" s="9" t="b">
        <f ca="1">(TODAY()-1)=Sales4[[#This Row],[Billing Date]]</f>
        <v>0</v>
      </c>
      <c r="V156" s="10" t="e">
        <f>Sales4[[#This Row],[Net Value]]-Sales4[[#This Row],[PGI COST]]</f>
        <v>#REF!</v>
      </c>
      <c r="W156" s="11" t="e">
        <f>Sales4[[#This Row],[Gross Margin]]/Sales4[[#This Row],[Net Value]]</f>
        <v>#REF!</v>
      </c>
      <c r="X156" s="1" t="str">
        <f>TEXT(Sales4[[#This Row],[Billing Date]],"mmmm-yy")</f>
        <v>September-25</v>
      </c>
      <c r="Y156" s="1">
        <f>Sales4[[#This Row],[Net Value]]/Sales4[[#This Row],[Billed Quantity]]</f>
        <v>483.16</v>
      </c>
      <c r="Z156" s="117">
        <f>Sales4[[#This Row],[Actual delivery qty]]</f>
        <v>840</v>
      </c>
      <c r="AA156" s="12" t="e">
        <f>SUM(Sales4[[#This Row],[BOM Cost]:[Other Conversion cost pu]])</f>
        <v>#REF!</v>
      </c>
      <c r="AB15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5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56" s="12">
        <f>IFERROR(VLOOKUP(Sales4[[#This Row],[Material]],'COGS Break up'!#REF!,5,0),0)</f>
        <v>0</v>
      </c>
      <c r="AE15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56" s="48" t="e">
        <f>Sales4[[#This Row],[PGI per unit]]-Sales4[[#This Row],[BOM Cost]]-Sales4[[#This Row],[Labour cost per unit]]-Sales4[[#This Row],[Other Conversion cost pu]]</f>
        <v>#REF!</v>
      </c>
      <c r="AG156" s="48" t="e">
        <f>Sales4[[#This Row],[BOM Cost2]]+Sales4[[#This Row],[Labour Cost]]+Sales4[[#This Row],[Other conversion cost]]</f>
        <v>#REF!</v>
      </c>
      <c r="AH156" s="12" t="e">
        <f>Sales4[[#This Row],[Billed Quantity]]*Sales4[[#This Row],[BOM Cost]]</f>
        <v>#REF!</v>
      </c>
      <c r="AI156" s="12" t="e">
        <f>Sales4[[#This Row],[Billed Quantity]]*Sales4[[#This Row],[Labour cost per unit]]</f>
        <v>#REF!</v>
      </c>
      <c r="AJ156" s="12">
        <f>Sales4[[#This Row],[Droppage per unit]]*Sales4[[#This Row],[Billed Quantity]]</f>
        <v>0</v>
      </c>
      <c r="AK156" s="12" t="e">
        <f>Sales4[[#This Row],[Billed Quantity]]*Sales4[[#This Row],[Other Conversion cost pu]]</f>
        <v>#REF!</v>
      </c>
      <c r="AL156" s="48" t="e">
        <f>Sales4[[#This Row],[PGI Amount]]-Sales4[[#This Row],[BOM Cost2]]-Sales4[[#This Row],[Labour Cost]]-Sales4[[#This Row],[Other conversion cost]]</f>
        <v>#REF!</v>
      </c>
      <c r="AM156" s="121" t="e">
        <f>1-Sales4[[#This Row],[PGI COST]]/Sales4[[#This Row],[Net Value]]</f>
        <v>#REF!</v>
      </c>
      <c r="AN156" s="1">
        <f>Sales4[[#This Row],[PGI Amount]]/Sales4[[#This Row],[Billed Quantity]]</f>
        <v>424.43</v>
      </c>
      <c r="AO156" s="72" t="e">
        <f>SUMIFS('COGS Break up'!#REF!,'COGS Break up'!#REF!,Sales4[[#This Row],[Material]],'COGS Break up'!#REF!,'MIS Working'!$AO$1)</f>
        <v>#REF!</v>
      </c>
      <c r="AP156" s="72" t="e">
        <f>SUMIFS('COGS Break up'!#REF!,'COGS Break up'!#REF!,Sales4[[#This Row],[Material]],'COGS Break up'!#REF!,'MIS Working'!$AP$1)</f>
        <v>#REF!</v>
      </c>
      <c r="AQ156" s="72" t="e">
        <f>SUMIFS('COGS Break up'!#REF!,'COGS Break up'!#REF!,Sales4[[#This Row],[Material]],'COGS Break up'!#REF!,'MIS Working'!$AQ$1)</f>
        <v>#REF!</v>
      </c>
      <c r="AR156" s="72">
        <f>Sales4[[#This Row],[Droppage per unit]]</f>
        <v>0</v>
      </c>
      <c r="AS156" s="15" t="e">
        <f>AO156*Sales4[[#This Row],[Billed Quantity]]</f>
        <v>#REF!</v>
      </c>
      <c r="AT156" s="72" t="e">
        <f>AP156*Sales4[[#This Row],[Billed Quantity]]</f>
        <v>#REF!</v>
      </c>
      <c r="AU156" s="72" t="e">
        <f>AQ156*Sales4[[#This Row],[Billed Quantity]]</f>
        <v>#REF!</v>
      </c>
      <c r="AV156" s="72">
        <f>AR156*Sales4[[#This Row],[Billed Quantity]]</f>
        <v>0</v>
      </c>
    </row>
    <row r="157" spans="1:48" x14ac:dyDescent="0.3">
      <c r="A157" s="1" t="s">
        <v>479</v>
      </c>
      <c r="B157" s="2">
        <v>45915</v>
      </c>
      <c r="C157" s="1">
        <v>3271270618</v>
      </c>
      <c r="D157" s="1" t="s">
        <v>362</v>
      </c>
      <c r="E157" s="1" t="s">
        <v>363</v>
      </c>
      <c r="F157" s="1" t="s">
        <v>18</v>
      </c>
      <c r="G157" s="1" t="s">
        <v>19</v>
      </c>
      <c r="H157" s="1" t="s">
        <v>483</v>
      </c>
      <c r="I157" s="3">
        <v>210</v>
      </c>
      <c r="J157" s="4">
        <v>153953.1</v>
      </c>
      <c r="K157" s="3">
        <v>210</v>
      </c>
      <c r="L157" s="3">
        <v>210</v>
      </c>
      <c r="M157" s="2">
        <v>45915</v>
      </c>
      <c r="N157" s="4">
        <v>181070.4</v>
      </c>
      <c r="O157" s="1" t="s">
        <v>21</v>
      </c>
      <c r="P157" s="1" t="s">
        <v>22</v>
      </c>
      <c r="Q157" s="1">
        <v>1</v>
      </c>
      <c r="R157" s="1" t="str">
        <f>VLOOKUP(Sales4[[#This Row],[Material type]],Master!$H$3:$I$8,2,0)</f>
        <v>Finished Goods</v>
      </c>
      <c r="S157" s="1" t="str">
        <f>VLOOKUP(Sales4[[#This Row],[Material Group]],Master!B:C,2,0)</f>
        <v>FG-PCB-MG</v>
      </c>
      <c r="T157" s="1" t="str">
        <f>VLOOKUP(Sales4[[#This Row],[Material Group Descrip]],Master!E:F,2,0)</f>
        <v>FG-PCB-MG</v>
      </c>
      <c r="U157" s="9" t="b">
        <f ca="1">(TODAY()-1)=Sales4[[#This Row],[Billing Date]]</f>
        <v>0</v>
      </c>
      <c r="V157" s="10" t="e">
        <f>Sales4[[#This Row],[Net Value]]-Sales4[[#This Row],[PGI COST]]</f>
        <v>#REF!</v>
      </c>
      <c r="W157" s="11" t="e">
        <f>Sales4[[#This Row],[Gross Margin]]/Sales4[[#This Row],[Net Value]]</f>
        <v>#REF!</v>
      </c>
      <c r="X157" s="1" t="str">
        <f>TEXT(Sales4[[#This Row],[Billing Date]],"mmmm-yy")</f>
        <v>September-25</v>
      </c>
      <c r="Y157" s="1">
        <f>Sales4[[#This Row],[Net Value]]/Sales4[[#This Row],[Billed Quantity]]</f>
        <v>862.24</v>
      </c>
      <c r="Z157" s="117">
        <f>Sales4[[#This Row],[Actual delivery qty]]</f>
        <v>210</v>
      </c>
      <c r="AA157" s="12" t="e">
        <f>SUM(Sales4[[#This Row],[BOM Cost]:[Other Conversion cost pu]])</f>
        <v>#REF!</v>
      </c>
      <c r="AB15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5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57" s="12">
        <f>IFERROR(VLOOKUP(Sales4[[#This Row],[Material]],'COGS Break up'!#REF!,5,0),0)</f>
        <v>0</v>
      </c>
      <c r="AE15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57" s="48" t="e">
        <f>Sales4[[#This Row],[PGI per unit]]-Sales4[[#This Row],[BOM Cost]]-Sales4[[#This Row],[Labour cost per unit]]-Sales4[[#This Row],[Other Conversion cost pu]]</f>
        <v>#REF!</v>
      </c>
      <c r="AG157" s="48" t="e">
        <f>Sales4[[#This Row],[BOM Cost2]]+Sales4[[#This Row],[Labour Cost]]+Sales4[[#This Row],[Other conversion cost]]</f>
        <v>#REF!</v>
      </c>
      <c r="AH157" s="12" t="e">
        <f>Sales4[[#This Row],[Billed Quantity]]*Sales4[[#This Row],[BOM Cost]]</f>
        <v>#REF!</v>
      </c>
      <c r="AI157" s="12" t="e">
        <f>Sales4[[#This Row],[Billed Quantity]]*Sales4[[#This Row],[Labour cost per unit]]</f>
        <v>#REF!</v>
      </c>
      <c r="AJ157" s="12">
        <f>Sales4[[#This Row],[Droppage per unit]]*Sales4[[#This Row],[Billed Quantity]]</f>
        <v>0</v>
      </c>
      <c r="AK157" s="12" t="e">
        <f>Sales4[[#This Row],[Billed Quantity]]*Sales4[[#This Row],[Other Conversion cost pu]]</f>
        <v>#REF!</v>
      </c>
      <c r="AL157" s="48" t="e">
        <f>Sales4[[#This Row],[PGI Amount]]-Sales4[[#This Row],[BOM Cost2]]-Sales4[[#This Row],[Labour Cost]]-Sales4[[#This Row],[Other conversion cost]]</f>
        <v>#REF!</v>
      </c>
      <c r="AM157" s="121" t="e">
        <f>1-Sales4[[#This Row],[PGI COST]]/Sales4[[#This Row],[Net Value]]</f>
        <v>#REF!</v>
      </c>
      <c r="AN157" s="1">
        <f>Sales4[[#This Row],[PGI Amount]]/Sales4[[#This Row],[Billed Quantity]]</f>
        <v>733.11</v>
      </c>
      <c r="AO157" s="72" t="e">
        <f>SUMIFS('COGS Break up'!#REF!,'COGS Break up'!#REF!,Sales4[[#This Row],[Material]],'COGS Break up'!#REF!,'MIS Working'!$AO$1)</f>
        <v>#REF!</v>
      </c>
      <c r="AP157" s="72" t="e">
        <f>SUMIFS('COGS Break up'!#REF!,'COGS Break up'!#REF!,Sales4[[#This Row],[Material]],'COGS Break up'!#REF!,'MIS Working'!$AP$1)</f>
        <v>#REF!</v>
      </c>
      <c r="AQ157" s="72" t="e">
        <f>SUMIFS('COGS Break up'!#REF!,'COGS Break up'!#REF!,Sales4[[#This Row],[Material]],'COGS Break up'!#REF!,'MIS Working'!$AQ$1)</f>
        <v>#REF!</v>
      </c>
      <c r="AR157" s="72">
        <f>Sales4[[#This Row],[Droppage per unit]]</f>
        <v>0</v>
      </c>
      <c r="AS157" s="15" t="e">
        <f>AO157*Sales4[[#This Row],[Billed Quantity]]</f>
        <v>#REF!</v>
      </c>
      <c r="AT157" s="72" t="e">
        <f>AP157*Sales4[[#This Row],[Billed Quantity]]</f>
        <v>#REF!</v>
      </c>
      <c r="AU157" s="72" t="e">
        <f>AQ157*Sales4[[#This Row],[Billed Quantity]]</f>
        <v>#REF!</v>
      </c>
      <c r="AV157" s="72">
        <f>AR157*Sales4[[#This Row],[Billed Quantity]]</f>
        <v>0</v>
      </c>
    </row>
    <row r="158" spans="1:48" x14ac:dyDescent="0.3">
      <c r="A158" s="1" t="s">
        <v>479</v>
      </c>
      <c r="B158" s="2">
        <v>45915</v>
      </c>
      <c r="C158" s="1">
        <v>3271270442</v>
      </c>
      <c r="D158" s="1" t="s">
        <v>362</v>
      </c>
      <c r="E158" s="1" t="s">
        <v>363</v>
      </c>
      <c r="F158" s="1" t="s">
        <v>18</v>
      </c>
      <c r="G158" s="1" t="s">
        <v>19</v>
      </c>
      <c r="H158" s="1" t="s">
        <v>483</v>
      </c>
      <c r="I158" s="3">
        <v>140</v>
      </c>
      <c r="J158" s="4">
        <v>102635.4</v>
      </c>
      <c r="K158" s="3">
        <v>140</v>
      </c>
      <c r="L158" s="3">
        <v>140</v>
      </c>
      <c r="M158" s="2">
        <v>45915</v>
      </c>
      <c r="N158" s="4">
        <v>120713.60000000001</v>
      </c>
      <c r="O158" s="1" t="s">
        <v>21</v>
      </c>
      <c r="P158" s="1" t="s">
        <v>22</v>
      </c>
      <c r="Q158" s="1">
        <v>1</v>
      </c>
      <c r="R158" s="1" t="str">
        <f>VLOOKUP(Sales4[[#This Row],[Material type]],Master!$H$3:$I$8,2,0)</f>
        <v>Finished Goods</v>
      </c>
      <c r="S158" s="1" t="str">
        <f>VLOOKUP(Sales4[[#This Row],[Material Group]],Master!B:C,2,0)</f>
        <v>FG-PCB-MG</v>
      </c>
      <c r="T158" s="1" t="str">
        <f>VLOOKUP(Sales4[[#This Row],[Material Group Descrip]],Master!E:F,2,0)</f>
        <v>FG-PCB-MG</v>
      </c>
      <c r="U158" s="9" t="b">
        <f ca="1">(TODAY()-1)=Sales4[[#This Row],[Billing Date]]</f>
        <v>0</v>
      </c>
      <c r="V158" s="10" t="e">
        <f>Sales4[[#This Row],[Net Value]]-Sales4[[#This Row],[PGI COST]]</f>
        <v>#REF!</v>
      </c>
      <c r="W158" s="11" t="e">
        <f>Sales4[[#This Row],[Gross Margin]]/Sales4[[#This Row],[Net Value]]</f>
        <v>#REF!</v>
      </c>
      <c r="X158" s="1" t="str">
        <f>TEXT(Sales4[[#This Row],[Billing Date]],"mmmm-yy")</f>
        <v>September-25</v>
      </c>
      <c r="Y158" s="1">
        <f>Sales4[[#This Row],[Net Value]]/Sales4[[#This Row],[Billed Quantity]]</f>
        <v>862.24</v>
      </c>
      <c r="Z158" s="117">
        <f>Sales4[[#This Row],[Actual delivery qty]]</f>
        <v>140</v>
      </c>
      <c r="AA158" s="12" t="e">
        <f>SUM(Sales4[[#This Row],[BOM Cost]:[Other Conversion cost pu]])</f>
        <v>#REF!</v>
      </c>
      <c r="AB15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5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58" s="12">
        <f>IFERROR(VLOOKUP(Sales4[[#This Row],[Material]],'COGS Break up'!#REF!,5,0),0)</f>
        <v>0</v>
      </c>
      <c r="AE15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58" s="48" t="e">
        <f>Sales4[[#This Row],[PGI per unit]]-Sales4[[#This Row],[BOM Cost]]-Sales4[[#This Row],[Labour cost per unit]]-Sales4[[#This Row],[Other Conversion cost pu]]</f>
        <v>#REF!</v>
      </c>
      <c r="AG158" s="48" t="e">
        <f>Sales4[[#This Row],[BOM Cost2]]+Sales4[[#This Row],[Labour Cost]]+Sales4[[#This Row],[Other conversion cost]]</f>
        <v>#REF!</v>
      </c>
      <c r="AH158" s="12" t="e">
        <f>Sales4[[#This Row],[Billed Quantity]]*Sales4[[#This Row],[BOM Cost]]</f>
        <v>#REF!</v>
      </c>
      <c r="AI158" s="12" t="e">
        <f>Sales4[[#This Row],[Billed Quantity]]*Sales4[[#This Row],[Labour cost per unit]]</f>
        <v>#REF!</v>
      </c>
      <c r="AJ158" s="12">
        <f>Sales4[[#This Row],[Droppage per unit]]*Sales4[[#This Row],[Billed Quantity]]</f>
        <v>0</v>
      </c>
      <c r="AK158" s="12" t="e">
        <f>Sales4[[#This Row],[Billed Quantity]]*Sales4[[#This Row],[Other Conversion cost pu]]</f>
        <v>#REF!</v>
      </c>
      <c r="AL158" s="48" t="e">
        <f>Sales4[[#This Row],[PGI Amount]]-Sales4[[#This Row],[BOM Cost2]]-Sales4[[#This Row],[Labour Cost]]-Sales4[[#This Row],[Other conversion cost]]</f>
        <v>#REF!</v>
      </c>
      <c r="AM158" s="121" t="e">
        <f>1-Sales4[[#This Row],[PGI COST]]/Sales4[[#This Row],[Net Value]]</f>
        <v>#REF!</v>
      </c>
      <c r="AN158" s="1">
        <f>Sales4[[#This Row],[PGI Amount]]/Sales4[[#This Row],[Billed Quantity]]</f>
        <v>733.11</v>
      </c>
      <c r="AO158" s="72" t="e">
        <f>SUMIFS('COGS Break up'!#REF!,'COGS Break up'!#REF!,Sales4[[#This Row],[Material]],'COGS Break up'!#REF!,'MIS Working'!$AO$1)</f>
        <v>#REF!</v>
      </c>
      <c r="AP158" s="72" t="e">
        <f>SUMIFS('COGS Break up'!#REF!,'COGS Break up'!#REF!,Sales4[[#This Row],[Material]],'COGS Break up'!#REF!,'MIS Working'!$AP$1)</f>
        <v>#REF!</v>
      </c>
      <c r="AQ158" s="72" t="e">
        <f>SUMIFS('COGS Break up'!#REF!,'COGS Break up'!#REF!,Sales4[[#This Row],[Material]],'COGS Break up'!#REF!,'MIS Working'!$AQ$1)</f>
        <v>#REF!</v>
      </c>
      <c r="AR158" s="72">
        <f>Sales4[[#This Row],[Droppage per unit]]</f>
        <v>0</v>
      </c>
      <c r="AS158" s="15" t="e">
        <f>AO158*Sales4[[#This Row],[Billed Quantity]]</f>
        <v>#REF!</v>
      </c>
      <c r="AT158" s="72" t="e">
        <f>AP158*Sales4[[#This Row],[Billed Quantity]]</f>
        <v>#REF!</v>
      </c>
      <c r="AU158" s="72" t="e">
        <f>AQ158*Sales4[[#This Row],[Billed Quantity]]</f>
        <v>#REF!</v>
      </c>
      <c r="AV158" s="72">
        <f>AR158*Sales4[[#This Row],[Billed Quantity]]</f>
        <v>0</v>
      </c>
    </row>
    <row r="159" spans="1:48" x14ac:dyDescent="0.3">
      <c r="A159" s="1" t="s">
        <v>479</v>
      </c>
      <c r="B159" s="2">
        <v>45915</v>
      </c>
      <c r="C159" s="1">
        <v>3271270278</v>
      </c>
      <c r="D159" s="1" t="s">
        <v>362</v>
      </c>
      <c r="E159" s="1" t="s">
        <v>363</v>
      </c>
      <c r="F159" s="1" t="s">
        <v>18</v>
      </c>
      <c r="G159" s="1" t="s">
        <v>19</v>
      </c>
      <c r="H159" s="1" t="s">
        <v>483</v>
      </c>
      <c r="I159" s="3">
        <v>140</v>
      </c>
      <c r="J159" s="4">
        <v>102635.4</v>
      </c>
      <c r="K159" s="3">
        <v>140</v>
      </c>
      <c r="L159" s="3">
        <v>140</v>
      </c>
      <c r="M159" s="2">
        <v>45915</v>
      </c>
      <c r="N159" s="4">
        <v>120713.60000000001</v>
      </c>
      <c r="O159" s="1" t="s">
        <v>21</v>
      </c>
      <c r="P159" s="1" t="s">
        <v>22</v>
      </c>
      <c r="Q159" s="1">
        <v>1</v>
      </c>
      <c r="R159" s="1" t="str">
        <f>VLOOKUP(Sales4[[#This Row],[Material type]],Master!$H$3:$I$8,2,0)</f>
        <v>Finished Goods</v>
      </c>
      <c r="S159" s="1" t="str">
        <f>VLOOKUP(Sales4[[#This Row],[Material Group]],Master!B:C,2,0)</f>
        <v>FG-PCB-MG</v>
      </c>
      <c r="T159" s="1" t="str">
        <f>VLOOKUP(Sales4[[#This Row],[Material Group Descrip]],Master!E:F,2,0)</f>
        <v>FG-PCB-MG</v>
      </c>
      <c r="U159" s="9" t="b">
        <f ca="1">(TODAY()-1)=Sales4[[#This Row],[Billing Date]]</f>
        <v>0</v>
      </c>
      <c r="V159" s="10" t="e">
        <f>Sales4[[#This Row],[Net Value]]-Sales4[[#This Row],[PGI COST]]</f>
        <v>#REF!</v>
      </c>
      <c r="W159" s="11" t="e">
        <f>Sales4[[#This Row],[Gross Margin]]/Sales4[[#This Row],[Net Value]]</f>
        <v>#REF!</v>
      </c>
      <c r="X159" s="1" t="str">
        <f>TEXT(Sales4[[#This Row],[Billing Date]],"mmmm-yy")</f>
        <v>September-25</v>
      </c>
      <c r="Y159" s="1">
        <f>Sales4[[#This Row],[Net Value]]/Sales4[[#This Row],[Billed Quantity]]</f>
        <v>862.24</v>
      </c>
      <c r="Z159" s="117">
        <f>Sales4[[#This Row],[Actual delivery qty]]</f>
        <v>140</v>
      </c>
      <c r="AA159" s="12" t="e">
        <f>SUM(Sales4[[#This Row],[BOM Cost]:[Other Conversion cost pu]])</f>
        <v>#REF!</v>
      </c>
      <c r="AB15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5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59" s="12">
        <f>IFERROR(VLOOKUP(Sales4[[#This Row],[Material]],'COGS Break up'!#REF!,5,0),0)</f>
        <v>0</v>
      </c>
      <c r="AE15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59" s="48" t="e">
        <f>Sales4[[#This Row],[PGI per unit]]-Sales4[[#This Row],[BOM Cost]]-Sales4[[#This Row],[Labour cost per unit]]-Sales4[[#This Row],[Other Conversion cost pu]]</f>
        <v>#REF!</v>
      </c>
      <c r="AG159" s="48" t="e">
        <f>Sales4[[#This Row],[BOM Cost2]]+Sales4[[#This Row],[Labour Cost]]+Sales4[[#This Row],[Other conversion cost]]</f>
        <v>#REF!</v>
      </c>
      <c r="AH159" s="12" t="e">
        <f>Sales4[[#This Row],[Billed Quantity]]*Sales4[[#This Row],[BOM Cost]]</f>
        <v>#REF!</v>
      </c>
      <c r="AI159" s="12" t="e">
        <f>Sales4[[#This Row],[Billed Quantity]]*Sales4[[#This Row],[Labour cost per unit]]</f>
        <v>#REF!</v>
      </c>
      <c r="AJ159" s="12">
        <f>Sales4[[#This Row],[Droppage per unit]]*Sales4[[#This Row],[Billed Quantity]]</f>
        <v>0</v>
      </c>
      <c r="AK159" s="12" t="e">
        <f>Sales4[[#This Row],[Billed Quantity]]*Sales4[[#This Row],[Other Conversion cost pu]]</f>
        <v>#REF!</v>
      </c>
      <c r="AL159" s="48" t="e">
        <f>Sales4[[#This Row],[PGI Amount]]-Sales4[[#This Row],[BOM Cost2]]-Sales4[[#This Row],[Labour Cost]]-Sales4[[#This Row],[Other conversion cost]]</f>
        <v>#REF!</v>
      </c>
      <c r="AM159" s="121" t="e">
        <f>1-Sales4[[#This Row],[PGI COST]]/Sales4[[#This Row],[Net Value]]</f>
        <v>#REF!</v>
      </c>
      <c r="AN159" s="1">
        <f>Sales4[[#This Row],[PGI Amount]]/Sales4[[#This Row],[Billed Quantity]]</f>
        <v>733.11</v>
      </c>
      <c r="AO159" s="72" t="e">
        <f>SUMIFS('COGS Break up'!#REF!,'COGS Break up'!#REF!,Sales4[[#This Row],[Material]],'COGS Break up'!#REF!,'MIS Working'!$AO$1)</f>
        <v>#REF!</v>
      </c>
      <c r="AP159" s="72" t="e">
        <f>SUMIFS('COGS Break up'!#REF!,'COGS Break up'!#REF!,Sales4[[#This Row],[Material]],'COGS Break up'!#REF!,'MIS Working'!$AP$1)</f>
        <v>#REF!</v>
      </c>
      <c r="AQ159" s="72" t="e">
        <f>SUMIFS('COGS Break up'!#REF!,'COGS Break up'!#REF!,Sales4[[#This Row],[Material]],'COGS Break up'!#REF!,'MIS Working'!$AQ$1)</f>
        <v>#REF!</v>
      </c>
      <c r="AR159" s="72">
        <f>Sales4[[#This Row],[Droppage per unit]]</f>
        <v>0</v>
      </c>
      <c r="AS159" s="15" t="e">
        <f>AO159*Sales4[[#This Row],[Billed Quantity]]</f>
        <v>#REF!</v>
      </c>
      <c r="AT159" s="72" t="e">
        <f>AP159*Sales4[[#This Row],[Billed Quantity]]</f>
        <v>#REF!</v>
      </c>
      <c r="AU159" s="72" t="e">
        <f>AQ159*Sales4[[#This Row],[Billed Quantity]]</f>
        <v>#REF!</v>
      </c>
      <c r="AV159" s="72">
        <f>AR159*Sales4[[#This Row],[Billed Quantity]]</f>
        <v>0</v>
      </c>
    </row>
    <row r="160" spans="1:48" x14ac:dyDescent="0.3">
      <c r="A160" s="1" t="s">
        <v>479</v>
      </c>
      <c r="B160" s="2">
        <v>45915</v>
      </c>
      <c r="C160" s="1">
        <v>3271270255</v>
      </c>
      <c r="D160" s="1" t="s">
        <v>362</v>
      </c>
      <c r="E160" s="1" t="s">
        <v>363</v>
      </c>
      <c r="F160" s="1" t="s">
        <v>18</v>
      </c>
      <c r="G160" s="1" t="s">
        <v>19</v>
      </c>
      <c r="H160" s="1" t="s">
        <v>483</v>
      </c>
      <c r="I160" s="3">
        <v>140</v>
      </c>
      <c r="J160" s="4">
        <v>102635.4</v>
      </c>
      <c r="K160" s="3">
        <v>140</v>
      </c>
      <c r="L160" s="3">
        <v>140</v>
      </c>
      <c r="M160" s="2">
        <v>45915</v>
      </c>
      <c r="N160" s="4">
        <v>120713.60000000001</v>
      </c>
      <c r="O160" s="1" t="s">
        <v>21</v>
      </c>
      <c r="P160" s="1" t="s">
        <v>22</v>
      </c>
      <c r="Q160" s="1">
        <v>1</v>
      </c>
      <c r="R160" s="1" t="str">
        <f>VLOOKUP(Sales4[[#This Row],[Material type]],Master!$H$3:$I$8,2,0)</f>
        <v>Finished Goods</v>
      </c>
      <c r="S160" s="1" t="str">
        <f>VLOOKUP(Sales4[[#This Row],[Material Group]],Master!B:C,2,0)</f>
        <v>FG-PCB-MG</v>
      </c>
      <c r="T160" s="1" t="str">
        <f>VLOOKUP(Sales4[[#This Row],[Material Group Descrip]],Master!E:F,2,0)</f>
        <v>FG-PCB-MG</v>
      </c>
      <c r="U160" s="9" t="b">
        <f ca="1">(TODAY()-1)=Sales4[[#This Row],[Billing Date]]</f>
        <v>0</v>
      </c>
      <c r="V160" s="10" t="e">
        <f>Sales4[[#This Row],[Net Value]]-Sales4[[#This Row],[PGI COST]]</f>
        <v>#REF!</v>
      </c>
      <c r="W160" s="11" t="e">
        <f>Sales4[[#This Row],[Gross Margin]]/Sales4[[#This Row],[Net Value]]</f>
        <v>#REF!</v>
      </c>
      <c r="X160" s="1" t="str">
        <f>TEXT(Sales4[[#This Row],[Billing Date]],"mmmm-yy")</f>
        <v>September-25</v>
      </c>
      <c r="Y160" s="1">
        <f>Sales4[[#This Row],[Net Value]]/Sales4[[#This Row],[Billed Quantity]]</f>
        <v>862.24</v>
      </c>
      <c r="Z160" s="117">
        <f>Sales4[[#This Row],[Actual delivery qty]]</f>
        <v>140</v>
      </c>
      <c r="AA160" s="12" t="e">
        <f>SUM(Sales4[[#This Row],[BOM Cost]:[Other Conversion cost pu]])</f>
        <v>#REF!</v>
      </c>
      <c r="AB16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6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60" s="12">
        <f>IFERROR(VLOOKUP(Sales4[[#This Row],[Material]],'COGS Break up'!#REF!,5,0),0)</f>
        <v>0</v>
      </c>
      <c r="AE16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60" s="48" t="e">
        <f>Sales4[[#This Row],[PGI per unit]]-Sales4[[#This Row],[BOM Cost]]-Sales4[[#This Row],[Labour cost per unit]]-Sales4[[#This Row],[Other Conversion cost pu]]</f>
        <v>#REF!</v>
      </c>
      <c r="AG160" s="48" t="e">
        <f>Sales4[[#This Row],[BOM Cost2]]+Sales4[[#This Row],[Labour Cost]]+Sales4[[#This Row],[Other conversion cost]]</f>
        <v>#REF!</v>
      </c>
      <c r="AH160" s="12" t="e">
        <f>Sales4[[#This Row],[Billed Quantity]]*Sales4[[#This Row],[BOM Cost]]</f>
        <v>#REF!</v>
      </c>
      <c r="AI160" s="12" t="e">
        <f>Sales4[[#This Row],[Billed Quantity]]*Sales4[[#This Row],[Labour cost per unit]]</f>
        <v>#REF!</v>
      </c>
      <c r="AJ160" s="12">
        <f>Sales4[[#This Row],[Droppage per unit]]*Sales4[[#This Row],[Billed Quantity]]</f>
        <v>0</v>
      </c>
      <c r="AK160" s="12" t="e">
        <f>Sales4[[#This Row],[Billed Quantity]]*Sales4[[#This Row],[Other Conversion cost pu]]</f>
        <v>#REF!</v>
      </c>
      <c r="AL160" s="48" t="e">
        <f>Sales4[[#This Row],[PGI Amount]]-Sales4[[#This Row],[BOM Cost2]]-Sales4[[#This Row],[Labour Cost]]-Sales4[[#This Row],[Other conversion cost]]</f>
        <v>#REF!</v>
      </c>
      <c r="AM160" s="121" t="e">
        <f>1-Sales4[[#This Row],[PGI COST]]/Sales4[[#This Row],[Net Value]]</f>
        <v>#REF!</v>
      </c>
      <c r="AN160" s="1">
        <f>Sales4[[#This Row],[PGI Amount]]/Sales4[[#This Row],[Billed Quantity]]</f>
        <v>733.11</v>
      </c>
      <c r="AO160" s="72" t="e">
        <f>SUMIFS('COGS Break up'!#REF!,'COGS Break up'!#REF!,Sales4[[#This Row],[Material]],'COGS Break up'!#REF!,'MIS Working'!$AO$1)</f>
        <v>#REF!</v>
      </c>
      <c r="AP160" s="72" t="e">
        <f>SUMIFS('COGS Break up'!#REF!,'COGS Break up'!#REF!,Sales4[[#This Row],[Material]],'COGS Break up'!#REF!,'MIS Working'!$AP$1)</f>
        <v>#REF!</v>
      </c>
      <c r="AQ160" s="72" t="e">
        <f>SUMIFS('COGS Break up'!#REF!,'COGS Break up'!#REF!,Sales4[[#This Row],[Material]],'COGS Break up'!#REF!,'MIS Working'!$AQ$1)</f>
        <v>#REF!</v>
      </c>
      <c r="AR160" s="72">
        <f>Sales4[[#This Row],[Droppage per unit]]</f>
        <v>0</v>
      </c>
      <c r="AS160" s="15" t="e">
        <f>AO160*Sales4[[#This Row],[Billed Quantity]]</f>
        <v>#REF!</v>
      </c>
      <c r="AT160" s="72" t="e">
        <f>AP160*Sales4[[#This Row],[Billed Quantity]]</f>
        <v>#REF!</v>
      </c>
      <c r="AU160" s="72" t="e">
        <f>AQ160*Sales4[[#This Row],[Billed Quantity]]</f>
        <v>#REF!</v>
      </c>
      <c r="AV160" s="72">
        <f>AR160*Sales4[[#This Row],[Billed Quantity]]</f>
        <v>0</v>
      </c>
    </row>
    <row r="161" spans="1:48" x14ac:dyDescent="0.3">
      <c r="A161" s="1" t="s">
        <v>479</v>
      </c>
      <c r="B161" s="2">
        <v>45915</v>
      </c>
      <c r="C161" s="1">
        <v>3271270278</v>
      </c>
      <c r="D161" s="1" t="s">
        <v>364</v>
      </c>
      <c r="E161" s="1" t="s">
        <v>365</v>
      </c>
      <c r="F161" s="1" t="s">
        <v>18</v>
      </c>
      <c r="G161" s="1" t="s">
        <v>19</v>
      </c>
      <c r="H161" s="1" t="s">
        <v>771</v>
      </c>
      <c r="I161" s="3">
        <v>280</v>
      </c>
      <c r="J161" s="4">
        <v>30528.400000000001</v>
      </c>
      <c r="K161" s="3">
        <v>280</v>
      </c>
      <c r="L161" s="3">
        <v>280</v>
      </c>
      <c r="M161" s="2">
        <v>45915</v>
      </c>
      <c r="N161" s="4">
        <v>28347.200000000001</v>
      </c>
      <c r="O161" s="1" t="s">
        <v>21</v>
      </c>
      <c r="P161" s="1" t="s">
        <v>22</v>
      </c>
      <c r="Q161" s="1">
        <v>1</v>
      </c>
      <c r="R161" s="1" t="str">
        <f>VLOOKUP(Sales4[[#This Row],[Material type]],Master!$H$3:$I$8,2,0)</f>
        <v>Finished Goods</v>
      </c>
      <c r="S161" s="1" t="str">
        <f>VLOOKUP(Sales4[[#This Row],[Material Group]],Master!B:C,2,0)</f>
        <v>FG-PCB-MG Interface</v>
      </c>
      <c r="T161" s="1" t="str">
        <f>VLOOKUP(Sales4[[#This Row],[Material Group Descrip]],Master!E:F,2,0)</f>
        <v>FG-PCB-MG</v>
      </c>
      <c r="U161" s="9" t="b">
        <f ca="1">(TODAY()-1)=Sales4[[#This Row],[Billing Date]]</f>
        <v>0</v>
      </c>
      <c r="V161" s="10" t="e">
        <f>Sales4[[#This Row],[Net Value]]-Sales4[[#This Row],[PGI COST]]</f>
        <v>#REF!</v>
      </c>
      <c r="W161" s="11" t="e">
        <f>Sales4[[#This Row],[Gross Margin]]/Sales4[[#This Row],[Net Value]]</f>
        <v>#REF!</v>
      </c>
      <c r="X161" s="1" t="str">
        <f>TEXT(Sales4[[#This Row],[Billing Date]],"mmmm-yy")</f>
        <v>September-25</v>
      </c>
      <c r="Y161" s="1">
        <f>Sales4[[#This Row],[Net Value]]/Sales4[[#This Row],[Billed Quantity]]</f>
        <v>101.24000000000001</v>
      </c>
      <c r="Z161" s="117"/>
      <c r="AA161" s="12" t="e">
        <f>SUM(Sales4[[#This Row],[BOM Cost]:[Other Conversion cost pu]])</f>
        <v>#REF!</v>
      </c>
      <c r="AB16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6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61" s="12">
        <f>IFERROR(VLOOKUP(Sales4[[#This Row],[Material]],'COGS Break up'!#REF!,5,0),0)</f>
        <v>0</v>
      </c>
      <c r="AE16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61" s="48" t="e">
        <f>Sales4[[#This Row],[PGI per unit]]-Sales4[[#This Row],[BOM Cost]]-Sales4[[#This Row],[Labour cost per unit]]-Sales4[[#This Row],[Other Conversion cost pu]]</f>
        <v>#REF!</v>
      </c>
      <c r="AG161" s="48" t="e">
        <f>Sales4[[#This Row],[BOM Cost2]]+Sales4[[#This Row],[Labour Cost]]+Sales4[[#This Row],[Other conversion cost]]</f>
        <v>#REF!</v>
      </c>
      <c r="AH161" s="12" t="e">
        <f>Sales4[[#This Row],[Billed Quantity]]*Sales4[[#This Row],[BOM Cost]]</f>
        <v>#REF!</v>
      </c>
      <c r="AI161" s="12" t="e">
        <f>Sales4[[#This Row],[Billed Quantity]]*Sales4[[#This Row],[Labour cost per unit]]</f>
        <v>#REF!</v>
      </c>
      <c r="AJ161" s="12">
        <f>Sales4[[#This Row],[Droppage per unit]]*Sales4[[#This Row],[Billed Quantity]]</f>
        <v>0</v>
      </c>
      <c r="AK161" s="12" t="e">
        <f>Sales4[[#This Row],[Billed Quantity]]*Sales4[[#This Row],[Other Conversion cost pu]]</f>
        <v>#REF!</v>
      </c>
      <c r="AL161" s="48" t="e">
        <f>Sales4[[#This Row],[PGI Amount]]-Sales4[[#This Row],[BOM Cost2]]-Sales4[[#This Row],[Labour Cost]]-Sales4[[#This Row],[Other conversion cost]]</f>
        <v>#REF!</v>
      </c>
      <c r="AM161" s="121" t="e">
        <f>1-Sales4[[#This Row],[PGI COST]]/Sales4[[#This Row],[Net Value]]</f>
        <v>#REF!</v>
      </c>
      <c r="AN161" s="1">
        <f>Sales4[[#This Row],[PGI Amount]]/Sales4[[#This Row],[Billed Quantity]]</f>
        <v>109.03</v>
      </c>
      <c r="AO161" s="72" t="e">
        <f>SUMIFS('COGS Break up'!#REF!,'COGS Break up'!#REF!,Sales4[[#This Row],[Material]],'COGS Break up'!#REF!,'MIS Working'!$AO$1)</f>
        <v>#REF!</v>
      </c>
      <c r="AP161" s="72" t="e">
        <f>SUMIFS('COGS Break up'!#REF!,'COGS Break up'!#REF!,Sales4[[#This Row],[Material]],'COGS Break up'!#REF!,'MIS Working'!$AP$1)</f>
        <v>#REF!</v>
      </c>
      <c r="AQ161" s="72" t="e">
        <f>SUMIFS('COGS Break up'!#REF!,'COGS Break up'!#REF!,Sales4[[#This Row],[Material]],'COGS Break up'!#REF!,'MIS Working'!$AQ$1)</f>
        <v>#REF!</v>
      </c>
      <c r="AR161" s="72">
        <f>Sales4[[#This Row],[Droppage per unit]]</f>
        <v>0</v>
      </c>
      <c r="AS161" s="15" t="e">
        <f>AO161*Sales4[[#This Row],[Billed Quantity]]</f>
        <v>#REF!</v>
      </c>
      <c r="AT161" s="72" t="e">
        <f>AP161*Sales4[[#This Row],[Billed Quantity]]</f>
        <v>#REF!</v>
      </c>
      <c r="AU161" s="72" t="e">
        <f>AQ161*Sales4[[#This Row],[Billed Quantity]]</f>
        <v>#REF!</v>
      </c>
      <c r="AV161" s="72">
        <f>AR161*Sales4[[#This Row],[Billed Quantity]]</f>
        <v>0</v>
      </c>
    </row>
    <row r="162" spans="1:48" x14ac:dyDescent="0.3">
      <c r="A162" s="1" t="s">
        <v>479</v>
      </c>
      <c r="B162" s="2">
        <v>45915</v>
      </c>
      <c r="C162" s="1">
        <v>3271270255</v>
      </c>
      <c r="D162" s="1" t="s">
        <v>364</v>
      </c>
      <c r="E162" s="1" t="s">
        <v>365</v>
      </c>
      <c r="F162" s="1" t="s">
        <v>18</v>
      </c>
      <c r="G162" s="1" t="s">
        <v>19</v>
      </c>
      <c r="H162" s="1" t="s">
        <v>771</v>
      </c>
      <c r="I162" s="3">
        <v>420</v>
      </c>
      <c r="J162" s="4">
        <v>45792.6</v>
      </c>
      <c r="K162" s="3">
        <v>420</v>
      </c>
      <c r="L162" s="3">
        <v>420</v>
      </c>
      <c r="M162" s="2">
        <v>45915</v>
      </c>
      <c r="N162" s="4">
        <v>42520.800000000003</v>
      </c>
      <c r="O162" s="1" t="s">
        <v>21</v>
      </c>
      <c r="P162" s="1" t="s">
        <v>22</v>
      </c>
      <c r="Q162" s="1">
        <v>1</v>
      </c>
      <c r="R162" s="1" t="str">
        <f>VLOOKUP(Sales4[[#This Row],[Material type]],Master!$H$3:$I$8,2,0)</f>
        <v>Finished Goods</v>
      </c>
      <c r="S162" s="1" t="str">
        <f>VLOOKUP(Sales4[[#This Row],[Material Group]],Master!B:C,2,0)</f>
        <v>FG-PCB-MG Interface</v>
      </c>
      <c r="T162" s="1" t="str">
        <f>VLOOKUP(Sales4[[#This Row],[Material Group Descrip]],Master!E:F,2,0)</f>
        <v>FG-PCB-MG</v>
      </c>
      <c r="U162" s="9" t="b">
        <f ca="1">(TODAY()-1)=Sales4[[#This Row],[Billing Date]]</f>
        <v>0</v>
      </c>
      <c r="V162" s="10" t="e">
        <f>Sales4[[#This Row],[Net Value]]-Sales4[[#This Row],[PGI COST]]</f>
        <v>#REF!</v>
      </c>
      <c r="W162" s="11" t="e">
        <f>Sales4[[#This Row],[Gross Margin]]/Sales4[[#This Row],[Net Value]]</f>
        <v>#REF!</v>
      </c>
      <c r="X162" s="1" t="str">
        <f>TEXT(Sales4[[#This Row],[Billing Date]],"mmmm-yy")</f>
        <v>September-25</v>
      </c>
      <c r="Y162" s="1">
        <f>Sales4[[#This Row],[Net Value]]/Sales4[[#This Row],[Billed Quantity]]</f>
        <v>101.24000000000001</v>
      </c>
      <c r="Z162" s="117"/>
      <c r="AA162" s="12" t="e">
        <f>SUM(Sales4[[#This Row],[BOM Cost]:[Other Conversion cost pu]])</f>
        <v>#REF!</v>
      </c>
      <c r="AB16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6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62" s="12">
        <f>IFERROR(VLOOKUP(Sales4[[#This Row],[Material]],'COGS Break up'!#REF!,5,0),0)</f>
        <v>0</v>
      </c>
      <c r="AE16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62" s="48" t="e">
        <f>Sales4[[#This Row],[PGI per unit]]-Sales4[[#This Row],[BOM Cost]]-Sales4[[#This Row],[Labour cost per unit]]-Sales4[[#This Row],[Other Conversion cost pu]]</f>
        <v>#REF!</v>
      </c>
      <c r="AG162" s="48" t="e">
        <f>Sales4[[#This Row],[BOM Cost2]]+Sales4[[#This Row],[Labour Cost]]+Sales4[[#This Row],[Other conversion cost]]</f>
        <v>#REF!</v>
      </c>
      <c r="AH162" s="12" t="e">
        <f>Sales4[[#This Row],[Billed Quantity]]*Sales4[[#This Row],[BOM Cost]]</f>
        <v>#REF!</v>
      </c>
      <c r="AI162" s="12" t="e">
        <f>Sales4[[#This Row],[Billed Quantity]]*Sales4[[#This Row],[Labour cost per unit]]</f>
        <v>#REF!</v>
      </c>
      <c r="AJ162" s="12">
        <f>Sales4[[#This Row],[Droppage per unit]]*Sales4[[#This Row],[Billed Quantity]]</f>
        <v>0</v>
      </c>
      <c r="AK162" s="12" t="e">
        <f>Sales4[[#This Row],[Billed Quantity]]*Sales4[[#This Row],[Other Conversion cost pu]]</f>
        <v>#REF!</v>
      </c>
      <c r="AL162" s="48" t="e">
        <f>Sales4[[#This Row],[PGI Amount]]-Sales4[[#This Row],[BOM Cost2]]-Sales4[[#This Row],[Labour Cost]]-Sales4[[#This Row],[Other conversion cost]]</f>
        <v>#REF!</v>
      </c>
      <c r="AM162" s="121" t="e">
        <f>1-Sales4[[#This Row],[PGI COST]]/Sales4[[#This Row],[Net Value]]</f>
        <v>#REF!</v>
      </c>
      <c r="AN162" s="1">
        <f>Sales4[[#This Row],[PGI Amount]]/Sales4[[#This Row],[Billed Quantity]]</f>
        <v>109.03</v>
      </c>
      <c r="AO162" s="72" t="e">
        <f>SUMIFS('COGS Break up'!#REF!,'COGS Break up'!#REF!,Sales4[[#This Row],[Material]],'COGS Break up'!#REF!,'MIS Working'!$AO$1)</f>
        <v>#REF!</v>
      </c>
      <c r="AP162" s="72" t="e">
        <f>SUMIFS('COGS Break up'!#REF!,'COGS Break up'!#REF!,Sales4[[#This Row],[Material]],'COGS Break up'!#REF!,'MIS Working'!$AP$1)</f>
        <v>#REF!</v>
      </c>
      <c r="AQ162" s="72" t="e">
        <f>SUMIFS('COGS Break up'!#REF!,'COGS Break up'!#REF!,Sales4[[#This Row],[Material]],'COGS Break up'!#REF!,'MIS Working'!$AQ$1)</f>
        <v>#REF!</v>
      </c>
      <c r="AR162" s="72">
        <f>Sales4[[#This Row],[Droppage per unit]]</f>
        <v>0</v>
      </c>
      <c r="AS162" s="15" t="e">
        <f>AO162*Sales4[[#This Row],[Billed Quantity]]</f>
        <v>#REF!</v>
      </c>
      <c r="AT162" s="72" t="e">
        <f>AP162*Sales4[[#This Row],[Billed Quantity]]</f>
        <v>#REF!</v>
      </c>
      <c r="AU162" s="72" t="e">
        <f>AQ162*Sales4[[#This Row],[Billed Quantity]]</f>
        <v>#REF!</v>
      </c>
      <c r="AV162" s="72">
        <f>AR162*Sales4[[#This Row],[Billed Quantity]]</f>
        <v>0</v>
      </c>
    </row>
    <row r="163" spans="1:48" x14ac:dyDescent="0.3">
      <c r="A163" s="1" t="s">
        <v>479</v>
      </c>
      <c r="B163" s="2">
        <v>45915</v>
      </c>
      <c r="C163" s="1">
        <v>3271270278</v>
      </c>
      <c r="D163" s="1" t="s">
        <v>637</v>
      </c>
      <c r="E163" s="1" t="s">
        <v>638</v>
      </c>
      <c r="F163" s="1" t="s">
        <v>18</v>
      </c>
      <c r="G163" s="1" t="s">
        <v>19</v>
      </c>
      <c r="H163" s="1" t="s">
        <v>27</v>
      </c>
      <c r="I163" s="3">
        <v>455</v>
      </c>
      <c r="J163" s="4">
        <v>145609.1</v>
      </c>
      <c r="K163" s="3">
        <v>455</v>
      </c>
      <c r="L163" s="3">
        <v>455</v>
      </c>
      <c r="M163" s="2">
        <v>45915</v>
      </c>
      <c r="N163" s="4">
        <v>166475.4</v>
      </c>
      <c r="O163" s="1" t="s">
        <v>21</v>
      </c>
      <c r="P163" s="1" t="s">
        <v>22</v>
      </c>
      <c r="Q163" s="1">
        <v>1</v>
      </c>
      <c r="R163" s="1" t="str">
        <f>VLOOKUP(Sales4[[#This Row],[Material type]],Master!$H$3:$I$8,2,0)</f>
        <v>Finished Goods</v>
      </c>
      <c r="S163" s="1" t="str">
        <f>VLOOKUP(Sales4[[#This Row],[Material Group]],Master!B:C,2,0)</f>
        <v>FG-PCB-CF</v>
      </c>
      <c r="T163" s="1" t="str">
        <f>VLOOKUP(Sales4[[#This Row],[Material Group Descrip]],Master!E:F,2,0)</f>
        <v>FG-PCB-CF</v>
      </c>
      <c r="U163" s="9" t="b">
        <f ca="1">(TODAY()-1)=Sales4[[#This Row],[Billing Date]]</f>
        <v>0</v>
      </c>
      <c r="V163" s="10" t="e">
        <f>Sales4[[#This Row],[Net Value]]-Sales4[[#This Row],[PGI COST]]</f>
        <v>#REF!</v>
      </c>
      <c r="W163" s="11" t="e">
        <f>Sales4[[#This Row],[Gross Margin]]/Sales4[[#This Row],[Net Value]]</f>
        <v>#REF!</v>
      </c>
      <c r="X163" s="1" t="str">
        <f>TEXT(Sales4[[#This Row],[Billing Date]],"mmmm-yy")</f>
        <v>September-25</v>
      </c>
      <c r="Y163" s="1">
        <f>Sales4[[#This Row],[Net Value]]/Sales4[[#This Row],[Billed Quantity]]</f>
        <v>365.88</v>
      </c>
      <c r="Z163" s="117">
        <f>Sales4[[#This Row],[Actual delivery qty]]</f>
        <v>455</v>
      </c>
      <c r="AA163" s="12" t="e">
        <f>SUM(Sales4[[#This Row],[BOM Cost]:[Other Conversion cost pu]])</f>
        <v>#REF!</v>
      </c>
      <c r="AB16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6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63" s="12">
        <f>IFERROR(VLOOKUP(Sales4[[#This Row],[Material]],'COGS Break up'!#REF!,5,0),0)</f>
        <v>0</v>
      </c>
      <c r="AE16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63" s="48" t="e">
        <f>Sales4[[#This Row],[PGI per unit]]-Sales4[[#This Row],[BOM Cost]]-Sales4[[#This Row],[Labour cost per unit]]-Sales4[[#This Row],[Other Conversion cost pu]]</f>
        <v>#REF!</v>
      </c>
      <c r="AG163" s="48" t="e">
        <f>Sales4[[#This Row],[BOM Cost2]]+Sales4[[#This Row],[Labour Cost]]+Sales4[[#This Row],[Other conversion cost]]</f>
        <v>#REF!</v>
      </c>
      <c r="AH163" s="12" t="e">
        <f>Sales4[[#This Row],[Billed Quantity]]*Sales4[[#This Row],[BOM Cost]]</f>
        <v>#REF!</v>
      </c>
      <c r="AI163" s="12" t="e">
        <f>Sales4[[#This Row],[Billed Quantity]]*Sales4[[#This Row],[Labour cost per unit]]</f>
        <v>#REF!</v>
      </c>
      <c r="AJ163" s="12">
        <f>Sales4[[#This Row],[Droppage per unit]]*Sales4[[#This Row],[Billed Quantity]]</f>
        <v>0</v>
      </c>
      <c r="AK163" s="12" t="e">
        <f>Sales4[[#This Row],[Billed Quantity]]*Sales4[[#This Row],[Other Conversion cost pu]]</f>
        <v>#REF!</v>
      </c>
      <c r="AL163" s="48" t="e">
        <f>Sales4[[#This Row],[PGI Amount]]-Sales4[[#This Row],[BOM Cost2]]-Sales4[[#This Row],[Labour Cost]]-Sales4[[#This Row],[Other conversion cost]]</f>
        <v>#REF!</v>
      </c>
      <c r="AM163" s="121" t="e">
        <f>1-Sales4[[#This Row],[PGI COST]]/Sales4[[#This Row],[Net Value]]</f>
        <v>#REF!</v>
      </c>
      <c r="AN163" s="1">
        <f>Sales4[[#This Row],[PGI Amount]]/Sales4[[#This Row],[Billed Quantity]]</f>
        <v>320.02000000000004</v>
      </c>
      <c r="AO163" s="72" t="e">
        <f>SUMIFS('COGS Break up'!#REF!,'COGS Break up'!#REF!,Sales4[[#This Row],[Material]],'COGS Break up'!#REF!,'MIS Working'!$AO$1)</f>
        <v>#REF!</v>
      </c>
      <c r="AP163" s="72" t="e">
        <f>SUMIFS('COGS Break up'!#REF!,'COGS Break up'!#REF!,Sales4[[#This Row],[Material]],'COGS Break up'!#REF!,'MIS Working'!$AP$1)</f>
        <v>#REF!</v>
      </c>
      <c r="AQ163" s="72" t="e">
        <f>SUMIFS('COGS Break up'!#REF!,'COGS Break up'!#REF!,Sales4[[#This Row],[Material]],'COGS Break up'!#REF!,'MIS Working'!$AQ$1)</f>
        <v>#REF!</v>
      </c>
      <c r="AR163" s="72">
        <f>Sales4[[#This Row],[Droppage per unit]]</f>
        <v>0</v>
      </c>
      <c r="AS163" s="15" t="e">
        <f>AO163*Sales4[[#This Row],[Billed Quantity]]</f>
        <v>#REF!</v>
      </c>
      <c r="AT163" s="72" t="e">
        <f>AP163*Sales4[[#This Row],[Billed Quantity]]</f>
        <v>#REF!</v>
      </c>
      <c r="AU163" s="72" t="e">
        <f>AQ163*Sales4[[#This Row],[Billed Quantity]]</f>
        <v>#REF!</v>
      </c>
      <c r="AV163" s="72">
        <f>AR163*Sales4[[#This Row],[Billed Quantity]]</f>
        <v>0</v>
      </c>
    </row>
    <row r="164" spans="1:48" x14ac:dyDescent="0.3">
      <c r="A164" s="1" t="s">
        <v>479</v>
      </c>
      <c r="B164" s="2">
        <v>45915</v>
      </c>
      <c r="C164" s="1">
        <v>3271270255</v>
      </c>
      <c r="D164" s="1" t="s">
        <v>637</v>
      </c>
      <c r="E164" s="1" t="s">
        <v>638</v>
      </c>
      <c r="F164" s="1" t="s">
        <v>18</v>
      </c>
      <c r="G164" s="1" t="s">
        <v>19</v>
      </c>
      <c r="H164" s="1" t="s">
        <v>27</v>
      </c>
      <c r="I164" s="3">
        <v>700</v>
      </c>
      <c r="J164" s="4">
        <v>224014</v>
      </c>
      <c r="K164" s="3">
        <v>700</v>
      </c>
      <c r="L164" s="3">
        <v>700</v>
      </c>
      <c r="M164" s="2">
        <v>45915</v>
      </c>
      <c r="N164" s="4">
        <v>256116</v>
      </c>
      <c r="O164" s="1" t="s">
        <v>21</v>
      </c>
      <c r="P164" s="1" t="s">
        <v>22</v>
      </c>
      <c r="Q164" s="1">
        <v>1</v>
      </c>
      <c r="R164" s="1" t="str">
        <f>VLOOKUP(Sales4[[#This Row],[Material type]],Master!$H$3:$I$8,2,0)</f>
        <v>Finished Goods</v>
      </c>
      <c r="S164" s="1" t="str">
        <f>VLOOKUP(Sales4[[#This Row],[Material Group]],Master!B:C,2,0)</f>
        <v>FG-PCB-CF</v>
      </c>
      <c r="T164" s="1" t="str">
        <f>VLOOKUP(Sales4[[#This Row],[Material Group Descrip]],Master!E:F,2,0)</f>
        <v>FG-PCB-CF</v>
      </c>
      <c r="U164" s="9" t="b">
        <f ca="1">(TODAY()-1)=Sales4[[#This Row],[Billing Date]]</f>
        <v>0</v>
      </c>
      <c r="V164" s="10" t="e">
        <f>Sales4[[#This Row],[Net Value]]-Sales4[[#This Row],[PGI COST]]</f>
        <v>#REF!</v>
      </c>
      <c r="W164" s="11" t="e">
        <f>Sales4[[#This Row],[Gross Margin]]/Sales4[[#This Row],[Net Value]]</f>
        <v>#REF!</v>
      </c>
      <c r="X164" s="1" t="str">
        <f>TEXT(Sales4[[#This Row],[Billing Date]],"mmmm-yy")</f>
        <v>September-25</v>
      </c>
      <c r="Y164" s="1">
        <f>Sales4[[#This Row],[Net Value]]/Sales4[[#This Row],[Billed Quantity]]</f>
        <v>365.88</v>
      </c>
      <c r="Z164" s="117">
        <f>Sales4[[#This Row],[Actual delivery qty]]</f>
        <v>700</v>
      </c>
      <c r="AA164" s="12" t="e">
        <f>SUM(Sales4[[#This Row],[BOM Cost]:[Other Conversion cost pu]])</f>
        <v>#REF!</v>
      </c>
      <c r="AB16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6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64" s="12">
        <f>IFERROR(VLOOKUP(Sales4[[#This Row],[Material]],'COGS Break up'!#REF!,5,0),0)</f>
        <v>0</v>
      </c>
      <c r="AE16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64" s="48" t="e">
        <f>Sales4[[#This Row],[PGI per unit]]-Sales4[[#This Row],[BOM Cost]]-Sales4[[#This Row],[Labour cost per unit]]-Sales4[[#This Row],[Other Conversion cost pu]]</f>
        <v>#REF!</v>
      </c>
      <c r="AG164" s="48" t="e">
        <f>Sales4[[#This Row],[BOM Cost2]]+Sales4[[#This Row],[Labour Cost]]+Sales4[[#This Row],[Other conversion cost]]</f>
        <v>#REF!</v>
      </c>
      <c r="AH164" s="12" t="e">
        <f>Sales4[[#This Row],[Billed Quantity]]*Sales4[[#This Row],[BOM Cost]]</f>
        <v>#REF!</v>
      </c>
      <c r="AI164" s="12" t="e">
        <f>Sales4[[#This Row],[Billed Quantity]]*Sales4[[#This Row],[Labour cost per unit]]</f>
        <v>#REF!</v>
      </c>
      <c r="AJ164" s="12">
        <f>Sales4[[#This Row],[Droppage per unit]]*Sales4[[#This Row],[Billed Quantity]]</f>
        <v>0</v>
      </c>
      <c r="AK164" s="12" t="e">
        <f>Sales4[[#This Row],[Billed Quantity]]*Sales4[[#This Row],[Other Conversion cost pu]]</f>
        <v>#REF!</v>
      </c>
      <c r="AL164" s="48" t="e">
        <f>Sales4[[#This Row],[PGI Amount]]-Sales4[[#This Row],[BOM Cost2]]-Sales4[[#This Row],[Labour Cost]]-Sales4[[#This Row],[Other conversion cost]]</f>
        <v>#REF!</v>
      </c>
      <c r="AM164" s="121" t="e">
        <f>1-Sales4[[#This Row],[PGI COST]]/Sales4[[#This Row],[Net Value]]</f>
        <v>#REF!</v>
      </c>
      <c r="AN164" s="1">
        <f>Sales4[[#This Row],[PGI Amount]]/Sales4[[#This Row],[Billed Quantity]]</f>
        <v>320.02</v>
      </c>
      <c r="AO164" s="72" t="e">
        <f>SUMIFS('COGS Break up'!#REF!,'COGS Break up'!#REF!,Sales4[[#This Row],[Material]],'COGS Break up'!#REF!,'MIS Working'!$AO$1)</f>
        <v>#REF!</v>
      </c>
      <c r="AP164" s="72" t="e">
        <f>SUMIFS('COGS Break up'!#REF!,'COGS Break up'!#REF!,Sales4[[#This Row],[Material]],'COGS Break up'!#REF!,'MIS Working'!$AP$1)</f>
        <v>#REF!</v>
      </c>
      <c r="AQ164" s="72" t="e">
        <f>SUMIFS('COGS Break up'!#REF!,'COGS Break up'!#REF!,Sales4[[#This Row],[Material]],'COGS Break up'!#REF!,'MIS Working'!$AQ$1)</f>
        <v>#REF!</v>
      </c>
      <c r="AR164" s="72">
        <f>Sales4[[#This Row],[Droppage per unit]]</f>
        <v>0</v>
      </c>
      <c r="AS164" s="15" t="e">
        <f>AO164*Sales4[[#This Row],[Billed Quantity]]</f>
        <v>#REF!</v>
      </c>
      <c r="AT164" s="72" t="e">
        <f>AP164*Sales4[[#This Row],[Billed Quantity]]</f>
        <v>#REF!</v>
      </c>
      <c r="AU164" s="72" t="e">
        <f>AQ164*Sales4[[#This Row],[Billed Quantity]]</f>
        <v>#REF!</v>
      </c>
      <c r="AV164" s="72">
        <f>AR164*Sales4[[#This Row],[Billed Quantity]]</f>
        <v>0</v>
      </c>
    </row>
    <row r="165" spans="1:48" x14ac:dyDescent="0.3">
      <c r="A165" s="1" t="s">
        <v>479</v>
      </c>
      <c r="B165" s="2">
        <v>45915</v>
      </c>
      <c r="C165" s="1">
        <v>3271270605</v>
      </c>
      <c r="D165" s="1" t="s">
        <v>637</v>
      </c>
      <c r="E165" s="1" t="s">
        <v>638</v>
      </c>
      <c r="F165" s="1" t="s">
        <v>18</v>
      </c>
      <c r="G165" s="1" t="s">
        <v>19</v>
      </c>
      <c r="H165" s="1" t="s">
        <v>27</v>
      </c>
      <c r="I165" s="3">
        <v>105</v>
      </c>
      <c r="J165" s="4">
        <v>33602.1</v>
      </c>
      <c r="K165" s="3">
        <v>105</v>
      </c>
      <c r="L165" s="3">
        <v>105</v>
      </c>
      <c r="M165" s="2">
        <v>45915</v>
      </c>
      <c r="N165" s="4">
        <v>38417.4</v>
      </c>
      <c r="O165" s="1" t="s">
        <v>21</v>
      </c>
      <c r="P165" s="1" t="s">
        <v>22</v>
      </c>
      <c r="Q165" s="1">
        <v>1</v>
      </c>
      <c r="R165" s="1" t="str">
        <f>VLOOKUP(Sales4[[#This Row],[Material type]],Master!$H$3:$I$8,2,0)</f>
        <v>Finished Goods</v>
      </c>
      <c r="S165" s="1" t="str">
        <f>VLOOKUP(Sales4[[#This Row],[Material Group]],Master!B:C,2,0)</f>
        <v>FG-PCB-CF</v>
      </c>
      <c r="T165" s="1" t="str">
        <f>VLOOKUP(Sales4[[#This Row],[Material Group Descrip]],Master!E:F,2,0)</f>
        <v>FG-PCB-CF</v>
      </c>
      <c r="U165" s="9" t="b">
        <f ca="1">(TODAY()-1)=Sales4[[#This Row],[Billing Date]]</f>
        <v>0</v>
      </c>
      <c r="V165" s="10" t="e">
        <f>Sales4[[#This Row],[Net Value]]-Sales4[[#This Row],[PGI COST]]</f>
        <v>#REF!</v>
      </c>
      <c r="W165" s="11" t="e">
        <f>Sales4[[#This Row],[Gross Margin]]/Sales4[[#This Row],[Net Value]]</f>
        <v>#REF!</v>
      </c>
      <c r="X165" s="1" t="str">
        <f>TEXT(Sales4[[#This Row],[Billing Date]],"mmmm-yy")</f>
        <v>September-25</v>
      </c>
      <c r="Y165" s="1">
        <f>Sales4[[#This Row],[Net Value]]/Sales4[[#This Row],[Billed Quantity]]</f>
        <v>365.88</v>
      </c>
      <c r="Z165" s="117">
        <f>Sales4[[#This Row],[Actual delivery qty]]</f>
        <v>105</v>
      </c>
      <c r="AA165" s="12" t="e">
        <f>SUM(Sales4[[#This Row],[BOM Cost]:[Other Conversion cost pu]])</f>
        <v>#REF!</v>
      </c>
      <c r="AB16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6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65" s="12">
        <f>IFERROR(VLOOKUP(Sales4[[#This Row],[Material]],'COGS Break up'!#REF!,5,0),0)</f>
        <v>0</v>
      </c>
      <c r="AE16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65" s="48" t="e">
        <f>Sales4[[#This Row],[PGI per unit]]-Sales4[[#This Row],[BOM Cost]]-Sales4[[#This Row],[Labour cost per unit]]-Sales4[[#This Row],[Other Conversion cost pu]]</f>
        <v>#REF!</v>
      </c>
      <c r="AG165" s="48" t="e">
        <f>Sales4[[#This Row],[BOM Cost2]]+Sales4[[#This Row],[Labour Cost]]+Sales4[[#This Row],[Other conversion cost]]</f>
        <v>#REF!</v>
      </c>
      <c r="AH165" s="12" t="e">
        <f>Sales4[[#This Row],[Billed Quantity]]*Sales4[[#This Row],[BOM Cost]]</f>
        <v>#REF!</v>
      </c>
      <c r="AI165" s="12" t="e">
        <f>Sales4[[#This Row],[Billed Quantity]]*Sales4[[#This Row],[Labour cost per unit]]</f>
        <v>#REF!</v>
      </c>
      <c r="AJ165" s="12">
        <f>Sales4[[#This Row],[Droppage per unit]]*Sales4[[#This Row],[Billed Quantity]]</f>
        <v>0</v>
      </c>
      <c r="AK165" s="12" t="e">
        <f>Sales4[[#This Row],[Billed Quantity]]*Sales4[[#This Row],[Other Conversion cost pu]]</f>
        <v>#REF!</v>
      </c>
      <c r="AL165" s="48" t="e">
        <f>Sales4[[#This Row],[PGI Amount]]-Sales4[[#This Row],[BOM Cost2]]-Sales4[[#This Row],[Labour Cost]]-Sales4[[#This Row],[Other conversion cost]]</f>
        <v>#REF!</v>
      </c>
      <c r="AM165" s="121" t="e">
        <f>1-Sales4[[#This Row],[PGI COST]]/Sales4[[#This Row],[Net Value]]</f>
        <v>#REF!</v>
      </c>
      <c r="AN165" s="1">
        <f>Sales4[[#This Row],[PGI Amount]]/Sales4[[#This Row],[Billed Quantity]]</f>
        <v>320.02</v>
      </c>
      <c r="AO165" s="72" t="e">
        <f>SUMIFS('COGS Break up'!#REF!,'COGS Break up'!#REF!,Sales4[[#This Row],[Material]],'COGS Break up'!#REF!,'MIS Working'!$AO$1)</f>
        <v>#REF!</v>
      </c>
      <c r="AP165" s="72" t="e">
        <f>SUMIFS('COGS Break up'!#REF!,'COGS Break up'!#REF!,Sales4[[#This Row],[Material]],'COGS Break up'!#REF!,'MIS Working'!$AP$1)</f>
        <v>#REF!</v>
      </c>
      <c r="AQ165" s="72" t="e">
        <f>SUMIFS('COGS Break up'!#REF!,'COGS Break up'!#REF!,Sales4[[#This Row],[Material]],'COGS Break up'!#REF!,'MIS Working'!$AQ$1)</f>
        <v>#REF!</v>
      </c>
      <c r="AR165" s="72">
        <f>Sales4[[#This Row],[Droppage per unit]]</f>
        <v>0</v>
      </c>
      <c r="AS165" s="15" t="e">
        <f>AO165*Sales4[[#This Row],[Billed Quantity]]</f>
        <v>#REF!</v>
      </c>
      <c r="AT165" s="72" t="e">
        <f>AP165*Sales4[[#This Row],[Billed Quantity]]</f>
        <v>#REF!</v>
      </c>
      <c r="AU165" s="72" t="e">
        <f>AQ165*Sales4[[#This Row],[Billed Quantity]]</f>
        <v>#REF!</v>
      </c>
      <c r="AV165" s="72">
        <f>AR165*Sales4[[#This Row],[Billed Quantity]]</f>
        <v>0</v>
      </c>
    </row>
    <row r="166" spans="1:48" x14ac:dyDescent="0.3">
      <c r="A166" s="1" t="s">
        <v>479</v>
      </c>
      <c r="B166" s="2">
        <v>45915</v>
      </c>
      <c r="C166" s="1">
        <v>3271270255</v>
      </c>
      <c r="D166" s="1" t="s">
        <v>641</v>
      </c>
      <c r="E166" s="1" t="s">
        <v>642</v>
      </c>
      <c r="F166" s="1" t="s">
        <v>18</v>
      </c>
      <c r="G166" s="1" t="s">
        <v>19</v>
      </c>
      <c r="H166" s="1" t="s">
        <v>27</v>
      </c>
      <c r="I166" s="3">
        <v>280</v>
      </c>
      <c r="J166" s="4">
        <v>128044</v>
      </c>
      <c r="K166" s="3">
        <v>280</v>
      </c>
      <c r="L166" s="3">
        <v>280</v>
      </c>
      <c r="M166" s="2">
        <v>45915</v>
      </c>
      <c r="N166" s="4">
        <v>138600</v>
      </c>
      <c r="O166" s="1" t="s">
        <v>21</v>
      </c>
      <c r="P166" s="1" t="s">
        <v>22</v>
      </c>
      <c r="Q166" s="1">
        <v>1</v>
      </c>
      <c r="R166" s="1" t="str">
        <f>VLOOKUP(Sales4[[#This Row],[Material type]],Master!$H$3:$I$8,2,0)</f>
        <v>Finished Goods</v>
      </c>
      <c r="S166" s="1" t="str">
        <f>VLOOKUP(Sales4[[#This Row],[Material Group]],Master!B:C,2,0)</f>
        <v>FG-PCB-CF</v>
      </c>
      <c r="T166" s="1" t="str">
        <f>VLOOKUP(Sales4[[#This Row],[Material Group Descrip]],Master!E:F,2,0)</f>
        <v>FG-PCB-CF</v>
      </c>
      <c r="U166" s="9" t="b">
        <f ca="1">(TODAY()-1)=Sales4[[#This Row],[Billing Date]]</f>
        <v>0</v>
      </c>
      <c r="V166" s="10" t="e">
        <f>Sales4[[#This Row],[Net Value]]-Sales4[[#This Row],[PGI COST]]</f>
        <v>#REF!</v>
      </c>
      <c r="W166" s="11" t="e">
        <f>Sales4[[#This Row],[Gross Margin]]/Sales4[[#This Row],[Net Value]]</f>
        <v>#REF!</v>
      </c>
      <c r="X166" s="1" t="str">
        <f>TEXT(Sales4[[#This Row],[Billing Date]],"mmmm-yy")</f>
        <v>September-25</v>
      </c>
      <c r="Y166" s="1">
        <f>Sales4[[#This Row],[Net Value]]/Sales4[[#This Row],[Billed Quantity]]</f>
        <v>495</v>
      </c>
      <c r="Z166" s="117">
        <f>Sales4[[#This Row],[Actual delivery qty]]</f>
        <v>280</v>
      </c>
      <c r="AA166" s="12" t="e">
        <f>SUM(Sales4[[#This Row],[BOM Cost]:[Other Conversion cost pu]])</f>
        <v>#REF!</v>
      </c>
      <c r="AB16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6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66" s="12">
        <f>IFERROR(VLOOKUP(Sales4[[#This Row],[Material]],'COGS Break up'!#REF!,5,0),0)</f>
        <v>0</v>
      </c>
      <c r="AE16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66" s="48" t="e">
        <f>Sales4[[#This Row],[PGI per unit]]-Sales4[[#This Row],[BOM Cost]]-Sales4[[#This Row],[Labour cost per unit]]-Sales4[[#This Row],[Other Conversion cost pu]]</f>
        <v>#REF!</v>
      </c>
      <c r="AG166" s="48" t="e">
        <f>Sales4[[#This Row],[BOM Cost2]]+Sales4[[#This Row],[Labour Cost]]+Sales4[[#This Row],[Other conversion cost]]</f>
        <v>#REF!</v>
      </c>
      <c r="AH166" s="12" t="e">
        <f>Sales4[[#This Row],[Billed Quantity]]*Sales4[[#This Row],[BOM Cost]]</f>
        <v>#REF!</v>
      </c>
      <c r="AI166" s="12" t="e">
        <f>Sales4[[#This Row],[Billed Quantity]]*Sales4[[#This Row],[Labour cost per unit]]</f>
        <v>#REF!</v>
      </c>
      <c r="AJ166" s="12">
        <f>Sales4[[#This Row],[Droppage per unit]]*Sales4[[#This Row],[Billed Quantity]]</f>
        <v>0</v>
      </c>
      <c r="AK166" s="12" t="e">
        <f>Sales4[[#This Row],[Billed Quantity]]*Sales4[[#This Row],[Other Conversion cost pu]]</f>
        <v>#REF!</v>
      </c>
      <c r="AL166" s="48" t="e">
        <f>Sales4[[#This Row],[PGI Amount]]-Sales4[[#This Row],[BOM Cost2]]-Sales4[[#This Row],[Labour Cost]]-Sales4[[#This Row],[Other conversion cost]]</f>
        <v>#REF!</v>
      </c>
      <c r="AM166" s="121" t="e">
        <f>1-Sales4[[#This Row],[PGI COST]]/Sales4[[#This Row],[Net Value]]</f>
        <v>#REF!</v>
      </c>
      <c r="AN166" s="1">
        <f>Sales4[[#This Row],[PGI Amount]]/Sales4[[#This Row],[Billed Quantity]]</f>
        <v>457.3</v>
      </c>
      <c r="AO166" s="72" t="e">
        <f>SUMIFS('COGS Break up'!#REF!,'COGS Break up'!#REF!,Sales4[[#This Row],[Material]],'COGS Break up'!#REF!,'MIS Working'!$AO$1)</f>
        <v>#REF!</v>
      </c>
      <c r="AP166" s="72" t="e">
        <f>SUMIFS('COGS Break up'!#REF!,'COGS Break up'!#REF!,Sales4[[#This Row],[Material]],'COGS Break up'!#REF!,'MIS Working'!$AP$1)</f>
        <v>#REF!</v>
      </c>
      <c r="AQ166" s="72" t="e">
        <f>SUMIFS('COGS Break up'!#REF!,'COGS Break up'!#REF!,Sales4[[#This Row],[Material]],'COGS Break up'!#REF!,'MIS Working'!$AQ$1)</f>
        <v>#REF!</v>
      </c>
      <c r="AR166" s="72">
        <f>Sales4[[#This Row],[Droppage per unit]]</f>
        <v>0</v>
      </c>
      <c r="AS166" s="15" t="e">
        <f>AO166*Sales4[[#This Row],[Billed Quantity]]</f>
        <v>#REF!</v>
      </c>
      <c r="AT166" s="72" t="e">
        <f>AP166*Sales4[[#This Row],[Billed Quantity]]</f>
        <v>#REF!</v>
      </c>
      <c r="AU166" s="72" t="e">
        <f>AQ166*Sales4[[#This Row],[Billed Quantity]]</f>
        <v>#REF!</v>
      </c>
      <c r="AV166" s="72">
        <f>AR166*Sales4[[#This Row],[Billed Quantity]]</f>
        <v>0</v>
      </c>
    </row>
    <row r="167" spans="1:48" x14ac:dyDescent="0.3">
      <c r="A167" s="1" t="s">
        <v>479</v>
      </c>
      <c r="B167" s="2">
        <v>45915</v>
      </c>
      <c r="C167" s="1">
        <v>3271270618</v>
      </c>
      <c r="D167" s="1" t="s">
        <v>641</v>
      </c>
      <c r="E167" s="1" t="s">
        <v>642</v>
      </c>
      <c r="F167" s="1" t="s">
        <v>18</v>
      </c>
      <c r="G167" s="1" t="s">
        <v>19</v>
      </c>
      <c r="H167" s="1" t="s">
        <v>27</v>
      </c>
      <c r="I167" s="3">
        <v>105</v>
      </c>
      <c r="J167" s="4">
        <v>48016.5</v>
      </c>
      <c r="K167" s="3">
        <v>105</v>
      </c>
      <c r="L167" s="3">
        <v>105</v>
      </c>
      <c r="M167" s="2">
        <v>45915</v>
      </c>
      <c r="N167" s="4">
        <v>51975</v>
      </c>
      <c r="O167" s="1" t="s">
        <v>21</v>
      </c>
      <c r="P167" s="1" t="s">
        <v>22</v>
      </c>
      <c r="Q167" s="1">
        <v>1</v>
      </c>
      <c r="R167" s="1" t="str">
        <f>VLOOKUP(Sales4[[#This Row],[Material type]],Master!$H$3:$I$8,2,0)</f>
        <v>Finished Goods</v>
      </c>
      <c r="S167" s="1" t="str">
        <f>VLOOKUP(Sales4[[#This Row],[Material Group]],Master!B:C,2,0)</f>
        <v>FG-PCB-CF</v>
      </c>
      <c r="T167" s="1" t="str">
        <f>VLOOKUP(Sales4[[#This Row],[Material Group Descrip]],Master!E:F,2,0)</f>
        <v>FG-PCB-CF</v>
      </c>
      <c r="U167" s="9" t="b">
        <f ca="1">(TODAY()-1)=Sales4[[#This Row],[Billing Date]]</f>
        <v>0</v>
      </c>
      <c r="V167" s="10" t="e">
        <f>Sales4[[#This Row],[Net Value]]-Sales4[[#This Row],[PGI COST]]</f>
        <v>#REF!</v>
      </c>
      <c r="W167" s="11" t="e">
        <f>Sales4[[#This Row],[Gross Margin]]/Sales4[[#This Row],[Net Value]]</f>
        <v>#REF!</v>
      </c>
      <c r="X167" s="1" t="str">
        <f>TEXT(Sales4[[#This Row],[Billing Date]],"mmmm-yy")</f>
        <v>September-25</v>
      </c>
      <c r="Y167" s="1">
        <f>Sales4[[#This Row],[Net Value]]/Sales4[[#This Row],[Billed Quantity]]</f>
        <v>495</v>
      </c>
      <c r="Z167" s="117">
        <f>Sales4[[#This Row],[Actual delivery qty]]</f>
        <v>105</v>
      </c>
      <c r="AA167" s="12" t="e">
        <f>SUM(Sales4[[#This Row],[BOM Cost]:[Other Conversion cost pu]])</f>
        <v>#REF!</v>
      </c>
      <c r="AB16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6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67" s="12">
        <f>IFERROR(VLOOKUP(Sales4[[#This Row],[Material]],'COGS Break up'!#REF!,5,0),0)</f>
        <v>0</v>
      </c>
      <c r="AE16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67" s="48" t="e">
        <f>Sales4[[#This Row],[PGI per unit]]-Sales4[[#This Row],[BOM Cost]]-Sales4[[#This Row],[Labour cost per unit]]-Sales4[[#This Row],[Other Conversion cost pu]]</f>
        <v>#REF!</v>
      </c>
      <c r="AG167" s="48" t="e">
        <f>Sales4[[#This Row],[BOM Cost2]]+Sales4[[#This Row],[Labour Cost]]+Sales4[[#This Row],[Other conversion cost]]</f>
        <v>#REF!</v>
      </c>
      <c r="AH167" s="12" t="e">
        <f>Sales4[[#This Row],[Billed Quantity]]*Sales4[[#This Row],[BOM Cost]]</f>
        <v>#REF!</v>
      </c>
      <c r="AI167" s="12" t="e">
        <f>Sales4[[#This Row],[Billed Quantity]]*Sales4[[#This Row],[Labour cost per unit]]</f>
        <v>#REF!</v>
      </c>
      <c r="AJ167" s="12">
        <f>Sales4[[#This Row],[Droppage per unit]]*Sales4[[#This Row],[Billed Quantity]]</f>
        <v>0</v>
      </c>
      <c r="AK167" s="12" t="e">
        <f>Sales4[[#This Row],[Billed Quantity]]*Sales4[[#This Row],[Other Conversion cost pu]]</f>
        <v>#REF!</v>
      </c>
      <c r="AL167" s="48" t="e">
        <f>Sales4[[#This Row],[PGI Amount]]-Sales4[[#This Row],[BOM Cost2]]-Sales4[[#This Row],[Labour Cost]]-Sales4[[#This Row],[Other conversion cost]]</f>
        <v>#REF!</v>
      </c>
      <c r="AM167" s="121" t="e">
        <f>1-Sales4[[#This Row],[PGI COST]]/Sales4[[#This Row],[Net Value]]</f>
        <v>#REF!</v>
      </c>
      <c r="AN167" s="1">
        <f>Sales4[[#This Row],[PGI Amount]]/Sales4[[#This Row],[Billed Quantity]]</f>
        <v>457.3</v>
      </c>
      <c r="AO167" s="72" t="e">
        <f>SUMIFS('COGS Break up'!#REF!,'COGS Break up'!#REF!,Sales4[[#This Row],[Material]],'COGS Break up'!#REF!,'MIS Working'!$AO$1)</f>
        <v>#REF!</v>
      </c>
      <c r="AP167" s="72" t="e">
        <f>SUMIFS('COGS Break up'!#REF!,'COGS Break up'!#REF!,Sales4[[#This Row],[Material]],'COGS Break up'!#REF!,'MIS Working'!$AP$1)</f>
        <v>#REF!</v>
      </c>
      <c r="AQ167" s="72" t="e">
        <f>SUMIFS('COGS Break up'!#REF!,'COGS Break up'!#REF!,Sales4[[#This Row],[Material]],'COGS Break up'!#REF!,'MIS Working'!$AQ$1)</f>
        <v>#REF!</v>
      </c>
      <c r="AR167" s="72">
        <f>Sales4[[#This Row],[Droppage per unit]]</f>
        <v>0</v>
      </c>
      <c r="AS167" s="15" t="e">
        <f>AO167*Sales4[[#This Row],[Billed Quantity]]</f>
        <v>#REF!</v>
      </c>
      <c r="AT167" s="72" t="e">
        <f>AP167*Sales4[[#This Row],[Billed Quantity]]</f>
        <v>#REF!</v>
      </c>
      <c r="AU167" s="72" t="e">
        <f>AQ167*Sales4[[#This Row],[Billed Quantity]]</f>
        <v>#REF!</v>
      </c>
      <c r="AV167" s="72">
        <f>AR167*Sales4[[#This Row],[Billed Quantity]]</f>
        <v>0</v>
      </c>
    </row>
    <row r="168" spans="1:48" x14ac:dyDescent="0.3">
      <c r="A168" s="1" t="s">
        <v>479</v>
      </c>
      <c r="B168" s="2">
        <v>45915</v>
      </c>
      <c r="C168" s="1">
        <v>3271270605</v>
      </c>
      <c r="D168" s="1" t="s">
        <v>641</v>
      </c>
      <c r="E168" s="1" t="s">
        <v>642</v>
      </c>
      <c r="F168" s="1" t="s">
        <v>18</v>
      </c>
      <c r="G168" s="1" t="s">
        <v>19</v>
      </c>
      <c r="H168" s="1" t="s">
        <v>27</v>
      </c>
      <c r="I168" s="3">
        <v>280</v>
      </c>
      <c r="J168" s="4">
        <v>128044</v>
      </c>
      <c r="K168" s="3">
        <v>280</v>
      </c>
      <c r="L168" s="3">
        <v>280</v>
      </c>
      <c r="M168" s="2">
        <v>45915</v>
      </c>
      <c r="N168" s="4">
        <v>138600</v>
      </c>
      <c r="O168" s="1" t="s">
        <v>21</v>
      </c>
      <c r="P168" s="1" t="s">
        <v>22</v>
      </c>
      <c r="Q168" s="1">
        <v>1</v>
      </c>
      <c r="R168" s="1" t="str">
        <f>VLOOKUP(Sales4[[#This Row],[Material type]],Master!$H$3:$I$8,2,0)</f>
        <v>Finished Goods</v>
      </c>
      <c r="S168" s="1" t="str">
        <f>VLOOKUP(Sales4[[#This Row],[Material Group]],Master!B:C,2,0)</f>
        <v>FG-PCB-CF</v>
      </c>
      <c r="T168" s="1" t="str">
        <f>VLOOKUP(Sales4[[#This Row],[Material Group Descrip]],Master!E:F,2,0)</f>
        <v>FG-PCB-CF</v>
      </c>
      <c r="U168" s="9" t="b">
        <f ca="1">(TODAY()-1)=Sales4[[#This Row],[Billing Date]]</f>
        <v>0</v>
      </c>
      <c r="V168" s="10" t="e">
        <f>Sales4[[#This Row],[Net Value]]-Sales4[[#This Row],[PGI COST]]</f>
        <v>#REF!</v>
      </c>
      <c r="W168" s="11" t="e">
        <f>Sales4[[#This Row],[Gross Margin]]/Sales4[[#This Row],[Net Value]]</f>
        <v>#REF!</v>
      </c>
      <c r="X168" s="1" t="str">
        <f>TEXT(Sales4[[#This Row],[Billing Date]],"mmmm-yy")</f>
        <v>September-25</v>
      </c>
      <c r="Y168" s="1">
        <f>Sales4[[#This Row],[Net Value]]/Sales4[[#This Row],[Billed Quantity]]</f>
        <v>495</v>
      </c>
      <c r="Z168" s="117">
        <f>Sales4[[#This Row],[Actual delivery qty]]</f>
        <v>280</v>
      </c>
      <c r="AA168" s="12" t="e">
        <f>SUM(Sales4[[#This Row],[BOM Cost]:[Other Conversion cost pu]])</f>
        <v>#REF!</v>
      </c>
      <c r="AB16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6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68" s="12">
        <f>IFERROR(VLOOKUP(Sales4[[#This Row],[Material]],'COGS Break up'!#REF!,5,0),0)</f>
        <v>0</v>
      </c>
      <c r="AE16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68" s="48" t="e">
        <f>Sales4[[#This Row],[PGI per unit]]-Sales4[[#This Row],[BOM Cost]]-Sales4[[#This Row],[Labour cost per unit]]-Sales4[[#This Row],[Other Conversion cost pu]]</f>
        <v>#REF!</v>
      </c>
      <c r="AG168" s="48" t="e">
        <f>Sales4[[#This Row],[BOM Cost2]]+Sales4[[#This Row],[Labour Cost]]+Sales4[[#This Row],[Other conversion cost]]</f>
        <v>#REF!</v>
      </c>
      <c r="AH168" s="12" t="e">
        <f>Sales4[[#This Row],[Billed Quantity]]*Sales4[[#This Row],[BOM Cost]]</f>
        <v>#REF!</v>
      </c>
      <c r="AI168" s="12" t="e">
        <f>Sales4[[#This Row],[Billed Quantity]]*Sales4[[#This Row],[Labour cost per unit]]</f>
        <v>#REF!</v>
      </c>
      <c r="AJ168" s="12">
        <f>Sales4[[#This Row],[Droppage per unit]]*Sales4[[#This Row],[Billed Quantity]]</f>
        <v>0</v>
      </c>
      <c r="AK168" s="12" t="e">
        <f>Sales4[[#This Row],[Billed Quantity]]*Sales4[[#This Row],[Other Conversion cost pu]]</f>
        <v>#REF!</v>
      </c>
      <c r="AL168" s="48" t="e">
        <f>Sales4[[#This Row],[PGI Amount]]-Sales4[[#This Row],[BOM Cost2]]-Sales4[[#This Row],[Labour Cost]]-Sales4[[#This Row],[Other conversion cost]]</f>
        <v>#REF!</v>
      </c>
      <c r="AM168" s="121" t="e">
        <f>1-Sales4[[#This Row],[PGI COST]]/Sales4[[#This Row],[Net Value]]</f>
        <v>#REF!</v>
      </c>
      <c r="AN168" s="1">
        <f>Sales4[[#This Row],[PGI Amount]]/Sales4[[#This Row],[Billed Quantity]]</f>
        <v>457.3</v>
      </c>
      <c r="AO168" s="72" t="e">
        <f>SUMIFS('COGS Break up'!#REF!,'COGS Break up'!#REF!,Sales4[[#This Row],[Material]],'COGS Break up'!#REF!,'MIS Working'!$AO$1)</f>
        <v>#REF!</v>
      </c>
      <c r="AP168" s="72" t="e">
        <f>SUMIFS('COGS Break up'!#REF!,'COGS Break up'!#REF!,Sales4[[#This Row],[Material]],'COGS Break up'!#REF!,'MIS Working'!$AP$1)</f>
        <v>#REF!</v>
      </c>
      <c r="AQ168" s="72" t="e">
        <f>SUMIFS('COGS Break up'!#REF!,'COGS Break up'!#REF!,Sales4[[#This Row],[Material]],'COGS Break up'!#REF!,'MIS Working'!$AQ$1)</f>
        <v>#REF!</v>
      </c>
      <c r="AR168" s="72">
        <f>Sales4[[#This Row],[Droppage per unit]]</f>
        <v>0</v>
      </c>
      <c r="AS168" s="15" t="e">
        <f>AO168*Sales4[[#This Row],[Billed Quantity]]</f>
        <v>#REF!</v>
      </c>
      <c r="AT168" s="72" t="e">
        <f>AP168*Sales4[[#This Row],[Billed Quantity]]</f>
        <v>#REF!</v>
      </c>
      <c r="AU168" s="72" t="e">
        <f>AQ168*Sales4[[#This Row],[Billed Quantity]]</f>
        <v>#REF!</v>
      </c>
      <c r="AV168" s="72">
        <f>AR168*Sales4[[#This Row],[Billed Quantity]]</f>
        <v>0</v>
      </c>
    </row>
    <row r="169" spans="1:48" x14ac:dyDescent="0.3">
      <c r="A169" s="1" t="s">
        <v>479</v>
      </c>
      <c r="B169" s="2">
        <v>45915</v>
      </c>
      <c r="C169" s="1">
        <v>3271270278</v>
      </c>
      <c r="D169" s="1" t="s">
        <v>641</v>
      </c>
      <c r="E169" s="1" t="s">
        <v>642</v>
      </c>
      <c r="F169" s="1" t="s">
        <v>18</v>
      </c>
      <c r="G169" s="1" t="s">
        <v>19</v>
      </c>
      <c r="H169" s="1" t="s">
        <v>27</v>
      </c>
      <c r="I169" s="3">
        <v>105</v>
      </c>
      <c r="J169" s="4">
        <v>48016.5</v>
      </c>
      <c r="K169" s="3">
        <v>105</v>
      </c>
      <c r="L169" s="3">
        <v>105</v>
      </c>
      <c r="M169" s="2">
        <v>45915</v>
      </c>
      <c r="N169" s="4">
        <v>51975</v>
      </c>
      <c r="O169" s="1" t="s">
        <v>21</v>
      </c>
      <c r="P169" s="1" t="s">
        <v>22</v>
      </c>
      <c r="Q169" s="1">
        <v>1</v>
      </c>
      <c r="R169" s="1" t="str">
        <f>VLOOKUP(Sales4[[#This Row],[Material type]],Master!$H$3:$I$8,2,0)</f>
        <v>Finished Goods</v>
      </c>
      <c r="S169" s="1" t="str">
        <f>VLOOKUP(Sales4[[#This Row],[Material Group]],Master!B:C,2,0)</f>
        <v>FG-PCB-CF</v>
      </c>
      <c r="T169" s="1" t="str">
        <f>VLOOKUP(Sales4[[#This Row],[Material Group Descrip]],Master!E:F,2,0)</f>
        <v>FG-PCB-CF</v>
      </c>
      <c r="U169" s="9" t="b">
        <f ca="1">(TODAY()-1)=Sales4[[#This Row],[Billing Date]]</f>
        <v>0</v>
      </c>
      <c r="V169" s="10" t="e">
        <f>Sales4[[#This Row],[Net Value]]-Sales4[[#This Row],[PGI COST]]</f>
        <v>#REF!</v>
      </c>
      <c r="W169" s="11" t="e">
        <f>Sales4[[#This Row],[Gross Margin]]/Sales4[[#This Row],[Net Value]]</f>
        <v>#REF!</v>
      </c>
      <c r="X169" s="1" t="str">
        <f>TEXT(Sales4[[#This Row],[Billing Date]],"mmmm-yy")</f>
        <v>September-25</v>
      </c>
      <c r="Y169" s="1">
        <f>Sales4[[#This Row],[Net Value]]/Sales4[[#This Row],[Billed Quantity]]</f>
        <v>495</v>
      </c>
      <c r="Z169" s="117">
        <f>Sales4[[#This Row],[Actual delivery qty]]</f>
        <v>105</v>
      </c>
      <c r="AA169" s="12" t="e">
        <f>SUM(Sales4[[#This Row],[BOM Cost]:[Other Conversion cost pu]])</f>
        <v>#REF!</v>
      </c>
      <c r="AB16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6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69" s="12">
        <f>IFERROR(VLOOKUP(Sales4[[#This Row],[Material]],'COGS Break up'!#REF!,5,0),0)</f>
        <v>0</v>
      </c>
      <c r="AE16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69" s="48" t="e">
        <f>Sales4[[#This Row],[PGI per unit]]-Sales4[[#This Row],[BOM Cost]]-Sales4[[#This Row],[Labour cost per unit]]-Sales4[[#This Row],[Other Conversion cost pu]]</f>
        <v>#REF!</v>
      </c>
      <c r="AG169" s="48" t="e">
        <f>Sales4[[#This Row],[BOM Cost2]]+Sales4[[#This Row],[Labour Cost]]+Sales4[[#This Row],[Other conversion cost]]</f>
        <v>#REF!</v>
      </c>
      <c r="AH169" s="12" t="e">
        <f>Sales4[[#This Row],[Billed Quantity]]*Sales4[[#This Row],[BOM Cost]]</f>
        <v>#REF!</v>
      </c>
      <c r="AI169" s="12" t="e">
        <f>Sales4[[#This Row],[Billed Quantity]]*Sales4[[#This Row],[Labour cost per unit]]</f>
        <v>#REF!</v>
      </c>
      <c r="AJ169" s="12">
        <f>Sales4[[#This Row],[Droppage per unit]]*Sales4[[#This Row],[Billed Quantity]]</f>
        <v>0</v>
      </c>
      <c r="AK169" s="12" t="e">
        <f>Sales4[[#This Row],[Billed Quantity]]*Sales4[[#This Row],[Other Conversion cost pu]]</f>
        <v>#REF!</v>
      </c>
      <c r="AL169" s="48" t="e">
        <f>Sales4[[#This Row],[PGI Amount]]-Sales4[[#This Row],[BOM Cost2]]-Sales4[[#This Row],[Labour Cost]]-Sales4[[#This Row],[Other conversion cost]]</f>
        <v>#REF!</v>
      </c>
      <c r="AM169" s="121" t="e">
        <f>1-Sales4[[#This Row],[PGI COST]]/Sales4[[#This Row],[Net Value]]</f>
        <v>#REF!</v>
      </c>
      <c r="AN169" s="1">
        <f>Sales4[[#This Row],[PGI Amount]]/Sales4[[#This Row],[Billed Quantity]]</f>
        <v>457.3</v>
      </c>
      <c r="AO169" s="72" t="e">
        <f>SUMIFS('COGS Break up'!#REF!,'COGS Break up'!#REF!,Sales4[[#This Row],[Material]],'COGS Break up'!#REF!,'MIS Working'!$AO$1)</f>
        <v>#REF!</v>
      </c>
      <c r="AP169" s="72" t="e">
        <f>SUMIFS('COGS Break up'!#REF!,'COGS Break up'!#REF!,Sales4[[#This Row],[Material]],'COGS Break up'!#REF!,'MIS Working'!$AP$1)</f>
        <v>#REF!</v>
      </c>
      <c r="AQ169" s="72" t="e">
        <f>SUMIFS('COGS Break up'!#REF!,'COGS Break up'!#REF!,Sales4[[#This Row],[Material]],'COGS Break up'!#REF!,'MIS Working'!$AQ$1)</f>
        <v>#REF!</v>
      </c>
      <c r="AR169" s="72">
        <f>Sales4[[#This Row],[Droppage per unit]]</f>
        <v>0</v>
      </c>
      <c r="AS169" s="15" t="e">
        <f>AO169*Sales4[[#This Row],[Billed Quantity]]</f>
        <v>#REF!</v>
      </c>
      <c r="AT169" s="72" t="e">
        <f>AP169*Sales4[[#This Row],[Billed Quantity]]</f>
        <v>#REF!</v>
      </c>
      <c r="AU169" s="72" t="e">
        <f>AQ169*Sales4[[#This Row],[Billed Quantity]]</f>
        <v>#REF!</v>
      </c>
      <c r="AV169" s="72">
        <f>AR169*Sales4[[#This Row],[Billed Quantity]]</f>
        <v>0</v>
      </c>
    </row>
    <row r="170" spans="1:48" x14ac:dyDescent="0.3">
      <c r="A170" s="1" t="s">
        <v>479</v>
      </c>
      <c r="B170" s="2">
        <v>45915</v>
      </c>
      <c r="C170" s="1">
        <v>3271270618</v>
      </c>
      <c r="D170" s="1" t="s">
        <v>366</v>
      </c>
      <c r="E170" s="1" t="s">
        <v>367</v>
      </c>
      <c r="F170" s="1" t="s">
        <v>18</v>
      </c>
      <c r="G170" s="1" t="s">
        <v>19</v>
      </c>
      <c r="H170" s="1" t="s">
        <v>483</v>
      </c>
      <c r="I170" s="3">
        <v>140</v>
      </c>
      <c r="J170" s="4">
        <v>48518.400000000001</v>
      </c>
      <c r="K170" s="3">
        <v>140</v>
      </c>
      <c r="L170" s="3">
        <v>140</v>
      </c>
      <c r="M170" s="2">
        <v>45915</v>
      </c>
      <c r="N170" s="4">
        <v>43972.6</v>
      </c>
      <c r="O170" s="1" t="s">
        <v>21</v>
      </c>
      <c r="P170" s="1" t="s">
        <v>22</v>
      </c>
      <c r="Q170" s="1">
        <v>1</v>
      </c>
      <c r="R170" s="1" t="str">
        <f>VLOOKUP(Sales4[[#This Row],[Material type]],Master!$H$3:$I$8,2,0)</f>
        <v>Finished Goods</v>
      </c>
      <c r="S170" s="1" t="str">
        <f>VLOOKUP(Sales4[[#This Row],[Material Group]],Master!B:C,2,0)</f>
        <v>FG-PCB-MG</v>
      </c>
      <c r="T170" s="1" t="str">
        <f>VLOOKUP(Sales4[[#This Row],[Material Group Descrip]],Master!E:F,2,0)</f>
        <v>FG-PCB-MG</v>
      </c>
      <c r="U170" s="9" t="b">
        <f ca="1">(TODAY()-1)=Sales4[[#This Row],[Billing Date]]</f>
        <v>0</v>
      </c>
      <c r="V170" s="10" t="e">
        <f>Sales4[[#This Row],[Net Value]]-Sales4[[#This Row],[PGI COST]]</f>
        <v>#REF!</v>
      </c>
      <c r="W170" s="11" t="e">
        <f>Sales4[[#This Row],[Gross Margin]]/Sales4[[#This Row],[Net Value]]</f>
        <v>#REF!</v>
      </c>
      <c r="X170" s="1" t="str">
        <f>TEXT(Sales4[[#This Row],[Billing Date]],"mmmm-yy")</f>
        <v>September-25</v>
      </c>
      <c r="Y170" s="1">
        <f>Sales4[[#This Row],[Net Value]]/Sales4[[#This Row],[Billed Quantity]]</f>
        <v>314.08999999999997</v>
      </c>
      <c r="Z170" s="117">
        <f>Sales4[[#This Row],[Actual delivery qty]]</f>
        <v>140</v>
      </c>
      <c r="AA170" s="12" t="e">
        <f>SUM(Sales4[[#This Row],[BOM Cost]:[Other Conversion cost pu]])</f>
        <v>#REF!</v>
      </c>
      <c r="AB17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7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70" s="12">
        <f>IFERROR(VLOOKUP(Sales4[[#This Row],[Material]],'COGS Break up'!#REF!,5,0),0)</f>
        <v>0</v>
      </c>
      <c r="AE17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70" s="48" t="e">
        <f>Sales4[[#This Row],[PGI per unit]]-Sales4[[#This Row],[BOM Cost]]-Sales4[[#This Row],[Labour cost per unit]]-Sales4[[#This Row],[Other Conversion cost pu]]</f>
        <v>#REF!</v>
      </c>
      <c r="AG170" s="48" t="e">
        <f>Sales4[[#This Row],[BOM Cost2]]+Sales4[[#This Row],[Labour Cost]]+Sales4[[#This Row],[Other conversion cost]]</f>
        <v>#REF!</v>
      </c>
      <c r="AH170" s="12" t="e">
        <f>Sales4[[#This Row],[Billed Quantity]]*Sales4[[#This Row],[BOM Cost]]</f>
        <v>#REF!</v>
      </c>
      <c r="AI170" s="12" t="e">
        <f>Sales4[[#This Row],[Billed Quantity]]*Sales4[[#This Row],[Labour cost per unit]]</f>
        <v>#REF!</v>
      </c>
      <c r="AJ170" s="12">
        <f>Sales4[[#This Row],[Droppage per unit]]*Sales4[[#This Row],[Billed Quantity]]</f>
        <v>0</v>
      </c>
      <c r="AK170" s="12" t="e">
        <f>Sales4[[#This Row],[Billed Quantity]]*Sales4[[#This Row],[Other Conversion cost pu]]</f>
        <v>#REF!</v>
      </c>
      <c r="AL170" s="48" t="e">
        <f>Sales4[[#This Row],[PGI Amount]]-Sales4[[#This Row],[BOM Cost2]]-Sales4[[#This Row],[Labour Cost]]-Sales4[[#This Row],[Other conversion cost]]</f>
        <v>#REF!</v>
      </c>
      <c r="AM170" s="121" t="e">
        <f>1-Sales4[[#This Row],[PGI COST]]/Sales4[[#This Row],[Net Value]]</f>
        <v>#REF!</v>
      </c>
      <c r="AN170" s="1">
        <f>Sales4[[#This Row],[PGI Amount]]/Sales4[[#This Row],[Billed Quantity]]</f>
        <v>346.56</v>
      </c>
      <c r="AO170" s="72" t="e">
        <f>SUMIFS('COGS Break up'!#REF!,'COGS Break up'!#REF!,Sales4[[#This Row],[Material]],'COGS Break up'!#REF!,'MIS Working'!$AO$1)</f>
        <v>#REF!</v>
      </c>
      <c r="AP170" s="72" t="e">
        <f>SUMIFS('COGS Break up'!#REF!,'COGS Break up'!#REF!,Sales4[[#This Row],[Material]],'COGS Break up'!#REF!,'MIS Working'!$AP$1)</f>
        <v>#REF!</v>
      </c>
      <c r="AQ170" s="72" t="e">
        <f>SUMIFS('COGS Break up'!#REF!,'COGS Break up'!#REF!,Sales4[[#This Row],[Material]],'COGS Break up'!#REF!,'MIS Working'!$AQ$1)</f>
        <v>#REF!</v>
      </c>
      <c r="AR170" s="72">
        <f>Sales4[[#This Row],[Droppage per unit]]</f>
        <v>0</v>
      </c>
      <c r="AS170" s="15" t="e">
        <f>AO170*Sales4[[#This Row],[Billed Quantity]]</f>
        <v>#REF!</v>
      </c>
      <c r="AT170" s="72" t="e">
        <f>AP170*Sales4[[#This Row],[Billed Quantity]]</f>
        <v>#REF!</v>
      </c>
      <c r="AU170" s="72" t="e">
        <f>AQ170*Sales4[[#This Row],[Billed Quantity]]</f>
        <v>#REF!</v>
      </c>
      <c r="AV170" s="72">
        <f>AR170*Sales4[[#This Row],[Billed Quantity]]</f>
        <v>0</v>
      </c>
    </row>
    <row r="171" spans="1:48" x14ac:dyDescent="0.3">
      <c r="A171" s="1" t="s">
        <v>479</v>
      </c>
      <c r="B171" s="2">
        <v>45915</v>
      </c>
      <c r="C171" s="1">
        <v>3271270433</v>
      </c>
      <c r="D171" s="1" t="s">
        <v>755</v>
      </c>
      <c r="E171" s="1" t="s">
        <v>756</v>
      </c>
      <c r="F171" s="1" t="s">
        <v>18</v>
      </c>
      <c r="G171" s="1" t="s">
        <v>19</v>
      </c>
      <c r="H171" s="1" t="s">
        <v>27</v>
      </c>
      <c r="I171" s="3">
        <v>1015</v>
      </c>
      <c r="J171" s="4">
        <v>339091.20000000001</v>
      </c>
      <c r="K171" s="3">
        <v>1015</v>
      </c>
      <c r="L171" s="3">
        <v>1015</v>
      </c>
      <c r="M171" s="2">
        <v>45915</v>
      </c>
      <c r="N171" s="4">
        <v>367561.95</v>
      </c>
      <c r="O171" s="1" t="s">
        <v>21</v>
      </c>
      <c r="P171" s="1" t="s">
        <v>22</v>
      </c>
      <c r="Q171" s="1">
        <v>1</v>
      </c>
      <c r="R171" s="1" t="str">
        <f>VLOOKUP(Sales4[[#This Row],[Material type]],Master!$H$3:$I$8,2,0)</f>
        <v>Finished Goods</v>
      </c>
      <c r="S171" s="1" t="str">
        <f>VLOOKUP(Sales4[[#This Row],[Material Group]],Master!B:C,2,0)</f>
        <v>FG-PCB-CF</v>
      </c>
      <c r="T171" s="1" t="str">
        <f>VLOOKUP(Sales4[[#This Row],[Material Group Descrip]],Master!E:F,2,0)</f>
        <v>FG-PCB-CF</v>
      </c>
      <c r="U171" s="9" t="b">
        <f ca="1">(TODAY()-1)=Sales4[[#This Row],[Billing Date]]</f>
        <v>0</v>
      </c>
      <c r="V171" s="10" t="e">
        <f>Sales4[[#This Row],[Net Value]]-Sales4[[#This Row],[PGI COST]]</f>
        <v>#REF!</v>
      </c>
      <c r="W171" s="11" t="e">
        <f>Sales4[[#This Row],[Gross Margin]]/Sales4[[#This Row],[Net Value]]</f>
        <v>#REF!</v>
      </c>
      <c r="X171" s="1" t="str">
        <f>TEXT(Sales4[[#This Row],[Billing Date]],"mmmm-yy")</f>
        <v>September-25</v>
      </c>
      <c r="Y171" s="1">
        <f>Sales4[[#This Row],[Net Value]]/Sales4[[#This Row],[Billed Quantity]]</f>
        <v>362.13</v>
      </c>
      <c r="Z171" s="117">
        <f>Sales4[[#This Row],[Actual delivery qty]]</f>
        <v>1015</v>
      </c>
      <c r="AA171" s="12" t="e">
        <f>SUM(Sales4[[#This Row],[BOM Cost]:[Other Conversion cost pu]])</f>
        <v>#REF!</v>
      </c>
      <c r="AB17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7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71" s="12">
        <f>IFERROR(VLOOKUP(Sales4[[#This Row],[Material]],'COGS Break up'!#REF!,5,0),0)</f>
        <v>0</v>
      </c>
      <c r="AE17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71" s="48" t="e">
        <f>Sales4[[#This Row],[PGI per unit]]-Sales4[[#This Row],[BOM Cost]]-Sales4[[#This Row],[Labour cost per unit]]-Sales4[[#This Row],[Other Conversion cost pu]]</f>
        <v>#REF!</v>
      </c>
      <c r="AG171" s="48" t="e">
        <f>Sales4[[#This Row],[BOM Cost2]]+Sales4[[#This Row],[Labour Cost]]+Sales4[[#This Row],[Other conversion cost]]</f>
        <v>#REF!</v>
      </c>
      <c r="AH171" s="12" t="e">
        <f>Sales4[[#This Row],[Billed Quantity]]*Sales4[[#This Row],[BOM Cost]]</f>
        <v>#REF!</v>
      </c>
      <c r="AI171" s="12" t="e">
        <f>Sales4[[#This Row],[Billed Quantity]]*Sales4[[#This Row],[Labour cost per unit]]</f>
        <v>#REF!</v>
      </c>
      <c r="AJ171" s="12">
        <f>Sales4[[#This Row],[Droppage per unit]]*Sales4[[#This Row],[Billed Quantity]]</f>
        <v>0</v>
      </c>
      <c r="AK171" s="12" t="e">
        <f>Sales4[[#This Row],[Billed Quantity]]*Sales4[[#This Row],[Other Conversion cost pu]]</f>
        <v>#REF!</v>
      </c>
      <c r="AL171" s="48" t="e">
        <f>Sales4[[#This Row],[PGI Amount]]-Sales4[[#This Row],[BOM Cost2]]-Sales4[[#This Row],[Labour Cost]]-Sales4[[#This Row],[Other conversion cost]]</f>
        <v>#REF!</v>
      </c>
      <c r="AM171" s="121" t="e">
        <f>1-Sales4[[#This Row],[PGI COST]]/Sales4[[#This Row],[Net Value]]</f>
        <v>#REF!</v>
      </c>
      <c r="AN171" s="1">
        <f>Sales4[[#This Row],[PGI Amount]]/Sales4[[#This Row],[Billed Quantity]]</f>
        <v>334.08</v>
      </c>
      <c r="AO171" s="72" t="e">
        <f>SUMIFS('COGS Break up'!#REF!,'COGS Break up'!#REF!,Sales4[[#This Row],[Material]],'COGS Break up'!#REF!,'MIS Working'!$AO$1)</f>
        <v>#REF!</v>
      </c>
      <c r="AP171" s="72" t="e">
        <f>SUMIFS('COGS Break up'!#REF!,'COGS Break up'!#REF!,Sales4[[#This Row],[Material]],'COGS Break up'!#REF!,'MIS Working'!$AP$1)</f>
        <v>#REF!</v>
      </c>
      <c r="AQ171" s="72" t="e">
        <f>SUMIFS('COGS Break up'!#REF!,'COGS Break up'!#REF!,Sales4[[#This Row],[Material]],'COGS Break up'!#REF!,'MIS Working'!$AQ$1)</f>
        <v>#REF!</v>
      </c>
      <c r="AR171" s="72">
        <f>Sales4[[#This Row],[Droppage per unit]]</f>
        <v>0</v>
      </c>
      <c r="AS171" s="15" t="e">
        <f>AO171*Sales4[[#This Row],[Billed Quantity]]</f>
        <v>#REF!</v>
      </c>
      <c r="AT171" s="72" t="e">
        <f>AP171*Sales4[[#This Row],[Billed Quantity]]</f>
        <v>#REF!</v>
      </c>
      <c r="AU171" s="72" t="e">
        <f>AQ171*Sales4[[#This Row],[Billed Quantity]]</f>
        <v>#REF!</v>
      </c>
      <c r="AV171" s="72">
        <f>AR171*Sales4[[#This Row],[Billed Quantity]]</f>
        <v>0</v>
      </c>
    </row>
    <row r="172" spans="1:48" x14ac:dyDescent="0.3">
      <c r="A172" s="1" t="s">
        <v>479</v>
      </c>
      <c r="B172" s="2">
        <v>45915</v>
      </c>
      <c r="C172" s="1">
        <v>3271270432</v>
      </c>
      <c r="D172" s="1" t="s">
        <v>40</v>
      </c>
      <c r="E172" s="1" t="s">
        <v>41</v>
      </c>
      <c r="F172" s="1" t="s">
        <v>18</v>
      </c>
      <c r="G172" s="1" t="s">
        <v>34</v>
      </c>
      <c r="H172" s="1" t="s">
        <v>772</v>
      </c>
      <c r="I172" s="3">
        <v>2252</v>
      </c>
      <c r="J172" s="4">
        <v>332260.08</v>
      </c>
      <c r="K172" s="3">
        <v>2252</v>
      </c>
      <c r="L172" s="3">
        <v>2252</v>
      </c>
      <c r="M172" s="2">
        <v>45915</v>
      </c>
      <c r="N172" s="4">
        <v>366940.88</v>
      </c>
      <c r="O172" s="1" t="s">
        <v>21</v>
      </c>
      <c r="P172" s="1" t="s">
        <v>22</v>
      </c>
      <c r="Q172" s="1">
        <v>1</v>
      </c>
      <c r="R172" s="1" t="str">
        <f>VLOOKUP(Sales4[[#This Row],[Material type]],Master!$H$3:$I$8,2,0)</f>
        <v>Semi-Finished Goods</v>
      </c>
      <c r="S172" s="1" t="str">
        <f>VLOOKUP(Sales4[[#This Row],[Material Group]],Master!B:C,2,0)</f>
        <v>SFG-GV5 Stator</v>
      </c>
      <c r="T172" s="1" t="str">
        <f>VLOOKUP(Sales4[[#This Row],[Material Group Descrip]],Master!E:F,2,0)</f>
        <v>Sub Ass.-Mech Stator</v>
      </c>
      <c r="U172" s="9" t="b">
        <f ca="1">(TODAY()-1)=Sales4[[#This Row],[Billing Date]]</f>
        <v>0</v>
      </c>
      <c r="V172" s="10" t="e">
        <f>Sales4[[#This Row],[Net Value]]-Sales4[[#This Row],[PGI COST]]</f>
        <v>#REF!</v>
      </c>
      <c r="W172" s="11" t="e">
        <f>Sales4[[#This Row],[Gross Margin]]/Sales4[[#This Row],[Net Value]]</f>
        <v>#REF!</v>
      </c>
      <c r="X172" s="1" t="str">
        <f>TEXT(Sales4[[#This Row],[Billing Date]],"mmmm-yy")</f>
        <v>September-25</v>
      </c>
      <c r="Y172" s="1">
        <f>Sales4[[#This Row],[Net Value]]/Sales4[[#This Row],[Billed Quantity]]</f>
        <v>162.94</v>
      </c>
      <c r="Z172" s="117">
        <f>Sales4[[#This Row],[Actual delivery qty]]</f>
        <v>2252</v>
      </c>
      <c r="AA172" s="12" t="e">
        <f>SUM(Sales4[[#This Row],[BOM Cost]:[Other Conversion cost pu]])</f>
        <v>#REF!</v>
      </c>
      <c r="AB17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7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72" s="12">
        <f>IFERROR(VLOOKUP(Sales4[[#This Row],[Material]],'COGS Break up'!#REF!,5,0),0)</f>
        <v>0</v>
      </c>
      <c r="AE17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72" s="48" t="e">
        <f>Sales4[[#This Row],[PGI per unit]]-Sales4[[#This Row],[BOM Cost]]-Sales4[[#This Row],[Labour cost per unit]]-Sales4[[#This Row],[Other Conversion cost pu]]</f>
        <v>#REF!</v>
      </c>
      <c r="AG172" s="48" t="e">
        <f>Sales4[[#This Row],[BOM Cost2]]+Sales4[[#This Row],[Labour Cost]]+Sales4[[#This Row],[Other conversion cost]]</f>
        <v>#REF!</v>
      </c>
      <c r="AH172" s="12" t="e">
        <f>Sales4[[#This Row],[Billed Quantity]]*Sales4[[#This Row],[BOM Cost]]</f>
        <v>#REF!</v>
      </c>
      <c r="AI172" s="12" t="e">
        <f>Sales4[[#This Row],[Billed Quantity]]*Sales4[[#This Row],[Labour cost per unit]]</f>
        <v>#REF!</v>
      </c>
      <c r="AJ172" s="12">
        <f>Sales4[[#This Row],[Droppage per unit]]*Sales4[[#This Row],[Billed Quantity]]</f>
        <v>0</v>
      </c>
      <c r="AK172" s="12" t="e">
        <f>Sales4[[#This Row],[Billed Quantity]]*Sales4[[#This Row],[Other Conversion cost pu]]</f>
        <v>#REF!</v>
      </c>
      <c r="AL172" s="48" t="e">
        <f>Sales4[[#This Row],[PGI Amount]]-Sales4[[#This Row],[BOM Cost2]]-Sales4[[#This Row],[Labour Cost]]-Sales4[[#This Row],[Other conversion cost]]</f>
        <v>#REF!</v>
      </c>
      <c r="AM172" s="121" t="e">
        <f>1-Sales4[[#This Row],[PGI COST]]/Sales4[[#This Row],[Net Value]]</f>
        <v>#REF!</v>
      </c>
      <c r="AN172" s="1">
        <f>Sales4[[#This Row],[PGI Amount]]/Sales4[[#This Row],[Billed Quantity]]</f>
        <v>147.54000000000002</v>
      </c>
      <c r="AO172" s="72" t="e">
        <f>SUMIFS('COGS Break up'!#REF!,'COGS Break up'!#REF!,Sales4[[#This Row],[Material]],'COGS Break up'!#REF!,'MIS Working'!$AO$1)</f>
        <v>#REF!</v>
      </c>
      <c r="AP172" s="72" t="e">
        <f>SUMIFS('COGS Break up'!#REF!,'COGS Break up'!#REF!,Sales4[[#This Row],[Material]],'COGS Break up'!#REF!,'MIS Working'!$AP$1)</f>
        <v>#REF!</v>
      </c>
      <c r="AQ172" s="72" t="e">
        <f>SUMIFS('COGS Break up'!#REF!,'COGS Break up'!#REF!,Sales4[[#This Row],[Material]],'COGS Break up'!#REF!,'MIS Working'!$AQ$1)</f>
        <v>#REF!</v>
      </c>
      <c r="AR172" s="72">
        <f>Sales4[[#This Row],[Droppage per unit]]</f>
        <v>0</v>
      </c>
      <c r="AS172" s="15" t="e">
        <f>AO172*Sales4[[#This Row],[Billed Quantity]]</f>
        <v>#REF!</v>
      </c>
      <c r="AT172" s="72" t="e">
        <f>AP172*Sales4[[#This Row],[Billed Quantity]]</f>
        <v>#REF!</v>
      </c>
      <c r="AU172" s="72" t="e">
        <f>AQ172*Sales4[[#This Row],[Billed Quantity]]</f>
        <v>#REF!</v>
      </c>
      <c r="AV172" s="72">
        <f>AR172*Sales4[[#This Row],[Billed Quantity]]</f>
        <v>0</v>
      </c>
    </row>
    <row r="173" spans="1:48" x14ac:dyDescent="0.3">
      <c r="A173" s="1" t="s">
        <v>479</v>
      </c>
      <c r="B173" s="2">
        <v>45915</v>
      </c>
      <c r="C173" s="1">
        <v>3271270441</v>
      </c>
      <c r="D173" s="1" t="s">
        <v>595</v>
      </c>
      <c r="E173" s="1" t="s">
        <v>596</v>
      </c>
      <c r="F173" s="1" t="s">
        <v>18</v>
      </c>
      <c r="G173" s="1" t="s">
        <v>34</v>
      </c>
      <c r="H173" s="1" t="s">
        <v>772</v>
      </c>
      <c r="I173" s="3">
        <v>2016</v>
      </c>
      <c r="J173" s="4">
        <v>252000</v>
      </c>
      <c r="K173" s="3">
        <v>2016</v>
      </c>
      <c r="L173" s="3">
        <v>2016</v>
      </c>
      <c r="M173" s="2">
        <v>45915</v>
      </c>
      <c r="N173" s="4">
        <v>266898.24</v>
      </c>
      <c r="O173" s="1" t="s">
        <v>21</v>
      </c>
      <c r="P173" s="1" t="s">
        <v>22</v>
      </c>
      <c r="Q173" s="1">
        <v>1</v>
      </c>
      <c r="R173" s="1" t="str">
        <f>VLOOKUP(Sales4[[#This Row],[Material type]],Master!$H$3:$I$8,2,0)</f>
        <v>Semi-Finished Goods</v>
      </c>
      <c r="S173" s="1" t="str">
        <f>VLOOKUP(Sales4[[#This Row],[Material Group]],Master!B:C,2,0)</f>
        <v>SFG-GV5 Stator</v>
      </c>
      <c r="T173" s="1" t="str">
        <f>VLOOKUP(Sales4[[#This Row],[Material Group Descrip]],Master!E:F,2,0)</f>
        <v>Sub Ass.-Mech Stator</v>
      </c>
      <c r="U173" s="9" t="b">
        <f ca="1">(TODAY()-1)=Sales4[[#This Row],[Billing Date]]</f>
        <v>0</v>
      </c>
      <c r="V173" s="10" t="e">
        <f>Sales4[[#This Row],[Net Value]]-Sales4[[#This Row],[PGI COST]]</f>
        <v>#REF!</v>
      </c>
      <c r="W173" s="11" t="e">
        <f>Sales4[[#This Row],[Gross Margin]]/Sales4[[#This Row],[Net Value]]</f>
        <v>#REF!</v>
      </c>
      <c r="X173" s="1" t="str">
        <f>TEXT(Sales4[[#This Row],[Billing Date]],"mmmm-yy")</f>
        <v>September-25</v>
      </c>
      <c r="Y173" s="1">
        <f>Sales4[[#This Row],[Net Value]]/Sales4[[#This Row],[Billed Quantity]]</f>
        <v>132.38999999999999</v>
      </c>
      <c r="Z173" s="117">
        <f>Sales4[[#This Row],[Actual delivery qty]]</f>
        <v>2016</v>
      </c>
      <c r="AA173" s="12" t="e">
        <f>SUM(Sales4[[#This Row],[BOM Cost]:[Other Conversion cost pu]])</f>
        <v>#REF!</v>
      </c>
      <c r="AB17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7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73" s="12">
        <f>IFERROR(VLOOKUP(Sales4[[#This Row],[Material]],'COGS Break up'!#REF!,5,0),0)</f>
        <v>0</v>
      </c>
      <c r="AE17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73" s="48" t="e">
        <f>Sales4[[#This Row],[PGI per unit]]-Sales4[[#This Row],[BOM Cost]]-Sales4[[#This Row],[Labour cost per unit]]-Sales4[[#This Row],[Other Conversion cost pu]]</f>
        <v>#REF!</v>
      </c>
      <c r="AG173" s="48" t="e">
        <f>Sales4[[#This Row],[BOM Cost2]]+Sales4[[#This Row],[Labour Cost]]+Sales4[[#This Row],[Other conversion cost]]</f>
        <v>#REF!</v>
      </c>
      <c r="AH173" s="12" t="e">
        <f>Sales4[[#This Row],[Billed Quantity]]*Sales4[[#This Row],[BOM Cost]]</f>
        <v>#REF!</v>
      </c>
      <c r="AI173" s="12" t="e">
        <f>Sales4[[#This Row],[Billed Quantity]]*Sales4[[#This Row],[Labour cost per unit]]</f>
        <v>#REF!</v>
      </c>
      <c r="AJ173" s="12">
        <f>Sales4[[#This Row],[Droppage per unit]]*Sales4[[#This Row],[Billed Quantity]]</f>
        <v>0</v>
      </c>
      <c r="AK173" s="12" t="e">
        <f>Sales4[[#This Row],[Billed Quantity]]*Sales4[[#This Row],[Other Conversion cost pu]]</f>
        <v>#REF!</v>
      </c>
      <c r="AL173" s="48" t="e">
        <f>Sales4[[#This Row],[PGI Amount]]-Sales4[[#This Row],[BOM Cost2]]-Sales4[[#This Row],[Labour Cost]]-Sales4[[#This Row],[Other conversion cost]]</f>
        <v>#REF!</v>
      </c>
      <c r="AM173" s="121" t="e">
        <f>1-Sales4[[#This Row],[PGI COST]]/Sales4[[#This Row],[Net Value]]</f>
        <v>#REF!</v>
      </c>
      <c r="AN173" s="1">
        <f>Sales4[[#This Row],[PGI Amount]]/Sales4[[#This Row],[Billed Quantity]]</f>
        <v>125</v>
      </c>
      <c r="AO173" s="72" t="e">
        <f>SUMIFS('COGS Break up'!#REF!,'COGS Break up'!#REF!,Sales4[[#This Row],[Material]],'COGS Break up'!#REF!,'MIS Working'!$AO$1)</f>
        <v>#REF!</v>
      </c>
      <c r="AP173" s="72" t="e">
        <f>SUMIFS('COGS Break up'!#REF!,'COGS Break up'!#REF!,Sales4[[#This Row],[Material]],'COGS Break up'!#REF!,'MIS Working'!$AP$1)</f>
        <v>#REF!</v>
      </c>
      <c r="AQ173" s="72" t="e">
        <f>SUMIFS('COGS Break up'!#REF!,'COGS Break up'!#REF!,Sales4[[#This Row],[Material]],'COGS Break up'!#REF!,'MIS Working'!$AQ$1)</f>
        <v>#REF!</v>
      </c>
      <c r="AR173" s="72">
        <f>Sales4[[#This Row],[Droppage per unit]]</f>
        <v>0</v>
      </c>
      <c r="AS173" s="15" t="e">
        <f>AO173*Sales4[[#This Row],[Billed Quantity]]</f>
        <v>#REF!</v>
      </c>
      <c r="AT173" s="72" t="e">
        <f>AP173*Sales4[[#This Row],[Billed Quantity]]</f>
        <v>#REF!</v>
      </c>
      <c r="AU173" s="72" t="e">
        <f>AQ173*Sales4[[#This Row],[Billed Quantity]]</f>
        <v>#REF!</v>
      </c>
      <c r="AV173" s="72">
        <f>AR173*Sales4[[#This Row],[Billed Quantity]]</f>
        <v>0</v>
      </c>
    </row>
    <row r="174" spans="1:48" x14ac:dyDescent="0.3">
      <c r="A174" s="1" t="s">
        <v>479</v>
      </c>
      <c r="B174" s="2">
        <v>45913</v>
      </c>
      <c r="C174" s="1">
        <v>3271270132</v>
      </c>
      <c r="D174" s="1" t="s">
        <v>38</v>
      </c>
      <c r="E174" s="1" t="s">
        <v>39</v>
      </c>
      <c r="F174" s="1" t="s">
        <v>18</v>
      </c>
      <c r="G174" s="1" t="s">
        <v>19</v>
      </c>
      <c r="H174" s="1" t="s">
        <v>27</v>
      </c>
      <c r="I174" s="3">
        <v>2100</v>
      </c>
      <c r="J174" s="4">
        <v>691866</v>
      </c>
      <c r="K174" s="3">
        <v>2100</v>
      </c>
      <c r="L174" s="3">
        <v>2100</v>
      </c>
      <c r="M174" s="2">
        <v>45913</v>
      </c>
      <c r="N174" s="4">
        <v>752409</v>
      </c>
      <c r="O174" s="1" t="s">
        <v>21</v>
      </c>
      <c r="P174" s="1" t="s">
        <v>22</v>
      </c>
      <c r="Q174" s="1">
        <v>1</v>
      </c>
      <c r="R174" s="1" t="str">
        <f>VLOOKUP(Sales4[[#This Row],[Material type]],Master!$H$3:$I$8,2,0)</f>
        <v>Finished Goods</v>
      </c>
      <c r="S174" s="1" t="str">
        <f>VLOOKUP(Sales4[[#This Row],[Material Group]],Master!B:C,2,0)</f>
        <v>FG-PCB-CF</v>
      </c>
      <c r="T174" s="1" t="str">
        <f>VLOOKUP(Sales4[[#This Row],[Material Group Descrip]],Master!E:F,2,0)</f>
        <v>FG-PCB-CF</v>
      </c>
      <c r="U174" s="9" t="b">
        <f ca="1">(TODAY()-1)=Sales4[[#This Row],[Billing Date]]</f>
        <v>0</v>
      </c>
      <c r="V174" s="10" t="e">
        <f>Sales4[[#This Row],[Net Value]]-Sales4[[#This Row],[PGI COST]]</f>
        <v>#REF!</v>
      </c>
      <c r="W174" s="11" t="e">
        <f>Sales4[[#This Row],[Gross Margin]]/Sales4[[#This Row],[Net Value]]</f>
        <v>#REF!</v>
      </c>
      <c r="X174" s="1" t="str">
        <f>TEXT(Sales4[[#This Row],[Billing Date]],"mmmm-yy")</f>
        <v>September-25</v>
      </c>
      <c r="Y174" s="1">
        <f>Sales4[[#This Row],[Net Value]]/Sales4[[#This Row],[Billed Quantity]]</f>
        <v>358.29</v>
      </c>
      <c r="Z174" s="117">
        <f>Sales4[[#This Row],[Actual delivery qty]]</f>
        <v>2100</v>
      </c>
      <c r="AA174" s="12" t="e">
        <f>SUM(Sales4[[#This Row],[BOM Cost]:[Other Conversion cost pu]])</f>
        <v>#REF!</v>
      </c>
      <c r="AB17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7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74" s="12">
        <f>IFERROR(VLOOKUP(Sales4[[#This Row],[Material]],'COGS Break up'!#REF!,5,0),0)</f>
        <v>0</v>
      </c>
      <c r="AE17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74" s="48" t="e">
        <f>Sales4[[#This Row],[PGI per unit]]-Sales4[[#This Row],[BOM Cost]]-Sales4[[#This Row],[Labour cost per unit]]-Sales4[[#This Row],[Other Conversion cost pu]]</f>
        <v>#REF!</v>
      </c>
      <c r="AG174" s="48" t="e">
        <f>Sales4[[#This Row],[BOM Cost2]]+Sales4[[#This Row],[Labour Cost]]+Sales4[[#This Row],[Other conversion cost]]</f>
        <v>#REF!</v>
      </c>
      <c r="AH174" s="12" t="e">
        <f>Sales4[[#This Row],[Billed Quantity]]*Sales4[[#This Row],[BOM Cost]]</f>
        <v>#REF!</v>
      </c>
      <c r="AI174" s="12" t="e">
        <f>Sales4[[#This Row],[Billed Quantity]]*Sales4[[#This Row],[Labour cost per unit]]</f>
        <v>#REF!</v>
      </c>
      <c r="AJ174" s="12">
        <f>Sales4[[#This Row],[Droppage per unit]]*Sales4[[#This Row],[Billed Quantity]]</f>
        <v>0</v>
      </c>
      <c r="AK174" s="12" t="e">
        <f>Sales4[[#This Row],[Billed Quantity]]*Sales4[[#This Row],[Other Conversion cost pu]]</f>
        <v>#REF!</v>
      </c>
      <c r="AL174" s="48" t="e">
        <f>Sales4[[#This Row],[PGI Amount]]-Sales4[[#This Row],[BOM Cost2]]-Sales4[[#This Row],[Labour Cost]]-Sales4[[#This Row],[Other conversion cost]]</f>
        <v>#REF!</v>
      </c>
      <c r="AM174" s="121" t="e">
        <f>1-Sales4[[#This Row],[PGI COST]]/Sales4[[#This Row],[Net Value]]</f>
        <v>#REF!</v>
      </c>
      <c r="AN174" s="1">
        <f>Sales4[[#This Row],[PGI Amount]]/Sales4[[#This Row],[Billed Quantity]]</f>
        <v>329.46</v>
      </c>
      <c r="AO174" s="72" t="e">
        <f>SUMIFS('COGS Break up'!#REF!,'COGS Break up'!#REF!,Sales4[[#This Row],[Material]],'COGS Break up'!#REF!,'MIS Working'!$AO$1)</f>
        <v>#REF!</v>
      </c>
      <c r="AP174" s="72" t="e">
        <f>SUMIFS('COGS Break up'!#REF!,'COGS Break up'!#REF!,Sales4[[#This Row],[Material]],'COGS Break up'!#REF!,'MIS Working'!$AP$1)</f>
        <v>#REF!</v>
      </c>
      <c r="AQ174" s="72" t="e">
        <f>SUMIFS('COGS Break up'!#REF!,'COGS Break up'!#REF!,Sales4[[#This Row],[Material]],'COGS Break up'!#REF!,'MIS Working'!$AQ$1)</f>
        <v>#REF!</v>
      </c>
      <c r="AR174" s="72">
        <f>Sales4[[#This Row],[Droppage per unit]]</f>
        <v>0</v>
      </c>
      <c r="AS174" s="15" t="e">
        <f>AO174*Sales4[[#This Row],[Billed Quantity]]</f>
        <v>#REF!</v>
      </c>
      <c r="AT174" s="72" t="e">
        <f>AP174*Sales4[[#This Row],[Billed Quantity]]</f>
        <v>#REF!</v>
      </c>
      <c r="AU174" s="72" t="e">
        <f>AQ174*Sales4[[#This Row],[Billed Quantity]]</f>
        <v>#REF!</v>
      </c>
      <c r="AV174" s="72">
        <f>AR174*Sales4[[#This Row],[Billed Quantity]]</f>
        <v>0</v>
      </c>
    </row>
    <row r="175" spans="1:48" x14ac:dyDescent="0.3">
      <c r="A175" s="1" t="s">
        <v>479</v>
      </c>
      <c r="B175" s="2">
        <v>45913</v>
      </c>
      <c r="C175" s="1">
        <v>3271269919</v>
      </c>
      <c r="D175" s="1" t="s">
        <v>23</v>
      </c>
      <c r="E175" s="1" t="s">
        <v>24</v>
      </c>
      <c r="F175" s="1" t="s">
        <v>18</v>
      </c>
      <c r="G175" s="1" t="s">
        <v>19</v>
      </c>
      <c r="H175" s="1" t="s">
        <v>27</v>
      </c>
      <c r="I175" s="3">
        <v>560</v>
      </c>
      <c r="J175" s="4">
        <v>237680.8</v>
      </c>
      <c r="K175" s="3">
        <v>560</v>
      </c>
      <c r="L175" s="3">
        <v>560</v>
      </c>
      <c r="M175" s="2">
        <v>45913</v>
      </c>
      <c r="N175" s="4">
        <v>270569.59999999998</v>
      </c>
      <c r="O175" s="1" t="s">
        <v>21</v>
      </c>
      <c r="P175" s="1" t="s">
        <v>22</v>
      </c>
      <c r="Q175" s="1">
        <v>1</v>
      </c>
      <c r="R175" s="1" t="str">
        <f>VLOOKUP(Sales4[[#This Row],[Material type]],Master!$H$3:$I$8,2,0)</f>
        <v>Finished Goods</v>
      </c>
      <c r="S175" s="1" t="str">
        <f>VLOOKUP(Sales4[[#This Row],[Material Group]],Master!B:C,2,0)</f>
        <v>FG-PCB-CF</v>
      </c>
      <c r="T175" s="1" t="str">
        <f>VLOOKUP(Sales4[[#This Row],[Material Group Descrip]],Master!E:F,2,0)</f>
        <v>FG-PCB-CF</v>
      </c>
      <c r="U175" s="9" t="b">
        <f ca="1">(TODAY()-1)=Sales4[[#This Row],[Billing Date]]</f>
        <v>0</v>
      </c>
      <c r="V175" s="10" t="e">
        <f>Sales4[[#This Row],[Net Value]]-Sales4[[#This Row],[PGI COST]]</f>
        <v>#REF!</v>
      </c>
      <c r="W175" s="11" t="e">
        <f>Sales4[[#This Row],[Gross Margin]]/Sales4[[#This Row],[Net Value]]</f>
        <v>#REF!</v>
      </c>
      <c r="X175" s="1" t="str">
        <f>TEXT(Sales4[[#This Row],[Billing Date]],"mmmm-yy")</f>
        <v>September-25</v>
      </c>
      <c r="Y175" s="1">
        <f>Sales4[[#This Row],[Net Value]]/Sales4[[#This Row],[Billed Quantity]]</f>
        <v>483.15999999999997</v>
      </c>
      <c r="Z175" s="117">
        <f>Sales4[[#This Row],[Actual delivery qty]]</f>
        <v>560</v>
      </c>
      <c r="AA175" s="12" t="e">
        <f>SUM(Sales4[[#This Row],[BOM Cost]:[Other Conversion cost pu]])</f>
        <v>#REF!</v>
      </c>
      <c r="AB17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7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75" s="12">
        <f>IFERROR(VLOOKUP(Sales4[[#This Row],[Material]],'COGS Break up'!#REF!,5,0),0)</f>
        <v>0</v>
      </c>
      <c r="AE17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75" s="48" t="e">
        <f>Sales4[[#This Row],[PGI per unit]]-Sales4[[#This Row],[BOM Cost]]-Sales4[[#This Row],[Labour cost per unit]]-Sales4[[#This Row],[Other Conversion cost pu]]</f>
        <v>#REF!</v>
      </c>
      <c r="AG175" s="48" t="e">
        <f>Sales4[[#This Row],[BOM Cost2]]+Sales4[[#This Row],[Labour Cost]]+Sales4[[#This Row],[Other conversion cost]]</f>
        <v>#REF!</v>
      </c>
      <c r="AH175" s="12" t="e">
        <f>Sales4[[#This Row],[Billed Quantity]]*Sales4[[#This Row],[BOM Cost]]</f>
        <v>#REF!</v>
      </c>
      <c r="AI175" s="12" t="e">
        <f>Sales4[[#This Row],[Billed Quantity]]*Sales4[[#This Row],[Labour cost per unit]]</f>
        <v>#REF!</v>
      </c>
      <c r="AJ175" s="12">
        <f>Sales4[[#This Row],[Droppage per unit]]*Sales4[[#This Row],[Billed Quantity]]</f>
        <v>0</v>
      </c>
      <c r="AK175" s="12" t="e">
        <f>Sales4[[#This Row],[Billed Quantity]]*Sales4[[#This Row],[Other Conversion cost pu]]</f>
        <v>#REF!</v>
      </c>
      <c r="AL175" s="48" t="e">
        <f>Sales4[[#This Row],[PGI Amount]]-Sales4[[#This Row],[BOM Cost2]]-Sales4[[#This Row],[Labour Cost]]-Sales4[[#This Row],[Other conversion cost]]</f>
        <v>#REF!</v>
      </c>
      <c r="AM175" s="121" t="e">
        <f>1-Sales4[[#This Row],[PGI COST]]/Sales4[[#This Row],[Net Value]]</f>
        <v>#REF!</v>
      </c>
      <c r="AN175" s="1">
        <f>Sales4[[#This Row],[PGI Amount]]/Sales4[[#This Row],[Billed Quantity]]</f>
        <v>424.43</v>
      </c>
      <c r="AO175" s="72" t="e">
        <f>SUMIFS('COGS Break up'!#REF!,'COGS Break up'!#REF!,Sales4[[#This Row],[Material]],'COGS Break up'!#REF!,'MIS Working'!$AO$1)</f>
        <v>#REF!</v>
      </c>
      <c r="AP175" s="72" t="e">
        <f>SUMIFS('COGS Break up'!#REF!,'COGS Break up'!#REF!,Sales4[[#This Row],[Material]],'COGS Break up'!#REF!,'MIS Working'!$AP$1)</f>
        <v>#REF!</v>
      </c>
      <c r="AQ175" s="72" t="e">
        <f>SUMIFS('COGS Break up'!#REF!,'COGS Break up'!#REF!,Sales4[[#This Row],[Material]],'COGS Break up'!#REF!,'MIS Working'!$AQ$1)</f>
        <v>#REF!</v>
      </c>
      <c r="AR175" s="72">
        <f>Sales4[[#This Row],[Droppage per unit]]</f>
        <v>0</v>
      </c>
      <c r="AS175" s="15" t="e">
        <f>AO175*Sales4[[#This Row],[Billed Quantity]]</f>
        <v>#REF!</v>
      </c>
      <c r="AT175" s="72" t="e">
        <f>AP175*Sales4[[#This Row],[Billed Quantity]]</f>
        <v>#REF!</v>
      </c>
      <c r="AU175" s="72" t="e">
        <f>AQ175*Sales4[[#This Row],[Billed Quantity]]</f>
        <v>#REF!</v>
      </c>
      <c r="AV175" s="72">
        <f>AR175*Sales4[[#This Row],[Billed Quantity]]</f>
        <v>0</v>
      </c>
    </row>
    <row r="176" spans="1:48" x14ac:dyDescent="0.3">
      <c r="A176" s="1" t="s">
        <v>479</v>
      </c>
      <c r="B176" s="2">
        <v>45913</v>
      </c>
      <c r="C176" s="1">
        <v>3271270132</v>
      </c>
      <c r="D176" s="1" t="s">
        <v>23</v>
      </c>
      <c r="E176" s="1" t="s">
        <v>24</v>
      </c>
      <c r="F176" s="1" t="s">
        <v>18</v>
      </c>
      <c r="G176" s="1" t="s">
        <v>19</v>
      </c>
      <c r="H176" s="1" t="s">
        <v>27</v>
      </c>
      <c r="I176" s="3">
        <v>700</v>
      </c>
      <c r="J176" s="4">
        <v>297101</v>
      </c>
      <c r="K176" s="3">
        <v>700</v>
      </c>
      <c r="L176" s="3">
        <v>700</v>
      </c>
      <c r="M176" s="2">
        <v>45913</v>
      </c>
      <c r="N176" s="4">
        <v>338212</v>
      </c>
      <c r="O176" s="1" t="s">
        <v>21</v>
      </c>
      <c r="P176" s="1" t="s">
        <v>22</v>
      </c>
      <c r="Q176" s="1">
        <v>1</v>
      </c>
      <c r="R176" s="1" t="str">
        <f>VLOOKUP(Sales4[[#This Row],[Material type]],Master!$H$3:$I$8,2,0)</f>
        <v>Finished Goods</v>
      </c>
      <c r="S176" s="1" t="str">
        <f>VLOOKUP(Sales4[[#This Row],[Material Group]],Master!B:C,2,0)</f>
        <v>FG-PCB-CF</v>
      </c>
      <c r="T176" s="1" t="str">
        <f>VLOOKUP(Sales4[[#This Row],[Material Group Descrip]],Master!E:F,2,0)</f>
        <v>FG-PCB-CF</v>
      </c>
      <c r="U176" s="9" t="b">
        <f ca="1">(TODAY()-1)=Sales4[[#This Row],[Billing Date]]</f>
        <v>0</v>
      </c>
      <c r="V176" s="10" t="e">
        <f>Sales4[[#This Row],[Net Value]]-Sales4[[#This Row],[PGI COST]]</f>
        <v>#REF!</v>
      </c>
      <c r="W176" s="11" t="e">
        <f>Sales4[[#This Row],[Gross Margin]]/Sales4[[#This Row],[Net Value]]</f>
        <v>#REF!</v>
      </c>
      <c r="X176" s="1" t="str">
        <f>TEXT(Sales4[[#This Row],[Billing Date]],"mmmm-yy")</f>
        <v>September-25</v>
      </c>
      <c r="Y176" s="1">
        <f>Sales4[[#This Row],[Net Value]]/Sales4[[#This Row],[Billed Quantity]]</f>
        <v>483.16</v>
      </c>
      <c r="Z176" s="117">
        <f>Sales4[[#This Row],[Actual delivery qty]]</f>
        <v>700</v>
      </c>
      <c r="AA176" s="12" t="e">
        <f>SUM(Sales4[[#This Row],[BOM Cost]:[Other Conversion cost pu]])</f>
        <v>#REF!</v>
      </c>
      <c r="AB17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7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76" s="12">
        <f>IFERROR(VLOOKUP(Sales4[[#This Row],[Material]],'COGS Break up'!#REF!,5,0),0)</f>
        <v>0</v>
      </c>
      <c r="AE17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76" s="48" t="e">
        <f>Sales4[[#This Row],[PGI per unit]]-Sales4[[#This Row],[BOM Cost]]-Sales4[[#This Row],[Labour cost per unit]]-Sales4[[#This Row],[Other Conversion cost pu]]</f>
        <v>#REF!</v>
      </c>
      <c r="AG176" s="48" t="e">
        <f>Sales4[[#This Row],[BOM Cost2]]+Sales4[[#This Row],[Labour Cost]]+Sales4[[#This Row],[Other conversion cost]]</f>
        <v>#REF!</v>
      </c>
      <c r="AH176" s="12" t="e">
        <f>Sales4[[#This Row],[Billed Quantity]]*Sales4[[#This Row],[BOM Cost]]</f>
        <v>#REF!</v>
      </c>
      <c r="AI176" s="12" t="e">
        <f>Sales4[[#This Row],[Billed Quantity]]*Sales4[[#This Row],[Labour cost per unit]]</f>
        <v>#REF!</v>
      </c>
      <c r="AJ176" s="12">
        <f>Sales4[[#This Row],[Droppage per unit]]*Sales4[[#This Row],[Billed Quantity]]</f>
        <v>0</v>
      </c>
      <c r="AK176" s="12" t="e">
        <f>Sales4[[#This Row],[Billed Quantity]]*Sales4[[#This Row],[Other Conversion cost pu]]</f>
        <v>#REF!</v>
      </c>
      <c r="AL176" s="48" t="e">
        <f>Sales4[[#This Row],[PGI Amount]]-Sales4[[#This Row],[BOM Cost2]]-Sales4[[#This Row],[Labour Cost]]-Sales4[[#This Row],[Other conversion cost]]</f>
        <v>#REF!</v>
      </c>
      <c r="AM176" s="121" t="e">
        <f>1-Sales4[[#This Row],[PGI COST]]/Sales4[[#This Row],[Net Value]]</f>
        <v>#REF!</v>
      </c>
      <c r="AN176" s="1">
        <f>Sales4[[#This Row],[PGI Amount]]/Sales4[[#This Row],[Billed Quantity]]</f>
        <v>424.43</v>
      </c>
      <c r="AO176" s="72" t="e">
        <f>SUMIFS('COGS Break up'!#REF!,'COGS Break up'!#REF!,Sales4[[#This Row],[Material]],'COGS Break up'!#REF!,'MIS Working'!$AO$1)</f>
        <v>#REF!</v>
      </c>
      <c r="AP176" s="72" t="e">
        <f>SUMIFS('COGS Break up'!#REF!,'COGS Break up'!#REF!,Sales4[[#This Row],[Material]],'COGS Break up'!#REF!,'MIS Working'!$AP$1)</f>
        <v>#REF!</v>
      </c>
      <c r="AQ176" s="72" t="e">
        <f>SUMIFS('COGS Break up'!#REF!,'COGS Break up'!#REF!,Sales4[[#This Row],[Material]],'COGS Break up'!#REF!,'MIS Working'!$AQ$1)</f>
        <v>#REF!</v>
      </c>
      <c r="AR176" s="72">
        <f>Sales4[[#This Row],[Droppage per unit]]</f>
        <v>0</v>
      </c>
      <c r="AS176" s="15" t="e">
        <f>AO176*Sales4[[#This Row],[Billed Quantity]]</f>
        <v>#REF!</v>
      </c>
      <c r="AT176" s="72" t="e">
        <f>AP176*Sales4[[#This Row],[Billed Quantity]]</f>
        <v>#REF!</v>
      </c>
      <c r="AU176" s="72" t="e">
        <f>AQ176*Sales4[[#This Row],[Billed Quantity]]</f>
        <v>#REF!</v>
      </c>
      <c r="AV176" s="72">
        <f>AR176*Sales4[[#This Row],[Billed Quantity]]</f>
        <v>0</v>
      </c>
    </row>
    <row r="177" spans="1:48" x14ac:dyDescent="0.3">
      <c r="A177" s="1" t="s">
        <v>479</v>
      </c>
      <c r="B177" s="2">
        <v>45913</v>
      </c>
      <c r="C177" s="1">
        <v>3271270213</v>
      </c>
      <c r="D177" s="1" t="s">
        <v>362</v>
      </c>
      <c r="E177" s="1" t="s">
        <v>363</v>
      </c>
      <c r="F177" s="1" t="s">
        <v>18</v>
      </c>
      <c r="G177" s="1" t="s">
        <v>19</v>
      </c>
      <c r="H177" s="1" t="s">
        <v>483</v>
      </c>
      <c r="I177" s="3">
        <v>105</v>
      </c>
      <c r="J177" s="4">
        <v>76976.55</v>
      </c>
      <c r="K177" s="3">
        <v>105</v>
      </c>
      <c r="L177" s="3">
        <v>105</v>
      </c>
      <c r="M177" s="2">
        <v>45913</v>
      </c>
      <c r="N177" s="4">
        <v>90535.2</v>
      </c>
      <c r="O177" s="1" t="s">
        <v>21</v>
      </c>
      <c r="P177" s="1" t="s">
        <v>22</v>
      </c>
      <c r="Q177" s="1">
        <v>1</v>
      </c>
      <c r="R177" s="1" t="str">
        <f>VLOOKUP(Sales4[[#This Row],[Material type]],Master!$H$3:$I$8,2,0)</f>
        <v>Finished Goods</v>
      </c>
      <c r="S177" s="1" t="str">
        <f>VLOOKUP(Sales4[[#This Row],[Material Group]],Master!B:C,2,0)</f>
        <v>FG-PCB-MG</v>
      </c>
      <c r="T177" s="1" t="str">
        <f>VLOOKUP(Sales4[[#This Row],[Material Group Descrip]],Master!E:F,2,0)</f>
        <v>FG-PCB-MG</v>
      </c>
      <c r="U177" s="9" t="b">
        <f ca="1">(TODAY()-1)=Sales4[[#This Row],[Billing Date]]</f>
        <v>0</v>
      </c>
      <c r="V177" s="10" t="e">
        <f>Sales4[[#This Row],[Net Value]]-Sales4[[#This Row],[PGI COST]]</f>
        <v>#REF!</v>
      </c>
      <c r="W177" s="11" t="e">
        <f>Sales4[[#This Row],[Gross Margin]]/Sales4[[#This Row],[Net Value]]</f>
        <v>#REF!</v>
      </c>
      <c r="X177" s="1" t="str">
        <f>TEXT(Sales4[[#This Row],[Billing Date]],"mmmm-yy")</f>
        <v>September-25</v>
      </c>
      <c r="Y177" s="1">
        <f>Sales4[[#This Row],[Net Value]]/Sales4[[#This Row],[Billed Quantity]]</f>
        <v>862.24</v>
      </c>
      <c r="Z177" s="117">
        <f>Sales4[[#This Row],[Actual delivery qty]]</f>
        <v>105</v>
      </c>
      <c r="AA177" s="12" t="e">
        <f>SUM(Sales4[[#This Row],[BOM Cost]:[Other Conversion cost pu]])</f>
        <v>#REF!</v>
      </c>
      <c r="AB17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7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77" s="12">
        <f>IFERROR(VLOOKUP(Sales4[[#This Row],[Material]],'COGS Break up'!#REF!,5,0),0)</f>
        <v>0</v>
      </c>
      <c r="AE17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77" s="48" t="e">
        <f>Sales4[[#This Row],[PGI per unit]]-Sales4[[#This Row],[BOM Cost]]-Sales4[[#This Row],[Labour cost per unit]]-Sales4[[#This Row],[Other Conversion cost pu]]</f>
        <v>#REF!</v>
      </c>
      <c r="AG177" s="48" t="e">
        <f>Sales4[[#This Row],[BOM Cost2]]+Sales4[[#This Row],[Labour Cost]]+Sales4[[#This Row],[Other conversion cost]]</f>
        <v>#REF!</v>
      </c>
      <c r="AH177" s="12" t="e">
        <f>Sales4[[#This Row],[Billed Quantity]]*Sales4[[#This Row],[BOM Cost]]</f>
        <v>#REF!</v>
      </c>
      <c r="AI177" s="12" t="e">
        <f>Sales4[[#This Row],[Billed Quantity]]*Sales4[[#This Row],[Labour cost per unit]]</f>
        <v>#REF!</v>
      </c>
      <c r="AJ177" s="12">
        <f>Sales4[[#This Row],[Droppage per unit]]*Sales4[[#This Row],[Billed Quantity]]</f>
        <v>0</v>
      </c>
      <c r="AK177" s="12" t="e">
        <f>Sales4[[#This Row],[Billed Quantity]]*Sales4[[#This Row],[Other Conversion cost pu]]</f>
        <v>#REF!</v>
      </c>
      <c r="AL177" s="48" t="e">
        <f>Sales4[[#This Row],[PGI Amount]]-Sales4[[#This Row],[BOM Cost2]]-Sales4[[#This Row],[Labour Cost]]-Sales4[[#This Row],[Other conversion cost]]</f>
        <v>#REF!</v>
      </c>
      <c r="AM177" s="121" t="e">
        <f>1-Sales4[[#This Row],[PGI COST]]/Sales4[[#This Row],[Net Value]]</f>
        <v>#REF!</v>
      </c>
      <c r="AN177" s="1">
        <f>Sales4[[#This Row],[PGI Amount]]/Sales4[[#This Row],[Billed Quantity]]</f>
        <v>733.11</v>
      </c>
      <c r="AO177" s="72" t="e">
        <f>SUMIFS('COGS Break up'!#REF!,'COGS Break up'!#REF!,Sales4[[#This Row],[Material]],'COGS Break up'!#REF!,'MIS Working'!$AO$1)</f>
        <v>#REF!</v>
      </c>
      <c r="AP177" s="72" t="e">
        <f>SUMIFS('COGS Break up'!#REF!,'COGS Break up'!#REF!,Sales4[[#This Row],[Material]],'COGS Break up'!#REF!,'MIS Working'!$AP$1)</f>
        <v>#REF!</v>
      </c>
      <c r="AQ177" s="72" t="e">
        <f>SUMIFS('COGS Break up'!#REF!,'COGS Break up'!#REF!,Sales4[[#This Row],[Material]],'COGS Break up'!#REF!,'MIS Working'!$AQ$1)</f>
        <v>#REF!</v>
      </c>
      <c r="AR177" s="72">
        <f>Sales4[[#This Row],[Droppage per unit]]</f>
        <v>0</v>
      </c>
      <c r="AS177" s="15" t="e">
        <f>AO177*Sales4[[#This Row],[Billed Quantity]]</f>
        <v>#REF!</v>
      </c>
      <c r="AT177" s="72" t="e">
        <f>AP177*Sales4[[#This Row],[Billed Quantity]]</f>
        <v>#REF!</v>
      </c>
      <c r="AU177" s="72" t="e">
        <f>AQ177*Sales4[[#This Row],[Billed Quantity]]</f>
        <v>#REF!</v>
      </c>
      <c r="AV177" s="72">
        <f>AR177*Sales4[[#This Row],[Billed Quantity]]</f>
        <v>0</v>
      </c>
    </row>
    <row r="178" spans="1:48" x14ac:dyDescent="0.3">
      <c r="A178" s="1" t="s">
        <v>479</v>
      </c>
      <c r="B178" s="2">
        <v>45913</v>
      </c>
      <c r="C178" s="1">
        <v>3271270009</v>
      </c>
      <c r="D178" s="1" t="s">
        <v>362</v>
      </c>
      <c r="E178" s="1" t="s">
        <v>363</v>
      </c>
      <c r="F178" s="1" t="s">
        <v>18</v>
      </c>
      <c r="G178" s="1" t="s">
        <v>19</v>
      </c>
      <c r="H178" s="1" t="s">
        <v>483</v>
      </c>
      <c r="I178" s="3">
        <v>105</v>
      </c>
      <c r="J178" s="4">
        <v>76976.55</v>
      </c>
      <c r="K178" s="3">
        <v>105</v>
      </c>
      <c r="L178" s="3">
        <v>105</v>
      </c>
      <c r="M178" s="2">
        <v>45913</v>
      </c>
      <c r="N178" s="4">
        <v>90535.2</v>
      </c>
      <c r="O178" s="1" t="s">
        <v>21</v>
      </c>
      <c r="P178" s="1" t="s">
        <v>22</v>
      </c>
      <c r="Q178" s="1">
        <v>1</v>
      </c>
      <c r="R178" s="1" t="str">
        <f>VLOOKUP(Sales4[[#This Row],[Material type]],Master!$H$3:$I$8,2,0)</f>
        <v>Finished Goods</v>
      </c>
      <c r="S178" s="1" t="str">
        <f>VLOOKUP(Sales4[[#This Row],[Material Group]],Master!B:C,2,0)</f>
        <v>FG-PCB-MG</v>
      </c>
      <c r="T178" s="1" t="str">
        <f>VLOOKUP(Sales4[[#This Row],[Material Group Descrip]],Master!E:F,2,0)</f>
        <v>FG-PCB-MG</v>
      </c>
      <c r="U178" s="9" t="b">
        <f ca="1">(TODAY()-1)=Sales4[[#This Row],[Billing Date]]</f>
        <v>0</v>
      </c>
      <c r="V178" s="10" t="e">
        <f>Sales4[[#This Row],[Net Value]]-Sales4[[#This Row],[PGI COST]]</f>
        <v>#REF!</v>
      </c>
      <c r="W178" s="11" t="e">
        <f>Sales4[[#This Row],[Gross Margin]]/Sales4[[#This Row],[Net Value]]</f>
        <v>#REF!</v>
      </c>
      <c r="X178" s="1" t="str">
        <f>TEXT(Sales4[[#This Row],[Billing Date]],"mmmm-yy")</f>
        <v>September-25</v>
      </c>
      <c r="Y178" s="1">
        <f>Sales4[[#This Row],[Net Value]]/Sales4[[#This Row],[Billed Quantity]]</f>
        <v>862.24</v>
      </c>
      <c r="Z178" s="117">
        <f>Sales4[[#This Row],[Actual delivery qty]]</f>
        <v>105</v>
      </c>
      <c r="AA178" s="12" t="e">
        <f>SUM(Sales4[[#This Row],[BOM Cost]:[Other Conversion cost pu]])</f>
        <v>#REF!</v>
      </c>
      <c r="AB17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7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78" s="12">
        <f>IFERROR(VLOOKUP(Sales4[[#This Row],[Material]],'COGS Break up'!#REF!,5,0),0)</f>
        <v>0</v>
      </c>
      <c r="AE17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78" s="48" t="e">
        <f>Sales4[[#This Row],[PGI per unit]]-Sales4[[#This Row],[BOM Cost]]-Sales4[[#This Row],[Labour cost per unit]]-Sales4[[#This Row],[Other Conversion cost pu]]</f>
        <v>#REF!</v>
      </c>
      <c r="AG178" s="48" t="e">
        <f>Sales4[[#This Row],[BOM Cost2]]+Sales4[[#This Row],[Labour Cost]]+Sales4[[#This Row],[Other conversion cost]]</f>
        <v>#REF!</v>
      </c>
      <c r="AH178" s="12" t="e">
        <f>Sales4[[#This Row],[Billed Quantity]]*Sales4[[#This Row],[BOM Cost]]</f>
        <v>#REF!</v>
      </c>
      <c r="AI178" s="12" t="e">
        <f>Sales4[[#This Row],[Billed Quantity]]*Sales4[[#This Row],[Labour cost per unit]]</f>
        <v>#REF!</v>
      </c>
      <c r="AJ178" s="12">
        <f>Sales4[[#This Row],[Droppage per unit]]*Sales4[[#This Row],[Billed Quantity]]</f>
        <v>0</v>
      </c>
      <c r="AK178" s="12" t="e">
        <f>Sales4[[#This Row],[Billed Quantity]]*Sales4[[#This Row],[Other Conversion cost pu]]</f>
        <v>#REF!</v>
      </c>
      <c r="AL178" s="48" t="e">
        <f>Sales4[[#This Row],[PGI Amount]]-Sales4[[#This Row],[BOM Cost2]]-Sales4[[#This Row],[Labour Cost]]-Sales4[[#This Row],[Other conversion cost]]</f>
        <v>#REF!</v>
      </c>
      <c r="AM178" s="121" t="e">
        <f>1-Sales4[[#This Row],[PGI COST]]/Sales4[[#This Row],[Net Value]]</f>
        <v>#REF!</v>
      </c>
      <c r="AN178" s="1">
        <f>Sales4[[#This Row],[PGI Amount]]/Sales4[[#This Row],[Billed Quantity]]</f>
        <v>733.11</v>
      </c>
      <c r="AO178" s="72" t="e">
        <f>SUMIFS('COGS Break up'!#REF!,'COGS Break up'!#REF!,Sales4[[#This Row],[Material]],'COGS Break up'!#REF!,'MIS Working'!$AO$1)</f>
        <v>#REF!</v>
      </c>
      <c r="AP178" s="72" t="e">
        <f>SUMIFS('COGS Break up'!#REF!,'COGS Break up'!#REF!,Sales4[[#This Row],[Material]],'COGS Break up'!#REF!,'MIS Working'!$AP$1)</f>
        <v>#REF!</v>
      </c>
      <c r="AQ178" s="72" t="e">
        <f>SUMIFS('COGS Break up'!#REF!,'COGS Break up'!#REF!,Sales4[[#This Row],[Material]],'COGS Break up'!#REF!,'MIS Working'!$AQ$1)</f>
        <v>#REF!</v>
      </c>
      <c r="AR178" s="72">
        <f>Sales4[[#This Row],[Droppage per unit]]</f>
        <v>0</v>
      </c>
      <c r="AS178" s="15" t="e">
        <f>AO178*Sales4[[#This Row],[Billed Quantity]]</f>
        <v>#REF!</v>
      </c>
      <c r="AT178" s="72" t="e">
        <f>AP178*Sales4[[#This Row],[Billed Quantity]]</f>
        <v>#REF!</v>
      </c>
      <c r="AU178" s="72" t="e">
        <f>AQ178*Sales4[[#This Row],[Billed Quantity]]</f>
        <v>#REF!</v>
      </c>
      <c r="AV178" s="72">
        <f>AR178*Sales4[[#This Row],[Billed Quantity]]</f>
        <v>0</v>
      </c>
    </row>
    <row r="179" spans="1:48" x14ac:dyDescent="0.3">
      <c r="A179" s="1" t="s">
        <v>479</v>
      </c>
      <c r="B179" s="2">
        <v>45913</v>
      </c>
      <c r="C179" s="1">
        <v>3271269919</v>
      </c>
      <c r="D179" s="1" t="s">
        <v>362</v>
      </c>
      <c r="E179" s="1" t="s">
        <v>363</v>
      </c>
      <c r="F179" s="1" t="s">
        <v>18</v>
      </c>
      <c r="G179" s="1" t="s">
        <v>19</v>
      </c>
      <c r="H179" s="1" t="s">
        <v>483</v>
      </c>
      <c r="I179" s="3">
        <v>315</v>
      </c>
      <c r="J179" s="4">
        <v>230929.65</v>
      </c>
      <c r="K179" s="3">
        <v>315</v>
      </c>
      <c r="L179" s="3">
        <v>315</v>
      </c>
      <c r="M179" s="2">
        <v>45913</v>
      </c>
      <c r="N179" s="4">
        <v>271605.59999999998</v>
      </c>
      <c r="O179" s="1" t="s">
        <v>21</v>
      </c>
      <c r="P179" s="1" t="s">
        <v>22</v>
      </c>
      <c r="Q179" s="1">
        <v>1</v>
      </c>
      <c r="R179" s="1" t="str">
        <f>VLOOKUP(Sales4[[#This Row],[Material type]],Master!$H$3:$I$8,2,0)</f>
        <v>Finished Goods</v>
      </c>
      <c r="S179" s="1" t="str">
        <f>VLOOKUP(Sales4[[#This Row],[Material Group]],Master!B:C,2,0)</f>
        <v>FG-PCB-MG</v>
      </c>
      <c r="T179" s="1" t="str">
        <f>VLOOKUP(Sales4[[#This Row],[Material Group Descrip]],Master!E:F,2,0)</f>
        <v>FG-PCB-MG</v>
      </c>
      <c r="U179" s="9" t="b">
        <f ca="1">(TODAY()-1)=Sales4[[#This Row],[Billing Date]]</f>
        <v>0</v>
      </c>
      <c r="V179" s="10" t="e">
        <f>Sales4[[#This Row],[Net Value]]-Sales4[[#This Row],[PGI COST]]</f>
        <v>#REF!</v>
      </c>
      <c r="W179" s="11" t="e">
        <f>Sales4[[#This Row],[Gross Margin]]/Sales4[[#This Row],[Net Value]]</f>
        <v>#REF!</v>
      </c>
      <c r="X179" s="1" t="str">
        <f>TEXT(Sales4[[#This Row],[Billing Date]],"mmmm-yy")</f>
        <v>September-25</v>
      </c>
      <c r="Y179" s="1">
        <f>Sales4[[#This Row],[Net Value]]/Sales4[[#This Row],[Billed Quantity]]</f>
        <v>862.2399999999999</v>
      </c>
      <c r="Z179" s="117">
        <f>Sales4[[#This Row],[Actual delivery qty]]</f>
        <v>315</v>
      </c>
      <c r="AA179" s="12" t="e">
        <f>SUM(Sales4[[#This Row],[BOM Cost]:[Other Conversion cost pu]])</f>
        <v>#REF!</v>
      </c>
      <c r="AB17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7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79" s="12">
        <f>IFERROR(VLOOKUP(Sales4[[#This Row],[Material]],'COGS Break up'!#REF!,5,0),0)</f>
        <v>0</v>
      </c>
      <c r="AE17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79" s="48" t="e">
        <f>Sales4[[#This Row],[PGI per unit]]-Sales4[[#This Row],[BOM Cost]]-Sales4[[#This Row],[Labour cost per unit]]-Sales4[[#This Row],[Other Conversion cost pu]]</f>
        <v>#REF!</v>
      </c>
      <c r="AG179" s="48" t="e">
        <f>Sales4[[#This Row],[BOM Cost2]]+Sales4[[#This Row],[Labour Cost]]+Sales4[[#This Row],[Other conversion cost]]</f>
        <v>#REF!</v>
      </c>
      <c r="AH179" s="12" t="e">
        <f>Sales4[[#This Row],[Billed Quantity]]*Sales4[[#This Row],[BOM Cost]]</f>
        <v>#REF!</v>
      </c>
      <c r="AI179" s="12" t="e">
        <f>Sales4[[#This Row],[Billed Quantity]]*Sales4[[#This Row],[Labour cost per unit]]</f>
        <v>#REF!</v>
      </c>
      <c r="AJ179" s="12">
        <f>Sales4[[#This Row],[Droppage per unit]]*Sales4[[#This Row],[Billed Quantity]]</f>
        <v>0</v>
      </c>
      <c r="AK179" s="12" t="e">
        <f>Sales4[[#This Row],[Billed Quantity]]*Sales4[[#This Row],[Other Conversion cost pu]]</f>
        <v>#REF!</v>
      </c>
      <c r="AL179" s="48" t="e">
        <f>Sales4[[#This Row],[PGI Amount]]-Sales4[[#This Row],[BOM Cost2]]-Sales4[[#This Row],[Labour Cost]]-Sales4[[#This Row],[Other conversion cost]]</f>
        <v>#REF!</v>
      </c>
      <c r="AM179" s="121" t="e">
        <f>1-Sales4[[#This Row],[PGI COST]]/Sales4[[#This Row],[Net Value]]</f>
        <v>#REF!</v>
      </c>
      <c r="AN179" s="1">
        <f>Sales4[[#This Row],[PGI Amount]]/Sales4[[#This Row],[Billed Quantity]]</f>
        <v>733.11</v>
      </c>
      <c r="AO179" s="72" t="e">
        <f>SUMIFS('COGS Break up'!#REF!,'COGS Break up'!#REF!,Sales4[[#This Row],[Material]],'COGS Break up'!#REF!,'MIS Working'!$AO$1)</f>
        <v>#REF!</v>
      </c>
      <c r="AP179" s="72" t="e">
        <f>SUMIFS('COGS Break up'!#REF!,'COGS Break up'!#REF!,Sales4[[#This Row],[Material]],'COGS Break up'!#REF!,'MIS Working'!$AP$1)</f>
        <v>#REF!</v>
      </c>
      <c r="AQ179" s="72" t="e">
        <f>SUMIFS('COGS Break up'!#REF!,'COGS Break up'!#REF!,Sales4[[#This Row],[Material]],'COGS Break up'!#REF!,'MIS Working'!$AQ$1)</f>
        <v>#REF!</v>
      </c>
      <c r="AR179" s="72">
        <f>Sales4[[#This Row],[Droppage per unit]]</f>
        <v>0</v>
      </c>
      <c r="AS179" s="15" t="e">
        <f>AO179*Sales4[[#This Row],[Billed Quantity]]</f>
        <v>#REF!</v>
      </c>
      <c r="AT179" s="72" t="e">
        <f>AP179*Sales4[[#This Row],[Billed Quantity]]</f>
        <v>#REF!</v>
      </c>
      <c r="AU179" s="72" t="e">
        <f>AQ179*Sales4[[#This Row],[Billed Quantity]]</f>
        <v>#REF!</v>
      </c>
      <c r="AV179" s="72">
        <f>AR179*Sales4[[#This Row],[Billed Quantity]]</f>
        <v>0</v>
      </c>
    </row>
    <row r="180" spans="1:48" x14ac:dyDescent="0.3">
      <c r="A180" s="1" t="s">
        <v>479</v>
      </c>
      <c r="B180" s="2">
        <v>45913</v>
      </c>
      <c r="C180" s="1">
        <v>3271270009</v>
      </c>
      <c r="D180" s="1" t="s">
        <v>364</v>
      </c>
      <c r="E180" s="1" t="s">
        <v>365</v>
      </c>
      <c r="F180" s="1" t="s">
        <v>18</v>
      </c>
      <c r="G180" s="1" t="s">
        <v>19</v>
      </c>
      <c r="H180" s="1" t="s">
        <v>771</v>
      </c>
      <c r="I180" s="3">
        <v>1120</v>
      </c>
      <c r="J180" s="4">
        <v>122113.60000000001</v>
      </c>
      <c r="K180" s="3">
        <v>1120</v>
      </c>
      <c r="L180" s="3">
        <v>1120</v>
      </c>
      <c r="M180" s="2">
        <v>45913</v>
      </c>
      <c r="N180" s="4">
        <v>113388.8</v>
      </c>
      <c r="O180" s="1" t="s">
        <v>21</v>
      </c>
      <c r="P180" s="1" t="s">
        <v>22</v>
      </c>
      <c r="Q180" s="1">
        <v>1</v>
      </c>
      <c r="R180" s="1" t="str">
        <f>VLOOKUP(Sales4[[#This Row],[Material type]],Master!$H$3:$I$8,2,0)</f>
        <v>Finished Goods</v>
      </c>
      <c r="S180" s="1" t="str">
        <f>VLOOKUP(Sales4[[#This Row],[Material Group]],Master!B:C,2,0)</f>
        <v>FG-PCB-MG Interface</v>
      </c>
      <c r="T180" s="1" t="str">
        <f>VLOOKUP(Sales4[[#This Row],[Material Group Descrip]],Master!E:F,2,0)</f>
        <v>FG-PCB-MG</v>
      </c>
      <c r="U180" s="9" t="b">
        <f ca="1">(TODAY()-1)=Sales4[[#This Row],[Billing Date]]</f>
        <v>0</v>
      </c>
      <c r="V180" s="10" t="e">
        <f>Sales4[[#This Row],[Net Value]]-Sales4[[#This Row],[PGI COST]]</f>
        <v>#REF!</v>
      </c>
      <c r="W180" s="11" t="e">
        <f>Sales4[[#This Row],[Gross Margin]]/Sales4[[#This Row],[Net Value]]</f>
        <v>#REF!</v>
      </c>
      <c r="X180" s="1" t="str">
        <f>TEXT(Sales4[[#This Row],[Billing Date]],"mmmm-yy")</f>
        <v>September-25</v>
      </c>
      <c r="Y180" s="1">
        <f>Sales4[[#This Row],[Net Value]]/Sales4[[#This Row],[Billed Quantity]]</f>
        <v>101.24000000000001</v>
      </c>
      <c r="Z180" s="117"/>
      <c r="AA180" s="12" t="e">
        <f>SUM(Sales4[[#This Row],[BOM Cost]:[Other Conversion cost pu]])</f>
        <v>#REF!</v>
      </c>
      <c r="AB18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8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80" s="12">
        <f>IFERROR(VLOOKUP(Sales4[[#This Row],[Material]],'COGS Break up'!#REF!,5,0),0)</f>
        <v>0</v>
      </c>
      <c r="AE18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80" s="48" t="e">
        <f>Sales4[[#This Row],[PGI per unit]]-Sales4[[#This Row],[BOM Cost]]-Sales4[[#This Row],[Labour cost per unit]]-Sales4[[#This Row],[Other Conversion cost pu]]</f>
        <v>#REF!</v>
      </c>
      <c r="AG180" s="48" t="e">
        <f>Sales4[[#This Row],[BOM Cost2]]+Sales4[[#This Row],[Labour Cost]]+Sales4[[#This Row],[Other conversion cost]]</f>
        <v>#REF!</v>
      </c>
      <c r="AH180" s="12" t="e">
        <f>Sales4[[#This Row],[Billed Quantity]]*Sales4[[#This Row],[BOM Cost]]</f>
        <v>#REF!</v>
      </c>
      <c r="AI180" s="12" t="e">
        <f>Sales4[[#This Row],[Billed Quantity]]*Sales4[[#This Row],[Labour cost per unit]]</f>
        <v>#REF!</v>
      </c>
      <c r="AJ180" s="12">
        <f>Sales4[[#This Row],[Droppage per unit]]*Sales4[[#This Row],[Billed Quantity]]</f>
        <v>0</v>
      </c>
      <c r="AK180" s="12" t="e">
        <f>Sales4[[#This Row],[Billed Quantity]]*Sales4[[#This Row],[Other Conversion cost pu]]</f>
        <v>#REF!</v>
      </c>
      <c r="AL180" s="48" t="e">
        <f>Sales4[[#This Row],[PGI Amount]]-Sales4[[#This Row],[BOM Cost2]]-Sales4[[#This Row],[Labour Cost]]-Sales4[[#This Row],[Other conversion cost]]</f>
        <v>#REF!</v>
      </c>
      <c r="AM180" s="121" t="e">
        <f>1-Sales4[[#This Row],[PGI COST]]/Sales4[[#This Row],[Net Value]]</f>
        <v>#REF!</v>
      </c>
      <c r="AN180" s="1">
        <f>Sales4[[#This Row],[PGI Amount]]/Sales4[[#This Row],[Billed Quantity]]</f>
        <v>109.03</v>
      </c>
      <c r="AO180" s="72" t="e">
        <f>SUMIFS('COGS Break up'!#REF!,'COGS Break up'!#REF!,Sales4[[#This Row],[Material]],'COGS Break up'!#REF!,'MIS Working'!$AO$1)</f>
        <v>#REF!</v>
      </c>
      <c r="AP180" s="72" t="e">
        <f>SUMIFS('COGS Break up'!#REF!,'COGS Break up'!#REF!,Sales4[[#This Row],[Material]],'COGS Break up'!#REF!,'MIS Working'!$AP$1)</f>
        <v>#REF!</v>
      </c>
      <c r="AQ180" s="72" t="e">
        <f>SUMIFS('COGS Break up'!#REF!,'COGS Break up'!#REF!,Sales4[[#This Row],[Material]],'COGS Break up'!#REF!,'MIS Working'!$AQ$1)</f>
        <v>#REF!</v>
      </c>
      <c r="AR180" s="72">
        <f>Sales4[[#This Row],[Droppage per unit]]</f>
        <v>0</v>
      </c>
      <c r="AS180" s="15" t="e">
        <f>AO180*Sales4[[#This Row],[Billed Quantity]]</f>
        <v>#REF!</v>
      </c>
      <c r="AT180" s="72" t="e">
        <f>AP180*Sales4[[#This Row],[Billed Quantity]]</f>
        <v>#REF!</v>
      </c>
      <c r="AU180" s="72" t="e">
        <f>AQ180*Sales4[[#This Row],[Billed Quantity]]</f>
        <v>#REF!</v>
      </c>
      <c r="AV180" s="72">
        <f>AR180*Sales4[[#This Row],[Billed Quantity]]</f>
        <v>0</v>
      </c>
    </row>
    <row r="181" spans="1:48" x14ac:dyDescent="0.3">
      <c r="A181" s="1" t="s">
        <v>479</v>
      </c>
      <c r="B181" s="2">
        <v>45913</v>
      </c>
      <c r="C181" s="1">
        <v>3271269919</v>
      </c>
      <c r="D181" s="1" t="s">
        <v>364</v>
      </c>
      <c r="E181" s="1" t="s">
        <v>365</v>
      </c>
      <c r="F181" s="1" t="s">
        <v>18</v>
      </c>
      <c r="G181" s="1" t="s">
        <v>19</v>
      </c>
      <c r="H181" s="1" t="s">
        <v>771</v>
      </c>
      <c r="I181" s="3">
        <v>315</v>
      </c>
      <c r="J181" s="4">
        <v>34344.449999999997</v>
      </c>
      <c r="K181" s="3">
        <v>315</v>
      </c>
      <c r="L181" s="3">
        <v>315</v>
      </c>
      <c r="M181" s="2">
        <v>45913</v>
      </c>
      <c r="N181" s="4">
        <v>31890.6</v>
      </c>
      <c r="O181" s="1" t="s">
        <v>21</v>
      </c>
      <c r="P181" s="1" t="s">
        <v>22</v>
      </c>
      <c r="Q181" s="1">
        <v>1</v>
      </c>
      <c r="R181" s="1" t="str">
        <f>VLOOKUP(Sales4[[#This Row],[Material type]],Master!$H$3:$I$8,2,0)</f>
        <v>Finished Goods</v>
      </c>
      <c r="S181" s="1" t="str">
        <f>VLOOKUP(Sales4[[#This Row],[Material Group]],Master!B:C,2,0)</f>
        <v>FG-PCB-MG Interface</v>
      </c>
      <c r="T181" s="1" t="str">
        <f>VLOOKUP(Sales4[[#This Row],[Material Group Descrip]],Master!E:F,2,0)</f>
        <v>FG-PCB-MG</v>
      </c>
      <c r="U181" s="9" t="b">
        <f ca="1">(TODAY()-1)=Sales4[[#This Row],[Billing Date]]</f>
        <v>0</v>
      </c>
      <c r="V181" s="10" t="e">
        <f>Sales4[[#This Row],[Net Value]]-Sales4[[#This Row],[PGI COST]]</f>
        <v>#REF!</v>
      </c>
      <c r="W181" s="11" t="e">
        <f>Sales4[[#This Row],[Gross Margin]]/Sales4[[#This Row],[Net Value]]</f>
        <v>#REF!</v>
      </c>
      <c r="X181" s="1" t="str">
        <f>TEXT(Sales4[[#This Row],[Billing Date]],"mmmm-yy")</f>
        <v>September-25</v>
      </c>
      <c r="Y181" s="1">
        <f>Sales4[[#This Row],[Net Value]]/Sales4[[#This Row],[Billed Quantity]]</f>
        <v>101.24</v>
      </c>
      <c r="Z181" s="117"/>
      <c r="AA181" s="12" t="e">
        <f>SUM(Sales4[[#This Row],[BOM Cost]:[Other Conversion cost pu]])</f>
        <v>#REF!</v>
      </c>
      <c r="AB18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8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81" s="12">
        <f>IFERROR(VLOOKUP(Sales4[[#This Row],[Material]],'COGS Break up'!#REF!,5,0),0)</f>
        <v>0</v>
      </c>
      <c r="AE18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81" s="48" t="e">
        <f>Sales4[[#This Row],[PGI per unit]]-Sales4[[#This Row],[BOM Cost]]-Sales4[[#This Row],[Labour cost per unit]]-Sales4[[#This Row],[Other Conversion cost pu]]</f>
        <v>#REF!</v>
      </c>
      <c r="AG181" s="48" t="e">
        <f>Sales4[[#This Row],[BOM Cost2]]+Sales4[[#This Row],[Labour Cost]]+Sales4[[#This Row],[Other conversion cost]]</f>
        <v>#REF!</v>
      </c>
      <c r="AH181" s="12" t="e">
        <f>Sales4[[#This Row],[Billed Quantity]]*Sales4[[#This Row],[BOM Cost]]</f>
        <v>#REF!</v>
      </c>
      <c r="AI181" s="12" t="e">
        <f>Sales4[[#This Row],[Billed Quantity]]*Sales4[[#This Row],[Labour cost per unit]]</f>
        <v>#REF!</v>
      </c>
      <c r="AJ181" s="12">
        <f>Sales4[[#This Row],[Droppage per unit]]*Sales4[[#This Row],[Billed Quantity]]</f>
        <v>0</v>
      </c>
      <c r="AK181" s="12" t="e">
        <f>Sales4[[#This Row],[Billed Quantity]]*Sales4[[#This Row],[Other Conversion cost pu]]</f>
        <v>#REF!</v>
      </c>
      <c r="AL181" s="48" t="e">
        <f>Sales4[[#This Row],[PGI Amount]]-Sales4[[#This Row],[BOM Cost2]]-Sales4[[#This Row],[Labour Cost]]-Sales4[[#This Row],[Other conversion cost]]</f>
        <v>#REF!</v>
      </c>
      <c r="AM181" s="121" t="e">
        <f>1-Sales4[[#This Row],[PGI COST]]/Sales4[[#This Row],[Net Value]]</f>
        <v>#REF!</v>
      </c>
      <c r="AN181" s="1">
        <f>Sales4[[#This Row],[PGI Amount]]/Sales4[[#This Row],[Billed Quantity]]</f>
        <v>109.02999999999999</v>
      </c>
      <c r="AO181" s="72" t="e">
        <f>SUMIFS('COGS Break up'!#REF!,'COGS Break up'!#REF!,Sales4[[#This Row],[Material]],'COGS Break up'!#REF!,'MIS Working'!$AO$1)</f>
        <v>#REF!</v>
      </c>
      <c r="AP181" s="72" t="e">
        <f>SUMIFS('COGS Break up'!#REF!,'COGS Break up'!#REF!,Sales4[[#This Row],[Material]],'COGS Break up'!#REF!,'MIS Working'!$AP$1)</f>
        <v>#REF!</v>
      </c>
      <c r="AQ181" s="72" t="e">
        <f>SUMIFS('COGS Break up'!#REF!,'COGS Break up'!#REF!,Sales4[[#This Row],[Material]],'COGS Break up'!#REF!,'MIS Working'!$AQ$1)</f>
        <v>#REF!</v>
      </c>
      <c r="AR181" s="72">
        <f>Sales4[[#This Row],[Droppage per unit]]</f>
        <v>0</v>
      </c>
      <c r="AS181" s="15" t="e">
        <f>AO181*Sales4[[#This Row],[Billed Quantity]]</f>
        <v>#REF!</v>
      </c>
      <c r="AT181" s="72" t="e">
        <f>AP181*Sales4[[#This Row],[Billed Quantity]]</f>
        <v>#REF!</v>
      </c>
      <c r="AU181" s="72" t="e">
        <f>AQ181*Sales4[[#This Row],[Billed Quantity]]</f>
        <v>#REF!</v>
      </c>
      <c r="AV181" s="72">
        <f>AR181*Sales4[[#This Row],[Billed Quantity]]</f>
        <v>0</v>
      </c>
    </row>
    <row r="182" spans="1:48" x14ac:dyDescent="0.3">
      <c r="A182" s="1" t="s">
        <v>479</v>
      </c>
      <c r="B182" s="2">
        <v>45913</v>
      </c>
      <c r="C182" s="1">
        <v>3271269919</v>
      </c>
      <c r="D182" s="1" t="s">
        <v>637</v>
      </c>
      <c r="E182" s="1" t="s">
        <v>638</v>
      </c>
      <c r="F182" s="1" t="s">
        <v>18</v>
      </c>
      <c r="G182" s="1" t="s">
        <v>19</v>
      </c>
      <c r="H182" s="1" t="s">
        <v>27</v>
      </c>
      <c r="I182" s="3">
        <v>455</v>
      </c>
      <c r="J182" s="4">
        <v>145609.1</v>
      </c>
      <c r="K182" s="3">
        <v>455</v>
      </c>
      <c r="L182" s="3">
        <v>455</v>
      </c>
      <c r="M182" s="2">
        <v>45913</v>
      </c>
      <c r="N182" s="4">
        <v>166475.4</v>
      </c>
      <c r="O182" s="1" t="s">
        <v>21</v>
      </c>
      <c r="P182" s="1" t="s">
        <v>22</v>
      </c>
      <c r="Q182" s="1">
        <v>1</v>
      </c>
      <c r="R182" s="1" t="str">
        <f>VLOOKUP(Sales4[[#This Row],[Material type]],Master!$H$3:$I$8,2,0)</f>
        <v>Finished Goods</v>
      </c>
      <c r="S182" s="1" t="str">
        <f>VLOOKUP(Sales4[[#This Row],[Material Group]],Master!B:C,2,0)</f>
        <v>FG-PCB-CF</v>
      </c>
      <c r="T182" s="1" t="str">
        <f>VLOOKUP(Sales4[[#This Row],[Material Group Descrip]],Master!E:F,2,0)</f>
        <v>FG-PCB-CF</v>
      </c>
      <c r="U182" s="9" t="b">
        <f ca="1">(TODAY()-1)=Sales4[[#This Row],[Billing Date]]</f>
        <v>0</v>
      </c>
      <c r="V182" s="10" t="e">
        <f>Sales4[[#This Row],[Net Value]]-Sales4[[#This Row],[PGI COST]]</f>
        <v>#REF!</v>
      </c>
      <c r="W182" s="11" t="e">
        <f>Sales4[[#This Row],[Gross Margin]]/Sales4[[#This Row],[Net Value]]</f>
        <v>#REF!</v>
      </c>
      <c r="X182" s="1" t="str">
        <f>TEXT(Sales4[[#This Row],[Billing Date]],"mmmm-yy")</f>
        <v>September-25</v>
      </c>
      <c r="Y182" s="1">
        <f>Sales4[[#This Row],[Net Value]]/Sales4[[#This Row],[Billed Quantity]]</f>
        <v>365.88</v>
      </c>
      <c r="Z182" s="117">
        <f>Sales4[[#This Row],[Actual delivery qty]]</f>
        <v>455</v>
      </c>
      <c r="AA182" s="12" t="e">
        <f>SUM(Sales4[[#This Row],[BOM Cost]:[Other Conversion cost pu]])</f>
        <v>#REF!</v>
      </c>
      <c r="AB18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8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82" s="12">
        <f>IFERROR(VLOOKUP(Sales4[[#This Row],[Material]],'COGS Break up'!#REF!,5,0),0)</f>
        <v>0</v>
      </c>
      <c r="AE18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82" s="48" t="e">
        <f>Sales4[[#This Row],[PGI per unit]]-Sales4[[#This Row],[BOM Cost]]-Sales4[[#This Row],[Labour cost per unit]]-Sales4[[#This Row],[Other Conversion cost pu]]</f>
        <v>#REF!</v>
      </c>
      <c r="AG182" s="48" t="e">
        <f>Sales4[[#This Row],[BOM Cost2]]+Sales4[[#This Row],[Labour Cost]]+Sales4[[#This Row],[Other conversion cost]]</f>
        <v>#REF!</v>
      </c>
      <c r="AH182" s="12" t="e">
        <f>Sales4[[#This Row],[Billed Quantity]]*Sales4[[#This Row],[BOM Cost]]</f>
        <v>#REF!</v>
      </c>
      <c r="AI182" s="12" t="e">
        <f>Sales4[[#This Row],[Billed Quantity]]*Sales4[[#This Row],[Labour cost per unit]]</f>
        <v>#REF!</v>
      </c>
      <c r="AJ182" s="12">
        <f>Sales4[[#This Row],[Droppage per unit]]*Sales4[[#This Row],[Billed Quantity]]</f>
        <v>0</v>
      </c>
      <c r="AK182" s="12" t="e">
        <f>Sales4[[#This Row],[Billed Quantity]]*Sales4[[#This Row],[Other Conversion cost pu]]</f>
        <v>#REF!</v>
      </c>
      <c r="AL182" s="48" t="e">
        <f>Sales4[[#This Row],[PGI Amount]]-Sales4[[#This Row],[BOM Cost2]]-Sales4[[#This Row],[Labour Cost]]-Sales4[[#This Row],[Other conversion cost]]</f>
        <v>#REF!</v>
      </c>
      <c r="AM182" s="121" t="e">
        <f>1-Sales4[[#This Row],[PGI COST]]/Sales4[[#This Row],[Net Value]]</f>
        <v>#REF!</v>
      </c>
      <c r="AN182" s="1">
        <f>Sales4[[#This Row],[PGI Amount]]/Sales4[[#This Row],[Billed Quantity]]</f>
        <v>320.02000000000004</v>
      </c>
      <c r="AO182" s="72" t="e">
        <f>SUMIFS('COGS Break up'!#REF!,'COGS Break up'!#REF!,Sales4[[#This Row],[Material]],'COGS Break up'!#REF!,'MIS Working'!$AO$1)</f>
        <v>#REF!</v>
      </c>
      <c r="AP182" s="72" t="e">
        <f>SUMIFS('COGS Break up'!#REF!,'COGS Break up'!#REF!,Sales4[[#This Row],[Material]],'COGS Break up'!#REF!,'MIS Working'!$AP$1)</f>
        <v>#REF!</v>
      </c>
      <c r="AQ182" s="72" t="e">
        <f>SUMIFS('COGS Break up'!#REF!,'COGS Break up'!#REF!,Sales4[[#This Row],[Material]],'COGS Break up'!#REF!,'MIS Working'!$AQ$1)</f>
        <v>#REF!</v>
      </c>
      <c r="AR182" s="72">
        <f>Sales4[[#This Row],[Droppage per unit]]</f>
        <v>0</v>
      </c>
      <c r="AS182" s="15" t="e">
        <f>AO182*Sales4[[#This Row],[Billed Quantity]]</f>
        <v>#REF!</v>
      </c>
      <c r="AT182" s="72" t="e">
        <f>AP182*Sales4[[#This Row],[Billed Quantity]]</f>
        <v>#REF!</v>
      </c>
      <c r="AU182" s="72" t="e">
        <f>AQ182*Sales4[[#This Row],[Billed Quantity]]</f>
        <v>#REF!</v>
      </c>
      <c r="AV182" s="72">
        <f>AR182*Sales4[[#This Row],[Billed Quantity]]</f>
        <v>0</v>
      </c>
    </row>
    <row r="183" spans="1:48" x14ac:dyDescent="0.3">
      <c r="A183" s="1" t="s">
        <v>479</v>
      </c>
      <c r="B183" s="2">
        <v>45913</v>
      </c>
      <c r="C183" s="1">
        <v>3271270132</v>
      </c>
      <c r="D183" s="1" t="s">
        <v>637</v>
      </c>
      <c r="E183" s="1" t="s">
        <v>638</v>
      </c>
      <c r="F183" s="1" t="s">
        <v>18</v>
      </c>
      <c r="G183" s="1" t="s">
        <v>19</v>
      </c>
      <c r="H183" s="1" t="s">
        <v>27</v>
      </c>
      <c r="I183" s="3">
        <v>140</v>
      </c>
      <c r="J183" s="4">
        <v>44802.8</v>
      </c>
      <c r="K183" s="3">
        <v>140</v>
      </c>
      <c r="L183" s="3">
        <v>140</v>
      </c>
      <c r="M183" s="2">
        <v>45913</v>
      </c>
      <c r="N183" s="4">
        <v>51223.199999999997</v>
      </c>
      <c r="O183" s="1" t="s">
        <v>21</v>
      </c>
      <c r="P183" s="1" t="s">
        <v>22</v>
      </c>
      <c r="Q183" s="1">
        <v>1</v>
      </c>
      <c r="R183" s="1" t="str">
        <f>VLOOKUP(Sales4[[#This Row],[Material type]],Master!$H$3:$I$8,2,0)</f>
        <v>Finished Goods</v>
      </c>
      <c r="S183" s="1" t="str">
        <f>VLOOKUP(Sales4[[#This Row],[Material Group]],Master!B:C,2,0)</f>
        <v>FG-PCB-CF</v>
      </c>
      <c r="T183" s="1" t="str">
        <f>VLOOKUP(Sales4[[#This Row],[Material Group Descrip]],Master!E:F,2,0)</f>
        <v>FG-PCB-CF</v>
      </c>
      <c r="U183" s="9" t="b">
        <f ca="1">(TODAY()-1)=Sales4[[#This Row],[Billing Date]]</f>
        <v>0</v>
      </c>
      <c r="V183" s="10" t="e">
        <f>Sales4[[#This Row],[Net Value]]-Sales4[[#This Row],[PGI COST]]</f>
        <v>#REF!</v>
      </c>
      <c r="W183" s="11" t="e">
        <f>Sales4[[#This Row],[Gross Margin]]/Sales4[[#This Row],[Net Value]]</f>
        <v>#REF!</v>
      </c>
      <c r="X183" s="1" t="str">
        <f>TEXT(Sales4[[#This Row],[Billing Date]],"mmmm-yy")</f>
        <v>September-25</v>
      </c>
      <c r="Y183" s="1">
        <f>Sales4[[#This Row],[Net Value]]/Sales4[[#This Row],[Billed Quantity]]</f>
        <v>365.88</v>
      </c>
      <c r="Z183" s="117">
        <f>Sales4[[#This Row],[Actual delivery qty]]</f>
        <v>140</v>
      </c>
      <c r="AA183" s="12" t="e">
        <f>SUM(Sales4[[#This Row],[BOM Cost]:[Other Conversion cost pu]])</f>
        <v>#REF!</v>
      </c>
      <c r="AB18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8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83" s="12">
        <f>IFERROR(VLOOKUP(Sales4[[#This Row],[Material]],'COGS Break up'!#REF!,5,0),0)</f>
        <v>0</v>
      </c>
      <c r="AE18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83" s="48" t="e">
        <f>Sales4[[#This Row],[PGI per unit]]-Sales4[[#This Row],[BOM Cost]]-Sales4[[#This Row],[Labour cost per unit]]-Sales4[[#This Row],[Other Conversion cost pu]]</f>
        <v>#REF!</v>
      </c>
      <c r="AG183" s="48" t="e">
        <f>Sales4[[#This Row],[BOM Cost2]]+Sales4[[#This Row],[Labour Cost]]+Sales4[[#This Row],[Other conversion cost]]</f>
        <v>#REF!</v>
      </c>
      <c r="AH183" s="12" t="e">
        <f>Sales4[[#This Row],[Billed Quantity]]*Sales4[[#This Row],[BOM Cost]]</f>
        <v>#REF!</v>
      </c>
      <c r="AI183" s="12" t="e">
        <f>Sales4[[#This Row],[Billed Quantity]]*Sales4[[#This Row],[Labour cost per unit]]</f>
        <v>#REF!</v>
      </c>
      <c r="AJ183" s="12">
        <f>Sales4[[#This Row],[Droppage per unit]]*Sales4[[#This Row],[Billed Quantity]]</f>
        <v>0</v>
      </c>
      <c r="AK183" s="12" t="e">
        <f>Sales4[[#This Row],[Billed Quantity]]*Sales4[[#This Row],[Other Conversion cost pu]]</f>
        <v>#REF!</v>
      </c>
      <c r="AL183" s="48" t="e">
        <f>Sales4[[#This Row],[PGI Amount]]-Sales4[[#This Row],[BOM Cost2]]-Sales4[[#This Row],[Labour Cost]]-Sales4[[#This Row],[Other conversion cost]]</f>
        <v>#REF!</v>
      </c>
      <c r="AM183" s="121" t="e">
        <f>1-Sales4[[#This Row],[PGI COST]]/Sales4[[#This Row],[Net Value]]</f>
        <v>#REF!</v>
      </c>
      <c r="AN183" s="1">
        <f>Sales4[[#This Row],[PGI Amount]]/Sales4[[#This Row],[Billed Quantity]]</f>
        <v>320.02000000000004</v>
      </c>
      <c r="AO183" s="72" t="e">
        <f>SUMIFS('COGS Break up'!#REF!,'COGS Break up'!#REF!,Sales4[[#This Row],[Material]],'COGS Break up'!#REF!,'MIS Working'!$AO$1)</f>
        <v>#REF!</v>
      </c>
      <c r="AP183" s="72" t="e">
        <f>SUMIFS('COGS Break up'!#REF!,'COGS Break up'!#REF!,Sales4[[#This Row],[Material]],'COGS Break up'!#REF!,'MIS Working'!$AP$1)</f>
        <v>#REF!</v>
      </c>
      <c r="AQ183" s="72" t="e">
        <f>SUMIFS('COGS Break up'!#REF!,'COGS Break up'!#REF!,Sales4[[#This Row],[Material]],'COGS Break up'!#REF!,'MIS Working'!$AQ$1)</f>
        <v>#REF!</v>
      </c>
      <c r="AR183" s="72">
        <f>Sales4[[#This Row],[Droppage per unit]]</f>
        <v>0</v>
      </c>
      <c r="AS183" s="15" t="e">
        <f>AO183*Sales4[[#This Row],[Billed Quantity]]</f>
        <v>#REF!</v>
      </c>
      <c r="AT183" s="72" t="e">
        <f>AP183*Sales4[[#This Row],[Billed Quantity]]</f>
        <v>#REF!</v>
      </c>
      <c r="AU183" s="72" t="e">
        <f>AQ183*Sales4[[#This Row],[Billed Quantity]]</f>
        <v>#REF!</v>
      </c>
      <c r="AV183" s="72">
        <f>AR183*Sales4[[#This Row],[Billed Quantity]]</f>
        <v>0</v>
      </c>
    </row>
    <row r="184" spans="1:48" x14ac:dyDescent="0.3">
      <c r="A184" s="1" t="s">
        <v>479</v>
      </c>
      <c r="B184" s="2">
        <v>45913</v>
      </c>
      <c r="C184" s="1">
        <v>3271269919</v>
      </c>
      <c r="D184" s="1" t="s">
        <v>641</v>
      </c>
      <c r="E184" s="1" t="s">
        <v>642</v>
      </c>
      <c r="F184" s="1" t="s">
        <v>18</v>
      </c>
      <c r="G184" s="1" t="s">
        <v>19</v>
      </c>
      <c r="H184" s="1" t="s">
        <v>27</v>
      </c>
      <c r="I184" s="3">
        <v>210</v>
      </c>
      <c r="J184" s="4">
        <v>96033</v>
      </c>
      <c r="K184" s="3">
        <v>210</v>
      </c>
      <c r="L184" s="3">
        <v>210</v>
      </c>
      <c r="M184" s="2">
        <v>45913</v>
      </c>
      <c r="N184" s="4">
        <v>103950</v>
      </c>
      <c r="O184" s="1" t="s">
        <v>21</v>
      </c>
      <c r="P184" s="1" t="s">
        <v>22</v>
      </c>
      <c r="Q184" s="1">
        <v>1</v>
      </c>
      <c r="R184" s="1" t="str">
        <f>VLOOKUP(Sales4[[#This Row],[Material type]],Master!$H$3:$I$8,2,0)</f>
        <v>Finished Goods</v>
      </c>
      <c r="S184" s="1" t="str">
        <f>VLOOKUP(Sales4[[#This Row],[Material Group]],Master!B:C,2,0)</f>
        <v>FG-PCB-CF</v>
      </c>
      <c r="T184" s="1" t="str">
        <f>VLOOKUP(Sales4[[#This Row],[Material Group Descrip]],Master!E:F,2,0)</f>
        <v>FG-PCB-CF</v>
      </c>
      <c r="U184" s="9" t="b">
        <f ca="1">(TODAY()-1)=Sales4[[#This Row],[Billing Date]]</f>
        <v>0</v>
      </c>
      <c r="V184" s="10" t="e">
        <f>Sales4[[#This Row],[Net Value]]-Sales4[[#This Row],[PGI COST]]</f>
        <v>#REF!</v>
      </c>
      <c r="W184" s="11" t="e">
        <f>Sales4[[#This Row],[Gross Margin]]/Sales4[[#This Row],[Net Value]]</f>
        <v>#REF!</v>
      </c>
      <c r="X184" s="1" t="str">
        <f>TEXT(Sales4[[#This Row],[Billing Date]],"mmmm-yy")</f>
        <v>September-25</v>
      </c>
      <c r="Y184" s="1">
        <f>Sales4[[#This Row],[Net Value]]/Sales4[[#This Row],[Billed Quantity]]</f>
        <v>495</v>
      </c>
      <c r="Z184" s="117">
        <f>Sales4[[#This Row],[Actual delivery qty]]</f>
        <v>210</v>
      </c>
      <c r="AA184" s="12" t="e">
        <f>SUM(Sales4[[#This Row],[BOM Cost]:[Other Conversion cost pu]])</f>
        <v>#REF!</v>
      </c>
      <c r="AB18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8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84" s="12">
        <f>IFERROR(VLOOKUP(Sales4[[#This Row],[Material]],'COGS Break up'!#REF!,5,0),0)</f>
        <v>0</v>
      </c>
      <c r="AE18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84" s="48" t="e">
        <f>Sales4[[#This Row],[PGI per unit]]-Sales4[[#This Row],[BOM Cost]]-Sales4[[#This Row],[Labour cost per unit]]-Sales4[[#This Row],[Other Conversion cost pu]]</f>
        <v>#REF!</v>
      </c>
      <c r="AG184" s="48" t="e">
        <f>Sales4[[#This Row],[BOM Cost2]]+Sales4[[#This Row],[Labour Cost]]+Sales4[[#This Row],[Other conversion cost]]</f>
        <v>#REF!</v>
      </c>
      <c r="AH184" s="12" t="e">
        <f>Sales4[[#This Row],[Billed Quantity]]*Sales4[[#This Row],[BOM Cost]]</f>
        <v>#REF!</v>
      </c>
      <c r="AI184" s="12" t="e">
        <f>Sales4[[#This Row],[Billed Quantity]]*Sales4[[#This Row],[Labour cost per unit]]</f>
        <v>#REF!</v>
      </c>
      <c r="AJ184" s="12">
        <f>Sales4[[#This Row],[Droppage per unit]]*Sales4[[#This Row],[Billed Quantity]]</f>
        <v>0</v>
      </c>
      <c r="AK184" s="12" t="e">
        <f>Sales4[[#This Row],[Billed Quantity]]*Sales4[[#This Row],[Other Conversion cost pu]]</f>
        <v>#REF!</v>
      </c>
      <c r="AL184" s="48" t="e">
        <f>Sales4[[#This Row],[PGI Amount]]-Sales4[[#This Row],[BOM Cost2]]-Sales4[[#This Row],[Labour Cost]]-Sales4[[#This Row],[Other conversion cost]]</f>
        <v>#REF!</v>
      </c>
      <c r="AM184" s="121" t="e">
        <f>1-Sales4[[#This Row],[PGI COST]]/Sales4[[#This Row],[Net Value]]</f>
        <v>#REF!</v>
      </c>
      <c r="AN184" s="1">
        <f>Sales4[[#This Row],[PGI Amount]]/Sales4[[#This Row],[Billed Quantity]]</f>
        <v>457.3</v>
      </c>
      <c r="AO184" s="72" t="e">
        <f>SUMIFS('COGS Break up'!#REF!,'COGS Break up'!#REF!,Sales4[[#This Row],[Material]],'COGS Break up'!#REF!,'MIS Working'!$AO$1)</f>
        <v>#REF!</v>
      </c>
      <c r="AP184" s="72" t="e">
        <f>SUMIFS('COGS Break up'!#REF!,'COGS Break up'!#REF!,Sales4[[#This Row],[Material]],'COGS Break up'!#REF!,'MIS Working'!$AP$1)</f>
        <v>#REF!</v>
      </c>
      <c r="AQ184" s="72" t="e">
        <f>SUMIFS('COGS Break up'!#REF!,'COGS Break up'!#REF!,Sales4[[#This Row],[Material]],'COGS Break up'!#REF!,'MIS Working'!$AQ$1)</f>
        <v>#REF!</v>
      </c>
      <c r="AR184" s="72">
        <f>Sales4[[#This Row],[Droppage per unit]]</f>
        <v>0</v>
      </c>
      <c r="AS184" s="15" t="e">
        <f>AO184*Sales4[[#This Row],[Billed Quantity]]</f>
        <v>#REF!</v>
      </c>
      <c r="AT184" s="72" t="e">
        <f>AP184*Sales4[[#This Row],[Billed Quantity]]</f>
        <v>#REF!</v>
      </c>
      <c r="AU184" s="72" t="e">
        <f>AQ184*Sales4[[#This Row],[Billed Quantity]]</f>
        <v>#REF!</v>
      </c>
      <c r="AV184" s="72">
        <f>AR184*Sales4[[#This Row],[Billed Quantity]]</f>
        <v>0</v>
      </c>
    </row>
    <row r="185" spans="1:48" x14ac:dyDescent="0.3">
      <c r="A185" s="1" t="s">
        <v>479</v>
      </c>
      <c r="B185" s="2">
        <v>45913</v>
      </c>
      <c r="C185" s="1">
        <v>3271270009</v>
      </c>
      <c r="D185" s="1" t="s">
        <v>366</v>
      </c>
      <c r="E185" s="1" t="s">
        <v>367</v>
      </c>
      <c r="F185" s="1" t="s">
        <v>18</v>
      </c>
      <c r="G185" s="1" t="s">
        <v>19</v>
      </c>
      <c r="H185" s="1" t="s">
        <v>483</v>
      </c>
      <c r="I185" s="3">
        <v>245</v>
      </c>
      <c r="J185" s="4">
        <v>84907.199999999997</v>
      </c>
      <c r="K185" s="3">
        <v>245</v>
      </c>
      <c r="L185" s="3">
        <v>245</v>
      </c>
      <c r="M185" s="2">
        <v>45913</v>
      </c>
      <c r="N185" s="4">
        <v>76952.05</v>
      </c>
      <c r="O185" s="1" t="s">
        <v>21</v>
      </c>
      <c r="P185" s="1" t="s">
        <v>22</v>
      </c>
      <c r="Q185" s="1">
        <v>1</v>
      </c>
      <c r="R185" s="1" t="str">
        <f>VLOOKUP(Sales4[[#This Row],[Material type]],Master!$H$3:$I$8,2,0)</f>
        <v>Finished Goods</v>
      </c>
      <c r="S185" s="1" t="str">
        <f>VLOOKUP(Sales4[[#This Row],[Material Group]],Master!B:C,2,0)</f>
        <v>FG-PCB-MG</v>
      </c>
      <c r="T185" s="1" t="str">
        <f>VLOOKUP(Sales4[[#This Row],[Material Group Descrip]],Master!E:F,2,0)</f>
        <v>FG-PCB-MG</v>
      </c>
      <c r="U185" s="9" t="b">
        <f ca="1">(TODAY()-1)=Sales4[[#This Row],[Billing Date]]</f>
        <v>0</v>
      </c>
      <c r="V185" s="10" t="e">
        <f>Sales4[[#This Row],[Net Value]]-Sales4[[#This Row],[PGI COST]]</f>
        <v>#REF!</v>
      </c>
      <c r="W185" s="11" t="e">
        <f>Sales4[[#This Row],[Gross Margin]]/Sales4[[#This Row],[Net Value]]</f>
        <v>#REF!</v>
      </c>
      <c r="X185" s="1" t="str">
        <f>TEXT(Sales4[[#This Row],[Billing Date]],"mmmm-yy")</f>
        <v>September-25</v>
      </c>
      <c r="Y185" s="1">
        <f>Sales4[[#This Row],[Net Value]]/Sales4[[#This Row],[Billed Quantity]]</f>
        <v>314.09000000000003</v>
      </c>
      <c r="Z185" s="117">
        <f>Sales4[[#This Row],[Actual delivery qty]]</f>
        <v>245</v>
      </c>
      <c r="AA185" s="12" t="e">
        <f>SUM(Sales4[[#This Row],[BOM Cost]:[Other Conversion cost pu]])</f>
        <v>#REF!</v>
      </c>
      <c r="AB18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8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85" s="12">
        <f>IFERROR(VLOOKUP(Sales4[[#This Row],[Material]],'COGS Break up'!#REF!,5,0),0)</f>
        <v>0</v>
      </c>
      <c r="AE18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85" s="48" t="e">
        <f>Sales4[[#This Row],[PGI per unit]]-Sales4[[#This Row],[BOM Cost]]-Sales4[[#This Row],[Labour cost per unit]]-Sales4[[#This Row],[Other Conversion cost pu]]</f>
        <v>#REF!</v>
      </c>
      <c r="AG185" s="48" t="e">
        <f>Sales4[[#This Row],[BOM Cost2]]+Sales4[[#This Row],[Labour Cost]]+Sales4[[#This Row],[Other conversion cost]]</f>
        <v>#REF!</v>
      </c>
      <c r="AH185" s="12" t="e">
        <f>Sales4[[#This Row],[Billed Quantity]]*Sales4[[#This Row],[BOM Cost]]</f>
        <v>#REF!</v>
      </c>
      <c r="AI185" s="12" t="e">
        <f>Sales4[[#This Row],[Billed Quantity]]*Sales4[[#This Row],[Labour cost per unit]]</f>
        <v>#REF!</v>
      </c>
      <c r="AJ185" s="12">
        <f>Sales4[[#This Row],[Droppage per unit]]*Sales4[[#This Row],[Billed Quantity]]</f>
        <v>0</v>
      </c>
      <c r="AK185" s="12" t="e">
        <f>Sales4[[#This Row],[Billed Quantity]]*Sales4[[#This Row],[Other Conversion cost pu]]</f>
        <v>#REF!</v>
      </c>
      <c r="AL185" s="48" t="e">
        <f>Sales4[[#This Row],[PGI Amount]]-Sales4[[#This Row],[BOM Cost2]]-Sales4[[#This Row],[Labour Cost]]-Sales4[[#This Row],[Other conversion cost]]</f>
        <v>#REF!</v>
      </c>
      <c r="AM185" s="121" t="e">
        <f>1-Sales4[[#This Row],[PGI COST]]/Sales4[[#This Row],[Net Value]]</f>
        <v>#REF!</v>
      </c>
      <c r="AN185" s="1">
        <f>Sales4[[#This Row],[PGI Amount]]/Sales4[[#This Row],[Billed Quantity]]</f>
        <v>346.56</v>
      </c>
      <c r="AO185" s="72" t="e">
        <f>SUMIFS('COGS Break up'!#REF!,'COGS Break up'!#REF!,Sales4[[#This Row],[Material]],'COGS Break up'!#REF!,'MIS Working'!$AO$1)</f>
        <v>#REF!</v>
      </c>
      <c r="AP185" s="72" t="e">
        <f>SUMIFS('COGS Break up'!#REF!,'COGS Break up'!#REF!,Sales4[[#This Row],[Material]],'COGS Break up'!#REF!,'MIS Working'!$AP$1)</f>
        <v>#REF!</v>
      </c>
      <c r="AQ185" s="72" t="e">
        <f>SUMIFS('COGS Break up'!#REF!,'COGS Break up'!#REF!,Sales4[[#This Row],[Material]],'COGS Break up'!#REF!,'MIS Working'!$AQ$1)</f>
        <v>#REF!</v>
      </c>
      <c r="AR185" s="72">
        <f>Sales4[[#This Row],[Droppage per unit]]</f>
        <v>0</v>
      </c>
      <c r="AS185" s="15" t="e">
        <f>AO185*Sales4[[#This Row],[Billed Quantity]]</f>
        <v>#REF!</v>
      </c>
      <c r="AT185" s="72" t="e">
        <f>AP185*Sales4[[#This Row],[Billed Quantity]]</f>
        <v>#REF!</v>
      </c>
      <c r="AU185" s="72" t="e">
        <f>AQ185*Sales4[[#This Row],[Billed Quantity]]</f>
        <v>#REF!</v>
      </c>
      <c r="AV185" s="72">
        <f>AR185*Sales4[[#This Row],[Billed Quantity]]</f>
        <v>0</v>
      </c>
    </row>
    <row r="186" spans="1:48" x14ac:dyDescent="0.3">
      <c r="A186" s="1" t="s">
        <v>479</v>
      </c>
      <c r="B186" s="2">
        <v>45913</v>
      </c>
      <c r="C186" s="1">
        <v>3271270213</v>
      </c>
      <c r="D186" s="1" t="s">
        <v>44</v>
      </c>
      <c r="E186" s="1" t="s">
        <v>45</v>
      </c>
      <c r="F186" s="1" t="s">
        <v>18</v>
      </c>
      <c r="G186" s="1" t="s">
        <v>19</v>
      </c>
      <c r="H186" s="1" t="s">
        <v>27</v>
      </c>
      <c r="I186" s="3">
        <v>694</v>
      </c>
      <c r="J186" s="4">
        <v>231296.32</v>
      </c>
      <c r="K186" s="3">
        <v>694</v>
      </c>
      <c r="L186" s="3">
        <v>694</v>
      </c>
      <c r="M186" s="2">
        <v>45913</v>
      </c>
      <c r="N186" s="4">
        <v>245877.26</v>
      </c>
      <c r="O186" s="1" t="s">
        <v>21</v>
      </c>
      <c r="P186" s="1" t="s">
        <v>22</v>
      </c>
      <c r="Q186" s="1">
        <v>1</v>
      </c>
      <c r="R186" s="1" t="str">
        <f>VLOOKUP(Sales4[[#This Row],[Material type]],Master!$H$3:$I$8,2,0)</f>
        <v>Finished Goods</v>
      </c>
      <c r="S186" s="1" t="str">
        <f>VLOOKUP(Sales4[[#This Row],[Material Group]],Master!B:C,2,0)</f>
        <v>FG-PCB-CF</v>
      </c>
      <c r="T186" s="1" t="str">
        <f>VLOOKUP(Sales4[[#This Row],[Material Group Descrip]],Master!E:F,2,0)</f>
        <v>FG-PCB-CF</v>
      </c>
      <c r="U186" s="9" t="b">
        <f ca="1">(TODAY()-1)=Sales4[[#This Row],[Billing Date]]</f>
        <v>0</v>
      </c>
      <c r="V186" s="10" t="e">
        <f>Sales4[[#This Row],[Net Value]]-Sales4[[#This Row],[PGI COST]]</f>
        <v>#REF!</v>
      </c>
      <c r="W186" s="11" t="e">
        <f>Sales4[[#This Row],[Gross Margin]]/Sales4[[#This Row],[Net Value]]</f>
        <v>#REF!</v>
      </c>
      <c r="X186" s="1" t="str">
        <f>TEXT(Sales4[[#This Row],[Billing Date]],"mmmm-yy")</f>
        <v>September-25</v>
      </c>
      <c r="Y186" s="1">
        <f>Sales4[[#This Row],[Net Value]]/Sales4[[#This Row],[Billed Quantity]]</f>
        <v>354.29</v>
      </c>
      <c r="Z186" s="117">
        <f>Sales4[[#This Row],[Actual delivery qty]]</f>
        <v>694</v>
      </c>
      <c r="AA186" s="12" t="e">
        <f>SUM(Sales4[[#This Row],[BOM Cost]:[Other Conversion cost pu]])</f>
        <v>#REF!</v>
      </c>
      <c r="AB18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8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86" s="12">
        <f>IFERROR(VLOOKUP(Sales4[[#This Row],[Material]],'COGS Break up'!#REF!,5,0),0)</f>
        <v>0</v>
      </c>
      <c r="AE18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86" s="48" t="e">
        <f>Sales4[[#This Row],[PGI per unit]]-Sales4[[#This Row],[BOM Cost]]-Sales4[[#This Row],[Labour cost per unit]]-Sales4[[#This Row],[Other Conversion cost pu]]</f>
        <v>#REF!</v>
      </c>
      <c r="AG186" s="48" t="e">
        <f>Sales4[[#This Row],[BOM Cost2]]+Sales4[[#This Row],[Labour Cost]]+Sales4[[#This Row],[Other conversion cost]]</f>
        <v>#REF!</v>
      </c>
      <c r="AH186" s="12" t="e">
        <f>Sales4[[#This Row],[Billed Quantity]]*Sales4[[#This Row],[BOM Cost]]</f>
        <v>#REF!</v>
      </c>
      <c r="AI186" s="12" t="e">
        <f>Sales4[[#This Row],[Billed Quantity]]*Sales4[[#This Row],[Labour cost per unit]]</f>
        <v>#REF!</v>
      </c>
      <c r="AJ186" s="12">
        <f>Sales4[[#This Row],[Droppage per unit]]*Sales4[[#This Row],[Billed Quantity]]</f>
        <v>0</v>
      </c>
      <c r="AK186" s="12" t="e">
        <f>Sales4[[#This Row],[Billed Quantity]]*Sales4[[#This Row],[Other Conversion cost pu]]</f>
        <v>#REF!</v>
      </c>
      <c r="AL186" s="48" t="e">
        <f>Sales4[[#This Row],[PGI Amount]]-Sales4[[#This Row],[BOM Cost2]]-Sales4[[#This Row],[Labour Cost]]-Sales4[[#This Row],[Other conversion cost]]</f>
        <v>#REF!</v>
      </c>
      <c r="AM186" s="121" t="e">
        <f>1-Sales4[[#This Row],[PGI COST]]/Sales4[[#This Row],[Net Value]]</f>
        <v>#REF!</v>
      </c>
      <c r="AN186" s="1">
        <f>Sales4[[#This Row],[PGI Amount]]/Sales4[[#This Row],[Billed Quantity]]</f>
        <v>333.28000000000003</v>
      </c>
      <c r="AO186" s="72" t="e">
        <f>SUMIFS('COGS Break up'!#REF!,'COGS Break up'!#REF!,Sales4[[#This Row],[Material]],'COGS Break up'!#REF!,'MIS Working'!$AO$1)</f>
        <v>#REF!</v>
      </c>
      <c r="AP186" s="72" t="e">
        <f>SUMIFS('COGS Break up'!#REF!,'COGS Break up'!#REF!,Sales4[[#This Row],[Material]],'COGS Break up'!#REF!,'MIS Working'!$AP$1)</f>
        <v>#REF!</v>
      </c>
      <c r="AQ186" s="72" t="e">
        <f>SUMIFS('COGS Break up'!#REF!,'COGS Break up'!#REF!,Sales4[[#This Row],[Material]],'COGS Break up'!#REF!,'MIS Working'!$AQ$1)</f>
        <v>#REF!</v>
      </c>
      <c r="AR186" s="72">
        <f>Sales4[[#This Row],[Droppage per unit]]</f>
        <v>0</v>
      </c>
      <c r="AS186" s="15" t="e">
        <f>AO186*Sales4[[#This Row],[Billed Quantity]]</f>
        <v>#REF!</v>
      </c>
      <c r="AT186" s="72" t="e">
        <f>AP186*Sales4[[#This Row],[Billed Quantity]]</f>
        <v>#REF!</v>
      </c>
      <c r="AU186" s="72" t="e">
        <f>AQ186*Sales4[[#This Row],[Billed Quantity]]</f>
        <v>#REF!</v>
      </c>
      <c r="AV186" s="72">
        <f>AR186*Sales4[[#This Row],[Billed Quantity]]</f>
        <v>0</v>
      </c>
    </row>
    <row r="187" spans="1:48" x14ac:dyDescent="0.3">
      <c r="A187" s="1" t="s">
        <v>479</v>
      </c>
      <c r="B187" s="2">
        <v>45913</v>
      </c>
      <c r="C187" s="1">
        <v>3271270213</v>
      </c>
      <c r="D187" s="1" t="s">
        <v>755</v>
      </c>
      <c r="E187" s="1" t="s">
        <v>756</v>
      </c>
      <c r="F187" s="1" t="s">
        <v>18</v>
      </c>
      <c r="G187" s="1" t="s">
        <v>19</v>
      </c>
      <c r="H187" s="1" t="s">
        <v>27</v>
      </c>
      <c r="I187" s="3">
        <v>1120</v>
      </c>
      <c r="J187" s="4">
        <v>374169.59999999998</v>
      </c>
      <c r="K187" s="3">
        <v>1120</v>
      </c>
      <c r="L187" s="3">
        <v>1120</v>
      </c>
      <c r="M187" s="2">
        <v>45913</v>
      </c>
      <c r="N187" s="4">
        <v>405585.6</v>
      </c>
      <c r="O187" s="1" t="s">
        <v>21</v>
      </c>
      <c r="P187" s="1" t="s">
        <v>22</v>
      </c>
      <c r="Q187" s="1">
        <v>1</v>
      </c>
      <c r="R187" s="1" t="str">
        <f>VLOOKUP(Sales4[[#This Row],[Material type]],Master!$H$3:$I$8,2,0)</f>
        <v>Finished Goods</v>
      </c>
      <c r="S187" s="1" t="str">
        <f>VLOOKUP(Sales4[[#This Row],[Material Group]],Master!B:C,2,0)</f>
        <v>FG-PCB-CF</v>
      </c>
      <c r="T187" s="1" t="str">
        <f>VLOOKUP(Sales4[[#This Row],[Material Group Descrip]],Master!E:F,2,0)</f>
        <v>FG-PCB-CF</v>
      </c>
      <c r="U187" s="9" t="b">
        <f ca="1">(TODAY()-1)=Sales4[[#This Row],[Billing Date]]</f>
        <v>0</v>
      </c>
      <c r="V187" s="10" t="e">
        <f>Sales4[[#This Row],[Net Value]]-Sales4[[#This Row],[PGI COST]]</f>
        <v>#REF!</v>
      </c>
      <c r="W187" s="11" t="e">
        <f>Sales4[[#This Row],[Gross Margin]]/Sales4[[#This Row],[Net Value]]</f>
        <v>#REF!</v>
      </c>
      <c r="X187" s="1" t="str">
        <f>TEXT(Sales4[[#This Row],[Billing Date]],"mmmm-yy")</f>
        <v>September-25</v>
      </c>
      <c r="Y187" s="1">
        <f>Sales4[[#This Row],[Net Value]]/Sales4[[#This Row],[Billed Quantity]]</f>
        <v>362.13</v>
      </c>
      <c r="Z187" s="117">
        <f>Sales4[[#This Row],[Actual delivery qty]]</f>
        <v>1120</v>
      </c>
      <c r="AA187" s="12" t="e">
        <f>SUM(Sales4[[#This Row],[BOM Cost]:[Other Conversion cost pu]])</f>
        <v>#REF!</v>
      </c>
      <c r="AB18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8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87" s="12">
        <f>IFERROR(VLOOKUP(Sales4[[#This Row],[Material]],'COGS Break up'!#REF!,5,0),0)</f>
        <v>0</v>
      </c>
      <c r="AE18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87" s="48" t="e">
        <f>Sales4[[#This Row],[PGI per unit]]-Sales4[[#This Row],[BOM Cost]]-Sales4[[#This Row],[Labour cost per unit]]-Sales4[[#This Row],[Other Conversion cost pu]]</f>
        <v>#REF!</v>
      </c>
      <c r="AG187" s="48" t="e">
        <f>Sales4[[#This Row],[BOM Cost2]]+Sales4[[#This Row],[Labour Cost]]+Sales4[[#This Row],[Other conversion cost]]</f>
        <v>#REF!</v>
      </c>
      <c r="AH187" s="12" t="e">
        <f>Sales4[[#This Row],[Billed Quantity]]*Sales4[[#This Row],[BOM Cost]]</f>
        <v>#REF!</v>
      </c>
      <c r="AI187" s="12" t="e">
        <f>Sales4[[#This Row],[Billed Quantity]]*Sales4[[#This Row],[Labour cost per unit]]</f>
        <v>#REF!</v>
      </c>
      <c r="AJ187" s="12">
        <f>Sales4[[#This Row],[Droppage per unit]]*Sales4[[#This Row],[Billed Quantity]]</f>
        <v>0</v>
      </c>
      <c r="AK187" s="12" t="e">
        <f>Sales4[[#This Row],[Billed Quantity]]*Sales4[[#This Row],[Other Conversion cost pu]]</f>
        <v>#REF!</v>
      </c>
      <c r="AL187" s="48" t="e">
        <f>Sales4[[#This Row],[PGI Amount]]-Sales4[[#This Row],[BOM Cost2]]-Sales4[[#This Row],[Labour Cost]]-Sales4[[#This Row],[Other conversion cost]]</f>
        <v>#REF!</v>
      </c>
      <c r="AM187" s="121" t="e">
        <f>1-Sales4[[#This Row],[PGI COST]]/Sales4[[#This Row],[Net Value]]</f>
        <v>#REF!</v>
      </c>
      <c r="AN187" s="1">
        <f>Sales4[[#This Row],[PGI Amount]]/Sales4[[#This Row],[Billed Quantity]]</f>
        <v>334.08</v>
      </c>
      <c r="AO187" s="72" t="e">
        <f>SUMIFS('COGS Break up'!#REF!,'COGS Break up'!#REF!,Sales4[[#This Row],[Material]],'COGS Break up'!#REF!,'MIS Working'!$AO$1)</f>
        <v>#REF!</v>
      </c>
      <c r="AP187" s="72" t="e">
        <f>SUMIFS('COGS Break up'!#REF!,'COGS Break up'!#REF!,Sales4[[#This Row],[Material]],'COGS Break up'!#REF!,'MIS Working'!$AP$1)</f>
        <v>#REF!</v>
      </c>
      <c r="AQ187" s="72" t="e">
        <f>SUMIFS('COGS Break up'!#REF!,'COGS Break up'!#REF!,Sales4[[#This Row],[Material]],'COGS Break up'!#REF!,'MIS Working'!$AQ$1)</f>
        <v>#REF!</v>
      </c>
      <c r="AR187" s="72">
        <f>Sales4[[#This Row],[Droppage per unit]]</f>
        <v>0</v>
      </c>
      <c r="AS187" s="15" t="e">
        <f>AO187*Sales4[[#This Row],[Billed Quantity]]</f>
        <v>#REF!</v>
      </c>
      <c r="AT187" s="72" t="e">
        <f>AP187*Sales4[[#This Row],[Billed Quantity]]</f>
        <v>#REF!</v>
      </c>
      <c r="AU187" s="72" t="e">
        <f>AQ187*Sales4[[#This Row],[Billed Quantity]]</f>
        <v>#REF!</v>
      </c>
      <c r="AV187" s="72">
        <f>AR187*Sales4[[#This Row],[Billed Quantity]]</f>
        <v>0</v>
      </c>
    </row>
    <row r="188" spans="1:48" x14ac:dyDescent="0.3">
      <c r="A188" s="1" t="s">
        <v>479</v>
      </c>
      <c r="B188" s="2">
        <v>45913</v>
      </c>
      <c r="C188" s="1">
        <v>3271270009</v>
      </c>
      <c r="D188" s="1" t="s">
        <v>755</v>
      </c>
      <c r="E188" s="1" t="s">
        <v>756</v>
      </c>
      <c r="F188" s="1" t="s">
        <v>18</v>
      </c>
      <c r="G188" s="1" t="s">
        <v>19</v>
      </c>
      <c r="H188" s="1" t="s">
        <v>27</v>
      </c>
      <c r="I188" s="3">
        <v>1120</v>
      </c>
      <c r="J188" s="4">
        <v>374169.59999999998</v>
      </c>
      <c r="K188" s="3">
        <v>1120</v>
      </c>
      <c r="L188" s="3">
        <v>1120</v>
      </c>
      <c r="M188" s="2">
        <v>45913</v>
      </c>
      <c r="N188" s="4">
        <v>405585.6</v>
      </c>
      <c r="O188" s="1" t="s">
        <v>21</v>
      </c>
      <c r="P188" s="1" t="s">
        <v>22</v>
      </c>
      <c r="Q188" s="1">
        <v>1</v>
      </c>
      <c r="R188" s="1" t="str">
        <f>VLOOKUP(Sales4[[#This Row],[Material type]],Master!$H$3:$I$8,2,0)</f>
        <v>Finished Goods</v>
      </c>
      <c r="S188" s="1" t="str">
        <f>VLOOKUP(Sales4[[#This Row],[Material Group]],Master!B:C,2,0)</f>
        <v>FG-PCB-CF</v>
      </c>
      <c r="T188" s="1" t="str">
        <f>VLOOKUP(Sales4[[#This Row],[Material Group Descrip]],Master!E:F,2,0)</f>
        <v>FG-PCB-CF</v>
      </c>
      <c r="U188" s="9" t="b">
        <f ca="1">(TODAY()-1)=Sales4[[#This Row],[Billing Date]]</f>
        <v>0</v>
      </c>
      <c r="V188" s="10" t="e">
        <f>Sales4[[#This Row],[Net Value]]-Sales4[[#This Row],[PGI COST]]</f>
        <v>#REF!</v>
      </c>
      <c r="W188" s="11" t="e">
        <f>Sales4[[#This Row],[Gross Margin]]/Sales4[[#This Row],[Net Value]]</f>
        <v>#REF!</v>
      </c>
      <c r="X188" s="1" t="str">
        <f>TEXT(Sales4[[#This Row],[Billing Date]],"mmmm-yy")</f>
        <v>September-25</v>
      </c>
      <c r="Y188" s="1">
        <f>Sales4[[#This Row],[Net Value]]/Sales4[[#This Row],[Billed Quantity]]</f>
        <v>362.13</v>
      </c>
      <c r="Z188" s="117">
        <f>Sales4[[#This Row],[Actual delivery qty]]</f>
        <v>1120</v>
      </c>
      <c r="AA188" s="12" t="e">
        <f>SUM(Sales4[[#This Row],[BOM Cost]:[Other Conversion cost pu]])</f>
        <v>#REF!</v>
      </c>
      <c r="AB18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8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88" s="12">
        <f>IFERROR(VLOOKUP(Sales4[[#This Row],[Material]],'COGS Break up'!#REF!,5,0),0)</f>
        <v>0</v>
      </c>
      <c r="AE18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88" s="48" t="e">
        <f>Sales4[[#This Row],[PGI per unit]]-Sales4[[#This Row],[BOM Cost]]-Sales4[[#This Row],[Labour cost per unit]]-Sales4[[#This Row],[Other Conversion cost pu]]</f>
        <v>#REF!</v>
      </c>
      <c r="AG188" s="48" t="e">
        <f>Sales4[[#This Row],[BOM Cost2]]+Sales4[[#This Row],[Labour Cost]]+Sales4[[#This Row],[Other conversion cost]]</f>
        <v>#REF!</v>
      </c>
      <c r="AH188" s="12" t="e">
        <f>Sales4[[#This Row],[Billed Quantity]]*Sales4[[#This Row],[BOM Cost]]</f>
        <v>#REF!</v>
      </c>
      <c r="AI188" s="12" t="e">
        <f>Sales4[[#This Row],[Billed Quantity]]*Sales4[[#This Row],[Labour cost per unit]]</f>
        <v>#REF!</v>
      </c>
      <c r="AJ188" s="12">
        <f>Sales4[[#This Row],[Droppage per unit]]*Sales4[[#This Row],[Billed Quantity]]</f>
        <v>0</v>
      </c>
      <c r="AK188" s="12" t="e">
        <f>Sales4[[#This Row],[Billed Quantity]]*Sales4[[#This Row],[Other Conversion cost pu]]</f>
        <v>#REF!</v>
      </c>
      <c r="AL188" s="48" t="e">
        <f>Sales4[[#This Row],[PGI Amount]]-Sales4[[#This Row],[BOM Cost2]]-Sales4[[#This Row],[Labour Cost]]-Sales4[[#This Row],[Other conversion cost]]</f>
        <v>#REF!</v>
      </c>
      <c r="AM188" s="121" t="e">
        <f>1-Sales4[[#This Row],[PGI COST]]/Sales4[[#This Row],[Net Value]]</f>
        <v>#REF!</v>
      </c>
      <c r="AN188" s="1">
        <f>Sales4[[#This Row],[PGI Amount]]/Sales4[[#This Row],[Billed Quantity]]</f>
        <v>334.08</v>
      </c>
      <c r="AO188" s="72" t="e">
        <f>SUMIFS('COGS Break up'!#REF!,'COGS Break up'!#REF!,Sales4[[#This Row],[Material]],'COGS Break up'!#REF!,'MIS Working'!$AO$1)</f>
        <v>#REF!</v>
      </c>
      <c r="AP188" s="72" t="e">
        <f>SUMIFS('COGS Break up'!#REF!,'COGS Break up'!#REF!,Sales4[[#This Row],[Material]],'COGS Break up'!#REF!,'MIS Working'!$AP$1)</f>
        <v>#REF!</v>
      </c>
      <c r="AQ188" s="72" t="e">
        <f>SUMIFS('COGS Break up'!#REF!,'COGS Break up'!#REF!,Sales4[[#This Row],[Material]],'COGS Break up'!#REF!,'MIS Working'!$AQ$1)</f>
        <v>#REF!</v>
      </c>
      <c r="AR188" s="72">
        <f>Sales4[[#This Row],[Droppage per unit]]</f>
        <v>0</v>
      </c>
      <c r="AS188" s="15" t="e">
        <f>AO188*Sales4[[#This Row],[Billed Quantity]]</f>
        <v>#REF!</v>
      </c>
      <c r="AT188" s="72" t="e">
        <f>AP188*Sales4[[#This Row],[Billed Quantity]]</f>
        <v>#REF!</v>
      </c>
      <c r="AU188" s="72" t="e">
        <f>AQ188*Sales4[[#This Row],[Billed Quantity]]</f>
        <v>#REF!</v>
      </c>
      <c r="AV188" s="72">
        <f>AR188*Sales4[[#This Row],[Billed Quantity]]</f>
        <v>0</v>
      </c>
    </row>
    <row r="189" spans="1:48" x14ac:dyDescent="0.3">
      <c r="A189" s="1" t="s">
        <v>479</v>
      </c>
      <c r="B189" s="2">
        <v>45913</v>
      </c>
      <c r="C189" s="1">
        <v>3271270132</v>
      </c>
      <c r="D189" s="1" t="s">
        <v>755</v>
      </c>
      <c r="E189" s="1" t="s">
        <v>756</v>
      </c>
      <c r="F189" s="1" t="s">
        <v>18</v>
      </c>
      <c r="G189" s="1" t="s">
        <v>19</v>
      </c>
      <c r="H189" s="1" t="s">
        <v>27</v>
      </c>
      <c r="I189" s="3">
        <v>1120</v>
      </c>
      <c r="J189" s="4">
        <v>374169.59999999998</v>
      </c>
      <c r="K189" s="3">
        <v>1120</v>
      </c>
      <c r="L189" s="3">
        <v>1120</v>
      </c>
      <c r="M189" s="2">
        <v>45913</v>
      </c>
      <c r="N189" s="4">
        <v>405585.6</v>
      </c>
      <c r="O189" s="1" t="s">
        <v>21</v>
      </c>
      <c r="P189" s="1" t="s">
        <v>22</v>
      </c>
      <c r="Q189" s="1">
        <v>1</v>
      </c>
      <c r="R189" s="1" t="str">
        <f>VLOOKUP(Sales4[[#This Row],[Material type]],Master!$H$3:$I$8,2,0)</f>
        <v>Finished Goods</v>
      </c>
      <c r="S189" s="1" t="str">
        <f>VLOOKUP(Sales4[[#This Row],[Material Group]],Master!B:C,2,0)</f>
        <v>FG-PCB-CF</v>
      </c>
      <c r="T189" s="1" t="str">
        <f>VLOOKUP(Sales4[[#This Row],[Material Group Descrip]],Master!E:F,2,0)</f>
        <v>FG-PCB-CF</v>
      </c>
      <c r="U189" s="9" t="b">
        <f ca="1">(TODAY()-1)=Sales4[[#This Row],[Billing Date]]</f>
        <v>0</v>
      </c>
      <c r="V189" s="10" t="e">
        <f>Sales4[[#This Row],[Net Value]]-Sales4[[#This Row],[PGI COST]]</f>
        <v>#REF!</v>
      </c>
      <c r="W189" s="11" t="e">
        <f>Sales4[[#This Row],[Gross Margin]]/Sales4[[#This Row],[Net Value]]</f>
        <v>#REF!</v>
      </c>
      <c r="X189" s="1" t="str">
        <f>TEXT(Sales4[[#This Row],[Billing Date]],"mmmm-yy")</f>
        <v>September-25</v>
      </c>
      <c r="Y189" s="1">
        <f>Sales4[[#This Row],[Net Value]]/Sales4[[#This Row],[Billed Quantity]]</f>
        <v>362.13</v>
      </c>
      <c r="Z189" s="117">
        <f>Sales4[[#This Row],[Actual delivery qty]]</f>
        <v>1120</v>
      </c>
      <c r="AA189" s="12" t="e">
        <f>SUM(Sales4[[#This Row],[BOM Cost]:[Other Conversion cost pu]])</f>
        <v>#REF!</v>
      </c>
      <c r="AB18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8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89" s="12">
        <f>IFERROR(VLOOKUP(Sales4[[#This Row],[Material]],'COGS Break up'!#REF!,5,0),0)</f>
        <v>0</v>
      </c>
      <c r="AE18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89" s="48" t="e">
        <f>Sales4[[#This Row],[PGI per unit]]-Sales4[[#This Row],[BOM Cost]]-Sales4[[#This Row],[Labour cost per unit]]-Sales4[[#This Row],[Other Conversion cost pu]]</f>
        <v>#REF!</v>
      </c>
      <c r="AG189" s="48" t="e">
        <f>Sales4[[#This Row],[BOM Cost2]]+Sales4[[#This Row],[Labour Cost]]+Sales4[[#This Row],[Other conversion cost]]</f>
        <v>#REF!</v>
      </c>
      <c r="AH189" s="12" t="e">
        <f>Sales4[[#This Row],[Billed Quantity]]*Sales4[[#This Row],[BOM Cost]]</f>
        <v>#REF!</v>
      </c>
      <c r="AI189" s="12" t="e">
        <f>Sales4[[#This Row],[Billed Quantity]]*Sales4[[#This Row],[Labour cost per unit]]</f>
        <v>#REF!</v>
      </c>
      <c r="AJ189" s="12">
        <f>Sales4[[#This Row],[Droppage per unit]]*Sales4[[#This Row],[Billed Quantity]]</f>
        <v>0</v>
      </c>
      <c r="AK189" s="12" t="e">
        <f>Sales4[[#This Row],[Billed Quantity]]*Sales4[[#This Row],[Other Conversion cost pu]]</f>
        <v>#REF!</v>
      </c>
      <c r="AL189" s="48" t="e">
        <f>Sales4[[#This Row],[PGI Amount]]-Sales4[[#This Row],[BOM Cost2]]-Sales4[[#This Row],[Labour Cost]]-Sales4[[#This Row],[Other conversion cost]]</f>
        <v>#REF!</v>
      </c>
      <c r="AM189" s="121" t="e">
        <f>1-Sales4[[#This Row],[PGI COST]]/Sales4[[#This Row],[Net Value]]</f>
        <v>#REF!</v>
      </c>
      <c r="AN189" s="1">
        <f>Sales4[[#This Row],[PGI Amount]]/Sales4[[#This Row],[Billed Quantity]]</f>
        <v>334.08</v>
      </c>
      <c r="AO189" s="72" t="e">
        <f>SUMIFS('COGS Break up'!#REF!,'COGS Break up'!#REF!,Sales4[[#This Row],[Material]],'COGS Break up'!#REF!,'MIS Working'!$AO$1)</f>
        <v>#REF!</v>
      </c>
      <c r="AP189" s="72" t="e">
        <f>SUMIFS('COGS Break up'!#REF!,'COGS Break up'!#REF!,Sales4[[#This Row],[Material]],'COGS Break up'!#REF!,'MIS Working'!$AP$1)</f>
        <v>#REF!</v>
      </c>
      <c r="AQ189" s="72" t="e">
        <f>SUMIFS('COGS Break up'!#REF!,'COGS Break up'!#REF!,Sales4[[#This Row],[Material]],'COGS Break up'!#REF!,'MIS Working'!$AQ$1)</f>
        <v>#REF!</v>
      </c>
      <c r="AR189" s="72">
        <f>Sales4[[#This Row],[Droppage per unit]]</f>
        <v>0</v>
      </c>
      <c r="AS189" s="15" t="e">
        <f>AO189*Sales4[[#This Row],[Billed Quantity]]</f>
        <v>#REF!</v>
      </c>
      <c r="AT189" s="72" t="e">
        <f>AP189*Sales4[[#This Row],[Billed Quantity]]</f>
        <v>#REF!</v>
      </c>
      <c r="AU189" s="72" t="e">
        <f>AQ189*Sales4[[#This Row],[Billed Quantity]]</f>
        <v>#REF!</v>
      </c>
      <c r="AV189" s="72">
        <f>AR189*Sales4[[#This Row],[Billed Quantity]]</f>
        <v>0</v>
      </c>
    </row>
    <row r="190" spans="1:48" x14ac:dyDescent="0.3">
      <c r="A190" s="1" t="s">
        <v>479</v>
      </c>
      <c r="B190" s="2">
        <v>45913</v>
      </c>
      <c r="C190" s="1">
        <v>3271270116</v>
      </c>
      <c r="D190" s="1" t="s">
        <v>40</v>
      </c>
      <c r="E190" s="1" t="s">
        <v>41</v>
      </c>
      <c r="F190" s="1" t="s">
        <v>18</v>
      </c>
      <c r="G190" s="1" t="s">
        <v>34</v>
      </c>
      <c r="H190" s="1" t="s">
        <v>772</v>
      </c>
      <c r="I190" s="3">
        <v>1008</v>
      </c>
      <c r="J190" s="4">
        <v>148720.32000000001</v>
      </c>
      <c r="K190" s="3">
        <v>1008</v>
      </c>
      <c r="L190" s="3">
        <v>1008</v>
      </c>
      <c r="M190" s="2">
        <v>45913</v>
      </c>
      <c r="N190" s="4">
        <v>164243.51999999999</v>
      </c>
      <c r="O190" s="1" t="s">
        <v>21</v>
      </c>
      <c r="P190" s="1" t="s">
        <v>22</v>
      </c>
      <c r="Q190" s="1">
        <v>1</v>
      </c>
      <c r="R190" s="1" t="str">
        <f>VLOOKUP(Sales4[[#This Row],[Material type]],Master!$H$3:$I$8,2,0)</f>
        <v>Semi-Finished Goods</v>
      </c>
      <c r="S190" s="1" t="str">
        <f>VLOOKUP(Sales4[[#This Row],[Material Group]],Master!B:C,2,0)</f>
        <v>SFG-GV5 Stator</v>
      </c>
      <c r="T190" s="1" t="str">
        <f>VLOOKUP(Sales4[[#This Row],[Material Group Descrip]],Master!E:F,2,0)</f>
        <v>Sub Ass.-Mech Stator</v>
      </c>
      <c r="U190" s="9" t="b">
        <f ca="1">(TODAY()-1)=Sales4[[#This Row],[Billing Date]]</f>
        <v>0</v>
      </c>
      <c r="V190" s="10" t="e">
        <f>Sales4[[#This Row],[Net Value]]-Sales4[[#This Row],[PGI COST]]</f>
        <v>#REF!</v>
      </c>
      <c r="W190" s="11" t="e">
        <f>Sales4[[#This Row],[Gross Margin]]/Sales4[[#This Row],[Net Value]]</f>
        <v>#REF!</v>
      </c>
      <c r="X190" s="1" t="str">
        <f>TEXT(Sales4[[#This Row],[Billing Date]],"mmmm-yy")</f>
        <v>September-25</v>
      </c>
      <c r="Y190" s="1">
        <f>Sales4[[#This Row],[Net Value]]/Sales4[[#This Row],[Billed Quantity]]</f>
        <v>162.94</v>
      </c>
      <c r="Z190" s="117">
        <f>Sales4[[#This Row],[Actual delivery qty]]</f>
        <v>1008</v>
      </c>
      <c r="AA190" s="12" t="e">
        <f>SUM(Sales4[[#This Row],[BOM Cost]:[Other Conversion cost pu]])</f>
        <v>#REF!</v>
      </c>
      <c r="AB19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9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90" s="12">
        <f>IFERROR(VLOOKUP(Sales4[[#This Row],[Material]],'COGS Break up'!#REF!,5,0),0)</f>
        <v>0</v>
      </c>
      <c r="AE19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90" s="48" t="e">
        <f>Sales4[[#This Row],[PGI per unit]]-Sales4[[#This Row],[BOM Cost]]-Sales4[[#This Row],[Labour cost per unit]]-Sales4[[#This Row],[Other Conversion cost pu]]</f>
        <v>#REF!</v>
      </c>
      <c r="AG190" s="48" t="e">
        <f>Sales4[[#This Row],[BOM Cost2]]+Sales4[[#This Row],[Labour Cost]]+Sales4[[#This Row],[Other conversion cost]]</f>
        <v>#REF!</v>
      </c>
      <c r="AH190" s="12" t="e">
        <f>Sales4[[#This Row],[Billed Quantity]]*Sales4[[#This Row],[BOM Cost]]</f>
        <v>#REF!</v>
      </c>
      <c r="AI190" s="12" t="e">
        <f>Sales4[[#This Row],[Billed Quantity]]*Sales4[[#This Row],[Labour cost per unit]]</f>
        <v>#REF!</v>
      </c>
      <c r="AJ190" s="12">
        <f>Sales4[[#This Row],[Droppage per unit]]*Sales4[[#This Row],[Billed Quantity]]</f>
        <v>0</v>
      </c>
      <c r="AK190" s="12" t="e">
        <f>Sales4[[#This Row],[Billed Quantity]]*Sales4[[#This Row],[Other Conversion cost pu]]</f>
        <v>#REF!</v>
      </c>
      <c r="AL190" s="48" t="e">
        <f>Sales4[[#This Row],[PGI Amount]]-Sales4[[#This Row],[BOM Cost2]]-Sales4[[#This Row],[Labour Cost]]-Sales4[[#This Row],[Other conversion cost]]</f>
        <v>#REF!</v>
      </c>
      <c r="AM190" s="121" t="e">
        <f>1-Sales4[[#This Row],[PGI COST]]/Sales4[[#This Row],[Net Value]]</f>
        <v>#REF!</v>
      </c>
      <c r="AN190" s="1">
        <f>Sales4[[#This Row],[PGI Amount]]/Sales4[[#This Row],[Billed Quantity]]</f>
        <v>147.54000000000002</v>
      </c>
      <c r="AO190" s="72" t="e">
        <f>SUMIFS('COGS Break up'!#REF!,'COGS Break up'!#REF!,Sales4[[#This Row],[Material]],'COGS Break up'!#REF!,'MIS Working'!$AO$1)</f>
        <v>#REF!</v>
      </c>
      <c r="AP190" s="72" t="e">
        <f>SUMIFS('COGS Break up'!#REF!,'COGS Break up'!#REF!,Sales4[[#This Row],[Material]],'COGS Break up'!#REF!,'MIS Working'!$AP$1)</f>
        <v>#REF!</v>
      </c>
      <c r="AQ190" s="72" t="e">
        <f>SUMIFS('COGS Break up'!#REF!,'COGS Break up'!#REF!,Sales4[[#This Row],[Material]],'COGS Break up'!#REF!,'MIS Working'!$AQ$1)</f>
        <v>#REF!</v>
      </c>
      <c r="AR190" s="72">
        <f>Sales4[[#This Row],[Droppage per unit]]</f>
        <v>0</v>
      </c>
      <c r="AS190" s="15" t="e">
        <f>AO190*Sales4[[#This Row],[Billed Quantity]]</f>
        <v>#REF!</v>
      </c>
      <c r="AT190" s="72" t="e">
        <f>AP190*Sales4[[#This Row],[Billed Quantity]]</f>
        <v>#REF!</v>
      </c>
      <c r="AU190" s="72" t="e">
        <f>AQ190*Sales4[[#This Row],[Billed Quantity]]</f>
        <v>#REF!</v>
      </c>
      <c r="AV190" s="72">
        <f>AR190*Sales4[[#This Row],[Billed Quantity]]</f>
        <v>0</v>
      </c>
    </row>
    <row r="191" spans="1:48" x14ac:dyDescent="0.3">
      <c r="A191" s="1" t="s">
        <v>479</v>
      </c>
      <c r="B191" s="2">
        <v>45913</v>
      </c>
      <c r="C191" s="1">
        <v>3271270124</v>
      </c>
      <c r="D191" s="1" t="s">
        <v>595</v>
      </c>
      <c r="E191" s="1" t="s">
        <v>596</v>
      </c>
      <c r="F191" s="1" t="s">
        <v>18</v>
      </c>
      <c r="G191" s="1" t="s">
        <v>34</v>
      </c>
      <c r="H191" s="1" t="s">
        <v>772</v>
      </c>
      <c r="I191" s="3">
        <v>1776</v>
      </c>
      <c r="J191" s="4">
        <v>222000</v>
      </c>
      <c r="K191" s="3">
        <v>1776</v>
      </c>
      <c r="L191" s="3">
        <v>1776</v>
      </c>
      <c r="M191" s="2">
        <v>45913</v>
      </c>
      <c r="N191" s="4">
        <v>235124.64</v>
      </c>
      <c r="O191" s="1" t="s">
        <v>21</v>
      </c>
      <c r="P191" s="1" t="s">
        <v>22</v>
      </c>
      <c r="Q191" s="1">
        <v>1</v>
      </c>
      <c r="R191" s="1" t="str">
        <f>VLOOKUP(Sales4[[#This Row],[Material type]],Master!$H$3:$I$8,2,0)</f>
        <v>Semi-Finished Goods</v>
      </c>
      <c r="S191" s="1" t="str">
        <f>VLOOKUP(Sales4[[#This Row],[Material Group]],Master!B:C,2,0)</f>
        <v>SFG-GV5 Stator</v>
      </c>
      <c r="T191" s="1" t="str">
        <f>VLOOKUP(Sales4[[#This Row],[Material Group Descrip]],Master!E:F,2,0)</f>
        <v>Sub Ass.-Mech Stator</v>
      </c>
      <c r="U191" s="9" t="b">
        <f ca="1">(TODAY()-1)=Sales4[[#This Row],[Billing Date]]</f>
        <v>0</v>
      </c>
      <c r="V191" s="10" t="e">
        <f>Sales4[[#This Row],[Net Value]]-Sales4[[#This Row],[PGI COST]]</f>
        <v>#REF!</v>
      </c>
      <c r="W191" s="11" t="e">
        <f>Sales4[[#This Row],[Gross Margin]]/Sales4[[#This Row],[Net Value]]</f>
        <v>#REF!</v>
      </c>
      <c r="X191" s="1" t="str">
        <f>TEXT(Sales4[[#This Row],[Billing Date]],"mmmm-yy")</f>
        <v>September-25</v>
      </c>
      <c r="Y191" s="1">
        <f>Sales4[[#This Row],[Net Value]]/Sales4[[#This Row],[Billed Quantity]]</f>
        <v>132.39000000000001</v>
      </c>
      <c r="Z191" s="117">
        <f>Sales4[[#This Row],[Actual delivery qty]]</f>
        <v>1776</v>
      </c>
      <c r="AA191" s="12" t="e">
        <f>SUM(Sales4[[#This Row],[BOM Cost]:[Other Conversion cost pu]])</f>
        <v>#REF!</v>
      </c>
      <c r="AB19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9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91" s="12">
        <f>IFERROR(VLOOKUP(Sales4[[#This Row],[Material]],'COGS Break up'!#REF!,5,0),0)</f>
        <v>0</v>
      </c>
      <c r="AE19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91" s="48" t="e">
        <f>Sales4[[#This Row],[PGI per unit]]-Sales4[[#This Row],[BOM Cost]]-Sales4[[#This Row],[Labour cost per unit]]-Sales4[[#This Row],[Other Conversion cost pu]]</f>
        <v>#REF!</v>
      </c>
      <c r="AG191" s="48" t="e">
        <f>Sales4[[#This Row],[BOM Cost2]]+Sales4[[#This Row],[Labour Cost]]+Sales4[[#This Row],[Other conversion cost]]</f>
        <v>#REF!</v>
      </c>
      <c r="AH191" s="12" t="e">
        <f>Sales4[[#This Row],[Billed Quantity]]*Sales4[[#This Row],[BOM Cost]]</f>
        <v>#REF!</v>
      </c>
      <c r="AI191" s="12" t="e">
        <f>Sales4[[#This Row],[Billed Quantity]]*Sales4[[#This Row],[Labour cost per unit]]</f>
        <v>#REF!</v>
      </c>
      <c r="AJ191" s="12">
        <f>Sales4[[#This Row],[Droppage per unit]]*Sales4[[#This Row],[Billed Quantity]]</f>
        <v>0</v>
      </c>
      <c r="AK191" s="12" t="e">
        <f>Sales4[[#This Row],[Billed Quantity]]*Sales4[[#This Row],[Other Conversion cost pu]]</f>
        <v>#REF!</v>
      </c>
      <c r="AL191" s="48" t="e">
        <f>Sales4[[#This Row],[PGI Amount]]-Sales4[[#This Row],[BOM Cost2]]-Sales4[[#This Row],[Labour Cost]]-Sales4[[#This Row],[Other conversion cost]]</f>
        <v>#REF!</v>
      </c>
      <c r="AM191" s="121" t="e">
        <f>1-Sales4[[#This Row],[PGI COST]]/Sales4[[#This Row],[Net Value]]</f>
        <v>#REF!</v>
      </c>
      <c r="AN191" s="1">
        <f>Sales4[[#This Row],[PGI Amount]]/Sales4[[#This Row],[Billed Quantity]]</f>
        <v>125</v>
      </c>
      <c r="AO191" s="72" t="e">
        <f>SUMIFS('COGS Break up'!#REF!,'COGS Break up'!#REF!,Sales4[[#This Row],[Material]],'COGS Break up'!#REF!,'MIS Working'!$AO$1)</f>
        <v>#REF!</v>
      </c>
      <c r="AP191" s="72" t="e">
        <f>SUMIFS('COGS Break up'!#REF!,'COGS Break up'!#REF!,Sales4[[#This Row],[Material]],'COGS Break up'!#REF!,'MIS Working'!$AP$1)</f>
        <v>#REF!</v>
      </c>
      <c r="AQ191" s="72" t="e">
        <f>SUMIFS('COGS Break up'!#REF!,'COGS Break up'!#REF!,Sales4[[#This Row],[Material]],'COGS Break up'!#REF!,'MIS Working'!$AQ$1)</f>
        <v>#REF!</v>
      </c>
      <c r="AR191" s="72">
        <f>Sales4[[#This Row],[Droppage per unit]]</f>
        <v>0</v>
      </c>
      <c r="AS191" s="15" t="e">
        <f>AO191*Sales4[[#This Row],[Billed Quantity]]</f>
        <v>#REF!</v>
      </c>
      <c r="AT191" s="72" t="e">
        <f>AP191*Sales4[[#This Row],[Billed Quantity]]</f>
        <v>#REF!</v>
      </c>
      <c r="AU191" s="72" t="e">
        <f>AQ191*Sales4[[#This Row],[Billed Quantity]]</f>
        <v>#REF!</v>
      </c>
      <c r="AV191" s="72">
        <f>AR191*Sales4[[#This Row],[Billed Quantity]]</f>
        <v>0</v>
      </c>
    </row>
    <row r="192" spans="1:48" x14ac:dyDescent="0.3">
      <c r="A192" s="1" t="s">
        <v>479</v>
      </c>
      <c r="B192" s="2">
        <v>45913</v>
      </c>
      <c r="C192" s="1">
        <v>3271270112</v>
      </c>
      <c r="D192" s="1" t="s">
        <v>1395</v>
      </c>
      <c r="E192" s="1" t="s">
        <v>1396</v>
      </c>
      <c r="F192" s="1" t="s">
        <v>18</v>
      </c>
      <c r="G192" s="1" t="s">
        <v>48</v>
      </c>
      <c r="H192" s="1" t="s">
        <v>202</v>
      </c>
      <c r="I192" s="3">
        <v>7500</v>
      </c>
      <c r="J192" s="4">
        <v>16952.12</v>
      </c>
      <c r="K192" s="3">
        <v>7500</v>
      </c>
      <c r="L192" s="3">
        <v>7500</v>
      </c>
      <c r="M192" s="2">
        <v>45913</v>
      </c>
      <c r="N192" s="4">
        <v>15900</v>
      </c>
      <c r="O192" s="1" t="s">
        <v>21</v>
      </c>
      <c r="P192" s="1" t="s">
        <v>22</v>
      </c>
      <c r="Q192" s="1">
        <v>1</v>
      </c>
      <c r="R192" s="1" t="str">
        <f>VLOOKUP(Sales4[[#This Row],[Material type]],Master!$H$3:$I$8,2,0)</f>
        <v>Raw Material</v>
      </c>
      <c r="S192" s="1" t="str">
        <f>VLOOKUP(Sales4[[#This Row],[Material Group]],Master!B:C,2,0)</f>
        <v>RM-Eletro-IC</v>
      </c>
      <c r="T192" s="1" t="str">
        <f>VLOOKUP(Sales4[[#This Row],[Material Group Descrip]],Master!E:F,2,0)</f>
        <v>Raw Material</v>
      </c>
      <c r="U192" s="9" t="b">
        <f ca="1">(TODAY()-1)=Sales4[[#This Row],[Billing Date]]</f>
        <v>0</v>
      </c>
      <c r="V192" s="10" t="e">
        <f>Sales4[[#This Row],[Net Value]]-Sales4[[#This Row],[PGI COST]]</f>
        <v>#REF!</v>
      </c>
      <c r="W192" s="11" t="e">
        <f>Sales4[[#This Row],[Gross Margin]]/Sales4[[#This Row],[Net Value]]</f>
        <v>#REF!</v>
      </c>
      <c r="X192" s="1" t="str">
        <f>TEXT(Sales4[[#This Row],[Billing Date]],"mmmm-yy")</f>
        <v>September-25</v>
      </c>
      <c r="Y192" s="1">
        <f>Sales4[[#This Row],[Net Value]]/Sales4[[#This Row],[Billed Quantity]]</f>
        <v>2.12</v>
      </c>
      <c r="Z192" s="117">
        <f>Sales4[[#This Row],[Actual delivery qty]]</f>
        <v>7500</v>
      </c>
      <c r="AA192" s="12" t="e">
        <f>SUM(Sales4[[#This Row],[BOM Cost]:[Other Conversion cost pu]])</f>
        <v>#REF!</v>
      </c>
      <c r="AB19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9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92" s="12">
        <f>IFERROR(VLOOKUP(Sales4[[#This Row],[Material]],'COGS Break up'!#REF!,5,0),0)</f>
        <v>0</v>
      </c>
      <c r="AE19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92" s="48" t="e">
        <f>Sales4[[#This Row],[PGI per unit]]-Sales4[[#This Row],[BOM Cost]]-Sales4[[#This Row],[Labour cost per unit]]-Sales4[[#This Row],[Other Conversion cost pu]]</f>
        <v>#REF!</v>
      </c>
      <c r="AG192" s="48" t="e">
        <f>Sales4[[#This Row],[BOM Cost2]]+Sales4[[#This Row],[Labour Cost]]+Sales4[[#This Row],[Other conversion cost]]</f>
        <v>#REF!</v>
      </c>
      <c r="AH192" s="12" t="e">
        <f>Sales4[[#This Row],[Billed Quantity]]*Sales4[[#This Row],[BOM Cost]]</f>
        <v>#REF!</v>
      </c>
      <c r="AI192" s="12" t="e">
        <f>Sales4[[#This Row],[Billed Quantity]]*Sales4[[#This Row],[Labour cost per unit]]</f>
        <v>#REF!</v>
      </c>
      <c r="AJ192" s="12">
        <f>Sales4[[#This Row],[Droppage per unit]]*Sales4[[#This Row],[Billed Quantity]]</f>
        <v>0</v>
      </c>
      <c r="AK192" s="12" t="e">
        <f>Sales4[[#This Row],[Billed Quantity]]*Sales4[[#This Row],[Other Conversion cost pu]]</f>
        <v>#REF!</v>
      </c>
      <c r="AL192" s="48" t="e">
        <f>Sales4[[#This Row],[PGI Amount]]-Sales4[[#This Row],[BOM Cost2]]-Sales4[[#This Row],[Labour Cost]]-Sales4[[#This Row],[Other conversion cost]]</f>
        <v>#REF!</v>
      </c>
      <c r="AM192" s="121" t="e">
        <f>1-Sales4[[#This Row],[PGI COST]]/Sales4[[#This Row],[Net Value]]</f>
        <v>#REF!</v>
      </c>
      <c r="AN192" s="1">
        <f>Sales4[[#This Row],[PGI Amount]]/Sales4[[#This Row],[Billed Quantity]]</f>
        <v>2.2602826666666664</v>
      </c>
      <c r="AO192" s="72" t="e">
        <f>SUMIFS('COGS Break up'!#REF!,'COGS Break up'!#REF!,Sales4[[#This Row],[Material]],'COGS Break up'!#REF!,'MIS Working'!$AO$1)</f>
        <v>#REF!</v>
      </c>
      <c r="AP192" s="72" t="e">
        <f>SUMIFS('COGS Break up'!#REF!,'COGS Break up'!#REF!,Sales4[[#This Row],[Material]],'COGS Break up'!#REF!,'MIS Working'!$AP$1)</f>
        <v>#REF!</v>
      </c>
      <c r="AQ192" s="72" t="e">
        <f>SUMIFS('COGS Break up'!#REF!,'COGS Break up'!#REF!,Sales4[[#This Row],[Material]],'COGS Break up'!#REF!,'MIS Working'!$AQ$1)</f>
        <v>#REF!</v>
      </c>
      <c r="AR192" s="72">
        <f>Sales4[[#This Row],[Droppage per unit]]</f>
        <v>0</v>
      </c>
      <c r="AS192" s="15" t="e">
        <f>AO192*Sales4[[#This Row],[Billed Quantity]]</f>
        <v>#REF!</v>
      </c>
      <c r="AT192" s="72" t="e">
        <f>AP192*Sales4[[#This Row],[Billed Quantity]]</f>
        <v>#REF!</v>
      </c>
      <c r="AU192" s="72" t="e">
        <f>AQ192*Sales4[[#This Row],[Billed Quantity]]</f>
        <v>#REF!</v>
      </c>
      <c r="AV192" s="72">
        <f>AR192*Sales4[[#This Row],[Billed Quantity]]</f>
        <v>0</v>
      </c>
    </row>
    <row r="193" spans="1:48" x14ac:dyDescent="0.3">
      <c r="A193" s="1" t="s">
        <v>479</v>
      </c>
      <c r="B193" s="2">
        <v>45913</v>
      </c>
      <c r="C193" s="1">
        <v>3271270112</v>
      </c>
      <c r="D193" s="1" t="s">
        <v>1397</v>
      </c>
      <c r="E193" s="1" t="s">
        <v>1398</v>
      </c>
      <c r="F193" s="1" t="s">
        <v>18</v>
      </c>
      <c r="G193" s="1" t="s">
        <v>48</v>
      </c>
      <c r="H193" s="1" t="s">
        <v>168</v>
      </c>
      <c r="I193" s="3">
        <v>16000</v>
      </c>
      <c r="J193" s="4">
        <v>84956.88</v>
      </c>
      <c r="K193" s="3">
        <v>16000</v>
      </c>
      <c r="L193" s="3">
        <v>16000</v>
      </c>
      <c r="M193" s="2">
        <v>45913</v>
      </c>
      <c r="N193" s="4">
        <v>84960</v>
      </c>
      <c r="O193" s="1" t="s">
        <v>21</v>
      </c>
      <c r="P193" s="1" t="s">
        <v>22</v>
      </c>
      <c r="Q193" s="1">
        <v>1</v>
      </c>
      <c r="R193" s="1" t="str">
        <f>VLOOKUP(Sales4[[#This Row],[Material type]],Master!$H$3:$I$8,2,0)</f>
        <v>Raw Material</v>
      </c>
      <c r="S193" s="1" t="str">
        <f>VLOOKUP(Sales4[[#This Row],[Material Group]],Master!B:C,2,0)</f>
        <v>Raw Materials</v>
      </c>
      <c r="T193" s="1" t="str">
        <f>VLOOKUP(Sales4[[#This Row],[Material Group Descrip]],Master!E:F,2,0)</f>
        <v>Raw Material</v>
      </c>
      <c r="U193" s="9" t="b">
        <f ca="1">(TODAY()-1)=Sales4[[#This Row],[Billing Date]]</f>
        <v>0</v>
      </c>
      <c r="V193" s="10" t="e">
        <f>Sales4[[#This Row],[Net Value]]-Sales4[[#This Row],[PGI COST]]</f>
        <v>#REF!</v>
      </c>
      <c r="W193" s="11" t="e">
        <f>Sales4[[#This Row],[Gross Margin]]/Sales4[[#This Row],[Net Value]]</f>
        <v>#REF!</v>
      </c>
      <c r="X193" s="1" t="str">
        <f>TEXT(Sales4[[#This Row],[Billing Date]],"mmmm-yy")</f>
        <v>September-25</v>
      </c>
      <c r="Y193" s="1">
        <f>Sales4[[#This Row],[Net Value]]/Sales4[[#This Row],[Billed Quantity]]</f>
        <v>5.31</v>
      </c>
      <c r="Z193" s="117">
        <f>Sales4[[#This Row],[Actual delivery qty]]</f>
        <v>16000</v>
      </c>
      <c r="AA193" s="12" t="e">
        <f>SUM(Sales4[[#This Row],[BOM Cost]:[Other Conversion cost pu]])</f>
        <v>#REF!</v>
      </c>
      <c r="AB19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9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93" s="12">
        <f>IFERROR(VLOOKUP(Sales4[[#This Row],[Material]],'COGS Break up'!#REF!,5,0),0)</f>
        <v>0</v>
      </c>
      <c r="AE19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93" s="48" t="e">
        <f>Sales4[[#This Row],[PGI per unit]]-Sales4[[#This Row],[BOM Cost]]-Sales4[[#This Row],[Labour cost per unit]]-Sales4[[#This Row],[Other Conversion cost pu]]</f>
        <v>#REF!</v>
      </c>
      <c r="AG193" s="48" t="e">
        <f>Sales4[[#This Row],[BOM Cost2]]+Sales4[[#This Row],[Labour Cost]]+Sales4[[#This Row],[Other conversion cost]]</f>
        <v>#REF!</v>
      </c>
      <c r="AH193" s="12" t="e">
        <f>Sales4[[#This Row],[Billed Quantity]]*Sales4[[#This Row],[BOM Cost]]</f>
        <v>#REF!</v>
      </c>
      <c r="AI193" s="12" t="e">
        <f>Sales4[[#This Row],[Billed Quantity]]*Sales4[[#This Row],[Labour cost per unit]]</f>
        <v>#REF!</v>
      </c>
      <c r="AJ193" s="12">
        <f>Sales4[[#This Row],[Droppage per unit]]*Sales4[[#This Row],[Billed Quantity]]</f>
        <v>0</v>
      </c>
      <c r="AK193" s="12" t="e">
        <f>Sales4[[#This Row],[Billed Quantity]]*Sales4[[#This Row],[Other Conversion cost pu]]</f>
        <v>#REF!</v>
      </c>
      <c r="AL193" s="48" t="e">
        <f>Sales4[[#This Row],[PGI Amount]]-Sales4[[#This Row],[BOM Cost2]]-Sales4[[#This Row],[Labour Cost]]-Sales4[[#This Row],[Other conversion cost]]</f>
        <v>#REF!</v>
      </c>
      <c r="AM193" s="121" t="e">
        <f>1-Sales4[[#This Row],[PGI COST]]/Sales4[[#This Row],[Net Value]]</f>
        <v>#REF!</v>
      </c>
      <c r="AN193" s="1">
        <f>Sales4[[#This Row],[PGI Amount]]/Sales4[[#This Row],[Billed Quantity]]</f>
        <v>5.3098049999999999</v>
      </c>
      <c r="AO193" s="72" t="e">
        <f>SUMIFS('COGS Break up'!#REF!,'COGS Break up'!#REF!,Sales4[[#This Row],[Material]],'COGS Break up'!#REF!,'MIS Working'!$AO$1)</f>
        <v>#REF!</v>
      </c>
      <c r="AP193" s="72" t="e">
        <f>SUMIFS('COGS Break up'!#REF!,'COGS Break up'!#REF!,Sales4[[#This Row],[Material]],'COGS Break up'!#REF!,'MIS Working'!$AP$1)</f>
        <v>#REF!</v>
      </c>
      <c r="AQ193" s="72" t="e">
        <f>SUMIFS('COGS Break up'!#REF!,'COGS Break up'!#REF!,Sales4[[#This Row],[Material]],'COGS Break up'!#REF!,'MIS Working'!$AQ$1)</f>
        <v>#REF!</v>
      </c>
      <c r="AR193" s="72">
        <f>Sales4[[#This Row],[Droppage per unit]]</f>
        <v>0</v>
      </c>
      <c r="AS193" s="15" t="e">
        <f>AO193*Sales4[[#This Row],[Billed Quantity]]</f>
        <v>#REF!</v>
      </c>
      <c r="AT193" s="72" t="e">
        <f>AP193*Sales4[[#This Row],[Billed Quantity]]</f>
        <v>#REF!</v>
      </c>
      <c r="AU193" s="72" t="e">
        <f>AQ193*Sales4[[#This Row],[Billed Quantity]]</f>
        <v>#REF!</v>
      </c>
      <c r="AV193" s="72">
        <f>AR193*Sales4[[#This Row],[Billed Quantity]]</f>
        <v>0</v>
      </c>
    </row>
    <row r="194" spans="1:48" x14ac:dyDescent="0.3">
      <c r="A194" s="1" t="s">
        <v>479</v>
      </c>
      <c r="B194" s="2">
        <v>45913</v>
      </c>
      <c r="C194" s="1">
        <v>3271270112</v>
      </c>
      <c r="D194" s="1" t="s">
        <v>1399</v>
      </c>
      <c r="E194" s="1" t="s">
        <v>1400</v>
      </c>
      <c r="F194" s="1" t="s">
        <v>18</v>
      </c>
      <c r="G194" s="1" t="s">
        <v>48</v>
      </c>
      <c r="H194" s="1" t="s">
        <v>49</v>
      </c>
      <c r="I194" s="3">
        <v>16000</v>
      </c>
      <c r="J194" s="4">
        <v>105600</v>
      </c>
      <c r="K194" s="3">
        <v>16000</v>
      </c>
      <c r="L194" s="3">
        <v>16000</v>
      </c>
      <c r="M194" s="2">
        <v>45913</v>
      </c>
      <c r="N194" s="4">
        <v>105600</v>
      </c>
      <c r="O194" s="1" t="s">
        <v>21</v>
      </c>
      <c r="P194" s="1" t="s">
        <v>22</v>
      </c>
      <c r="Q194" s="1">
        <v>1</v>
      </c>
      <c r="R194" s="1" t="str">
        <f>VLOOKUP(Sales4[[#This Row],[Material type]],Master!$H$3:$I$8,2,0)</f>
        <v>Raw Material</v>
      </c>
      <c r="S194" s="1" t="str">
        <f>VLOOKUP(Sales4[[#This Row],[Material Group]],Master!B:C,2,0)</f>
        <v>RM-Eletro-Connecter</v>
      </c>
      <c r="T194" s="1" t="str">
        <f>VLOOKUP(Sales4[[#This Row],[Material Group Descrip]],Master!E:F,2,0)</f>
        <v>Raw Material</v>
      </c>
      <c r="U194" s="9" t="b">
        <f ca="1">(TODAY()-1)=Sales4[[#This Row],[Billing Date]]</f>
        <v>0</v>
      </c>
      <c r="V194" s="10" t="e">
        <f>Sales4[[#This Row],[Net Value]]-Sales4[[#This Row],[PGI COST]]</f>
        <v>#REF!</v>
      </c>
      <c r="W194" s="11" t="e">
        <f>Sales4[[#This Row],[Gross Margin]]/Sales4[[#This Row],[Net Value]]</f>
        <v>#REF!</v>
      </c>
      <c r="X194" s="1" t="str">
        <f>TEXT(Sales4[[#This Row],[Billing Date]],"mmmm-yy")</f>
        <v>September-25</v>
      </c>
      <c r="Y194" s="1">
        <f>Sales4[[#This Row],[Net Value]]/Sales4[[#This Row],[Billed Quantity]]</f>
        <v>6.6</v>
      </c>
      <c r="Z194" s="117">
        <f>Sales4[[#This Row],[Actual delivery qty]]</f>
        <v>16000</v>
      </c>
      <c r="AA194" s="12" t="e">
        <f>SUM(Sales4[[#This Row],[BOM Cost]:[Other Conversion cost pu]])</f>
        <v>#REF!</v>
      </c>
      <c r="AB19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9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94" s="12">
        <f>IFERROR(VLOOKUP(Sales4[[#This Row],[Material]],'COGS Break up'!#REF!,5,0),0)</f>
        <v>0</v>
      </c>
      <c r="AE19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94" s="48" t="e">
        <f>Sales4[[#This Row],[PGI per unit]]-Sales4[[#This Row],[BOM Cost]]-Sales4[[#This Row],[Labour cost per unit]]-Sales4[[#This Row],[Other Conversion cost pu]]</f>
        <v>#REF!</v>
      </c>
      <c r="AG194" s="48" t="e">
        <f>Sales4[[#This Row],[BOM Cost2]]+Sales4[[#This Row],[Labour Cost]]+Sales4[[#This Row],[Other conversion cost]]</f>
        <v>#REF!</v>
      </c>
      <c r="AH194" s="12" t="e">
        <f>Sales4[[#This Row],[Billed Quantity]]*Sales4[[#This Row],[BOM Cost]]</f>
        <v>#REF!</v>
      </c>
      <c r="AI194" s="12" t="e">
        <f>Sales4[[#This Row],[Billed Quantity]]*Sales4[[#This Row],[Labour cost per unit]]</f>
        <v>#REF!</v>
      </c>
      <c r="AJ194" s="12">
        <f>Sales4[[#This Row],[Droppage per unit]]*Sales4[[#This Row],[Billed Quantity]]</f>
        <v>0</v>
      </c>
      <c r="AK194" s="12" t="e">
        <f>Sales4[[#This Row],[Billed Quantity]]*Sales4[[#This Row],[Other Conversion cost pu]]</f>
        <v>#REF!</v>
      </c>
      <c r="AL194" s="48" t="e">
        <f>Sales4[[#This Row],[PGI Amount]]-Sales4[[#This Row],[BOM Cost2]]-Sales4[[#This Row],[Labour Cost]]-Sales4[[#This Row],[Other conversion cost]]</f>
        <v>#REF!</v>
      </c>
      <c r="AM194" s="121" t="e">
        <f>1-Sales4[[#This Row],[PGI COST]]/Sales4[[#This Row],[Net Value]]</f>
        <v>#REF!</v>
      </c>
      <c r="AN194" s="1">
        <f>Sales4[[#This Row],[PGI Amount]]/Sales4[[#This Row],[Billed Quantity]]</f>
        <v>6.6</v>
      </c>
      <c r="AO194" s="72" t="e">
        <f>SUMIFS('COGS Break up'!#REF!,'COGS Break up'!#REF!,Sales4[[#This Row],[Material]],'COGS Break up'!#REF!,'MIS Working'!$AO$1)</f>
        <v>#REF!</v>
      </c>
      <c r="AP194" s="72" t="e">
        <f>SUMIFS('COGS Break up'!#REF!,'COGS Break up'!#REF!,Sales4[[#This Row],[Material]],'COGS Break up'!#REF!,'MIS Working'!$AP$1)</f>
        <v>#REF!</v>
      </c>
      <c r="AQ194" s="72" t="e">
        <f>SUMIFS('COGS Break up'!#REF!,'COGS Break up'!#REF!,Sales4[[#This Row],[Material]],'COGS Break up'!#REF!,'MIS Working'!$AQ$1)</f>
        <v>#REF!</v>
      </c>
      <c r="AR194" s="72">
        <f>Sales4[[#This Row],[Droppage per unit]]</f>
        <v>0</v>
      </c>
      <c r="AS194" s="15" t="e">
        <f>AO194*Sales4[[#This Row],[Billed Quantity]]</f>
        <v>#REF!</v>
      </c>
      <c r="AT194" s="72" t="e">
        <f>AP194*Sales4[[#This Row],[Billed Quantity]]</f>
        <v>#REF!</v>
      </c>
      <c r="AU194" s="72" t="e">
        <f>AQ194*Sales4[[#This Row],[Billed Quantity]]</f>
        <v>#REF!</v>
      </c>
      <c r="AV194" s="72">
        <f>AR194*Sales4[[#This Row],[Billed Quantity]]</f>
        <v>0</v>
      </c>
    </row>
    <row r="195" spans="1:48" x14ac:dyDescent="0.3">
      <c r="A195" s="1" t="s">
        <v>479</v>
      </c>
      <c r="B195" s="2">
        <v>45913</v>
      </c>
      <c r="C195" s="1">
        <v>3271270112</v>
      </c>
      <c r="D195" s="1" t="s">
        <v>1215</v>
      </c>
      <c r="E195" s="1" t="s">
        <v>1216</v>
      </c>
      <c r="F195" s="1" t="s">
        <v>18</v>
      </c>
      <c r="G195" s="1" t="s">
        <v>48</v>
      </c>
      <c r="H195" s="1" t="s">
        <v>198</v>
      </c>
      <c r="I195" s="3">
        <v>16000</v>
      </c>
      <c r="J195" s="4">
        <v>116800</v>
      </c>
      <c r="K195" s="3">
        <v>16000</v>
      </c>
      <c r="L195" s="3">
        <v>16000</v>
      </c>
      <c r="M195" s="2">
        <v>45913</v>
      </c>
      <c r="N195" s="4">
        <v>116800</v>
      </c>
      <c r="O195" s="1" t="s">
        <v>21</v>
      </c>
      <c r="P195" s="1" t="s">
        <v>22</v>
      </c>
      <c r="Q195" s="1">
        <v>1</v>
      </c>
      <c r="R195" s="1" t="str">
        <f>VLOOKUP(Sales4[[#This Row],[Material type]],Master!$H$3:$I$8,2,0)</f>
        <v>Raw Material</v>
      </c>
      <c r="S195" s="1" t="str">
        <f>VLOOKUP(Sales4[[#This Row],[Material Group]],Master!B:C,2,0)</f>
        <v>RM-Eletro-Capacitor</v>
      </c>
      <c r="T195" s="1" t="str">
        <f>VLOOKUP(Sales4[[#This Row],[Material Group Descrip]],Master!E:F,2,0)</f>
        <v>Raw Material</v>
      </c>
      <c r="U195" s="9" t="b">
        <f ca="1">(TODAY()-1)=Sales4[[#This Row],[Billing Date]]</f>
        <v>0</v>
      </c>
      <c r="V195" s="10" t="e">
        <f>Sales4[[#This Row],[Net Value]]-Sales4[[#This Row],[PGI COST]]</f>
        <v>#REF!</v>
      </c>
      <c r="W195" s="11" t="e">
        <f>Sales4[[#This Row],[Gross Margin]]/Sales4[[#This Row],[Net Value]]</f>
        <v>#REF!</v>
      </c>
      <c r="X195" s="1" t="str">
        <f>TEXT(Sales4[[#This Row],[Billing Date]],"mmmm-yy")</f>
        <v>September-25</v>
      </c>
      <c r="Y195" s="1">
        <f>Sales4[[#This Row],[Net Value]]/Sales4[[#This Row],[Billed Quantity]]</f>
        <v>7.3</v>
      </c>
      <c r="Z195" s="117">
        <f>Sales4[[#This Row],[Actual delivery qty]]</f>
        <v>16000</v>
      </c>
      <c r="AA195" s="12" t="e">
        <f>SUM(Sales4[[#This Row],[BOM Cost]:[Other Conversion cost pu]])</f>
        <v>#REF!</v>
      </c>
      <c r="AB19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9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95" s="12">
        <f>IFERROR(VLOOKUP(Sales4[[#This Row],[Material]],'COGS Break up'!#REF!,5,0),0)</f>
        <v>0</v>
      </c>
      <c r="AE19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95" s="48" t="e">
        <f>Sales4[[#This Row],[PGI per unit]]-Sales4[[#This Row],[BOM Cost]]-Sales4[[#This Row],[Labour cost per unit]]-Sales4[[#This Row],[Other Conversion cost pu]]</f>
        <v>#REF!</v>
      </c>
      <c r="AG195" s="48" t="e">
        <f>Sales4[[#This Row],[BOM Cost2]]+Sales4[[#This Row],[Labour Cost]]+Sales4[[#This Row],[Other conversion cost]]</f>
        <v>#REF!</v>
      </c>
      <c r="AH195" s="12" t="e">
        <f>Sales4[[#This Row],[Billed Quantity]]*Sales4[[#This Row],[BOM Cost]]</f>
        <v>#REF!</v>
      </c>
      <c r="AI195" s="12" t="e">
        <f>Sales4[[#This Row],[Billed Quantity]]*Sales4[[#This Row],[Labour cost per unit]]</f>
        <v>#REF!</v>
      </c>
      <c r="AJ195" s="12">
        <f>Sales4[[#This Row],[Droppage per unit]]*Sales4[[#This Row],[Billed Quantity]]</f>
        <v>0</v>
      </c>
      <c r="AK195" s="12" t="e">
        <f>Sales4[[#This Row],[Billed Quantity]]*Sales4[[#This Row],[Other Conversion cost pu]]</f>
        <v>#REF!</v>
      </c>
      <c r="AL195" s="48" t="e">
        <f>Sales4[[#This Row],[PGI Amount]]-Sales4[[#This Row],[BOM Cost2]]-Sales4[[#This Row],[Labour Cost]]-Sales4[[#This Row],[Other conversion cost]]</f>
        <v>#REF!</v>
      </c>
      <c r="AM195" s="121" t="e">
        <f>1-Sales4[[#This Row],[PGI COST]]/Sales4[[#This Row],[Net Value]]</f>
        <v>#REF!</v>
      </c>
      <c r="AN195" s="1">
        <f>Sales4[[#This Row],[PGI Amount]]/Sales4[[#This Row],[Billed Quantity]]</f>
        <v>7.3</v>
      </c>
      <c r="AO195" s="72" t="e">
        <f>SUMIFS('COGS Break up'!#REF!,'COGS Break up'!#REF!,Sales4[[#This Row],[Material]],'COGS Break up'!#REF!,'MIS Working'!$AO$1)</f>
        <v>#REF!</v>
      </c>
      <c r="AP195" s="72" t="e">
        <f>SUMIFS('COGS Break up'!#REF!,'COGS Break up'!#REF!,Sales4[[#This Row],[Material]],'COGS Break up'!#REF!,'MIS Working'!$AP$1)</f>
        <v>#REF!</v>
      </c>
      <c r="AQ195" s="72" t="e">
        <f>SUMIFS('COGS Break up'!#REF!,'COGS Break up'!#REF!,Sales4[[#This Row],[Material]],'COGS Break up'!#REF!,'MIS Working'!$AQ$1)</f>
        <v>#REF!</v>
      </c>
      <c r="AR195" s="72">
        <f>Sales4[[#This Row],[Droppage per unit]]</f>
        <v>0</v>
      </c>
      <c r="AS195" s="15" t="e">
        <f>AO195*Sales4[[#This Row],[Billed Quantity]]</f>
        <v>#REF!</v>
      </c>
      <c r="AT195" s="72" t="e">
        <f>AP195*Sales4[[#This Row],[Billed Quantity]]</f>
        <v>#REF!</v>
      </c>
      <c r="AU195" s="72" t="e">
        <f>AQ195*Sales4[[#This Row],[Billed Quantity]]</f>
        <v>#REF!</v>
      </c>
      <c r="AV195" s="72">
        <f>AR195*Sales4[[#This Row],[Billed Quantity]]</f>
        <v>0</v>
      </c>
    </row>
    <row r="196" spans="1:48" x14ac:dyDescent="0.3">
      <c r="A196" s="1" t="s">
        <v>479</v>
      </c>
      <c r="B196" s="2">
        <v>45913</v>
      </c>
      <c r="C196" s="1">
        <v>3271270112</v>
      </c>
      <c r="D196" s="1" t="s">
        <v>1401</v>
      </c>
      <c r="E196" s="1" t="s">
        <v>1402</v>
      </c>
      <c r="F196" s="1" t="s">
        <v>18</v>
      </c>
      <c r="G196" s="1" t="s">
        <v>48</v>
      </c>
      <c r="H196" s="1" t="s">
        <v>204</v>
      </c>
      <c r="I196" s="3">
        <v>10000</v>
      </c>
      <c r="J196" s="4">
        <v>22198.2</v>
      </c>
      <c r="K196" s="3">
        <v>10000</v>
      </c>
      <c r="L196" s="3">
        <v>10000</v>
      </c>
      <c r="M196" s="2">
        <v>45913</v>
      </c>
      <c r="N196" s="4">
        <v>16000</v>
      </c>
      <c r="O196" s="1" t="s">
        <v>21</v>
      </c>
      <c r="P196" s="1" t="s">
        <v>22</v>
      </c>
      <c r="Q196" s="1">
        <v>1</v>
      </c>
      <c r="R196" s="1" t="str">
        <f>VLOOKUP(Sales4[[#This Row],[Material type]],Master!$H$3:$I$8,2,0)</f>
        <v>Raw Material</v>
      </c>
      <c r="S196" s="1" t="str">
        <f>VLOOKUP(Sales4[[#This Row],[Material Group]],Master!B:C,2,0)</f>
        <v>RM-Eletro-Resistor</v>
      </c>
      <c r="T196" s="1" t="str">
        <f>VLOOKUP(Sales4[[#This Row],[Material Group Descrip]],Master!E:F,2,0)</f>
        <v>Raw Material</v>
      </c>
      <c r="U196" s="9" t="b">
        <f ca="1">(TODAY()-1)=Sales4[[#This Row],[Billing Date]]</f>
        <v>0</v>
      </c>
      <c r="V196" s="10" t="e">
        <f>Sales4[[#This Row],[Net Value]]-Sales4[[#This Row],[PGI COST]]</f>
        <v>#REF!</v>
      </c>
      <c r="W196" s="11" t="e">
        <f>Sales4[[#This Row],[Gross Margin]]/Sales4[[#This Row],[Net Value]]</f>
        <v>#REF!</v>
      </c>
      <c r="X196" s="1" t="str">
        <f>TEXT(Sales4[[#This Row],[Billing Date]],"mmmm-yy")</f>
        <v>September-25</v>
      </c>
      <c r="Y196" s="1">
        <f>Sales4[[#This Row],[Net Value]]/Sales4[[#This Row],[Billed Quantity]]</f>
        <v>1.6</v>
      </c>
      <c r="Z196" s="117">
        <f>Sales4[[#This Row],[Actual delivery qty]]</f>
        <v>10000</v>
      </c>
      <c r="AA196" s="12" t="e">
        <f>SUM(Sales4[[#This Row],[BOM Cost]:[Other Conversion cost pu]])</f>
        <v>#REF!</v>
      </c>
      <c r="AB19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9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96" s="12">
        <f>IFERROR(VLOOKUP(Sales4[[#This Row],[Material]],'COGS Break up'!#REF!,5,0),0)</f>
        <v>0</v>
      </c>
      <c r="AE19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96" s="48" t="e">
        <f>Sales4[[#This Row],[PGI per unit]]-Sales4[[#This Row],[BOM Cost]]-Sales4[[#This Row],[Labour cost per unit]]-Sales4[[#This Row],[Other Conversion cost pu]]</f>
        <v>#REF!</v>
      </c>
      <c r="AG196" s="48" t="e">
        <f>Sales4[[#This Row],[BOM Cost2]]+Sales4[[#This Row],[Labour Cost]]+Sales4[[#This Row],[Other conversion cost]]</f>
        <v>#REF!</v>
      </c>
      <c r="AH196" s="12" t="e">
        <f>Sales4[[#This Row],[Billed Quantity]]*Sales4[[#This Row],[BOM Cost]]</f>
        <v>#REF!</v>
      </c>
      <c r="AI196" s="12" t="e">
        <f>Sales4[[#This Row],[Billed Quantity]]*Sales4[[#This Row],[Labour cost per unit]]</f>
        <v>#REF!</v>
      </c>
      <c r="AJ196" s="12">
        <f>Sales4[[#This Row],[Droppage per unit]]*Sales4[[#This Row],[Billed Quantity]]</f>
        <v>0</v>
      </c>
      <c r="AK196" s="12" t="e">
        <f>Sales4[[#This Row],[Billed Quantity]]*Sales4[[#This Row],[Other Conversion cost pu]]</f>
        <v>#REF!</v>
      </c>
      <c r="AL196" s="48" t="e">
        <f>Sales4[[#This Row],[PGI Amount]]-Sales4[[#This Row],[BOM Cost2]]-Sales4[[#This Row],[Labour Cost]]-Sales4[[#This Row],[Other conversion cost]]</f>
        <v>#REF!</v>
      </c>
      <c r="AM196" s="121" t="e">
        <f>1-Sales4[[#This Row],[PGI COST]]/Sales4[[#This Row],[Net Value]]</f>
        <v>#REF!</v>
      </c>
      <c r="AN196" s="1">
        <f>Sales4[[#This Row],[PGI Amount]]/Sales4[[#This Row],[Billed Quantity]]</f>
        <v>2.2198199999999999</v>
      </c>
      <c r="AO196" s="72" t="e">
        <f>SUMIFS('COGS Break up'!#REF!,'COGS Break up'!#REF!,Sales4[[#This Row],[Material]],'COGS Break up'!#REF!,'MIS Working'!$AO$1)</f>
        <v>#REF!</v>
      </c>
      <c r="AP196" s="72" t="e">
        <f>SUMIFS('COGS Break up'!#REF!,'COGS Break up'!#REF!,Sales4[[#This Row],[Material]],'COGS Break up'!#REF!,'MIS Working'!$AP$1)</f>
        <v>#REF!</v>
      </c>
      <c r="AQ196" s="72" t="e">
        <f>SUMIFS('COGS Break up'!#REF!,'COGS Break up'!#REF!,Sales4[[#This Row],[Material]],'COGS Break up'!#REF!,'MIS Working'!$AQ$1)</f>
        <v>#REF!</v>
      </c>
      <c r="AR196" s="72">
        <f>Sales4[[#This Row],[Droppage per unit]]</f>
        <v>0</v>
      </c>
      <c r="AS196" s="15" t="e">
        <f>AO196*Sales4[[#This Row],[Billed Quantity]]</f>
        <v>#REF!</v>
      </c>
      <c r="AT196" s="72" t="e">
        <f>AP196*Sales4[[#This Row],[Billed Quantity]]</f>
        <v>#REF!</v>
      </c>
      <c r="AU196" s="72" t="e">
        <f>AQ196*Sales4[[#This Row],[Billed Quantity]]</f>
        <v>#REF!</v>
      </c>
      <c r="AV196" s="72">
        <f>AR196*Sales4[[#This Row],[Billed Quantity]]</f>
        <v>0</v>
      </c>
    </row>
    <row r="197" spans="1:48" x14ac:dyDescent="0.3">
      <c r="A197" s="1" t="s">
        <v>479</v>
      </c>
      <c r="B197" s="2">
        <v>45913</v>
      </c>
      <c r="C197" s="1">
        <v>3271270112</v>
      </c>
      <c r="D197" s="1" t="s">
        <v>1403</v>
      </c>
      <c r="E197" s="1" t="s">
        <v>1404</v>
      </c>
      <c r="F197" s="1" t="s">
        <v>18</v>
      </c>
      <c r="G197" s="1" t="s">
        <v>48</v>
      </c>
      <c r="H197" s="1" t="s">
        <v>198</v>
      </c>
      <c r="I197" s="3">
        <v>10000</v>
      </c>
      <c r="J197" s="4">
        <v>11000.78</v>
      </c>
      <c r="K197" s="3">
        <v>10000</v>
      </c>
      <c r="L197" s="3">
        <v>10000</v>
      </c>
      <c r="M197" s="2">
        <v>45913</v>
      </c>
      <c r="N197" s="4">
        <v>11000</v>
      </c>
      <c r="O197" s="1" t="s">
        <v>21</v>
      </c>
      <c r="P197" s="1" t="s">
        <v>22</v>
      </c>
      <c r="Q197" s="1">
        <v>1</v>
      </c>
      <c r="R197" s="1" t="str">
        <f>VLOOKUP(Sales4[[#This Row],[Material type]],Master!$H$3:$I$8,2,0)</f>
        <v>Raw Material</v>
      </c>
      <c r="S197" s="1" t="str">
        <f>VLOOKUP(Sales4[[#This Row],[Material Group]],Master!B:C,2,0)</f>
        <v>RM-Eletro-Capacitor</v>
      </c>
      <c r="T197" s="1" t="str">
        <f>VLOOKUP(Sales4[[#This Row],[Material Group Descrip]],Master!E:F,2,0)</f>
        <v>Raw Material</v>
      </c>
      <c r="U197" s="9" t="b">
        <f ca="1">(TODAY()-1)=Sales4[[#This Row],[Billing Date]]</f>
        <v>0</v>
      </c>
      <c r="V197" s="10" t="e">
        <f>Sales4[[#This Row],[Net Value]]-Sales4[[#This Row],[PGI COST]]</f>
        <v>#REF!</v>
      </c>
      <c r="W197" s="11" t="e">
        <f>Sales4[[#This Row],[Gross Margin]]/Sales4[[#This Row],[Net Value]]</f>
        <v>#REF!</v>
      </c>
      <c r="X197" s="1" t="str">
        <f>TEXT(Sales4[[#This Row],[Billing Date]],"mmmm-yy")</f>
        <v>September-25</v>
      </c>
      <c r="Y197" s="1">
        <f>Sales4[[#This Row],[Net Value]]/Sales4[[#This Row],[Billed Quantity]]</f>
        <v>1.1000000000000001</v>
      </c>
      <c r="Z197" s="117">
        <f>Sales4[[#This Row],[Actual delivery qty]]</f>
        <v>10000</v>
      </c>
      <c r="AA197" s="12" t="e">
        <f>SUM(Sales4[[#This Row],[BOM Cost]:[Other Conversion cost pu]])</f>
        <v>#REF!</v>
      </c>
      <c r="AB19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9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97" s="12">
        <f>IFERROR(VLOOKUP(Sales4[[#This Row],[Material]],'COGS Break up'!#REF!,5,0),0)</f>
        <v>0</v>
      </c>
      <c r="AE19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97" s="48" t="e">
        <f>Sales4[[#This Row],[PGI per unit]]-Sales4[[#This Row],[BOM Cost]]-Sales4[[#This Row],[Labour cost per unit]]-Sales4[[#This Row],[Other Conversion cost pu]]</f>
        <v>#REF!</v>
      </c>
      <c r="AG197" s="48" t="e">
        <f>Sales4[[#This Row],[BOM Cost2]]+Sales4[[#This Row],[Labour Cost]]+Sales4[[#This Row],[Other conversion cost]]</f>
        <v>#REF!</v>
      </c>
      <c r="AH197" s="12" t="e">
        <f>Sales4[[#This Row],[Billed Quantity]]*Sales4[[#This Row],[BOM Cost]]</f>
        <v>#REF!</v>
      </c>
      <c r="AI197" s="12" t="e">
        <f>Sales4[[#This Row],[Billed Quantity]]*Sales4[[#This Row],[Labour cost per unit]]</f>
        <v>#REF!</v>
      </c>
      <c r="AJ197" s="12">
        <f>Sales4[[#This Row],[Droppage per unit]]*Sales4[[#This Row],[Billed Quantity]]</f>
        <v>0</v>
      </c>
      <c r="AK197" s="12" t="e">
        <f>Sales4[[#This Row],[Billed Quantity]]*Sales4[[#This Row],[Other Conversion cost pu]]</f>
        <v>#REF!</v>
      </c>
      <c r="AL197" s="48" t="e">
        <f>Sales4[[#This Row],[PGI Amount]]-Sales4[[#This Row],[BOM Cost2]]-Sales4[[#This Row],[Labour Cost]]-Sales4[[#This Row],[Other conversion cost]]</f>
        <v>#REF!</v>
      </c>
      <c r="AM197" s="121" t="e">
        <f>1-Sales4[[#This Row],[PGI COST]]/Sales4[[#This Row],[Net Value]]</f>
        <v>#REF!</v>
      </c>
      <c r="AN197" s="1">
        <f>Sales4[[#This Row],[PGI Amount]]/Sales4[[#This Row],[Billed Quantity]]</f>
        <v>1.1000780000000001</v>
      </c>
      <c r="AO197" s="72" t="e">
        <f>SUMIFS('COGS Break up'!#REF!,'COGS Break up'!#REF!,Sales4[[#This Row],[Material]],'COGS Break up'!#REF!,'MIS Working'!$AO$1)</f>
        <v>#REF!</v>
      </c>
      <c r="AP197" s="72" t="e">
        <f>SUMIFS('COGS Break up'!#REF!,'COGS Break up'!#REF!,Sales4[[#This Row],[Material]],'COGS Break up'!#REF!,'MIS Working'!$AP$1)</f>
        <v>#REF!</v>
      </c>
      <c r="AQ197" s="72" t="e">
        <f>SUMIFS('COGS Break up'!#REF!,'COGS Break up'!#REF!,Sales4[[#This Row],[Material]],'COGS Break up'!#REF!,'MIS Working'!$AQ$1)</f>
        <v>#REF!</v>
      </c>
      <c r="AR197" s="72">
        <f>Sales4[[#This Row],[Droppage per unit]]</f>
        <v>0</v>
      </c>
      <c r="AS197" s="15" t="e">
        <f>AO197*Sales4[[#This Row],[Billed Quantity]]</f>
        <v>#REF!</v>
      </c>
      <c r="AT197" s="72" t="e">
        <f>AP197*Sales4[[#This Row],[Billed Quantity]]</f>
        <v>#REF!</v>
      </c>
      <c r="AU197" s="72" t="e">
        <f>AQ197*Sales4[[#This Row],[Billed Quantity]]</f>
        <v>#REF!</v>
      </c>
      <c r="AV197" s="72">
        <f>AR197*Sales4[[#This Row],[Billed Quantity]]</f>
        <v>0</v>
      </c>
    </row>
    <row r="198" spans="1:48" x14ac:dyDescent="0.3">
      <c r="A198" s="1" t="s">
        <v>479</v>
      </c>
      <c r="B198" s="2">
        <v>45913</v>
      </c>
      <c r="C198" s="1">
        <v>3271270112</v>
      </c>
      <c r="D198" s="1" t="s">
        <v>1405</v>
      </c>
      <c r="E198" s="1" t="s">
        <v>1406</v>
      </c>
      <c r="F198" s="1" t="s">
        <v>18</v>
      </c>
      <c r="G198" s="1" t="s">
        <v>48</v>
      </c>
      <c r="H198" s="1" t="s">
        <v>198</v>
      </c>
      <c r="I198" s="3">
        <v>4500</v>
      </c>
      <c r="J198" s="4">
        <v>5625</v>
      </c>
      <c r="K198" s="3">
        <v>4500</v>
      </c>
      <c r="L198" s="3">
        <v>4500</v>
      </c>
      <c r="M198" s="2">
        <v>45913</v>
      </c>
      <c r="N198" s="4">
        <v>5625</v>
      </c>
      <c r="O198" s="1" t="s">
        <v>21</v>
      </c>
      <c r="P198" s="1" t="s">
        <v>22</v>
      </c>
      <c r="Q198" s="1">
        <v>1</v>
      </c>
      <c r="R198" s="1" t="str">
        <f>VLOOKUP(Sales4[[#This Row],[Material type]],Master!$H$3:$I$8,2,0)</f>
        <v>Raw Material</v>
      </c>
      <c r="S198" s="1" t="str">
        <f>VLOOKUP(Sales4[[#This Row],[Material Group]],Master!B:C,2,0)</f>
        <v>RM-Eletro-Capacitor</v>
      </c>
      <c r="T198" s="1" t="str">
        <f>VLOOKUP(Sales4[[#This Row],[Material Group Descrip]],Master!E:F,2,0)</f>
        <v>Raw Material</v>
      </c>
      <c r="U198" s="9" t="b">
        <f ca="1">(TODAY()-1)=Sales4[[#This Row],[Billing Date]]</f>
        <v>0</v>
      </c>
      <c r="V198" s="10" t="e">
        <f>Sales4[[#This Row],[Net Value]]-Sales4[[#This Row],[PGI COST]]</f>
        <v>#REF!</v>
      </c>
      <c r="W198" s="11" t="e">
        <f>Sales4[[#This Row],[Gross Margin]]/Sales4[[#This Row],[Net Value]]</f>
        <v>#REF!</v>
      </c>
      <c r="X198" s="1" t="str">
        <f>TEXT(Sales4[[#This Row],[Billing Date]],"mmmm-yy")</f>
        <v>September-25</v>
      </c>
      <c r="Y198" s="1">
        <f>Sales4[[#This Row],[Net Value]]/Sales4[[#This Row],[Billed Quantity]]</f>
        <v>1.25</v>
      </c>
      <c r="Z198" s="117">
        <f>Sales4[[#This Row],[Actual delivery qty]]</f>
        <v>4500</v>
      </c>
      <c r="AA198" s="12" t="e">
        <f>SUM(Sales4[[#This Row],[BOM Cost]:[Other Conversion cost pu]])</f>
        <v>#REF!</v>
      </c>
      <c r="AB19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9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98" s="12">
        <f>IFERROR(VLOOKUP(Sales4[[#This Row],[Material]],'COGS Break up'!#REF!,5,0),0)</f>
        <v>0</v>
      </c>
      <c r="AE19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98" s="48" t="e">
        <f>Sales4[[#This Row],[PGI per unit]]-Sales4[[#This Row],[BOM Cost]]-Sales4[[#This Row],[Labour cost per unit]]-Sales4[[#This Row],[Other Conversion cost pu]]</f>
        <v>#REF!</v>
      </c>
      <c r="AG198" s="48" t="e">
        <f>Sales4[[#This Row],[BOM Cost2]]+Sales4[[#This Row],[Labour Cost]]+Sales4[[#This Row],[Other conversion cost]]</f>
        <v>#REF!</v>
      </c>
      <c r="AH198" s="12" t="e">
        <f>Sales4[[#This Row],[Billed Quantity]]*Sales4[[#This Row],[BOM Cost]]</f>
        <v>#REF!</v>
      </c>
      <c r="AI198" s="12" t="e">
        <f>Sales4[[#This Row],[Billed Quantity]]*Sales4[[#This Row],[Labour cost per unit]]</f>
        <v>#REF!</v>
      </c>
      <c r="AJ198" s="12">
        <f>Sales4[[#This Row],[Droppage per unit]]*Sales4[[#This Row],[Billed Quantity]]</f>
        <v>0</v>
      </c>
      <c r="AK198" s="12" t="e">
        <f>Sales4[[#This Row],[Billed Quantity]]*Sales4[[#This Row],[Other Conversion cost pu]]</f>
        <v>#REF!</v>
      </c>
      <c r="AL198" s="48" t="e">
        <f>Sales4[[#This Row],[PGI Amount]]-Sales4[[#This Row],[BOM Cost2]]-Sales4[[#This Row],[Labour Cost]]-Sales4[[#This Row],[Other conversion cost]]</f>
        <v>#REF!</v>
      </c>
      <c r="AM198" s="121" t="e">
        <f>1-Sales4[[#This Row],[PGI COST]]/Sales4[[#This Row],[Net Value]]</f>
        <v>#REF!</v>
      </c>
      <c r="AN198" s="1">
        <f>Sales4[[#This Row],[PGI Amount]]/Sales4[[#This Row],[Billed Quantity]]</f>
        <v>1.25</v>
      </c>
      <c r="AO198" s="72" t="e">
        <f>SUMIFS('COGS Break up'!#REF!,'COGS Break up'!#REF!,Sales4[[#This Row],[Material]],'COGS Break up'!#REF!,'MIS Working'!$AO$1)</f>
        <v>#REF!</v>
      </c>
      <c r="AP198" s="72" t="e">
        <f>SUMIFS('COGS Break up'!#REF!,'COGS Break up'!#REF!,Sales4[[#This Row],[Material]],'COGS Break up'!#REF!,'MIS Working'!$AP$1)</f>
        <v>#REF!</v>
      </c>
      <c r="AQ198" s="72" t="e">
        <f>SUMIFS('COGS Break up'!#REF!,'COGS Break up'!#REF!,Sales4[[#This Row],[Material]],'COGS Break up'!#REF!,'MIS Working'!$AQ$1)</f>
        <v>#REF!</v>
      </c>
      <c r="AR198" s="72">
        <f>Sales4[[#This Row],[Droppage per unit]]</f>
        <v>0</v>
      </c>
      <c r="AS198" s="15" t="e">
        <f>AO198*Sales4[[#This Row],[Billed Quantity]]</f>
        <v>#REF!</v>
      </c>
      <c r="AT198" s="72" t="e">
        <f>AP198*Sales4[[#This Row],[Billed Quantity]]</f>
        <v>#REF!</v>
      </c>
      <c r="AU198" s="72" t="e">
        <f>AQ198*Sales4[[#This Row],[Billed Quantity]]</f>
        <v>#REF!</v>
      </c>
      <c r="AV198" s="72">
        <f>AR198*Sales4[[#This Row],[Billed Quantity]]</f>
        <v>0</v>
      </c>
    </row>
    <row r="199" spans="1:48" x14ac:dyDescent="0.3">
      <c r="A199" s="1" t="s">
        <v>479</v>
      </c>
      <c r="B199" s="2">
        <v>45913</v>
      </c>
      <c r="C199" s="1">
        <v>3271270112</v>
      </c>
      <c r="D199" s="1" t="s">
        <v>1407</v>
      </c>
      <c r="E199" s="1" t="s">
        <v>1408</v>
      </c>
      <c r="F199" s="1" t="s">
        <v>18</v>
      </c>
      <c r="G199" s="1" t="s">
        <v>48</v>
      </c>
      <c r="H199" s="1" t="s">
        <v>204</v>
      </c>
      <c r="I199" s="3">
        <v>10000</v>
      </c>
      <c r="J199" s="4">
        <v>19500</v>
      </c>
      <c r="K199" s="3">
        <v>10000</v>
      </c>
      <c r="L199" s="3">
        <v>10000</v>
      </c>
      <c r="M199" s="2">
        <v>45913</v>
      </c>
      <c r="N199" s="4">
        <v>19500</v>
      </c>
      <c r="O199" s="1" t="s">
        <v>21</v>
      </c>
      <c r="P199" s="1" t="s">
        <v>22</v>
      </c>
      <c r="Q199" s="1">
        <v>1</v>
      </c>
      <c r="R199" s="1" t="str">
        <f>VLOOKUP(Sales4[[#This Row],[Material type]],Master!$H$3:$I$8,2,0)</f>
        <v>Raw Material</v>
      </c>
      <c r="S199" s="1" t="str">
        <f>VLOOKUP(Sales4[[#This Row],[Material Group]],Master!B:C,2,0)</f>
        <v>RM-Eletro-Resistor</v>
      </c>
      <c r="T199" s="1" t="str">
        <f>VLOOKUP(Sales4[[#This Row],[Material Group Descrip]],Master!E:F,2,0)</f>
        <v>Raw Material</v>
      </c>
      <c r="U199" s="9" t="b">
        <f ca="1">(TODAY()-1)=Sales4[[#This Row],[Billing Date]]</f>
        <v>0</v>
      </c>
      <c r="V199" s="10" t="e">
        <f>Sales4[[#This Row],[Net Value]]-Sales4[[#This Row],[PGI COST]]</f>
        <v>#REF!</v>
      </c>
      <c r="W199" s="11" t="e">
        <f>Sales4[[#This Row],[Gross Margin]]/Sales4[[#This Row],[Net Value]]</f>
        <v>#REF!</v>
      </c>
      <c r="X199" s="1" t="str">
        <f>TEXT(Sales4[[#This Row],[Billing Date]],"mmmm-yy")</f>
        <v>September-25</v>
      </c>
      <c r="Y199" s="1">
        <f>Sales4[[#This Row],[Net Value]]/Sales4[[#This Row],[Billed Quantity]]</f>
        <v>1.95</v>
      </c>
      <c r="Z199" s="117">
        <f>Sales4[[#This Row],[Actual delivery qty]]</f>
        <v>10000</v>
      </c>
      <c r="AA199" s="12" t="e">
        <f>SUM(Sales4[[#This Row],[BOM Cost]:[Other Conversion cost pu]])</f>
        <v>#REF!</v>
      </c>
      <c r="AB19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19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199" s="12">
        <f>IFERROR(VLOOKUP(Sales4[[#This Row],[Material]],'COGS Break up'!#REF!,5,0),0)</f>
        <v>0</v>
      </c>
      <c r="AE19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199" s="48" t="e">
        <f>Sales4[[#This Row],[PGI per unit]]-Sales4[[#This Row],[BOM Cost]]-Sales4[[#This Row],[Labour cost per unit]]-Sales4[[#This Row],[Other Conversion cost pu]]</f>
        <v>#REF!</v>
      </c>
      <c r="AG199" s="48" t="e">
        <f>Sales4[[#This Row],[BOM Cost2]]+Sales4[[#This Row],[Labour Cost]]+Sales4[[#This Row],[Other conversion cost]]</f>
        <v>#REF!</v>
      </c>
      <c r="AH199" s="12" t="e">
        <f>Sales4[[#This Row],[Billed Quantity]]*Sales4[[#This Row],[BOM Cost]]</f>
        <v>#REF!</v>
      </c>
      <c r="AI199" s="12" t="e">
        <f>Sales4[[#This Row],[Billed Quantity]]*Sales4[[#This Row],[Labour cost per unit]]</f>
        <v>#REF!</v>
      </c>
      <c r="AJ199" s="12">
        <f>Sales4[[#This Row],[Droppage per unit]]*Sales4[[#This Row],[Billed Quantity]]</f>
        <v>0</v>
      </c>
      <c r="AK199" s="12" t="e">
        <f>Sales4[[#This Row],[Billed Quantity]]*Sales4[[#This Row],[Other Conversion cost pu]]</f>
        <v>#REF!</v>
      </c>
      <c r="AL199" s="48" t="e">
        <f>Sales4[[#This Row],[PGI Amount]]-Sales4[[#This Row],[BOM Cost2]]-Sales4[[#This Row],[Labour Cost]]-Sales4[[#This Row],[Other conversion cost]]</f>
        <v>#REF!</v>
      </c>
      <c r="AM199" s="121" t="e">
        <f>1-Sales4[[#This Row],[PGI COST]]/Sales4[[#This Row],[Net Value]]</f>
        <v>#REF!</v>
      </c>
      <c r="AN199" s="1">
        <f>Sales4[[#This Row],[PGI Amount]]/Sales4[[#This Row],[Billed Quantity]]</f>
        <v>1.95</v>
      </c>
      <c r="AO199" s="72" t="e">
        <f>SUMIFS('COGS Break up'!#REF!,'COGS Break up'!#REF!,Sales4[[#This Row],[Material]],'COGS Break up'!#REF!,'MIS Working'!$AO$1)</f>
        <v>#REF!</v>
      </c>
      <c r="AP199" s="72" t="e">
        <f>SUMIFS('COGS Break up'!#REF!,'COGS Break up'!#REF!,Sales4[[#This Row],[Material]],'COGS Break up'!#REF!,'MIS Working'!$AP$1)</f>
        <v>#REF!</v>
      </c>
      <c r="AQ199" s="72" t="e">
        <f>SUMIFS('COGS Break up'!#REF!,'COGS Break up'!#REF!,Sales4[[#This Row],[Material]],'COGS Break up'!#REF!,'MIS Working'!$AQ$1)</f>
        <v>#REF!</v>
      </c>
      <c r="AR199" s="72">
        <f>Sales4[[#This Row],[Droppage per unit]]</f>
        <v>0</v>
      </c>
      <c r="AS199" s="15" t="e">
        <f>AO199*Sales4[[#This Row],[Billed Quantity]]</f>
        <v>#REF!</v>
      </c>
      <c r="AT199" s="72" t="e">
        <f>AP199*Sales4[[#This Row],[Billed Quantity]]</f>
        <v>#REF!</v>
      </c>
      <c r="AU199" s="72" t="e">
        <f>AQ199*Sales4[[#This Row],[Billed Quantity]]</f>
        <v>#REF!</v>
      </c>
      <c r="AV199" s="72">
        <f>AR199*Sales4[[#This Row],[Billed Quantity]]</f>
        <v>0</v>
      </c>
    </row>
    <row r="200" spans="1:48" x14ac:dyDescent="0.3">
      <c r="A200" s="1" t="s">
        <v>479</v>
      </c>
      <c r="B200" s="2">
        <v>45913</v>
      </c>
      <c r="C200" s="1">
        <v>3271270112</v>
      </c>
      <c r="D200" s="1" t="s">
        <v>1409</v>
      </c>
      <c r="E200" s="1" t="s">
        <v>1410</v>
      </c>
      <c r="F200" s="1" t="s">
        <v>18</v>
      </c>
      <c r="G200" s="1" t="s">
        <v>48</v>
      </c>
      <c r="H200" s="1" t="s">
        <v>202</v>
      </c>
      <c r="I200" s="3">
        <v>10000</v>
      </c>
      <c r="J200" s="4">
        <v>124164.76</v>
      </c>
      <c r="K200" s="3">
        <v>10000</v>
      </c>
      <c r="L200" s="3">
        <v>10000</v>
      </c>
      <c r="M200" s="2">
        <v>45913</v>
      </c>
      <c r="N200" s="4">
        <v>123100</v>
      </c>
      <c r="O200" s="1" t="s">
        <v>21</v>
      </c>
      <c r="P200" s="1" t="s">
        <v>22</v>
      </c>
      <c r="Q200" s="1">
        <v>1</v>
      </c>
      <c r="R200" s="1" t="str">
        <f>VLOOKUP(Sales4[[#This Row],[Material type]],Master!$H$3:$I$8,2,0)</f>
        <v>Raw Material</v>
      </c>
      <c r="S200" s="1" t="str">
        <f>VLOOKUP(Sales4[[#This Row],[Material Group]],Master!B:C,2,0)</f>
        <v>RM-Eletro-IC</v>
      </c>
      <c r="T200" s="1" t="str">
        <f>VLOOKUP(Sales4[[#This Row],[Material Group Descrip]],Master!E:F,2,0)</f>
        <v>Raw Material</v>
      </c>
      <c r="U200" s="9" t="b">
        <f ca="1">(TODAY()-1)=Sales4[[#This Row],[Billing Date]]</f>
        <v>0</v>
      </c>
      <c r="V200" s="10" t="e">
        <f>Sales4[[#This Row],[Net Value]]-Sales4[[#This Row],[PGI COST]]</f>
        <v>#REF!</v>
      </c>
      <c r="W200" s="11" t="e">
        <f>Sales4[[#This Row],[Gross Margin]]/Sales4[[#This Row],[Net Value]]</f>
        <v>#REF!</v>
      </c>
      <c r="X200" s="1" t="str">
        <f>TEXT(Sales4[[#This Row],[Billing Date]],"mmmm-yy")</f>
        <v>September-25</v>
      </c>
      <c r="Y200" s="1">
        <f>Sales4[[#This Row],[Net Value]]/Sales4[[#This Row],[Billed Quantity]]</f>
        <v>12.31</v>
      </c>
      <c r="Z200" s="117">
        <f>Sales4[[#This Row],[Actual delivery qty]]</f>
        <v>10000</v>
      </c>
      <c r="AA200" s="12" t="e">
        <f>SUM(Sales4[[#This Row],[BOM Cost]:[Other Conversion cost pu]])</f>
        <v>#REF!</v>
      </c>
      <c r="AB20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0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00" s="12">
        <f>IFERROR(VLOOKUP(Sales4[[#This Row],[Material]],'COGS Break up'!#REF!,5,0),0)</f>
        <v>0</v>
      </c>
      <c r="AE20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00" s="48" t="e">
        <f>Sales4[[#This Row],[PGI per unit]]-Sales4[[#This Row],[BOM Cost]]-Sales4[[#This Row],[Labour cost per unit]]-Sales4[[#This Row],[Other Conversion cost pu]]</f>
        <v>#REF!</v>
      </c>
      <c r="AG200" s="48" t="e">
        <f>Sales4[[#This Row],[BOM Cost2]]+Sales4[[#This Row],[Labour Cost]]+Sales4[[#This Row],[Other conversion cost]]</f>
        <v>#REF!</v>
      </c>
      <c r="AH200" s="12" t="e">
        <f>Sales4[[#This Row],[Billed Quantity]]*Sales4[[#This Row],[BOM Cost]]</f>
        <v>#REF!</v>
      </c>
      <c r="AI200" s="12" t="e">
        <f>Sales4[[#This Row],[Billed Quantity]]*Sales4[[#This Row],[Labour cost per unit]]</f>
        <v>#REF!</v>
      </c>
      <c r="AJ200" s="12">
        <f>Sales4[[#This Row],[Droppage per unit]]*Sales4[[#This Row],[Billed Quantity]]</f>
        <v>0</v>
      </c>
      <c r="AK200" s="12" t="e">
        <f>Sales4[[#This Row],[Billed Quantity]]*Sales4[[#This Row],[Other Conversion cost pu]]</f>
        <v>#REF!</v>
      </c>
      <c r="AL200" s="48" t="e">
        <f>Sales4[[#This Row],[PGI Amount]]-Sales4[[#This Row],[BOM Cost2]]-Sales4[[#This Row],[Labour Cost]]-Sales4[[#This Row],[Other conversion cost]]</f>
        <v>#REF!</v>
      </c>
      <c r="AM200" s="121" t="e">
        <f>1-Sales4[[#This Row],[PGI COST]]/Sales4[[#This Row],[Net Value]]</f>
        <v>#REF!</v>
      </c>
      <c r="AN200" s="1">
        <f>Sales4[[#This Row],[PGI Amount]]/Sales4[[#This Row],[Billed Quantity]]</f>
        <v>12.416475999999999</v>
      </c>
      <c r="AO200" s="72" t="e">
        <f>SUMIFS('COGS Break up'!#REF!,'COGS Break up'!#REF!,Sales4[[#This Row],[Material]],'COGS Break up'!#REF!,'MIS Working'!$AO$1)</f>
        <v>#REF!</v>
      </c>
      <c r="AP200" s="72" t="e">
        <f>SUMIFS('COGS Break up'!#REF!,'COGS Break up'!#REF!,Sales4[[#This Row],[Material]],'COGS Break up'!#REF!,'MIS Working'!$AP$1)</f>
        <v>#REF!</v>
      </c>
      <c r="AQ200" s="72" t="e">
        <f>SUMIFS('COGS Break up'!#REF!,'COGS Break up'!#REF!,Sales4[[#This Row],[Material]],'COGS Break up'!#REF!,'MIS Working'!$AQ$1)</f>
        <v>#REF!</v>
      </c>
      <c r="AR200" s="72">
        <f>Sales4[[#This Row],[Droppage per unit]]</f>
        <v>0</v>
      </c>
      <c r="AS200" s="15" t="e">
        <f>AO200*Sales4[[#This Row],[Billed Quantity]]</f>
        <v>#REF!</v>
      </c>
      <c r="AT200" s="72" t="e">
        <f>AP200*Sales4[[#This Row],[Billed Quantity]]</f>
        <v>#REF!</v>
      </c>
      <c r="AU200" s="72" t="e">
        <f>AQ200*Sales4[[#This Row],[Billed Quantity]]</f>
        <v>#REF!</v>
      </c>
      <c r="AV200" s="72">
        <f>AR200*Sales4[[#This Row],[Billed Quantity]]</f>
        <v>0</v>
      </c>
    </row>
    <row r="201" spans="1:48" x14ac:dyDescent="0.3">
      <c r="A201" s="1" t="s">
        <v>479</v>
      </c>
      <c r="B201" s="2">
        <v>45913</v>
      </c>
      <c r="C201" s="1">
        <v>3271270112</v>
      </c>
      <c r="D201" s="1" t="s">
        <v>1411</v>
      </c>
      <c r="E201" s="1" t="s">
        <v>1412</v>
      </c>
      <c r="F201" s="1" t="s">
        <v>18</v>
      </c>
      <c r="G201" s="1" t="s">
        <v>48</v>
      </c>
      <c r="H201" s="1" t="s">
        <v>198</v>
      </c>
      <c r="I201" s="3">
        <v>12000</v>
      </c>
      <c r="J201" s="4">
        <v>1800</v>
      </c>
      <c r="K201" s="3">
        <v>12000</v>
      </c>
      <c r="L201" s="3">
        <v>12000</v>
      </c>
      <c r="M201" s="2">
        <v>45913</v>
      </c>
      <c r="N201" s="4">
        <v>1800</v>
      </c>
      <c r="O201" s="1" t="s">
        <v>21</v>
      </c>
      <c r="P201" s="1" t="s">
        <v>22</v>
      </c>
      <c r="Q201" s="1">
        <v>1</v>
      </c>
      <c r="R201" s="1" t="str">
        <f>VLOOKUP(Sales4[[#This Row],[Material type]],Master!$H$3:$I$8,2,0)</f>
        <v>Raw Material</v>
      </c>
      <c r="S201" s="1" t="str">
        <f>VLOOKUP(Sales4[[#This Row],[Material Group]],Master!B:C,2,0)</f>
        <v>RM-Eletro-Capacitor</v>
      </c>
      <c r="T201" s="1" t="str">
        <f>VLOOKUP(Sales4[[#This Row],[Material Group Descrip]],Master!E:F,2,0)</f>
        <v>Raw Material</v>
      </c>
      <c r="U201" s="9" t="b">
        <f ca="1">(TODAY()-1)=Sales4[[#This Row],[Billing Date]]</f>
        <v>0</v>
      </c>
      <c r="V201" s="10" t="e">
        <f>Sales4[[#This Row],[Net Value]]-Sales4[[#This Row],[PGI COST]]</f>
        <v>#REF!</v>
      </c>
      <c r="W201" s="11" t="e">
        <f>Sales4[[#This Row],[Gross Margin]]/Sales4[[#This Row],[Net Value]]</f>
        <v>#REF!</v>
      </c>
      <c r="X201" s="1" t="str">
        <f>TEXT(Sales4[[#This Row],[Billing Date]],"mmmm-yy")</f>
        <v>September-25</v>
      </c>
      <c r="Y201" s="1">
        <f>Sales4[[#This Row],[Net Value]]/Sales4[[#This Row],[Billed Quantity]]</f>
        <v>0.15</v>
      </c>
      <c r="Z201" s="117">
        <f>Sales4[[#This Row],[Actual delivery qty]]</f>
        <v>12000</v>
      </c>
      <c r="AA201" s="12" t="e">
        <f>SUM(Sales4[[#This Row],[BOM Cost]:[Other Conversion cost pu]])</f>
        <v>#REF!</v>
      </c>
      <c r="AB20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0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01" s="12">
        <f>IFERROR(VLOOKUP(Sales4[[#This Row],[Material]],'COGS Break up'!#REF!,5,0),0)</f>
        <v>0</v>
      </c>
      <c r="AE20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01" s="48" t="e">
        <f>Sales4[[#This Row],[PGI per unit]]-Sales4[[#This Row],[BOM Cost]]-Sales4[[#This Row],[Labour cost per unit]]-Sales4[[#This Row],[Other Conversion cost pu]]</f>
        <v>#REF!</v>
      </c>
      <c r="AG201" s="48" t="e">
        <f>Sales4[[#This Row],[BOM Cost2]]+Sales4[[#This Row],[Labour Cost]]+Sales4[[#This Row],[Other conversion cost]]</f>
        <v>#REF!</v>
      </c>
      <c r="AH201" s="12" t="e">
        <f>Sales4[[#This Row],[Billed Quantity]]*Sales4[[#This Row],[BOM Cost]]</f>
        <v>#REF!</v>
      </c>
      <c r="AI201" s="12" t="e">
        <f>Sales4[[#This Row],[Billed Quantity]]*Sales4[[#This Row],[Labour cost per unit]]</f>
        <v>#REF!</v>
      </c>
      <c r="AJ201" s="12">
        <f>Sales4[[#This Row],[Droppage per unit]]*Sales4[[#This Row],[Billed Quantity]]</f>
        <v>0</v>
      </c>
      <c r="AK201" s="12" t="e">
        <f>Sales4[[#This Row],[Billed Quantity]]*Sales4[[#This Row],[Other Conversion cost pu]]</f>
        <v>#REF!</v>
      </c>
      <c r="AL201" s="48" t="e">
        <f>Sales4[[#This Row],[PGI Amount]]-Sales4[[#This Row],[BOM Cost2]]-Sales4[[#This Row],[Labour Cost]]-Sales4[[#This Row],[Other conversion cost]]</f>
        <v>#REF!</v>
      </c>
      <c r="AM201" s="121" t="e">
        <f>1-Sales4[[#This Row],[PGI COST]]/Sales4[[#This Row],[Net Value]]</f>
        <v>#REF!</v>
      </c>
      <c r="AN201" s="1">
        <f>Sales4[[#This Row],[PGI Amount]]/Sales4[[#This Row],[Billed Quantity]]</f>
        <v>0.15</v>
      </c>
      <c r="AO201" s="72" t="e">
        <f>SUMIFS('COGS Break up'!#REF!,'COGS Break up'!#REF!,Sales4[[#This Row],[Material]],'COGS Break up'!#REF!,'MIS Working'!$AO$1)</f>
        <v>#REF!</v>
      </c>
      <c r="AP201" s="72" t="e">
        <f>SUMIFS('COGS Break up'!#REF!,'COGS Break up'!#REF!,Sales4[[#This Row],[Material]],'COGS Break up'!#REF!,'MIS Working'!$AP$1)</f>
        <v>#REF!</v>
      </c>
      <c r="AQ201" s="72" t="e">
        <f>SUMIFS('COGS Break up'!#REF!,'COGS Break up'!#REF!,Sales4[[#This Row],[Material]],'COGS Break up'!#REF!,'MIS Working'!$AQ$1)</f>
        <v>#REF!</v>
      </c>
      <c r="AR201" s="72">
        <f>Sales4[[#This Row],[Droppage per unit]]</f>
        <v>0</v>
      </c>
      <c r="AS201" s="15" t="e">
        <f>AO201*Sales4[[#This Row],[Billed Quantity]]</f>
        <v>#REF!</v>
      </c>
      <c r="AT201" s="72" t="e">
        <f>AP201*Sales4[[#This Row],[Billed Quantity]]</f>
        <v>#REF!</v>
      </c>
      <c r="AU201" s="72" t="e">
        <f>AQ201*Sales4[[#This Row],[Billed Quantity]]</f>
        <v>#REF!</v>
      </c>
      <c r="AV201" s="72">
        <f>AR201*Sales4[[#This Row],[Billed Quantity]]</f>
        <v>0</v>
      </c>
    </row>
    <row r="202" spans="1:48" x14ac:dyDescent="0.3">
      <c r="A202" s="1" t="s">
        <v>479</v>
      </c>
      <c r="B202" s="2">
        <v>45913</v>
      </c>
      <c r="C202" s="1">
        <v>3271270112</v>
      </c>
      <c r="D202" s="1" t="s">
        <v>1413</v>
      </c>
      <c r="E202" s="1" t="s">
        <v>1414</v>
      </c>
      <c r="F202" s="1" t="s">
        <v>18</v>
      </c>
      <c r="G202" s="1" t="s">
        <v>48</v>
      </c>
      <c r="H202" s="1" t="s">
        <v>204</v>
      </c>
      <c r="I202" s="3">
        <v>8000</v>
      </c>
      <c r="J202" s="4">
        <v>448</v>
      </c>
      <c r="K202" s="3">
        <v>8000</v>
      </c>
      <c r="L202" s="3">
        <v>8000</v>
      </c>
      <c r="M202" s="2">
        <v>45913</v>
      </c>
      <c r="N202" s="4">
        <v>480</v>
      </c>
      <c r="O202" s="1" t="s">
        <v>21</v>
      </c>
      <c r="P202" s="1" t="s">
        <v>22</v>
      </c>
      <c r="Q202" s="1">
        <v>1</v>
      </c>
      <c r="R202" s="1" t="str">
        <f>VLOOKUP(Sales4[[#This Row],[Material type]],Master!$H$3:$I$8,2,0)</f>
        <v>Raw Material</v>
      </c>
      <c r="S202" s="1" t="str">
        <f>VLOOKUP(Sales4[[#This Row],[Material Group]],Master!B:C,2,0)</f>
        <v>RM-Eletro-Resistor</v>
      </c>
      <c r="T202" s="1" t="str">
        <f>VLOOKUP(Sales4[[#This Row],[Material Group Descrip]],Master!E:F,2,0)</f>
        <v>Raw Material</v>
      </c>
      <c r="U202" s="9" t="b">
        <f ca="1">(TODAY()-1)=Sales4[[#This Row],[Billing Date]]</f>
        <v>0</v>
      </c>
      <c r="V202" s="10" t="e">
        <f>Sales4[[#This Row],[Net Value]]-Sales4[[#This Row],[PGI COST]]</f>
        <v>#REF!</v>
      </c>
      <c r="W202" s="11" t="e">
        <f>Sales4[[#This Row],[Gross Margin]]/Sales4[[#This Row],[Net Value]]</f>
        <v>#REF!</v>
      </c>
      <c r="X202" s="1" t="str">
        <f>TEXT(Sales4[[#This Row],[Billing Date]],"mmmm-yy")</f>
        <v>September-25</v>
      </c>
      <c r="Y202" s="1">
        <f>Sales4[[#This Row],[Net Value]]/Sales4[[#This Row],[Billed Quantity]]</f>
        <v>0.06</v>
      </c>
      <c r="Z202" s="117">
        <f>Sales4[[#This Row],[Actual delivery qty]]</f>
        <v>8000</v>
      </c>
      <c r="AA202" s="12" t="e">
        <f>SUM(Sales4[[#This Row],[BOM Cost]:[Other Conversion cost pu]])</f>
        <v>#REF!</v>
      </c>
      <c r="AB20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0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02" s="12">
        <f>IFERROR(VLOOKUP(Sales4[[#This Row],[Material]],'COGS Break up'!#REF!,5,0),0)</f>
        <v>0</v>
      </c>
      <c r="AE20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02" s="48" t="e">
        <f>Sales4[[#This Row],[PGI per unit]]-Sales4[[#This Row],[BOM Cost]]-Sales4[[#This Row],[Labour cost per unit]]-Sales4[[#This Row],[Other Conversion cost pu]]</f>
        <v>#REF!</v>
      </c>
      <c r="AG202" s="48" t="e">
        <f>Sales4[[#This Row],[BOM Cost2]]+Sales4[[#This Row],[Labour Cost]]+Sales4[[#This Row],[Other conversion cost]]</f>
        <v>#REF!</v>
      </c>
      <c r="AH202" s="12" t="e">
        <f>Sales4[[#This Row],[Billed Quantity]]*Sales4[[#This Row],[BOM Cost]]</f>
        <v>#REF!</v>
      </c>
      <c r="AI202" s="12" t="e">
        <f>Sales4[[#This Row],[Billed Quantity]]*Sales4[[#This Row],[Labour cost per unit]]</f>
        <v>#REF!</v>
      </c>
      <c r="AJ202" s="12">
        <f>Sales4[[#This Row],[Droppage per unit]]*Sales4[[#This Row],[Billed Quantity]]</f>
        <v>0</v>
      </c>
      <c r="AK202" s="12" t="e">
        <f>Sales4[[#This Row],[Billed Quantity]]*Sales4[[#This Row],[Other Conversion cost pu]]</f>
        <v>#REF!</v>
      </c>
      <c r="AL202" s="48" t="e">
        <f>Sales4[[#This Row],[PGI Amount]]-Sales4[[#This Row],[BOM Cost2]]-Sales4[[#This Row],[Labour Cost]]-Sales4[[#This Row],[Other conversion cost]]</f>
        <v>#REF!</v>
      </c>
      <c r="AM202" s="121" t="e">
        <f>1-Sales4[[#This Row],[PGI COST]]/Sales4[[#This Row],[Net Value]]</f>
        <v>#REF!</v>
      </c>
      <c r="AN202" s="1">
        <f>Sales4[[#This Row],[PGI Amount]]/Sales4[[#This Row],[Billed Quantity]]</f>
        <v>5.6000000000000001E-2</v>
      </c>
      <c r="AO202" s="72" t="e">
        <f>SUMIFS('COGS Break up'!#REF!,'COGS Break up'!#REF!,Sales4[[#This Row],[Material]],'COGS Break up'!#REF!,'MIS Working'!$AO$1)</f>
        <v>#REF!</v>
      </c>
      <c r="AP202" s="72" t="e">
        <f>SUMIFS('COGS Break up'!#REF!,'COGS Break up'!#REF!,Sales4[[#This Row],[Material]],'COGS Break up'!#REF!,'MIS Working'!$AP$1)</f>
        <v>#REF!</v>
      </c>
      <c r="AQ202" s="72" t="e">
        <f>SUMIFS('COGS Break up'!#REF!,'COGS Break up'!#REF!,Sales4[[#This Row],[Material]],'COGS Break up'!#REF!,'MIS Working'!$AQ$1)</f>
        <v>#REF!</v>
      </c>
      <c r="AR202" s="72">
        <f>Sales4[[#This Row],[Droppage per unit]]</f>
        <v>0</v>
      </c>
      <c r="AS202" s="15" t="e">
        <f>AO202*Sales4[[#This Row],[Billed Quantity]]</f>
        <v>#REF!</v>
      </c>
      <c r="AT202" s="72" t="e">
        <f>AP202*Sales4[[#This Row],[Billed Quantity]]</f>
        <v>#REF!</v>
      </c>
      <c r="AU202" s="72" t="e">
        <f>AQ202*Sales4[[#This Row],[Billed Quantity]]</f>
        <v>#REF!</v>
      </c>
      <c r="AV202" s="72">
        <f>AR202*Sales4[[#This Row],[Billed Quantity]]</f>
        <v>0</v>
      </c>
    </row>
    <row r="203" spans="1:48" x14ac:dyDescent="0.3">
      <c r="A203" s="1" t="s">
        <v>479</v>
      </c>
      <c r="B203" s="2">
        <v>45913</v>
      </c>
      <c r="C203" s="1">
        <v>3271270112</v>
      </c>
      <c r="D203" s="1" t="s">
        <v>1415</v>
      </c>
      <c r="E203" s="1" t="s">
        <v>1416</v>
      </c>
      <c r="F203" s="1" t="s">
        <v>18</v>
      </c>
      <c r="G203" s="1" t="s">
        <v>48</v>
      </c>
      <c r="H203" s="1" t="s">
        <v>204</v>
      </c>
      <c r="I203" s="3">
        <v>5000</v>
      </c>
      <c r="J203" s="4">
        <v>280</v>
      </c>
      <c r="K203" s="3">
        <v>5000</v>
      </c>
      <c r="L203" s="3">
        <v>5000</v>
      </c>
      <c r="M203" s="2">
        <v>45913</v>
      </c>
      <c r="N203" s="4">
        <v>300</v>
      </c>
      <c r="O203" s="1" t="s">
        <v>21</v>
      </c>
      <c r="P203" s="1" t="s">
        <v>22</v>
      </c>
      <c r="Q203" s="1">
        <v>1</v>
      </c>
      <c r="R203" s="1" t="str">
        <f>VLOOKUP(Sales4[[#This Row],[Material type]],Master!$H$3:$I$8,2,0)</f>
        <v>Raw Material</v>
      </c>
      <c r="S203" s="1" t="str">
        <f>VLOOKUP(Sales4[[#This Row],[Material Group]],Master!B:C,2,0)</f>
        <v>RM-Eletro-Resistor</v>
      </c>
      <c r="T203" s="1" t="str">
        <f>VLOOKUP(Sales4[[#This Row],[Material Group Descrip]],Master!E:F,2,0)</f>
        <v>Raw Material</v>
      </c>
      <c r="U203" s="9" t="b">
        <f ca="1">(TODAY()-1)=Sales4[[#This Row],[Billing Date]]</f>
        <v>0</v>
      </c>
      <c r="V203" s="10" t="e">
        <f>Sales4[[#This Row],[Net Value]]-Sales4[[#This Row],[PGI COST]]</f>
        <v>#REF!</v>
      </c>
      <c r="W203" s="11" t="e">
        <f>Sales4[[#This Row],[Gross Margin]]/Sales4[[#This Row],[Net Value]]</f>
        <v>#REF!</v>
      </c>
      <c r="X203" s="1" t="str">
        <f>TEXT(Sales4[[#This Row],[Billing Date]],"mmmm-yy")</f>
        <v>September-25</v>
      </c>
      <c r="Y203" s="1">
        <f>Sales4[[#This Row],[Net Value]]/Sales4[[#This Row],[Billed Quantity]]</f>
        <v>0.06</v>
      </c>
      <c r="Z203" s="117">
        <f>Sales4[[#This Row],[Actual delivery qty]]</f>
        <v>5000</v>
      </c>
      <c r="AA203" s="12" t="e">
        <f>SUM(Sales4[[#This Row],[BOM Cost]:[Other Conversion cost pu]])</f>
        <v>#REF!</v>
      </c>
      <c r="AB20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0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03" s="12">
        <f>IFERROR(VLOOKUP(Sales4[[#This Row],[Material]],'COGS Break up'!#REF!,5,0),0)</f>
        <v>0</v>
      </c>
      <c r="AE20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03" s="48" t="e">
        <f>Sales4[[#This Row],[PGI per unit]]-Sales4[[#This Row],[BOM Cost]]-Sales4[[#This Row],[Labour cost per unit]]-Sales4[[#This Row],[Other Conversion cost pu]]</f>
        <v>#REF!</v>
      </c>
      <c r="AG203" s="48" t="e">
        <f>Sales4[[#This Row],[BOM Cost2]]+Sales4[[#This Row],[Labour Cost]]+Sales4[[#This Row],[Other conversion cost]]</f>
        <v>#REF!</v>
      </c>
      <c r="AH203" s="12" t="e">
        <f>Sales4[[#This Row],[Billed Quantity]]*Sales4[[#This Row],[BOM Cost]]</f>
        <v>#REF!</v>
      </c>
      <c r="AI203" s="12" t="e">
        <f>Sales4[[#This Row],[Billed Quantity]]*Sales4[[#This Row],[Labour cost per unit]]</f>
        <v>#REF!</v>
      </c>
      <c r="AJ203" s="12">
        <f>Sales4[[#This Row],[Droppage per unit]]*Sales4[[#This Row],[Billed Quantity]]</f>
        <v>0</v>
      </c>
      <c r="AK203" s="12" t="e">
        <f>Sales4[[#This Row],[Billed Quantity]]*Sales4[[#This Row],[Other Conversion cost pu]]</f>
        <v>#REF!</v>
      </c>
      <c r="AL203" s="48" t="e">
        <f>Sales4[[#This Row],[PGI Amount]]-Sales4[[#This Row],[BOM Cost2]]-Sales4[[#This Row],[Labour Cost]]-Sales4[[#This Row],[Other conversion cost]]</f>
        <v>#REF!</v>
      </c>
      <c r="AM203" s="121" t="e">
        <f>1-Sales4[[#This Row],[PGI COST]]/Sales4[[#This Row],[Net Value]]</f>
        <v>#REF!</v>
      </c>
      <c r="AN203" s="1">
        <f>Sales4[[#This Row],[PGI Amount]]/Sales4[[#This Row],[Billed Quantity]]</f>
        <v>5.6000000000000001E-2</v>
      </c>
      <c r="AO203" s="72" t="e">
        <f>SUMIFS('COGS Break up'!#REF!,'COGS Break up'!#REF!,Sales4[[#This Row],[Material]],'COGS Break up'!#REF!,'MIS Working'!$AO$1)</f>
        <v>#REF!</v>
      </c>
      <c r="AP203" s="72" t="e">
        <f>SUMIFS('COGS Break up'!#REF!,'COGS Break up'!#REF!,Sales4[[#This Row],[Material]],'COGS Break up'!#REF!,'MIS Working'!$AP$1)</f>
        <v>#REF!</v>
      </c>
      <c r="AQ203" s="72" t="e">
        <f>SUMIFS('COGS Break up'!#REF!,'COGS Break up'!#REF!,Sales4[[#This Row],[Material]],'COGS Break up'!#REF!,'MIS Working'!$AQ$1)</f>
        <v>#REF!</v>
      </c>
      <c r="AR203" s="72">
        <f>Sales4[[#This Row],[Droppage per unit]]</f>
        <v>0</v>
      </c>
      <c r="AS203" s="15" t="e">
        <f>AO203*Sales4[[#This Row],[Billed Quantity]]</f>
        <v>#REF!</v>
      </c>
      <c r="AT203" s="72" t="e">
        <f>AP203*Sales4[[#This Row],[Billed Quantity]]</f>
        <v>#REF!</v>
      </c>
      <c r="AU203" s="72" t="e">
        <f>AQ203*Sales4[[#This Row],[Billed Quantity]]</f>
        <v>#REF!</v>
      </c>
      <c r="AV203" s="72">
        <f>AR203*Sales4[[#This Row],[Billed Quantity]]</f>
        <v>0</v>
      </c>
    </row>
    <row r="204" spans="1:48" x14ac:dyDescent="0.3">
      <c r="A204" s="1" t="s">
        <v>479</v>
      </c>
      <c r="B204" s="2">
        <v>45913</v>
      </c>
      <c r="C204" s="1">
        <v>3271270112</v>
      </c>
      <c r="D204" s="1" t="s">
        <v>1241</v>
      </c>
      <c r="E204" s="1" t="s">
        <v>1242</v>
      </c>
      <c r="F204" s="1" t="s">
        <v>18</v>
      </c>
      <c r="G204" s="1" t="s">
        <v>48</v>
      </c>
      <c r="H204" s="1" t="s">
        <v>204</v>
      </c>
      <c r="I204" s="3">
        <v>8000</v>
      </c>
      <c r="J204" s="4">
        <v>448</v>
      </c>
      <c r="K204" s="3">
        <v>8000</v>
      </c>
      <c r="L204" s="3">
        <v>8000</v>
      </c>
      <c r="M204" s="2">
        <v>45913</v>
      </c>
      <c r="N204" s="4">
        <v>480</v>
      </c>
      <c r="O204" s="1" t="s">
        <v>21</v>
      </c>
      <c r="P204" s="1" t="s">
        <v>22</v>
      </c>
      <c r="Q204" s="1">
        <v>1</v>
      </c>
      <c r="R204" s="1" t="str">
        <f>VLOOKUP(Sales4[[#This Row],[Material type]],Master!$H$3:$I$8,2,0)</f>
        <v>Raw Material</v>
      </c>
      <c r="S204" s="1" t="str">
        <f>VLOOKUP(Sales4[[#This Row],[Material Group]],Master!B:C,2,0)</f>
        <v>RM-Eletro-Resistor</v>
      </c>
      <c r="T204" s="1" t="str">
        <f>VLOOKUP(Sales4[[#This Row],[Material Group Descrip]],Master!E:F,2,0)</f>
        <v>Raw Material</v>
      </c>
      <c r="U204" s="9" t="b">
        <f ca="1">(TODAY()-1)=Sales4[[#This Row],[Billing Date]]</f>
        <v>0</v>
      </c>
      <c r="V204" s="10" t="e">
        <f>Sales4[[#This Row],[Net Value]]-Sales4[[#This Row],[PGI COST]]</f>
        <v>#REF!</v>
      </c>
      <c r="W204" s="11" t="e">
        <f>Sales4[[#This Row],[Gross Margin]]/Sales4[[#This Row],[Net Value]]</f>
        <v>#REF!</v>
      </c>
      <c r="X204" s="1" t="str">
        <f>TEXT(Sales4[[#This Row],[Billing Date]],"mmmm-yy")</f>
        <v>September-25</v>
      </c>
      <c r="Y204" s="1">
        <f>Sales4[[#This Row],[Net Value]]/Sales4[[#This Row],[Billed Quantity]]</f>
        <v>0.06</v>
      </c>
      <c r="Z204" s="117">
        <f>Sales4[[#This Row],[Actual delivery qty]]</f>
        <v>8000</v>
      </c>
      <c r="AA204" s="12" t="e">
        <f>SUM(Sales4[[#This Row],[BOM Cost]:[Other Conversion cost pu]])</f>
        <v>#REF!</v>
      </c>
      <c r="AB20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0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04" s="12">
        <f>IFERROR(VLOOKUP(Sales4[[#This Row],[Material]],'COGS Break up'!#REF!,5,0),0)</f>
        <v>0</v>
      </c>
      <c r="AE20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04" s="48" t="e">
        <f>Sales4[[#This Row],[PGI per unit]]-Sales4[[#This Row],[BOM Cost]]-Sales4[[#This Row],[Labour cost per unit]]-Sales4[[#This Row],[Other Conversion cost pu]]</f>
        <v>#REF!</v>
      </c>
      <c r="AG204" s="48" t="e">
        <f>Sales4[[#This Row],[BOM Cost2]]+Sales4[[#This Row],[Labour Cost]]+Sales4[[#This Row],[Other conversion cost]]</f>
        <v>#REF!</v>
      </c>
      <c r="AH204" s="12" t="e">
        <f>Sales4[[#This Row],[Billed Quantity]]*Sales4[[#This Row],[BOM Cost]]</f>
        <v>#REF!</v>
      </c>
      <c r="AI204" s="12" t="e">
        <f>Sales4[[#This Row],[Billed Quantity]]*Sales4[[#This Row],[Labour cost per unit]]</f>
        <v>#REF!</v>
      </c>
      <c r="AJ204" s="12">
        <f>Sales4[[#This Row],[Droppage per unit]]*Sales4[[#This Row],[Billed Quantity]]</f>
        <v>0</v>
      </c>
      <c r="AK204" s="12" t="e">
        <f>Sales4[[#This Row],[Billed Quantity]]*Sales4[[#This Row],[Other Conversion cost pu]]</f>
        <v>#REF!</v>
      </c>
      <c r="AL204" s="48" t="e">
        <f>Sales4[[#This Row],[PGI Amount]]-Sales4[[#This Row],[BOM Cost2]]-Sales4[[#This Row],[Labour Cost]]-Sales4[[#This Row],[Other conversion cost]]</f>
        <v>#REF!</v>
      </c>
      <c r="AM204" s="121" t="e">
        <f>1-Sales4[[#This Row],[PGI COST]]/Sales4[[#This Row],[Net Value]]</f>
        <v>#REF!</v>
      </c>
      <c r="AN204" s="1">
        <f>Sales4[[#This Row],[PGI Amount]]/Sales4[[#This Row],[Billed Quantity]]</f>
        <v>5.6000000000000001E-2</v>
      </c>
      <c r="AO204" s="72" t="e">
        <f>SUMIFS('COGS Break up'!#REF!,'COGS Break up'!#REF!,Sales4[[#This Row],[Material]],'COGS Break up'!#REF!,'MIS Working'!$AO$1)</f>
        <v>#REF!</v>
      </c>
      <c r="AP204" s="72" t="e">
        <f>SUMIFS('COGS Break up'!#REF!,'COGS Break up'!#REF!,Sales4[[#This Row],[Material]],'COGS Break up'!#REF!,'MIS Working'!$AP$1)</f>
        <v>#REF!</v>
      </c>
      <c r="AQ204" s="72" t="e">
        <f>SUMIFS('COGS Break up'!#REF!,'COGS Break up'!#REF!,Sales4[[#This Row],[Material]],'COGS Break up'!#REF!,'MIS Working'!$AQ$1)</f>
        <v>#REF!</v>
      </c>
      <c r="AR204" s="72">
        <f>Sales4[[#This Row],[Droppage per unit]]</f>
        <v>0</v>
      </c>
      <c r="AS204" s="15" t="e">
        <f>AO204*Sales4[[#This Row],[Billed Quantity]]</f>
        <v>#REF!</v>
      </c>
      <c r="AT204" s="72" t="e">
        <f>AP204*Sales4[[#This Row],[Billed Quantity]]</f>
        <v>#REF!</v>
      </c>
      <c r="AU204" s="72" t="e">
        <f>AQ204*Sales4[[#This Row],[Billed Quantity]]</f>
        <v>#REF!</v>
      </c>
      <c r="AV204" s="72">
        <f>AR204*Sales4[[#This Row],[Billed Quantity]]</f>
        <v>0</v>
      </c>
    </row>
    <row r="205" spans="1:48" x14ac:dyDescent="0.3">
      <c r="A205" s="1" t="s">
        <v>479</v>
      </c>
      <c r="B205" s="2">
        <v>45913</v>
      </c>
      <c r="C205" s="1">
        <v>3271270112</v>
      </c>
      <c r="D205" s="1" t="s">
        <v>1417</v>
      </c>
      <c r="E205" s="1" t="s">
        <v>1418</v>
      </c>
      <c r="F205" s="1" t="s">
        <v>18</v>
      </c>
      <c r="G205" s="1" t="s">
        <v>48</v>
      </c>
      <c r="H205" s="1" t="s">
        <v>168</v>
      </c>
      <c r="I205" s="3">
        <v>6000</v>
      </c>
      <c r="J205" s="4">
        <v>162840</v>
      </c>
      <c r="K205" s="3">
        <v>6000</v>
      </c>
      <c r="L205" s="3">
        <v>6000</v>
      </c>
      <c r="M205" s="2">
        <v>45913</v>
      </c>
      <c r="N205" s="4">
        <v>162840</v>
      </c>
      <c r="O205" s="1" t="s">
        <v>21</v>
      </c>
      <c r="P205" s="1" t="s">
        <v>22</v>
      </c>
      <c r="Q205" s="1">
        <v>1</v>
      </c>
      <c r="R205" s="1" t="str">
        <f>VLOOKUP(Sales4[[#This Row],[Material type]],Master!$H$3:$I$8,2,0)</f>
        <v>Raw Material</v>
      </c>
      <c r="S205" s="1" t="str">
        <f>VLOOKUP(Sales4[[#This Row],[Material Group]],Master!B:C,2,0)</f>
        <v>Raw Materials</v>
      </c>
      <c r="T205" s="1" t="str">
        <f>VLOOKUP(Sales4[[#This Row],[Material Group Descrip]],Master!E:F,2,0)</f>
        <v>Raw Material</v>
      </c>
      <c r="U205" s="9" t="b">
        <f ca="1">(TODAY()-1)=Sales4[[#This Row],[Billing Date]]</f>
        <v>0</v>
      </c>
      <c r="V205" s="10" t="e">
        <f>Sales4[[#This Row],[Net Value]]-Sales4[[#This Row],[PGI COST]]</f>
        <v>#REF!</v>
      </c>
      <c r="W205" s="11" t="e">
        <f>Sales4[[#This Row],[Gross Margin]]/Sales4[[#This Row],[Net Value]]</f>
        <v>#REF!</v>
      </c>
      <c r="X205" s="1" t="str">
        <f>TEXT(Sales4[[#This Row],[Billing Date]],"mmmm-yy")</f>
        <v>September-25</v>
      </c>
      <c r="Y205" s="1">
        <f>Sales4[[#This Row],[Net Value]]/Sales4[[#This Row],[Billed Quantity]]</f>
        <v>27.14</v>
      </c>
      <c r="Z205" s="117">
        <f>Sales4[[#This Row],[Actual delivery qty]]</f>
        <v>6000</v>
      </c>
      <c r="AA205" s="12" t="e">
        <f>SUM(Sales4[[#This Row],[BOM Cost]:[Other Conversion cost pu]])</f>
        <v>#REF!</v>
      </c>
      <c r="AB20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0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05" s="12">
        <f>IFERROR(VLOOKUP(Sales4[[#This Row],[Material]],'COGS Break up'!#REF!,5,0),0)</f>
        <v>0</v>
      </c>
      <c r="AE20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05" s="48" t="e">
        <f>Sales4[[#This Row],[PGI per unit]]-Sales4[[#This Row],[BOM Cost]]-Sales4[[#This Row],[Labour cost per unit]]-Sales4[[#This Row],[Other Conversion cost pu]]</f>
        <v>#REF!</v>
      </c>
      <c r="AG205" s="48" t="e">
        <f>Sales4[[#This Row],[BOM Cost2]]+Sales4[[#This Row],[Labour Cost]]+Sales4[[#This Row],[Other conversion cost]]</f>
        <v>#REF!</v>
      </c>
      <c r="AH205" s="12" t="e">
        <f>Sales4[[#This Row],[Billed Quantity]]*Sales4[[#This Row],[BOM Cost]]</f>
        <v>#REF!</v>
      </c>
      <c r="AI205" s="12" t="e">
        <f>Sales4[[#This Row],[Billed Quantity]]*Sales4[[#This Row],[Labour cost per unit]]</f>
        <v>#REF!</v>
      </c>
      <c r="AJ205" s="12">
        <f>Sales4[[#This Row],[Droppage per unit]]*Sales4[[#This Row],[Billed Quantity]]</f>
        <v>0</v>
      </c>
      <c r="AK205" s="12" t="e">
        <f>Sales4[[#This Row],[Billed Quantity]]*Sales4[[#This Row],[Other Conversion cost pu]]</f>
        <v>#REF!</v>
      </c>
      <c r="AL205" s="48" t="e">
        <f>Sales4[[#This Row],[PGI Amount]]-Sales4[[#This Row],[BOM Cost2]]-Sales4[[#This Row],[Labour Cost]]-Sales4[[#This Row],[Other conversion cost]]</f>
        <v>#REF!</v>
      </c>
      <c r="AM205" s="121" t="e">
        <f>1-Sales4[[#This Row],[PGI COST]]/Sales4[[#This Row],[Net Value]]</f>
        <v>#REF!</v>
      </c>
      <c r="AN205" s="1">
        <f>Sales4[[#This Row],[PGI Amount]]/Sales4[[#This Row],[Billed Quantity]]</f>
        <v>27.14</v>
      </c>
      <c r="AO205" s="72" t="e">
        <f>SUMIFS('COGS Break up'!#REF!,'COGS Break up'!#REF!,Sales4[[#This Row],[Material]],'COGS Break up'!#REF!,'MIS Working'!$AO$1)</f>
        <v>#REF!</v>
      </c>
      <c r="AP205" s="72" t="e">
        <f>SUMIFS('COGS Break up'!#REF!,'COGS Break up'!#REF!,Sales4[[#This Row],[Material]],'COGS Break up'!#REF!,'MIS Working'!$AP$1)</f>
        <v>#REF!</v>
      </c>
      <c r="AQ205" s="72" t="e">
        <f>SUMIFS('COGS Break up'!#REF!,'COGS Break up'!#REF!,Sales4[[#This Row],[Material]],'COGS Break up'!#REF!,'MIS Working'!$AQ$1)</f>
        <v>#REF!</v>
      </c>
      <c r="AR205" s="72">
        <f>Sales4[[#This Row],[Droppage per unit]]</f>
        <v>0</v>
      </c>
      <c r="AS205" s="15" t="e">
        <f>AO205*Sales4[[#This Row],[Billed Quantity]]</f>
        <v>#REF!</v>
      </c>
      <c r="AT205" s="72" t="e">
        <f>AP205*Sales4[[#This Row],[Billed Quantity]]</f>
        <v>#REF!</v>
      </c>
      <c r="AU205" s="72" t="e">
        <f>AQ205*Sales4[[#This Row],[Billed Quantity]]</f>
        <v>#REF!</v>
      </c>
      <c r="AV205" s="72">
        <f>AR205*Sales4[[#This Row],[Billed Quantity]]</f>
        <v>0</v>
      </c>
    </row>
    <row r="206" spans="1:48" x14ac:dyDescent="0.3">
      <c r="A206" s="1" t="s">
        <v>479</v>
      </c>
      <c r="B206" s="2">
        <v>45913</v>
      </c>
      <c r="C206" s="1">
        <v>3271270112</v>
      </c>
      <c r="D206" s="1" t="s">
        <v>1419</v>
      </c>
      <c r="E206" s="1" t="s">
        <v>1420</v>
      </c>
      <c r="F206" s="1" t="s">
        <v>18</v>
      </c>
      <c r="G206" s="1" t="s">
        <v>48</v>
      </c>
      <c r="H206" s="1" t="s">
        <v>202</v>
      </c>
      <c r="I206" s="3">
        <v>5000</v>
      </c>
      <c r="J206" s="4">
        <v>73168.320000000007</v>
      </c>
      <c r="K206" s="3">
        <v>5000</v>
      </c>
      <c r="L206" s="3">
        <v>5000</v>
      </c>
      <c r="M206" s="2">
        <v>45913</v>
      </c>
      <c r="N206" s="4">
        <v>72950</v>
      </c>
      <c r="O206" s="1" t="s">
        <v>21</v>
      </c>
      <c r="P206" s="1" t="s">
        <v>22</v>
      </c>
      <c r="Q206" s="1">
        <v>1</v>
      </c>
      <c r="R206" s="1" t="str">
        <f>VLOOKUP(Sales4[[#This Row],[Material type]],Master!$H$3:$I$8,2,0)</f>
        <v>Raw Material</v>
      </c>
      <c r="S206" s="1" t="str">
        <f>VLOOKUP(Sales4[[#This Row],[Material Group]],Master!B:C,2,0)</f>
        <v>RM-Eletro-IC</v>
      </c>
      <c r="T206" s="1" t="str">
        <f>VLOOKUP(Sales4[[#This Row],[Material Group Descrip]],Master!E:F,2,0)</f>
        <v>Raw Material</v>
      </c>
      <c r="U206" s="9" t="b">
        <f ca="1">(TODAY()-1)=Sales4[[#This Row],[Billing Date]]</f>
        <v>0</v>
      </c>
      <c r="V206" s="10" t="e">
        <f>Sales4[[#This Row],[Net Value]]-Sales4[[#This Row],[PGI COST]]</f>
        <v>#REF!</v>
      </c>
      <c r="W206" s="11" t="e">
        <f>Sales4[[#This Row],[Gross Margin]]/Sales4[[#This Row],[Net Value]]</f>
        <v>#REF!</v>
      </c>
      <c r="X206" s="1" t="str">
        <f>TEXT(Sales4[[#This Row],[Billing Date]],"mmmm-yy")</f>
        <v>September-25</v>
      </c>
      <c r="Y206" s="1">
        <f>Sales4[[#This Row],[Net Value]]/Sales4[[#This Row],[Billed Quantity]]</f>
        <v>14.59</v>
      </c>
      <c r="Z206" s="117">
        <f>Sales4[[#This Row],[Actual delivery qty]]</f>
        <v>5000</v>
      </c>
      <c r="AA206" s="12" t="e">
        <f>SUM(Sales4[[#This Row],[BOM Cost]:[Other Conversion cost pu]])</f>
        <v>#REF!</v>
      </c>
      <c r="AB20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0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06" s="12">
        <f>IFERROR(VLOOKUP(Sales4[[#This Row],[Material]],'COGS Break up'!#REF!,5,0),0)</f>
        <v>0</v>
      </c>
      <c r="AE20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06" s="48" t="e">
        <f>Sales4[[#This Row],[PGI per unit]]-Sales4[[#This Row],[BOM Cost]]-Sales4[[#This Row],[Labour cost per unit]]-Sales4[[#This Row],[Other Conversion cost pu]]</f>
        <v>#REF!</v>
      </c>
      <c r="AG206" s="48" t="e">
        <f>Sales4[[#This Row],[BOM Cost2]]+Sales4[[#This Row],[Labour Cost]]+Sales4[[#This Row],[Other conversion cost]]</f>
        <v>#REF!</v>
      </c>
      <c r="AH206" s="12" t="e">
        <f>Sales4[[#This Row],[Billed Quantity]]*Sales4[[#This Row],[BOM Cost]]</f>
        <v>#REF!</v>
      </c>
      <c r="AI206" s="12" t="e">
        <f>Sales4[[#This Row],[Billed Quantity]]*Sales4[[#This Row],[Labour cost per unit]]</f>
        <v>#REF!</v>
      </c>
      <c r="AJ206" s="12">
        <f>Sales4[[#This Row],[Droppage per unit]]*Sales4[[#This Row],[Billed Quantity]]</f>
        <v>0</v>
      </c>
      <c r="AK206" s="12" t="e">
        <f>Sales4[[#This Row],[Billed Quantity]]*Sales4[[#This Row],[Other Conversion cost pu]]</f>
        <v>#REF!</v>
      </c>
      <c r="AL206" s="48" t="e">
        <f>Sales4[[#This Row],[PGI Amount]]-Sales4[[#This Row],[BOM Cost2]]-Sales4[[#This Row],[Labour Cost]]-Sales4[[#This Row],[Other conversion cost]]</f>
        <v>#REF!</v>
      </c>
      <c r="AM206" s="121" t="e">
        <f>1-Sales4[[#This Row],[PGI COST]]/Sales4[[#This Row],[Net Value]]</f>
        <v>#REF!</v>
      </c>
      <c r="AN206" s="1">
        <f>Sales4[[#This Row],[PGI Amount]]/Sales4[[#This Row],[Billed Quantity]]</f>
        <v>14.633664000000001</v>
      </c>
      <c r="AO206" s="72" t="e">
        <f>SUMIFS('COGS Break up'!#REF!,'COGS Break up'!#REF!,Sales4[[#This Row],[Material]],'COGS Break up'!#REF!,'MIS Working'!$AO$1)</f>
        <v>#REF!</v>
      </c>
      <c r="AP206" s="72" t="e">
        <f>SUMIFS('COGS Break up'!#REF!,'COGS Break up'!#REF!,Sales4[[#This Row],[Material]],'COGS Break up'!#REF!,'MIS Working'!$AP$1)</f>
        <v>#REF!</v>
      </c>
      <c r="AQ206" s="72" t="e">
        <f>SUMIFS('COGS Break up'!#REF!,'COGS Break up'!#REF!,Sales4[[#This Row],[Material]],'COGS Break up'!#REF!,'MIS Working'!$AQ$1)</f>
        <v>#REF!</v>
      </c>
      <c r="AR206" s="72">
        <f>Sales4[[#This Row],[Droppage per unit]]</f>
        <v>0</v>
      </c>
      <c r="AS206" s="15" t="e">
        <f>AO206*Sales4[[#This Row],[Billed Quantity]]</f>
        <v>#REF!</v>
      </c>
      <c r="AT206" s="72" t="e">
        <f>AP206*Sales4[[#This Row],[Billed Quantity]]</f>
        <v>#REF!</v>
      </c>
      <c r="AU206" s="72" t="e">
        <f>AQ206*Sales4[[#This Row],[Billed Quantity]]</f>
        <v>#REF!</v>
      </c>
      <c r="AV206" s="72">
        <f>AR206*Sales4[[#This Row],[Billed Quantity]]</f>
        <v>0</v>
      </c>
    </row>
    <row r="207" spans="1:48" x14ac:dyDescent="0.3">
      <c r="A207" s="1" t="s">
        <v>479</v>
      </c>
      <c r="B207" s="2">
        <v>45913</v>
      </c>
      <c r="C207" s="1">
        <v>3271270112</v>
      </c>
      <c r="D207" s="1" t="s">
        <v>1421</v>
      </c>
      <c r="E207" s="1" t="s">
        <v>1422</v>
      </c>
      <c r="F207" s="1" t="s">
        <v>18</v>
      </c>
      <c r="G207" s="1" t="s">
        <v>48</v>
      </c>
      <c r="H207" s="1" t="s">
        <v>204</v>
      </c>
      <c r="I207" s="3">
        <v>5000</v>
      </c>
      <c r="J207" s="4">
        <v>280</v>
      </c>
      <c r="K207" s="3">
        <v>5000</v>
      </c>
      <c r="L207" s="3">
        <v>5000</v>
      </c>
      <c r="M207" s="2">
        <v>45913</v>
      </c>
      <c r="N207" s="4">
        <v>300</v>
      </c>
      <c r="O207" s="1" t="s">
        <v>21</v>
      </c>
      <c r="P207" s="1" t="s">
        <v>22</v>
      </c>
      <c r="Q207" s="1">
        <v>1</v>
      </c>
      <c r="R207" s="1" t="str">
        <f>VLOOKUP(Sales4[[#This Row],[Material type]],Master!$H$3:$I$8,2,0)</f>
        <v>Raw Material</v>
      </c>
      <c r="S207" s="1" t="str">
        <f>VLOOKUP(Sales4[[#This Row],[Material Group]],Master!B:C,2,0)</f>
        <v>RM-Eletro-Resistor</v>
      </c>
      <c r="T207" s="1" t="str">
        <f>VLOOKUP(Sales4[[#This Row],[Material Group Descrip]],Master!E:F,2,0)</f>
        <v>Raw Material</v>
      </c>
      <c r="U207" s="9" t="b">
        <f ca="1">(TODAY()-1)=Sales4[[#This Row],[Billing Date]]</f>
        <v>0</v>
      </c>
      <c r="V207" s="10" t="e">
        <f>Sales4[[#This Row],[Net Value]]-Sales4[[#This Row],[PGI COST]]</f>
        <v>#REF!</v>
      </c>
      <c r="W207" s="11" t="e">
        <f>Sales4[[#This Row],[Gross Margin]]/Sales4[[#This Row],[Net Value]]</f>
        <v>#REF!</v>
      </c>
      <c r="X207" s="1" t="str">
        <f>TEXT(Sales4[[#This Row],[Billing Date]],"mmmm-yy")</f>
        <v>September-25</v>
      </c>
      <c r="Y207" s="1">
        <f>Sales4[[#This Row],[Net Value]]/Sales4[[#This Row],[Billed Quantity]]</f>
        <v>0.06</v>
      </c>
      <c r="Z207" s="117">
        <f>Sales4[[#This Row],[Actual delivery qty]]</f>
        <v>5000</v>
      </c>
      <c r="AA207" s="12" t="e">
        <f>SUM(Sales4[[#This Row],[BOM Cost]:[Other Conversion cost pu]])</f>
        <v>#REF!</v>
      </c>
      <c r="AB20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0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07" s="12">
        <f>IFERROR(VLOOKUP(Sales4[[#This Row],[Material]],'COGS Break up'!#REF!,5,0),0)</f>
        <v>0</v>
      </c>
      <c r="AE20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07" s="48" t="e">
        <f>Sales4[[#This Row],[PGI per unit]]-Sales4[[#This Row],[BOM Cost]]-Sales4[[#This Row],[Labour cost per unit]]-Sales4[[#This Row],[Other Conversion cost pu]]</f>
        <v>#REF!</v>
      </c>
      <c r="AG207" s="48" t="e">
        <f>Sales4[[#This Row],[BOM Cost2]]+Sales4[[#This Row],[Labour Cost]]+Sales4[[#This Row],[Other conversion cost]]</f>
        <v>#REF!</v>
      </c>
      <c r="AH207" s="12" t="e">
        <f>Sales4[[#This Row],[Billed Quantity]]*Sales4[[#This Row],[BOM Cost]]</f>
        <v>#REF!</v>
      </c>
      <c r="AI207" s="12" t="e">
        <f>Sales4[[#This Row],[Billed Quantity]]*Sales4[[#This Row],[Labour cost per unit]]</f>
        <v>#REF!</v>
      </c>
      <c r="AJ207" s="12">
        <f>Sales4[[#This Row],[Droppage per unit]]*Sales4[[#This Row],[Billed Quantity]]</f>
        <v>0</v>
      </c>
      <c r="AK207" s="12" t="e">
        <f>Sales4[[#This Row],[Billed Quantity]]*Sales4[[#This Row],[Other Conversion cost pu]]</f>
        <v>#REF!</v>
      </c>
      <c r="AL207" s="48" t="e">
        <f>Sales4[[#This Row],[PGI Amount]]-Sales4[[#This Row],[BOM Cost2]]-Sales4[[#This Row],[Labour Cost]]-Sales4[[#This Row],[Other conversion cost]]</f>
        <v>#REF!</v>
      </c>
      <c r="AM207" s="121" t="e">
        <f>1-Sales4[[#This Row],[PGI COST]]/Sales4[[#This Row],[Net Value]]</f>
        <v>#REF!</v>
      </c>
      <c r="AN207" s="1">
        <f>Sales4[[#This Row],[PGI Amount]]/Sales4[[#This Row],[Billed Quantity]]</f>
        <v>5.6000000000000001E-2</v>
      </c>
      <c r="AO207" s="72" t="e">
        <f>SUMIFS('COGS Break up'!#REF!,'COGS Break up'!#REF!,Sales4[[#This Row],[Material]],'COGS Break up'!#REF!,'MIS Working'!$AO$1)</f>
        <v>#REF!</v>
      </c>
      <c r="AP207" s="72" t="e">
        <f>SUMIFS('COGS Break up'!#REF!,'COGS Break up'!#REF!,Sales4[[#This Row],[Material]],'COGS Break up'!#REF!,'MIS Working'!$AP$1)</f>
        <v>#REF!</v>
      </c>
      <c r="AQ207" s="72" t="e">
        <f>SUMIFS('COGS Break up'!#REF!,'COGS Break up'!#REF!,Sales4[[#This Row],[Material]],'COGS Break up'!#REF!,'MIS Working'!$AQ$1)</f>
        <v>#REF!</v>
      </c>
      <c r="AR207" s="72">
        <f>Sales4[[#This Row],[Droppage per unit]]</f>
        <v>0</v>
      </c>
      <c r="AS207" s="15" t="e">
        <f>AO207*Sales4[[#This Row],[Billed Quantity]]</f>
        <v>#REF!</v>
      </c>
      <c r="AT207" s="72" t="e">
        <f>AP207*Sales4[[#This Row],[Billed Quantity]]</f>
        <v>#REF!</v>
      </c>
      <c r="AU207" s="72" t="e">
        <f>AQ207*Sales4[[#This Row],[Billed Quantity]]</f>
        <v>#REF!</v>
      </c>
      <c r="AV207" s="72">
        <f>AR207*Sales4[[#This Row],[Billed Quantity]]</f>
        <v>0</v>
      </c>
    </row>
    <row r="208" spans="1:48" x14ac:dyDescent="0.3">
      <c r="A208" s="1" t="s">
        <v>479</v>
      </c>
      <c r="B208" s="2">
        <v>45913</v>
      </c>
      <c r="C208" s="1">
        <v>3271270112</v>
      </c>
      <c r="D208" s="1" t="s">
        <v>1423</v>
      </c>
      <c r="E208" s="1" t="s">
        <v>1424</v>
      </c>
      <c r="F208" s="1" t="s">
        <v>18</v>
      </c>
      <c r="G208" s="1" t="s">
        <v>48</v>
      </c>
      <c r="H208" s="1" t="s">
        <v>201</v>
      </c>
      <c r="I208" s="3">
        <v>4000</v>
      </c>
      <c r="J208" s="4">
        <v>2054.1799999999998</v>
      </c>
      <c r="K208" s="3">
        <v>4000</v>
      </c>
      <c r="L208" s="3">
        <v>4000</v>
      </c>
      <c r="M208" s="2">
        <v>45913</v>
      </c>
      <c r="N208" s="4">
        <v>1960</v>
      </c>
      <c r="O208" s="1" t="s">
        <v>21</v>
      </c>
      <c r="P208" s="1" t="s">
        <v>22</v>
      </c>
      <c r="Q208" s="1">
        <v>1</v>
      </c>
      <c r="R208" s="1" t="str">
        <f>VLOOKUP(Sales4[[#This Row],[Material type]],Master!$H$3:$I$8,2,0)</f>
        <v>Raw Material</v>
      </c>
      <c r="S208" s="1" t="str">
        <f>VLOOKUP(Sales4[[#This Row],[Material Group]],Master!B:C,2,0)</f>
        <v>RM-Eletro-Diodes</v>
      </c>
      <c r="T208" s="1" t="str">
        <f>VLOOKUP(Sales4[[#This Row],[Material Group Descrip]],Master!E:F,2,0)</f>
        <v>Raw Material</v>
      </c>
      <c r="U208" s="9" t="b">
        <f ca="1">(TODAY()-1)=Sales4[[#This Row],[Billing Date]]</f>
        <v>0</v>
      </c>
      <c r="V208" s="10" t="e">
        <f>Sales4[[#This Row],[Net Value]]-Sales4[[#This Row],[PGI COST]]</f>
        <v>#REF!</v>
      </c>
      <c r="W208" s="11" t="e">
        <f>Sales4[[#This Row],[Gross Margin]]/Sales4[[#This Row],[Net Value]]</f>
        <v>#REF!</v>
      </c>
      <c r="X208" s="1" t="str">
        <f>TEXT(Sales4[[#This Row],[Billing Date]],"mmmm-yy")</f>
        <v>September-25</v>
      </c>
      <c r="Y208" s="1">
        <f>Sales4[[#This Row],[Net Value]]/Sales4[[#This Row],[Billed Quantity]]</f>
        <v>0.49</v>
      </c>
      <c r="Z208" s="117">
        <f>Sales4[[#This Row],[Actual delivery qty]]</f>
        <v>4000</v>
      </c>
      <c r="AA208" s="12" t="e">
        <f>SUM(Sales4[[#This Row],[BOM Cost]:[Other Conversion cost pu]])</f>
        <v>#REF!</v>
      </c>
      <c r="AB20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0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08" s="12">
        <f>IFERROR(VLOOKUP(Sales4[[#This Row],[Material]],'COGS Break up'!#REF!,5,0),0)</f>
        <v>0</v>
      </c>
      <c r="AE20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08" s="48" t="e">
        <f>Sales4[[#This Row],[PGI per unit]]-Sales4[[#This Row],[BOM Cost]]-Sales4[[#This Row],[Labour cost per unit]]-Sales4[[#This Row],[Other Conversion cost pu]]</f>
        <v>#REF!</v>
      </c>
      <c r="AG208" s="48" t="e">
        <f>Sales4[[#This Row],[BOM Cost2]]+Sales4[[#This Row],[Labour Cost]]+Sales4[[#This Row],[Other conversion cost]]</f>
        <v>#REF!</v>
      </c>
      <c r="AH208" s="12" t="e">
        <f>Sales4[[#This Row],[Billed Quantity]]*Sales4[[#This Row],[BOM Cost]]</f>
        <v>#REF!</v>
      </c>
      <c r="AI208" s="12" t="e">
        <f>Sales4[[#This Row],[Billed Quantity]]*Sales4[[#This Row],[Labour cost per unit]]</f>
        <v>#REF!</v>
      </c>
      <c r="AJ208" s="12">
        <f>Sales4[[#This Row],[Droppage per unit]]*Sales4[[#This Row],[Billed Quantity]]</f>
        <v>0</v>
      </c>
      <c r="AK208" s="12" t="e">
        <f>Sales4[[#This Row],[Billed Quantity]]*Sales4[[#This Row],[Other Conversion cost pu]]</f>
        <v>#REF!</v>
      </c>
      <c r="AL208" s="48" t="e">
        <f>Sales4[[#This Row],[PGI Amount]]-Sales4[[#This Row],[BOM Cost2]]-Sales4[[#This Row],[Labour Cost]]-Sales4[[#This Row],[Other conversion cost]]</f>
        <v>#REF!</v>
      </c>
      <c r="AM208" s="121" t="e">
        <f>1-Sales4[[#This Row],[PGI COST]]/Sales4[[#This Row],[Net Value]]</f>
        <v>#REF!</v>
      </c>
      <c r="AN208" s="1">
        <f>Sales4[[#This Row],[PGI Amount]]/Sales4[[#This Row],[Billed Quantity]]</f>
        <v>0.51354499999999992</v>
      </c>
      <c r="AO208" s="72" t="e">
        <f>SUMIFS('COGS Break up'!#REF!,'COGS Break up'!#REF!,Sales4[[#This Row],[Material]],'COGS Break up'!#REF!,'MIS Working'!$AO$1)</f>
        <v>#REF!</v>
      </c>
      <c r="AP208" s="72" t="e">
        <f>SUMIFS('COGS Break up'!#REF!,'COGS Break up'!#REF!,Sales4[[#This Row],[Material]],'COGS Break up'!#REF!,'MIS Working'!$AP$1)</f>
        <v>#REF!</v>
      </c>
      <c r="AQ208" s="72" t="e">
        <f>SUMIFS('COGS Break up'!#REF!,'COGS Break up'!#REF!,Sales4[[#This Row],[Material]],'COGS Break up'!#REF!,'MIS Working'!$AQ$1)</f>
        <v>#REF!</v>
      </c>
      <c r="AR208" s="72">
        <f>Sales4[[#This Row],[Droppage per unit]]</f>
        <v>0</v>
      </c>
      <c r="AS208" s="15" t="e">
        <f>AO208*Sales4[[#This Row],[Billed Quantity]]</f>
        <v>#REF!</v>
      </c>
      <c r="AT208" s="72" t="e">
        <f>AP208*Sales4[[#This Row],[Billed Quantity]]</f>
        <v>#REF!</v>
      </c>
      <c r="AU208" s="72" t="e">
        <f>AQ208*Sales4[[#This Row],[Billed Quantity]]</f>
        <v>#REF!</v>
      </c>
      <c r="AV208" s="72">
        <f>AR208*Sales4[[#This Row],[Billed Quantity]]</f>
        <v>0</v>
      </c>
    </row>
    <row r="209" spans="1:48" x14ac:dyDescent="0.3">
      <c r="A209" s="1" t="s">
        <v>479</v>
      </c>
      <c r="B209" s="2">
        <v>45913</v>
      </c>
      <c r="C209" s="1">
        <v>3271270112</v>
      </c>
      <c r="D209" s="1" t="s">
        <v>1243</v>
      </c>
      <c r="E209" s="1" t="s">
        <v>1244</v>
      </c>
      <c r="F209" s="1" t="s">
        <v>18</v>
      </c>
      <c r="G209" s="1" t="s">
        <v>48</v>
      </c>
      <c r="H209" s="1" t="s">
        <v>198</v>
      </c>
      <c r="I209" s="3">
        <v>4000</v>
      </c>
      <c r="J209" s="4">
        <v>2880</v>
      </c>
      <c r="K209" s="3">
        <v>4000</v>
      </c>
      <c r="L209" s="3">
        <v>4000</v>
      </c>
      <c r="M209" s="2">
        <v>45913</v>
      </c>
      <c r="N209" s="4">
        <v>2880</v>
      </c>
      <c r="O209" s="1" t="s">
        <v>21</v>
      </c>
      <c r="P209" s="1" t="s">
        <v>22</v>
      </c>
      <c r="Q209" s="1">
        <v>1</v>
      </c>
      <c r="R209" s="1" t="str">
        <f>VLOOKUP(Sales4[[#This Row],[Material type]],Master!$H$3:$I$8,2,0)</f>
        <v>Raw Material</v>
      </c>
      <c r="S209" s="1" t="str">
        <f>VLOOKUP(Sales4[[#This Row],[Material Group]],Master!B:C,2,0)</f>
        <v>RM-Eletro-Capacitor</v>
      </c>
      <c r="T209" s="1" t="str">
        <f>VLOOKUP(Sales4[[#This Row],[Material Group Descrip]],Master!E:F,2,0)</f>
        <v>Raw Material</v>
      </c>
      <c r="U209" s="9" t="b">
        <f ca="1">(TODAY()-1)=Sales4[[#This Row],[Billing Date]]</f>
        <v>0</v>
      </c>
      <c r="V209" s="10" t="e">
        <f>Sales4[[#This Row],[Net Value]]-Sales4[[#This Row],[PGI COST]]</f>
        <v>#REF!</v>
      </c>
      <c r="W209" s="11" t="e">
        <f>Sales4[[#This Row],[Gross Margin]]/Sales4[[#This Row],[Net Value]]</f>
        <v>#REF!</v>
      </c>
      <c r="X209" s="1" t="str">
        <f>TEXT(Sales4[[#This Row],[Billing Date]],"mmmm-yy")</f>
        <v>September-25</v>
      </c>
      <c r="Y209" s="1">
        <f>Sales4[[#This Row],[Net Value]]/Sales4[[#This Row],[Billed Quantity]]</f>
        <v>0.72</v>
      </c>
      <c r="Z209" s="117">
        <f>Sales4[[#This Row],[Actual delivery qty]]</f>
        <v>4000</v>
      </c>
      <c r="AA209" s="12" t="e">
        <f>SUM(Sales4[[#This Row],[BOM Cost]:[Other Conversion cost pu]])</f>
        <v>#REF!</v>
      </c>
      <c r="AB20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0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09" s="12">
        <f>IFERROR(VLOOKUP(Sales4[[#This Row],[Material]],'COGS Break up'!#REF!,5,0),0)</f>
        <v>0</v>
      </c>
      <c r="AE20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09" s="48" t="e">
        <f>Sales4[[#This Row],[PGI per unit]]-Sales4[[#This Row],[BOM Cost]]-Sales4[[#This Row],[Labour cost per unit]]-Sales4[[#This Row],[Other Conversion cost pu]]</f>
        <v>#REF!</v>
      </c>
      <c r="AG209" s="48" t="e">
        <f>Sales4[[#This Row],[BOM Cost2]]+Sales4[[#This Row],[Labour Cost]]+Sales4[[#This Row],[Other conversion cost]]</f>
        <v>#REF!</v>
      </c>
      <c r="AH209" s="12" t="e">
        <f>Sales4[[#This Row],[Billed Quantity]]*Sales4[[#This Row],[BOM Cost]]</f>
        <v>#REF!</v>
      </c>
      <c r="AI209" s="12" t="e">
        <f>Sales4[[#This Row],[Billed Quantity]]*Sales4[[#This Row],[Labour cost per unit]]</f>
        <v>#REF!</v>
      </c>
      <c r="AJ209" s="12">
        <f>Sales4[[#This Row],[Droppage per unit]]*Sales4[[#This Row],[Billed Quantity]]</f>
        <v>0</v>
      </c>
      <c r="AK209" s="12" t="e">
        <f>Sales4[[#This Row],[Billed Quantity]]*Sales4[[#This Row],[Other Conversion cost pu]]</f>
        <v>#REF!</v>
      </c>
      <c r="AL209" s="48" t="e">
        <f>Sales4[[#This Row],[PGI Amount]]-Sales4[[#This Row],[BOM Cost2]]-Sales4[[#This Row],[Labour Cost]]-Sales4[[#This Row],[Other conversion cost]]</f>
        <v>#REF!</v>
      </c>
      <c r="AM209" s="121" t="e">
        <f>1-Sales4[[#This Row],[PGI COST]]/Sales4[[#This Row],[Net Value]]</f>
        <v>#REF!</v>
      </c>
      <c r="AN209" s="1">
        <f>Sales4[[#This Row],[PGI Amount]]/Sales4[[#This Row],[Billed Quantity]]</f>
        <v>0.72</v>
      </c>
      <c r="AO209" s="72" t="e">
        <f>SUMIFS('COGS Break up'!#REF!,'COGS Break up'!#REF!,Sales4[[#This Row],[Material]],'COGS Break up'!#REF!,'MIS Working'!$AO$1)</f>
        <v>#REF!</v>
      </c>
      <c r="AP209" s="72" t="e">
        <f>SUMIFS('COGS Break up'!#REF!,'COGS Break up'!#REF!,Sales4[[#This Row],[Material]],'COGS Break up'!#REF!,'MIS Working'!$AP$1)</f>
        <v>#REF!</v>
      </c>
      <c r="AQ209" s="72" t="e">
        <f>SUMIFS('COGS Break up'!#REF!,'COGS Break up'!#REF!,Sales4[[#This Row],[Material]],'COGS Break up'!#REF!,'MIS Working'!$AQ$1)</f>
        <v>#REF!</v>
      </c>
      <c r="AR209" s="72">
        <f>Sales4[[#This Row],[Droppage per unit]]</f>
        <v>0</v>
      </c>
      <c r="AS209" s="15" t="e">
        <f>AO209*Sales4[[#This Row],[Billed Quantity]]</f>
        <v>#REF!</v>
      </c>
      <c r="AT209" s="72" t="e">
        <f>AP209*Sales4[[#This Row],[Billed Quantity]]</f>
        <v>#REF!</v>
      </c>
      <c r="AU209" s="72" t="e">
        <f>AQ209*Sales4[[#This Row],[Billed Quantity]]</f>
        <v>#REF!</v>
      </c>
      <c r="AV209" s="72">
        <f>AR209*Sales4[[#This Row],[Billed Quantity]]</f>
        <v>0</v>
      </c>
    </row>
    <row r="210" spans="1:48" x14ac:dyDescent="0.3">
      <c r="A210" s="1" t="s">
        <v>479</v>
      </c>
      <c r="B210" s="2">
        <v>45913</v>
      </c>
      <c r="C210" s="1">
        <v>3271270112</v>
      </c>
      <c r="D210" s="1" t="s">
        <v>1350</v>
      </c>
      <c r="E210" s="1" t="s">
        <v>1351</v>
      </c>
      <c r="F210" s="1" t="s">
        <v>18</v>
      </c>
      <c r="G210" s="1" t="s">
        <v>48</v>
      </c>
      <c r="H210" s="1" t="s">
        <v>204</v>
      </c>
      <c r="I210" s="3">
        <v>4000</v>
      </c>
      <c r="J210" s="4">
        <v>240</v>
      </c>
      <c r="K210" s="3">
        <v>4000</v>
      </c>
      <c r="L210" s="3">
        <v>4000</v>
      </c>
      <c r="M210" s="2">
        <v>45913</v>
      </c>
      <c r="N210" s="4">
        <v>240</v>
      </c>
      <c r="O210" s="1" t="s">
        <v>21</v>
      </c>
      <c r="P210" s="1" t="s">
        <v>22</v>
      </c>
      <c r="Q210" s="1">
        <v>1</v>
      </c>
      <c r="R210" s="1" t="str">
        <f>VLOOKUP(Sales4[[#This Row],[Material type]],Master!$H$3:$I$8,2,0)</f>
        <v>Raw Material</v>
      </c>
      <c r="S210" s="1" t="str">
        <f>VLOOKUP(Sales4[[#This Row],[Material Group]],Master!B:C,2,0)</f>
        <v>RM-Eletro-Resistor</v>
      </c>
      <c r="T210" s="1" t="str">
        <f>VLOOKUP(Sales4[[#This Row],[Material Group Descrip]],Master!E:F,2,0)</f>
        <v>Raw Material</v>
      </c>
      <c r="U210" s="9" t="b">
        <f ca="1">(TODAY()-1)=Sales4[[#This Row],[Billing Date]]</f>
        <v>0</v>
      </c>
      <c r="V210" s="10" t="e">
        <f>Sales4[[#This Row],[Net Value]]-Sales4[[#This Row],[PGI COST]]</f>
        <v>#REF!</v>
      </c>
      <c r="W210" s="11" t="e">
        <f>Sales4[[#This Row],[Gross Margin]]/Sales4[[#This Row],[Net Value]]</f>
        <v>#REF!</v>
      </c>
      <c r="X210" s="1" t="str">
        <f>TEXT(Sales4[[#This Row],[Billing Date]],"mmmm-yy")</f>
        <v>September-25</v>
      </c>
      <c r="Y210" s="1">
        <f>Sales4[[#This Row],[Net Value]]/Sales4[[#This Row],[Billed Quantity]]</f>
        <v>0.06</v>
      </c>
      <c r="Z210" s="117">
        <f>Sales4[[#This Row],[Actual delivery qty]]</f>
        <v>4000</v>
      </c>
      <c r="AA210" s="12" t="e">
        <f>SUM(Sales4[[#This Row],[BOM Cost]:[Other Conversion cost pu]])</f>
        <v>#REF!</v>
      </c>
      <c r="AB21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1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10" s="12">
        <f>IFERROR(VLOOKUP(Sales4[[#This Row],[Material]],'COGS Break up'!#REF!,5,0),0)</f>
        <v>0</v>
      </c>
      <c r="AE21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10" s="48" t="e">
        <f>Sales4[[#This Row],[PGI per unit]]-Sales4[[#This Row],[BOM Cost]]-Sales4[[#This Row],[Labour cost per unit]]-Sales4[[#This Row],[Other Conversion cost pu]]</f>
        <v>#REF!</v>
      </c>
      <c r="AG210" s="48" t="e">
        <f>Sales4[[#This Row],[BOM Cost2]]+Sales4[[#This Row],[Labour Cost]]+Sales4[[#This Row],[Other conversion cost]]</f>
        <v>#REF!</v>
      </c>
      <c r="AH210" s="12" t="e">
        <f>Sales4[[#This Row],[Billed Quantity]]*Sales4[[#This Row],[BOM Cost]]</f>
        <v>#REF!</v>
      </c>
      <c r="AI210" s="12" t="e">
        <f>Sales4[[#This Row],[Billed Quantity]]*Sales4[[#This Row],[Labour cost per unit]]</f>
        <v>#REF!</v>
      </c>
      <c r="AJ210" s="12">
        <f>Sales4[[#This Row],[Droppage per unit]]*Sales4[[#This Row],[Billed Quantity]]</f>
        <v>0</v>
      </c>
      <c r="AK210" s="12" t="e">
        <f>Sales4[[#This Row],[Billed Quantity]]*Sales4[[#This Row],[Other Conversion cost pu]]</f>
        <v>#REF!</v>
      </c>
      <c r="AL210" s="48" t="e">
        <f>Sales4[[#This Row],[PGI Amount]]-Sales4[[#This Row],[BOM Cost2]]-Sales4[[#This Row],[Labour Cost]]-Sales4[[#This Row],[Other conversion cost]]</f>
        <v>#REF!</v>
      </c>
      <c r="AM210" s="121" t="e">
        <f>1-Sales4[[#This Row],[PGI COST]]/Sales4[[#This Row],[Net Value]]</f>
        <v>#REF!</v>
      </c>
      <c r="AN210" s="1">
        <f>Sales4[[#This Row],[PGI Amount]]/Sales4[[#This Row],[Billed Quantity]]</f>
        <v>0.06</v>
      </c>
      <c r="AO210" s="72" t="e">
        <f>SUMIFS('COGS Break up'!#REF!,'COGS Break up'!#REF!,Sales4[[#This Row],[Material]],'COGS Break up'!#REF!,'MIS Working'!$AO$1)</f>
        <v>#REF!</v>
      </c>
      <c r="AP210" s="72" t="e">
        <f>SUMIFS('COGS Break up'!#REF!,'COGS Break up'!#REF!,Sales4[[#This Row],[Material]],'COGS Break up'!#REF!,'MIS Working'!$AP$1)</f>
        <v>#REF!</v>
      </c>
      <c r="AQ210" s="72" t="e">
        <f>SUMIFS('COGS Break up'!#REF!,'COGS Break up'!#REF!,Sales4[[#This Row],[Material]],'COGS Break up'!#REF!,'MIS Working'!$AQ$1)</f>
        <v>#REF!</v>
      </c>
      <c r="AR210" s="72">
        <f>Sales4[[#This Row],[Droppage per unit]]</f>
        <v>0</v>
      </c>
      <c r="AS210" s="15" t="e">
        <f>AO210*Sales4[[#This Row],[Billed Quantity]]</f>
        <v>#REF!</v>
      </c>
      <c r="AT210" s="72" t="e">
        <f>AP210*Sales4[[#This Row],[Billed Quantity]]</f>
        <v>#REF!</v>
      </c>
      <c r="AU210" s="72" t="e">
        <f>AQ210*Sales4[[#This Row],[Billed Quantity]]</f>
        <v>#REF!</v>
      </c>
      <c r="AV210" s="72">
        <f>AR210*Sales4[[#This Row],[Billed Quantity]]</f>
        <v>0</v>
      </c>
    </row>
    <row r="211" spans="1:48" x14ac:dyDescent="0.3">
      <c r="A211" s="1" t="s">
        <v>479</v>
      </c>
      <c r="B211" s="2">
        <v>45913</v>
      </c>
      <c r="C211" s="1">
        <v>3271270112</v>
      </c>
      <c r="D211" s="1" t="s">
        <v>1425</v>
      </c>
      <c r="E211" s="1" t="s">
        <v>1426</v>
      </c>
      <c r="F211" s="1" t="s">
        <v>18</v>
      </c>
      <c r="G211" s="1" t="s">
        <v>48</v>
      </c>
      <c r="H211" s="1" t="s">
        <v>168</v>
      </c>
      <c r="I211" s="3">
        <v>5000</v>
      </c>
      <c r="J211" s="4">
        <v>8350</v>
      </c>
      <c r="K211" s="3">
        <v>5000</v>
      </c>
      <c r="L211" s="3">
        <v>5000</v>
      </c>
      <c r="M211" s="2">
        <v>45913</v>
      </c>
      <c r="N211" s="4">
        <v>8350</v>
      </c>
      <c r="O211" s="1" t="s">
        <v>21</v>
      </c>
      <c r="P211" s="1" t="s">
        <v>22</v>
      </c>
      <c r="Q211" s="1">
        <v>1</v>
      </c>
      <c r="R211" s="1" t="str">
        <f>VLOOKUP(Sales4[[#This Row],[Material type]],Master!$H$3:$I$8,2,0)</f>
        <v>Raw Material</v>
      </c>
      <c r="S211" s="1" t="str">
        <f>VLOOKUP(Sales4[[#This Row],[Material Group]],Master!B:C,2,0)</f>
        <v>Raw Materials</v>
      </c>
      <c r="T211" s="1" t="str">
        <f>VLOOKUP(Sales4[[#This Row],[Material Group Descrip]],Master!E:F,2,0)</f>
        <v>Raw Material</v>
      </c>
      <c r="U211" s="9" t="b">
        <f ca="1">(TODAY()-1)=Sales4[[#This Row],[Billing Date]]</f>
        <v>0</v>
      </c>
      <c r="V211" s="10" t="e">
        <f>Sales4[[#This Row],[Net Value]]-Sales4[[#This Row],[PGI COST]]</f>
        <v>#REF!</v>
      </c>
      <c r="W211" s="11" t="e">
        <f>Sales4[[#This Row],[Gross Margin]]/Sales4[[#This Row],[Net Value]]</f>
        <v>#REF!</v>
      </c>
      <c r="X211" s="1" t="str">
        <f>TEXT(Sales4[[#This Row],[Billing Date]],"mmmm-yy")</f>
        <v>September-25</v>
      </c>
      <c r="Y211" s="1">
        <f>Sales4[[#This Row],[Net Value]]/Sales4[[#This Row],[Billed Quantity]]</f>
        <v>1.67</v>
      </c>
      <c r="Z211" s="117">
        <f>Sales4[[#This Row],[Actual delivery qty]]</f>
        <v>5000</v>
      </c>
      <c r="AA211" s="12" t="e">
        <f>SUM(Sales4[[#This Row],[BOM Cost]:[Other Conversion cost pu]])</f>
        <v>#REF!</v>
      </c>
      <c r="AB21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1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11" s="12">
        <f>IFERROR(VLOOKUP(Sales4[[#This Row],[Material]],'COGS Break up'!#REF!,5,0),0)</f>
        <v>0</v>
      </c>
      <c r="AE21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11" s="48" t="e">
        <f>Sales4[[#This Row],[PGI per unit]]-Sales4[[#This Row],[BOM Cost]]-Sales4[[#This Row],[Labour cost per unit]]-Sales4[[#This Row],[Other Conversion cost pu]]</f>
        <v>#REF!</v>
      </c>
      <c r="AG211" s="48" t="e">
        <f>Sales4[[#This Row],[BOM Cost2]]+Sales4[[#This Row],[Labour Cost]]+Sales4[[#This Row],[Other conversion cost]]</f>
        <v>#REF!</v>
      </c>
      <c r="AH211" s="12" t="e">
        <f>Sales4[[#This Row],[Billed Quantity]]*Sales4[[#This Row],[BOM Cost]]</f>
        <v>#REF!</v>
      </c>
      <c r="AI211" s="12" t="e">
        <f>Sales4[[#This Row],[Billed Quantity]]*Sales4[[#This Row],[Labour cost per unit]]</f>
        <v>#REF!</v>
      </c>
      <c r="AJ211" s="12">
        <f>Sales4[[#This Row],[Droppage per unit]]*Sales4[[#This Row],[Billed Quantity]]</f>
        <v>0</v>
      </c>
      <c r="AK211" s="12" t="e">
        <f>Sales4[[#This Row],[Billed Quantity]]*Sales4[[#This Row],[Other Conversion cost pu]]</f>
        <v>#REF!</v>
      </c>
      <c r="AL211" s="48" t="e">
        <f>Sales4[[#This Row],[PGI Amount]]-Sales4[[#This Row],[BOM Cost2]]-Sales4[[#This Row],[Labour Cost]]-Sales4[[#This Row],[Other conversion cost]]</f>
        <v>#REF!</v>
      </c>
      <c r="AM211" s="121" t="e">
        <f>1-Sales4[[#This Row],[PGI COST]]/Sales4[[#This Row],[Net Value]]</f>
        <v>#REF!</v>
      </c>
      <c r="AN211" s="1">
        <f>Sales4[[#This Row],[PGI Amount]]/Sales4[[#This Row],[Billed Quantity]]</f>
        <v>1.67</v>
      </c>
      <c r="AO211" s="72" t="e">
        <f>SUMIFS('COGS Break up'!#REF!,'COGS Break up'!#REF!,Sales4[[#This Row],[Material]],'COGS Break up'!#REF!,'MIS Working'!$AO$1)</f>
        <v>#REF!</v>
      </c>
      <c r="AP211" s="72" t="e">
        <f>SUMIFS('COGS Break up'!#REF!,'COGS Break up'!#REF!,Sales4[[#This Row],[Material]],'COGS Break up'!#REF!,'MIS Working'!$AP$1)</f>
        <v>#REF!</v>
      </c>
      <c r="AQ211" s="72" t="e">
        <f>SUMIFS('COGS Break up'!#REF!,'COGS Break up'!#REF!,Sales4[[#This Row],[Material]],'COGS Break up'!#REF!,'MIS Working'!$AQ$1)</f>
        <v>#REF!</v>
      </c>
      <c r="AR211" s="72">
        <f>Sales4[[#This Row],[Droppage per unit]]</f>
        <v>0</v>
      </c>
      <c r="AS211" s="15" t="e">
        <f>AO211*Sales4[[#This Row],[Billed Quantity]]</f>
        <v>#REF!</v>
      </c>
      <c r="AT211" s="72" t="e">
        <f>AP211*Sales4[[#This Row],[Billed Quantity]]</f>
        <v>#REF!</v>
      </c>
      <c r="AU211" s="72" t="e">
        <f>AQ211*Sales4[[#This Row],[Billed Quantity]]</f>
        <v>#REF!</v>
      </c>
      <c r="AV211" s="72">
        <f>AR211*Sales4[[#This Row],[Billed Quantity]]</f>
        <v>0</v>
      </c>
    </row>
    <row r="212" spans="1:48" x14ac:dyDescent="0.3">
      <c r="A212" s="1" t="s">
        <v>479</v>
      </c>
      <c r="B212" s="2">
        <v>45913</v>
      </c>
      <c r="C212" s="1">
        <v>3271270112</v>
      </c>
      <c r="D212" s="1" t="s">
        <v>1427</v>
      </c>
      <c r="E212" s="1" t="s">
        <v>1428</v>
      </c>
      <c r="F212" s="1" t="s">
        <v>18</v>
      </c>
      <c r="G212" s="1" t="s">
        <v>48</v>
      </c>
      <c r="H212" s="1" t="s">
        <v>168</v>
      </c>
      <c r="I212" s="3">
        <v>5000</v>
      </c>
      <c r="J212" s="4">
        <v>8350</v>
      </c>
      <c r="K212" s="3">
        <v>5000</v>
      </c>
      <c r="L212" s="3">
        <v>5000</v>
      </c>
      <c r="M212" s="2">
        <v>45913</v>
      </c>
      <c r="N212" s="4">
        <v>8350</v>
      </c>
      <c r="O212" s="1" t="s">
        <v>21</v>
      </c>
      <c r="P212" s="1" t="s">
        <v>22</v>
      </c>
      <c r="Q212" s="1">
        <v>1</v>
      </c>
      <c r="R212" s="1" t="str">
        <f>VLOOKUP(Sales4[[#This Row],[Material type]],Master!$H$3:$I$8,2,0)</f>
        <v>Raw Material</v>
      </c>
      <c r="S212" s="1" t="str">
        <f>VLOOKUP(Sales4[[#This Row],[Material Group]],Master!B:C,2,0)</f>
        <v>Raw Materials</v>
      </c>
      <c r="T212" s="1" t="str">
        <f>VLOOKUP(Sales4[[#This Row],[Material Group Descrip]],Master!E:F,2,0)</f>
        <v>Raw Material</v>
      </c>
      <c r="U212" s="9" t="b">
        <f ca="1">(TODAY()-1)=Sales4[[#This Row],[Billing Date]]</f>
        <v>0</v>
      </c>
      <c r="V212" s="10" t="e">
        <f>Sales4[[#This Row],[Net Value]]-Sales4[[#This Row],[PGI COST]]</f>
        <v>#REF!</v>
      </c>
      <c r="W212" s="11" t="e">
        <f>Sales4[[#This Row],[Gross Margin]]/Sales4[[#This Row],[Net Value]]</f>
        <v>#REF!</v>
      </c>
      <c r="X212" s="1" t="str">
        <f>TEXT(Sales4[[#This Row],[Billing Date]],"mmmm-yy")</f>
        <v>September-25</v>
      </c>
      <c r="Y212" s="1">
        <f>Sales4[[#This Row],[Net Value]]/Sales4[[#This Row],[Billed Quantity]]</f>
        <v>1.67</v>
      </c>
      <c r="Z212" s="117">
        <f>Sales4[[#This Row],[Actual delivery qty]]</f>
        <v>5000</v>
      </c>
      <c r="AA212" s="12" t="e">
        <f>SUM(Sales4[[#This Row],[BOM Cost]:[Other Conversion cost pu]])</f>
        <v>#REF!</v>
      </c>
      <c r="AB21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1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12" s="12">
        <f>IFERROR(VLOOKUP(Sales4[[#This Row],[Material]],'COGS Break up'!#REF!,5,0),0)</f>
        <v>0</v>
      </c>
      <c r="AE21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12" s="48" t="e">
        <f>Sales4[[#This Row],[PGI per unit]]-Sales4[[#This Row],[BOM Cost]]-Sales4[[#This Row],[Labour cost per unit]]-Sales4[[#This Row],[Other Conversion cost pu]]</f>
        <v>#REF!</v>
      </c>
      <c r="AG212" s="48" t="e">
        <f>Sales4[[#This Row],[BOM Cost2]]+Sales4[[#This Row],[Labour Cost]]+Sales4[[#This Row],[Other conversion cost]]</f>
        <v>#REF!</v>
      </c>
      <c r="AH212" s="12" t="e">
        <f>Sales4[[#This Row],[Billed Quantity]]*Sales4[[#This Row],[BOM Cost]]</f>
        <v>#REF!</v>
      </c>
      <c r="AI212" s="12" t="e">
        <f>Sales4[[#This Row],[Billed Quantity]]*Sales4[[#This Row],[Labour cost per unit]]</f>
        <v>#REF!</v>
      </c>
      <c r="AJ212" s="12">
        <f>Sales4[[#This Row],[Droppage per unit]]*Sales4[[#This Row],[Billed Quantity]]</f>
        <v>0</v>
      </c>
      <c r="AK212" s="12" t="e">
        <f>Sales4[[#This Row],[Billed Quantity]]*Sales4[[#This Row],[Other Conversion cost pu]]</f>
        <v>#REF!</v>
      </c>
      <c r="AL212" s="48" t="e">
        <f>Sales4[[#This Row],[PGI Amount]]-Sales4[[#This Row],[BOM Cost2]]-Sales4[[#This Row],[Labour Cost]]-Sales4[[#This Row],[Other conversion cost]]</f>
        <v>#REF!</v>
      </c>
      <c r="AM212" s="121" t="e">
        <f>1-Sales4[[#This Row],[PGI COST]]/Sales4[[#This Row],[Net Value]]</f>
        <v>#REF!</v>
      </c>
      <c r="AN212" s="1">
        <f>Sales4[[#This Row],[PGI Amount]]/Sales4[[#This Row],[Billed Quantity]]</f>
        <v>1.67</v>
      </c>
      <c r="AO212" s="72" t="e">
        <f>SUMIFS('COGS Break up'!#REF!,'COGS Break up'!#REF!,Sales4[[#This Row],[Material]],'COGS Break up'!#REF!,'MIS Working'!$AO$1)</f>
        <v>#REF!</v>
      </c>
      <c r="AP212" s="72" t="e">
        <f>SUMIFS('COGS Break up'!#REF!,'COGS Break up'!#REF!,Sales4[[#This Row],[Material]],'COGS Break up'!#REF!,'MIS Working'!$AP$1)</f>
        <v>#REF!</v>
      </c>
      <c r="AQ212" s="72" t="e">
        <f>SUMIFS('COGS Break up'!#REF!,'COGS Break up'!#REF!,Sales4[[#This Row],[Material]],'COGS Break up'!#REF!,'MIS Working'!$AQ$1)</f>
        <v>#REF!</v>
      </c>
      <c r="AR212" s="72">
        <f>Sales4[[#This Row],[Droppage per unit]]</f>
        <v>0</v>
      </c>
      <c r="AS212" s="15" t="e">
        <f>AO212*Sales4[[#This Row],[Billed Quantity]]</f>
        <v>#REF!</v>
      </c>
      <c r="AT212" s="72" t="e">
        <f>AP212*Sales4[[#This Row],[Billed Quantity]]</f>
        <v>#REF!</v>
      </c>
      <c r="AU212" s="72" t="e">
        <f>AQ212*Sales4[[#This Row],[Billed Quantity]]</f>
        <v>#REF!</v>
      </c>
      <c r="AV212" s="72">
        <f>AR212*Sales4[[#This Row],[Billed Quantity]]</f>
        <v>0</v>
      </c>
    </row>
    <row r="213" spans="1:48" x14ac:dyDescent="0.3">
      <c r="A213" s="1" t="s">
        <v>479</v>
      </c>
      <c r="B213" s="2">
        <v>45912</v>
      </c>
      <c r="C213" s="1">
        <v>3271269917</v>
      </c>
      <c r="D213" s="1" t="s">
        <v>23</v>
      </c>
      <c r="E213" s="1" t="s">
        <v>24</v>
      </c>
      <c r="F213" s="1" t="s">
        <v>18</v>
      </c>
      <c r="G213" s="1" t="s">
        <v>19</v>
      </c>
      <c r="H213" s="1" t="s">
        <v>27</v>
      </c>
      <c r="I213" s="3">
        <v>420</v>
      </c>
      <c r="J213" s="4">
        <v>178260.6</v>
      </c>
      <c r="K213" s="3">
        <v>420</v>
      </c>
      <c r="L213" s="3">
        <v>420</v>
      </c>
      <c r="M213" s="2">
        <v>45912</v>
      </c>
      <c r="N213" s="4">
        <v>202927.2</v>
      </c>
      <c r="O213" s="1" t="s">
        <v>21</v>
      </c>
      <c r="P213" s="1" t="s">
        <v>22</v>
      </c>
      <c r="Q213" s="1">
        <v>1</v>
      </c>
      <c r="R213" s="1" t="str">
        <f>VLOOKUP(Sales4[[#This Row],[Material type]],Master!$H$3:$I$8,2,0)</f>
        <v>Finished Goods</v>
      </c>
      <c r="S213" s="1" t="str">
        <f>VLOOKUP(Sales4[[#This Row],[Material Group]],Master!B:C,2,0)</f>
        <v>FG-PCB-CF</v>
      </c>
      <c r="T213" s="1" t="str">
        <f>VLOOKUP(Sales4[[#This Row],[Material Group Descrip]],Master!E:F,2,0)</f>
        <v>FG-PCB-CF</v>
      </c>
      <c r="U213" s="9" t="b">
        <f ca="1">(TODAY()-1)=Sales4[[#This Row],[Billing Date]]</f>
        <v>0</v>
      </c>
      <c r="V213" s="10" t="e">
        <f>Sales4[[#This Row],[Net Value]]-Sales4[[#This Row],[PGI COST]]</f>
        <v>#REF!</v>
      </c>
      <c r="W213" s="11" t="e">
        <f>Sales4[[#This Row],[Gross Margin]]/Sales4[[#This Row],[Net Value]]</f>
        <v>#REF!</v>
      </c>
      <c r="X213" s="1" t="str">
        <f>TEXT(Sales4[[#This Row],[Billing Date]],"mmmm-yy")</f>
        <v>September-25</v>
      </c>
      <c r="Y213" s="1">
        <f>Sales4[[#This Row],[Net Value]]/Sales4[[#This Row],[Billed Quantity]]</f>
        <v>483.16</v>
      </c>
      <c r="Z213" s="117">
        <f>Sales4[[#This Row],[Actual delivery qty]]</f>
        <v>420</v>
      </c>
      <c r="AA213" s="12" t="e">
        <f>SUM(Sales4[[#This Row],[BOM Cost]:[Other Conversion cost pu]])</f>
        <v>#REF!</v>
      </c>
      <c r="AB21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1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13" s="12">
        <f>IFERROR(VLOOKUP(Sales4[[#This Row],[Material]],'COGS Break up'!#REF!,5,0),0)</f>
        <v>0</v>
      </c>
      <c r="AE21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13" s="48" t="e">
        <f>Sales4[[#This Row],[PGI per unit]]-Sales4[[#This Row],[BOM Cost]]-Sales4[[#This Row],[Labour cost per unit]]-Sales4[[#This Row],[Other Conversion cost pu]]</f>
        <v>#REF!</v>
      </c>
      <c r="AG213" s="48" t="e">
        <f>Sales4[[#This Row],[BOM Cost2]]+Sales4[[#This Row],[Labour Cost]]+Sales4[[#This Row],[Other conversion cost]]</f>
        <v>#REF!</v>
      </c>
      <c r="AH213" s="12" t="e">
        <f>Sales4[[#This Row],[Billed Quantity]]*Sales4[[#This Row],[BOM Cost]]</f>
        <v>#REF!</v>
      </c>
      <c r="AI213" s="12" t="e">
        <f>Sales4[[#This Row],[Billed Quantity]]*Sales4[[#This Row],[Labour cost per unit]]</f>
        <v>#REF!</v>
      </c>
      <c r="AJ213" s="12">
        <f>Sales4[[#This Row],[Droppage per unit]]*Sales4[[#This Row],[Billed Quantity]]</f>
        <v>0</v>
      </c>
      <c r="AK213" s="12" t="e">
        <f>Sales4[[#This Row],[Billed Quantity]]*Sales4[[#This Row],[Other Conversion cost pu]]</f>
        <v>#REF!</v>
      </c>
      <c r="AL213" s="48" t="e">
        <f>Sales4[[#This Row],[PGI Amount]]-Sales4[[#This Row],[BOM Cost2]]-Sales4[[#This Row],[Labour Cost]]-Sales4[[#This Row],[Other conversion cost]]</f>
        <v>#REF!</v>
      </c>
      <c r="AM213" s="121" t="e">
        <f>1-Sales4[[#This Row],[PGI COST]]/Sales4[[#This Row],[Net Value]]</f>
        <v>#REF!</v>
      </c>
      <c r="AN213" s="1">
        <f>Sales4[[#This Row],[PGI Amount]]/Sales4[[#This Row],[Billed Quantity]]</f>
        <v>424.43</v>
      </c>
      <c r="AO213" s="72" t="e">
        <f>SUMIFS('COGS Break up'!#REF!,'COGS Break up'!#REF!,Sales4[[#This Row],[Material]],'COGS Break up'!#REF!,'MIS Working'!$AO$1)</f>
        <v>#REF!</v>
      </c>
      <c r="AP213" s="72" t="e">
        <f>SUMIFS('COGS Break up'!#REF!,'COGS Break up'!#REF!,Sales4[[#This Row],[Material]],'COGS Break up'!#REF!,'MIS Working'!$AP$1)</f>
        <v>#REF!</v>
      </c>
      <c r="AQ213" s="72" t="e">
        <f>SUMIFS('COGS Break up'!#REF!,'COGS Break up'!#REF!,Sales4[[#This Row],[Material]],'COGS Break up'!#REF!,'MIS Working'!$AQ$1)</f>
        <v>#REF!</v>
      </c>
      <c r="AR213" s="72">
        <f>Sales4[[#This Row],[Droppage per unit]]</f>
        <v>0</v>
      </c>
      <c r="AS213" s="15" t="e">
        <f>AO213*Sales4[[#This Row],[Billed Quantity]]</f>
        <v>#REF!</v>
      </c>
      <c r="AT213" s="72" t="e">
        <f>AP213*Sales4[[#This Row],[Billed Quantity]]</f>
        <v>#REF!</v>
      </c>
      <c r="AU213" s="72" t="e">
        <f>AQ213*Sales4[[#This Row],[Billed Quantity]]</f>
        <v>#REF!</v>
      </c>
      <c r="AV213" s="72">
        <f>AR213*Sales4[[#This Row],[Billed Quantity]]</f>
        <v>0</v>
      </c>
    </row>
    <row r="214" spans="1:48" x14ac:dyDescent="0.3">
      <c r="A214" s="1" t="s">
        <v>479</v>
      </c>
      <c r="B214" s="2">
        <v>45912</v>
      </c>
      <c r="C214" s="1">
        <v>3271269649</v>
      </c>
      <c r="D214" s="1" t="s">
        <v>362</v>
      </c>
      <c r="E214" s="1" t="s">
        <v>363</v>
      </c>
      <c r="F214" s="1" t="s">
        <v>18</v>
      </c>
      <c r="G214" s="1" t="s">
        <v>19</v>
      </c>
      <c r="H214" s="1" t="s">
        <v>483</v>
      </c>
      <c r="I214" s="3">
        <v>560</v>
      </c>
      <c r="J214" s="4">
        <v>410541.6</v>
      </c>
      <c r="K214" s="3">
        <v>560</v>
      </c>
      <c r="L214" s="3">
        <v>560</v>
      </c>
      <c r="M214" s="2">
        <v>45912</v>
      </c>
      <c r="N214" s="4">
        <v>482854.40000000002</v>
      </c>
      <c r="O214" s="1" t="s">
        <v>21</v>
      </c>
      <c r="P214" s="1" t="s">
        <v>22</v>
      </c>
      <c r="Q214" s="1">
        <v>1</v>
      </c>
      <c r="R214" s="1" t="str">
        <f>VLOOKUP(Sales4[[#This Row],[Material type]],Master!$H$3:$I$8,2,0)</f>
        <v>Finished Goods</v>
      </c>
      <c r="S214" s="1" t="str">
        <f>VLOOKUP(Sales4[[#This Row],[Material Group]],Master!B:C,2,0)</f>
        <v>FG-PCB-MG</v>
      </c>
      <c r="T214" s="1" t="str">
        <f>VLOOKUP(Sales4[[#This Row],[Material Group Descrip]],Master!E:F,2,0)</f>
        <v>FG-PCB-MG</v>
      </c>
      <c r="U214" s="9" t="b">
        <f ca="1">(TODAY()-1)=Sales4[[#This Row],[Billing Date]]</f>
        <v>0</v>
      </c>
      <c r="V214" s="10" t="e">
        <f>Sales4[[#This Row],[Net Value]]-Sales4[[#This Row],[PGI COST]]</f>
        <v>#REF!</v>
      </c>
      <c r="W214" s="11" t="e">
        <f>Sales4[[#This Row],[Gross Margin]]/Sales4[[#This Row],[Net Value]]</f>
        <v>#REF!</v>
      </c>
      <c r="X214" s="1" t="str">
        <f>TEXT(Sales4[[#This Row],[Billing Date]],"mmmm-yy")</f>
        <v>September-25</v>
      </c>
      <c r="Y214" s="1">
        <f>Sales4[[#This Row],[Net Value]]/Sales4[[#This Row],[Billed Quantity]]</f>
        <v>862.24</v>
      </c>
      <c r="Z214" s="117">
        <f>Sales4[[#This Row],[Actual delivery qty]]</f>
        <v>560</v>
      </c>
      <c r="AA214" s="12" t="e">
        <f>SUM(Sales4[[#This Row],[BOM Cost]:[Other Conversion cost pu]])</f>
        <v>#REF!</v>
      </c>
      <c r="AB21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1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14" s="12">
        <f>IFERROR(VLOOKUP(Sales4[[#This Row],[Material]],'COGS Break up'!#REF!,5,0),0)</f>
        <v>0</v>
      </c>
      <c r="AE21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14" s="48" t="e">
        <f>Sales4[[#This Row],[PGI per unit]]-Sales4[[#This Row],[BOM Cost]]-Sales4[[#This Row],[Labour cost per unit]]-Sales4[[#This Row],[Other Conversion cost pu]]</f>
        <v>#REF!</v>
      </c>
      <c r="AG214" s="48" t="e">
        <f>Sales4[[#This Row],[BOM Cost2]]+Sales4[[#This Row],[Labour Cost]]+Sales4[[#This Row],[Other conversion cost]]</f>
        <v>#REF!</v>
      </c>
      <c r="AH214" s="12" t="e">
        <f>Sales4[[#This Row],[Billed Quantity]]*Sales4[[#This Row],[BOM Cost]]</f>
        <v>#REF!</v>
      </c>
      <c r="AI214" s="12" t="e">
        <f>Sales4[[#This Row],[Billed Quantity]]*Sales4[[#This Row],[Labour cost per unit]]</f>
        <v>#REF!</v>
      </c>
      <c r="AJ214" s="12">
        <f>Sales4[[#This Row],[Droppage per unit]]*Sales4[[#This Row],[Billed Quantity]]</f>
        <v>0</v>
      </c>
      <c r="AK214" s="12" t="e">
        <f>Sales4[[#This Row],[Billed Quantity]]*Sales4[[#This Row],[Other Conversion cost pu]]</f>
        <v>#REF!</v>
      </c>
      <c r="AL214" s="48" t="e">
        <f>Sales4[[#This Row],[PGI Amount]]-Sales4[[#This Row],[BOM Cost2]]-Sales4[[#This Row],[Labour Cost]]-Sales4[[#This Row],[Other conversion cost]]</f>
        <v>#REF!</v>
      </c>
      <c r="AM214" s="121" t="e">
        <f>1-Sales4[[#This Row],[PGI COST]]/Sales4[[#This Row],[Net Value]]</f>
        <v>#REF!</v>
      </c>
      <c r="AN214" s="1">
        <f>Sales4[[#This Row],[PGI Amount]]/Sales4[[#This Row],[Billed Quantity]]</f>
        <v>733.11</v>
      </c>
      <c r="AO214" s="72" t="e">
        <f>SUMIFS('COGS Break up'!#REF!,'COGS Break up'!#REF!,Sales4[[#This Row],[Material]],'COGS Break up'!#REF!,'MIS Working'!$AO$1)</f>
        <v>#REF!</v>
      </c>
      <c r="AP214" s="72" t="e">
        <f>SUMIFS('COGS Break up'!#REF!,'COGS Break up'!#REF!,Sales4[[#This Row],[Material]],'COGS Break up'!#REF!,'MIS Working'!$AP$1)</f>
        <v>#REF!</v>
      </c>
      <c r="AQ214" s="72" t="e">
        <f>SUMIFS('COGS Break up'!#REF!,'COGS Break up'!#REF!,Sales4[[#This Row],[Material]],'COGS Break up'!#REF!,'MIS Working'!$AQ$1)</f>
        <v>#REF!</v>
      </c>
      <c r="AR214" s="72">
        <f>Sales4[[#This Row],[Droppage per unit]]</f>
        <v>0</v>
      </c>
      <c r="AS214" s="15" t="e">
        <f>AO214*Sales4[[#This Row],[Billed Quantity]]</f>
        <v>#REF!</v>
      </c>
      <c r="AT214" s="72" t="e">
        <f>AP214*Sales4[[#This Row],[Billed Quantity]]</f>
        <v>#REF!</v>
      </c>
      <c r="AU214" s="72" t="e">
        <f>AQ214*Sales4[[#This Row],[Billed Quantity]]</f>
        <v>#REF!</v>
      </c>
      <c r="AV214" s="72">
        <f>AR214*Sales4[[#This Row],[Billed Quantity]]</f>
        <v>0</v>
      </c>
    </row>
    <row r="215" spans="1:48" x14ac:dyDescent="0.3">
      <c r="A215" s="1" t="s">
        <v>479</v>
      </c>
      <c r="B215" s="2">
        <v>45912</v>
      </c>
      <c r="C215" s="1">
        <v>3271269745</v>
      </c>
      <c r="D215" s="1" t="s">
        <v>362</v>
      </c>
      <c r="E215" s="1" t="s">
        <v>363</v>
      </c>
      <c r="F215" s="1" t="s">
        <v>18</v>
      </c>
      <c r="G215" s="1" t="s">
        <v>19</v>
      </c>
      <c r="H215" s="1" t="s">
        <v>483</v>
      </c>
      <c r="I215" s="3">
        <v>210</v>
      </c>
      <c r="J215" s="4">
        <v>153953.1</v>
      </c>
      <c r="K215" s="3">
        <v>210</v>
      </c>
      <c r="L215" s="3">
        <v>210</v>
      </c>
      <c r="M215" s="2">
        <v>45912</v>
      </c>
      <c r="N215" s="4">
        <v>181070.4</v>
      </c>
      <c r="O215" s="1" t="s">
        <v>21</v>
      </c>
      <c r="P215" s="1" t="s">
        <v>22</v>
      </c>
      <c r="Q215" s="1">
        <v>1</v>
      </c>
      <c r="R215" s="1" t="str">
        <f>VLOOKUP(Sales4[[#This Row],[Material type]],Master!$H$3:$I$8,2,0)</f>
        <v>Finished Goods</v>
      </c>
      <c r="S215" s="1" t="str">
        <f>VLOOKUP(Sales4[[#This Row],[Material Group]],Master!B:C,2,0)</f>
        <v>FG-PCB-MG</v>
      </c>
      <c r="T215" s="1" t="str">
        <f>VLOOKUP(Sales4[[#This Row],[Material Group Descrip]],Master!E:F,2,0)</f>
        <v>FG-PCB-MG</v>
      </c>
      <c r="U215" s="9" t="b">
        <f ca="1">(TODAY()-1)=Sales4[[#This Row],[Billing Date]]</f>
        <v>0</v>
      </c>
      <c r="V215" s="10" t="e">
        <f>Sales4[[#This Row],[Net Value]]-Sales4[[#This Row],[PGI COST]]</f>
        <v>#REF!</v>
      </c>
      <c r="W215" s="11" t="e">
        <f>Sales4[[#This Row],[Gross Margin]]/Sales4[[#This Row],[Net Value]]</f>
        <v>#REF!</v>
      </c>
      <c r="X215" s="1" t="str">
        <f>TEXT(Sales4[[#This Row],[Billing Date]],"mmmm-yy")</f>
        <v>September-25</v>
      </c>
      <c r="Y215" s="1">
        <f>Sales4[[#This Row],[Net Value]]/Sales4[[#This Row],[Billed Quantity]]</f>
        <v>862.24</v>
      </c>
      <c r="Z215" s="117">
        <f>Sales4[[#This Row],[Actual delivery qty]]</f>
        <v>210</v>
      </c>
      <c r="AA215" s="12" t="e">
        <f>SUM(Sales4[[#This Row],[BOM Cost]:[Other Conversion cost pu]])</f>
        <v>#REF!</v>
      </c>
      <c r="AB21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1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15" s="12">
        <f>IFERROR(VLOOKUP(Sales4[[#This Row],[Material]],'COGS Break up'!#REF!,5,0),0)</f>
        <v>0</v>
      </c>
      <c r="AE21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15" s="48" t="e">
        <f>Sales4[[#This Row],[PGI per unit]]-Sales4[[#This Row],[BOM Cost]]-Sales4[[#This Row],[Labour cost per unit]]-Sales4[[#This Row],[Other Conversion cost pu]]</f>
        <v>#REF!</v>
      </c>
      <c r="AG215" s="48" t="e">
        <f>Sales4[[#This Row],[BOM Cost2]]+Sales4[[#This Row],[Labour Cost]]+Sales4[[#This Row],[Other conversion cost]]</f>
        <v>#REF!</v>
      </c>
      <c r="AH215" s="12" t="e">
        <f>Sales4[[#This Row],[Billed Quantity]]*Sales4[[#This Row],[BOM Cost]]</f>
        <v>#REF!</v>
      </c>
      <c r="AI215" s="12" t="e">
        <f>Sales4[[#This Row],[Billed Quantity]]*Sales4[[#This Row],[Labour cost per unit]]</f>
        <v>#REF!</v>
      </c>
      <c r="AJ215" s="12">
        <f>Sales4[[#This Row],[Droppage per unit]]*Sales4[[#This Row],[Billed Quantity]]</f>
        <v>0</v>
      </c>
      <c r="AK215" s="12" t="e">
        <f>Sales4[[#This Row],[Billed Quantity]]*Sales4[[#This Row],[Other Conversion cost pu]]</f>
        <v>#REF!</v>
      </c>
      <c r="AL215" s="48" t="e">
        <f>Sales4[[#This Row],[PGI Amount]]-Sales4[[#This Row],[BOM Cost2]]-Sales4[[#This Row],[Labour Cost]]-Sales4[[#This Row],[Other conversion cost]]</f>
        <v>#REF!</v>
      </c>
      <c r="AM215" s="121" t="e">
        <f>1-Sales4[[#This Row],[PGI COST]]/Sales4[[#This Row],[Net Value]]</f>
        <v>#REF!</v>
      </c>
      <c r="AN215" s="1">
        <f>Sales4[[#This Row],[PGI Amount]]/Sales4[[#This Row],[Billed Quantity]]</f>
        <v>733.11</v>
      </c>
      <c r="AO215" s="72" t="e">
        <f>SUMIFS('COGS Break up'!#REF!,'COGS Break up'!#REF!,Sales4[[#This Row],[Material]],'COGS Break up'!#REF!,'MIS Working'!$AO$1)</f>
        <v>#REF!</v>
      </c>
      <c r="AP215" s="72" t="e">
        <f>SUMIFS('COGS Break up'!#REF!,'COGS Break up'!#REF!,Sales4[[#This Row],[Material]],'COGS Break up'!#REF!,'MIS Working'!$AP$1)</f>
        <v>#REF!</v>
      </c>
      <c r="AQ215" s="72" t="e">
        <f>SUMIFS('COGS Break up'!#REF!,'COGS Break up'!#REF!,Sales4[[#This Row],[Material]],'COGS Break up'!#REF!,'MIS Working'!$AQ$1)</f>
        <v>#REF!</v>
      </c>
      <c r="AR215" s="72">
        <f>Sales4[[#This Row],[Droppage per unit]]</f>
        <v>0</v>
      </c>
      <c r="AS215" s="15" t="e">
        <f>AO215*Sales4[[#This Row],[Billed Quantity]]</f>
        <v>#REF!</v>
      </c>
      <c r="AT215" s="72" t="e">
        <f>AP215*Sales4[[#This Row],[Billed Quantity]]</f>
        <v>#REF!</v>
      </c>
      <c r="AU215" s="72" t="e">
        <f>AQ215*Sales4[[#This Row],[Billed Quantity]]</f>
        <v>#REF!</v>
      </c>
      <c r="AV215" s="72">
        <f>AR215*Sales4[[#This Row],[Billed Quantity]]</f>
        <v>0</v>
      </c>
    </row>
    <row r="216" spans="1:48" x14ac:dyDescent="0.3">
      <c r="A216" s="1" t="s">
        <v>479</v>
      </c>
      <c r="B216" s="2">
        <v>45912</v>
      </c>
      <c r="C216" s="1">
        <v>3271269917</v>
      </c>
      <c r="D216" s="1" t="s">
        <v>362</v>
      </c>
      <c r="E216" s="1" t="s">
        <v>363</v>
      </c>
      <c r="F216" s="1" t="s">
        <v>18</v>
      </c>
      <c r="G216" s="1" t="s">
        <v>19</v>
      </c>
      <c r="H216" s="1" t="s">
        <v>483</v>
      </c>
      <c r="I216" s="3">
        <v>350</v>
      </c>
      <c r="J216" s="4">
        <v>256588.5</v>
      </c>
      <c r="K216" s="3">
        <v>350</v>
      </c>
      <c r="L216" s="3">
        <v>350</v>
      </c>
      <c r="M216" s="2">
        <v>45912</v>
      </c>
      <c r="N216" s="4">
        <v>301784</v>
      </c>
      <c r="O216" s="1" t="s">
        <v>21</v>
      </c>
      <c r="P216" s="1" t="s">
        <v>22</v>
      </c>
      <c r="Q216" s="1">
        <v>1</v>
      </c>
      <c r="R216" s="1" t="str">
        <f>VLOOKUP(Sales4[[#This Row],[Material type]],Master!$H$3:$I$8,2,0)</f>
        <v>Finished Goods</v>
      </c>
      <c r="S216" s="1" t="str">
        <f>VLOOKUP(Sales4[[#This Row],[Material Group]],Master!B:C,2,0)</f>
        <v>FG-PCB-MG</v>
      </c>
      <c r="T216" s="1" t="str">
        <f>VLOOKUP(Sales4[[#This Row],[Material Group Descrip]],Master!E:F,2,0)</f>
        <v>FG-PCB-MG</v>
      </c>
      <c r="U216" s="9" t="b">
        <f ca="1">(TODAY()-1)=Sales4[[#This Row],[Billing Date]]</f>
        <v>0</v>
      </c>
      <c r="V216" s="10" t="e">
        <f>Sales4[[#This Row],[Net Value]]-Sales4[[#This Row],[PGI COST]]</f>
        <v>#REF!</v>
      </c>
      <c r="W216" s="11" t="e">
        <f>Sales4[[#This Row],[Gross Margin]]/Sales4[[#This Row],[Net Value]]</f>
        <v>#REF!</v>
      </c>
      <c r="X216" s="1" t="str">
        <f>TEXT(Sales4[[#This Row],[Billing Date]],"mmmm-yy")</f>
        <v>September-25</v>
      </c>
      <c r="Y216" s="1">
        <f>Sales4[[#This Row],[Net Value]]/Sales4[[#This Row],[Billed Quantity]]</f>
        <v>862.24</v>
      </c>
      <c r="Z216" s="117">
        <f>Sales4[[#This Row],[Actual delivery qty]]</f>
        <v>350</v>
      </c>
      <c r="AA216" s="12" t="e">
        <f>SUM(Sales4[[#This Row],[BOM Cost]:[Other Conversion cost pu]])</f>
        <v>#REF!</v>
      </c>
      <c r="AB21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1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16" s="12">
        <f>IFERROR(VLOOKUP(Sales4[[#This Row],[Material]],'COGS Break up'!#REF!,5,0),0)</f>
        <v>0</v>
      </c>
      <c r="AE21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16" s="48" t="e">
        <f>Sales4[[#This Row],[PGI per unit]]-Sales4[[#This Row],[BOM Cost]]-Sales4[[#This Row],[Labour cost per unit]]-Sales4[[#This Row],[Other Conversion cost pu]]</f>
        <v>#REF!</v>
      </c>
      <c r="AG216" s="48" t="e">
        <f>Sales4[[#This Row],[BOM Cost2]]+Sales4[[#This Row],[Labour Cost]]+Sales4[[#This Row],[Other conversion cost]]</f>
        <v>#REF!</v>
      </c>
      <c r="AH216" s="12" t="e">
        <f>Sales4[[#This Row],[Billed Quantity]]*Sales4[[#This Row],[BOM Cost]]</f>
        <v>#REF!</v>
      </c>
      <c r="AI216" s="12" t="e">
        <f>Sales4[[#This Row],[Billed Quantity]]*Sales4[[#This Row],[Labour cost per unit]]</f>
        <v>#REF!</v>
      </c>
      <c r="AJ216" s="12">
        <f>Sales4[[#This Row],[Droppage per unit]]*Sales4[[#This Row],[Billed Quantity]]</f>
        <v>0</v>
      </c>
      <c r="AK216" s="12" t="e">
        <f>Sales4[[#This Row],[Billed Quantity]]*Sales4[[#This Row],[Other Conversion cost pu]]</f>
        <v>#REF!</v>
      </c>
      <c r="AL216" s="48" t="e">
        <f>Sales4[[#This Row],[PGI Amount]]-Sales4[[#This Row],[BOM Cost2]]-Sales4[[#This Row],[Labour Cost]]-Sales4[[#This Row],[Other conversion cost]]</f>
        <v>#REF!</v>
      </c>
      <c r="AM216" s="121" t="e">
        <f>1-Sales4[[#This Row],[PGI COST]]/Sales4[[#This Row],[Net Value]]</f>
        <v>#REF!</v>
      </c>
      <c r="AN216" s="1">
        <f>Sales4[[#This Row],[PGI Amount]]/Sales4[[#This Row],[Billed Quantity]]</f>
        <v>733.11</v>
      </c>
      <c r="AO216" s="72" t="e">
        <f>SUMIFS('COGS Break up'!#REF!,'COGS Break up'!#REF!,Sales4[[#This Row],[Material]],'COGS Break up'!#REF!,'MIS Working'!$AO$1)</f>
        <v>#REF!</v>
      </c>
      <c r="AP216" s="72" t="e">
        <f>SUMIFS('COGS Break up'!#REF!,'COGS Break up'!#REF!,Sales4[[#This Row],[Material]],'COGS Break up'!#REF!,'MIS Working'!$AP$1)</f>
        <v>#REF!</v>
      </c>
      <c r="AQ216" s="72" t="e">
        <f>SUMIFS('COGS Break up'!#REF!,'COGS Break up'!#REF!,Sales4[[#This Row],[Material]],'COGS Break up'!#REF!,'MIS Working'!$AQ$1)</f>
        <v>#REF!</v>
      </c>
      <c r="AR216" s="72">
        <f>Sales4[[#This Row],[Droppage per unit]]</f>
        <v>0</v>
      </c>
      <c r="AS216" s="15" t="e">
        <f>AO216*Sales4[[#This Row],[Billed Quantity]]</f>
        <v>#REF!</v>
      </c>
      <c r="AT216" s="72" t="e">
        <f>AP216*Sales4[[#This Row],[Billed Quantity]]</f>
        <v>#REF!</v>
      </c>
      <c r="AU216" s="72" t="e">
        <f>AQ216*Sales4[[#This Row],[Billed Quantity]]</f>
        <v>#REF!</v>
      </c>
      <c r="AV216" s="72">
        <f>AR216*Sales4[[#This Row],[Billed Quantity]]</f>
        <v>0</v>
      </c>
    </row>
    <row r="217" spans="1:48" x14ac:dyDescent="0.3">
      <c r="A217" s="1" t="s">
        <v>479</v>
      </c>
      <c r="B217" s="2">
        <v>45912</v>
      </c>
      <c r="C217" s="1">
        <v>3271269649</v>
      </c>
      <c r="D217" s="1" t="s">
        <v>364</v>
      </c>
      <c r="E217" s="1" t="s">
        <v>365</v>
      </c>
      <c r="F217" s="1" t="s">
        <v>18</v>
      </c>
      <c r="G217" s="1" t="s">
        <v>19</v>
      </c>
      <c r="H217" s="1" t="s">
        <v>771</v>
      </c>
      <c r="I217" s="3">
        <v>520</v>
      </c>
      <c r="J217" s="4">
        <v>56695.6</v>
      </c>
      <c r="K217" s="3">
        <v>520</v>
      </c>
      <c r="L217" s="3">
        <v>520</v>
      </c>
      <c r="M217" s="2">
        <v>45912</v>
      </c>
      <c r="N217" s="4">
        <v>52644.800000000003</v>
      </c>
      <c r="O217" s="1" t="s">
        <v>21</v>
      </c>
      <c r="P217" s="1" t="s">
        <v>22</v>
      </c>
      <c r="Q217" s="1">
        <v>1</v>
      </c>
      <c r="R217" s="1" t="str">
        <f>VLOOKUP(Sales4[[#This Row],[Material type]],Master!$H$3:$I$8,2,0)</f>
        <v>Finished Goods</v>
      </c>
      <c r="S217" s="1" t="str">
        <f>VLOOKUP(Sales4[[#This Row],[Material Group]],Master!B:C,2,0)</f>
        <v>FG-PCB-MG Interface</v>
      </c>
      <c r="T217" s="1" t="str">
        <f>VLOOKUP(Sales4[[#This Row],[Material Group Descrip]],Master!E:F,2,0)</f>
        <v>FG-PCB-MG</v>
      </c>
      <c r="U217" s="9" t="b">
        <f ca="1">(TODAY()-1)=Sales4[[#This Row],[Billing Date]]</f>
        <v>0</v>
      </c>
      <c r="V217" s="10" t="e">
        <f>Sales4[[#This Row],[Net Value]]-Sales4[[#This Row],[PGI COST]]</f>
        <v>#REF!</v>
      </c>
      <c r="W217" s="11" t="e">
        <f>Sales4[[#This Row],[Gross Margin]]/Sales4[[#This Row],[Net Value]]</f>
        <v>#REF!</v>
      </c>
      <c r="X217" s="1" t="str">
        <f>TEXT(Sales4[[#This Row],[Billing Date]],"mmmm-yy")</f>
        <v>September-25</v>
      </c>
      <c r="Y217" s="1">
        <f>Sales4[[#This Row],[Net Value]]/Sales4[[#This Row],[Billed Quantity]]</f>
        <v>101.24000000000001</v>
      </c>
      <c r="Z217" s="117"/>
      <c r="AA217" s="12" t="e">
        <f>SUM(Sales4[[#This Row],[BOM Cost]:[Other Conversion cost pu]])</f>
        <v>#REF!</v>
      </c>
      <c r="AB21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1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17" s="12">
        <f>IFERROR(VLOOKUP(Sales4[[#This Row],[Material]],'COGS Break up'!#REF!,5,0),0)</f>
        <v>0</v>
      </c>
      <c r="AE21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17" s="48" t="e">
        <f>Sales4[[#This Row],[PGI per unit]]-Sales4[[#This Row],[BOM Cost]]-Sales4[[#This Row],[Labour cost per unit]]-Sales4[[#This Row],[Other Conversion cost pu]]</f>
        <v>#REF!</v>
      </c>
      <c r="AG217" s="48" t="e">
        <f>Sales4[[#This Row],[BOM Cost2]]+Sales4[[#This Row],[Labour Cost]]+Sales4[[#This Row],[Other conversion cost]]</f>
        <v>#REF!</v>
      </c>
      <c r="AH217" s="12" t="e">
        <f>Sales4[[#This Row],[Billed Quantity]]*Sales4[[#This Row],[BOM Cost]]</f>
        <v>#REF!</v>
      </c>
      <c r="AI217" s="12" t="e">
        <f>Sales4[[#This Row],[Billed Quantity]]*Sales4[[#This Row],[Labour cost per unit]]</f>
        <v>#REF!</v>
      </c>
      <c r="AJ217" s="12">
        <f>Sales4[[#This Row],[Droppage per unit]]*Sales4[[#This Row],[Billed Quantity]]</f>
        <v>0</v>
      </c>
      <c r="AK217" s="12" t="e">
        <f>Sales4[[#This Row],[Billed Quantity]]*Sales4[[#This Row],[Other Conversion cost pu]]</f>
        <v>#REF!</v>
      </c>
      <c r="AL217" s="48" t="e">
        <f>Sales4[[#This Row],[PGI Amount]]-Sales4[[#This Row],[BOM Cost2]]-Sales4[[#This Row],[Labour Cost]]-Sales4[[#This Row],[Other conversion cost]]</f>
        <v>#REF!</v>
      </c>
      <c r="AM217" s="121" t="e">
        <f>1-Sales4[[#This Row],[PGI COST]]/Sales4[[#This Row],[Net Value]]</f>
        <v>#REF!</v>
      </c>
      <c r="AN217" s="1">
        <f>Sales4[[#This Row],[PGI Amount]]/Sales4[[#This Row],[Billed Quantity]]</f>
        <v>109.03</v>
      </c>
      <c r="AO217" s="72" t="e">
        <f>SUMIFS('COGS Break up'!#REF!,'COGS Break up'!#REF!,Sales4[[#This Row],[Material]],'COGS Break up'!#REF!,'MIS Working'!$AO$1)</f>
        <v>#REF!</v>
      </c>
      <c r="AP217" s="72" t="e">
        <f>SUMIFS('COGS Break up'!#REF!,'COGS Break up'!#REF!,Sales4[[#This Row],[Material]],'COGS Break up'!#REF!,'MIS Working'!$AP$1)</f>
        <v>#REF!</v>
      </c>
      <c r="AQ217" s="72" t="e">
        <f>SUMIFS('COGS Break up'!#REF!,'COGS Break up'!#REF!,Sales4[[#This Row],[Material]],'COGS Break up'!#REF!,'MIS Working'!$AQ$1)</f>
        <v>#REF!</v>
      </c>
      <c r="AR217" s="72">
        <f>Sales4[[#This Row],[Droppage per unit]]</f>
        <v>0</v>
      </c>
      <c r="AS217" s="15" t="e">
        <f>AO217*Sales4[[#This Row],[Billed Quantity]]</f>
        <v>#REF!</v>
      </c>
      <c r="AT217" s="72" t="e">
        <f>AP217*Sales4[[#This Row],[Billed Quantity]]</f>
        <v>#REF!</v>
      </c>
      <c r="AU217" s="72" t="e">
        <f>AQ217*Sales4[[#This Row],[Billed Quantity]]</f>
        <v>#REF!</v>
      </c>
      <c r="AV217" s="72">
        <f>AR217*Sales4[[#This Row],[Billed Quantity]]</f>
        <v>0</v>
      </c>
    </row>
    <row r="218" spans="1:48" x14ac:dyDescent="0.3">
      <c r="A218" s="1" t="s">
        <v>479</v>
      </c>
      <c r="B218" s="2">
        <v>45912</v>
      </c>
      <c r="C218" s="1">
        <v>3271269745</v>
      </c>
      <c r="D218" s="1" t="s">
        <v>364</v>
      </c>
      <c r="E218" s="1" t="s">
        <v>365</v>
      </c>
      <c r="F218" s="1" t="s">
        <v>18</v>
      </c>
      <c r="G218" s="1" t="s">
        <v>19</v>
      </c>
      <c r="H218" s="1" t="s">
        <v>771</v>
      </c>
      <c r="I218" s="3">
        <v>385</v>
      </c>
      <c r="J218" s="4">
        <v>41976.55</v>
      </c>
      <c r="K218" s="3">
        <v>385</v>
      </c>
      <c r="L218" s="3">
        <v>385</v>
      </c>
      <c r="M218" s="2">
        <v>45912</v>
      </c>
      <c r="N218" s="4">
        <v>38977.4</v>
      </c>
      <c r="O218" s="1" t="s">
        <v>21</v>
      </c>
      <c r="P218" s="1" t="s">
        <v>22</v>
      </c>
      <c r="Q218" s="1">
        <v>1</v>
      </c>
      <c r="R218" s="1" t="str">
        <f>VLOOKUP(Sales4[[#This Row],[Material type]],Master!$H$3:$I$8,2,0)</f>
        <v>Finished Goods</v>
      </c>
      <c r="S218" s="1" t="str">
        <f>VLOOKUP(Sales4[[#This Row],[Material Group]],Master!B:C,2,0)</f>
        <v>FG-PCB-MG Interface</v>
      </c>
      <c r="T218" s="1" t="str">
        <f>VLOOKUP(Sales4[[#This Row],[Material Group Descrip]],Master!E:F,2,0)</f>
        <v>FG-PCB-MG</v>
      </c>
      <c r="U218" s="9" t="b">
        <f ca="1">(TODAY()-1)=Sales4[[#This Row],[Billing Date]]</f>
        <v>0</v>
      </c>
      <c r="V218" s="10" t="e">
        <f>Sales4[[#This Row],[Net Value]]-Sales4[[#This Row],[PGI COST]]</f>
        <v>#REF!</v>
      </c>
      <c r="W218" s="11" t="e">
        <f>Sales4[[#This Row],[Gross Margin]]/Sales4[[#This Row],[Net Value]]</f>
        <v>#REF!</v>
      </c>
      <c r="X218" s="1" t="str">
        <f>TEXT(Sales4[[#This Row],[Billing Date]],"mmmm-yy")</f>
        <v>September-25</v>
      </c>
      <c r="Y218" s="1">
        <f>Sales4[[#This Row],[Net Value]]/Sales4[[#This Row],[Billed Quantity]]</f>
        <v>101.24000000000001</v>
      </c>
      <c r="Z218" s="117"/>
      <c r="AA218" s="12" t="e">
        <f>SUM(Sales4[[#This Row],[BOM Cost]:[Other Conversion cost pu]])</f>
        <v>#REF!</v>
      </c>
      <c r="AB21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1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18" s="12">
        <f>IFERROR(VLOOKUP(Sales4[[#This Row],[Material]],'COGS Break up'!#REF!,5,0),0)</f>
        <v>0</v>
      </c>
      <c r="AE21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18" s="48" t="e">
        <f>Sales4[[#This Row],[PGI per unit]]-Sales4[[#This Row],[BOM Cost]]-Sales4[[#This Row],[Labour cost per unit]]-Sales4[[#This Row],[Other Conversion cost pu]]</f>
        <v>#REF!</v>
      </c>
      <c r="AG218" s="48" t="e">
        <f>Sales4[[#This Row],[BOM Cost2]]+Sales4[[#This Row],[Labour Cost]]+Sales4[[#This Row],[Other conversion cost]]</f>
        <v>#REF!</v>
      </c>
      <c r="AH218" s="12" t="e">
        <f>Sales4[[#This Row],[Billed Quantity]]*Sales4[[#This Row],[BOM Cost]]</f>
        <v>#REF!</v>
      </c>
      <c r="AI218" s="12" t="e">
        <f>Sales4[[#This Row],[Billed Quantity]]*Sales4[[#This Row],[Labour cost per unit]]</f>
        <v>#REF!</v>
      </c>
      <c r="AJ218" s="12">
        <f>Sales4[[#This Row],[Droppage per unit]]*Sales4[[#This Row],[Billed Quantity]]</f>
        <v>0</v>
      </c>
      <c r="AK218" s="12" t="e">
        <f>Sales4[[#This Row],[Billed Quantity]]*Sales4[[#This Row],[Other Conversion cost pu]]</f>
        <v>#REF!</v>
      </c>
      <c r="AL218" s="48" t="e">
        <f>Sales4[[#This Row],[PGI Amount]]-Sales4[[#This Row],[BOM Cost2]]-Sales4[[#This Row],[Labour Cost]]-Sales4[[#This Row],[Other conversion cost]]</f>
        <v>#REF!</v>
      </c>
      <c r="AM218" s="121" t="e">
        <f>1-Sales4[[#This Row],[PGI COST]]/Sales4[[#This Row],[Net Value]]</f>
        <v>#REF!</v>
      </c>
      <c r="AN218" s="1">
        <f>Sales4[[#This Row],[PGI Amount]]/Sales4[[#This Row],[Billed Quantity]]</f>
        <v>109.03</v>
      </c>
      <c r="AO218" s="72" t="e">
        <f>SUMIFS('COGS Break up'!#REF!,'COGS Break up'!#REF!,Sales4[[#This Row],[Material]],'COGS Break up'!#REF!,'MIS Working'!$AO$1)</f>
        <v>#REF!</v>
      </c>
      <c r="AP218" s="72" t="e">
        <f>SUMIFS('COGS Break up'!#REF!,'COGS Break up'!#REF!,Sales4[[#This Row],[Material]],'COGS Break up'!#REF!,'MIS Working'!$AP$1)</f>
        <v>#REF!</v>
      </c>
      <c r="AQ218" s="72" t="e">
        <f>SUMIFS('COGS Break up'!#REF!,'COGS Break up'!#REF!,Sales4[[#This Row],[Material]],'COGS Break up'!#REF!,'MIS Working'!$AQ$1)</f>
        <v>#REF!</v>
      </c>
      <c r="AR218" s="72">
        <f>Sales4[[#This Row],[Droppage per unit]]</f>
        <v>0</v>
      </c>
      <c r="AS218" s="15" t="e">
        <f>AO218*Sales4[[#This Row],[Billed Quantity]]</f>
        <v>#REF!</v>
      </c>
      <c r="AT218" s="72" t="e">
        <f>AP218*Sales4[[#This Row],[Billed Quantity]]</f>
        <v>#REF!</v>
      </c>
      <c r="AU218" s="72" t="e">
        <f>AQ218*Sales4[[#This Row],[Billed Quantity]]</f>
        <v>#REF!</v>
      </c>
      <c r="AV218" s="72">
        <f>AR218*Sales4[[#This Row],[Billed Quantity]]</f>
        <v>0</v>
      </c>
    </row>
    <row r="219" spans="1:48" x14ac:dyDescent="0.3">
      <c r="A219" s="1" t="s">
        <v>479</v>
      </c>
      <c r="B219" s="2">
        <v>45912</v>
      </c>
      <c r="C219" s="1">
        <v>3271269917</v>
      </c>
      <c r="D219" s="1" t="s">
        <v>364</v>
      </c>
      <c r="E219" s="1" t="s">
        <v>365</v>
      </c>
      <c r="F219" s="1" t="s">
        <v>18</v>
      </c>
      <c r="G219" s="1" t="s">
        <v>19</v>
      </c>
      <c r="H219" s="1" t="s">
        <v>771</v>
      </c>
      <c r="I219" s="3">
        <v>245</v>
      </c>
      <c r="J219" s="4">
        <v>26712.35</v>
      </c>
      <c r="K219" s="3">
        <v>245</v>
      </c>
      <c r="L219" s="3">
        <v>245</v>
      </c>
      <c r="M219" s="2">
        <v>45912</v>
      </c>
      <c r="N219" s="4">
        <v>24803.8</v>
      </c>
      <c r="O219" s="1" t="s">
        <v>21</v>
      </c>
      <c r="P219" s="1" t="s">
        <v>22</v>
      </c>
      <c r="Q219" s="1">
        <v>1</v>
      </c>
      <c r="R219" s="1" t="str">
        <f>VLOOKUP(Sales4[[#This Row],[Material type]],Master!$H$3:$I$8,2,0)</f>
        <v>Finished Goods</v>
      </c>
      <c r="S219" s="1" t="str">
        <f>VLOOKUP(Sales4[[#This Row],[Material Group]],Master!B:C,2,0)</f>
        <v>FG-PCB-MG Interface</v>
      </c>
      <c r="T219" s="1" t="str">
        <f>VLOOKUP(Sales4[[#This Row],[Material Group Descrip]],Master!E:F,2,0)</f>
        <v>FG-PCB-MG</v>
      </c>
      <c r="U219" s="9" t="b">
        <f ca="1">(TODAY()-1)=Sales4[[#This Row],[Billing Date]]</f>
        <v>0</v>
      </c>
      <c r="V219" s="10" t="e">
        <f>Sales4[[#This Row],[Net Value]]-Sales4[[#This Row],[PGI COST]]</f>
        <v>#REF!</v>
      </c>
      <c r="W219" s="11" t="e">
        <f>Sales4[[#This Row],[Gross Margin]]/Sales4[[#This Row],[Net Value]]</f>
        <v>#REF!</v>
      </c>
      <c r="X219" s="1" t="str">
        <f>TEXT(Sales4[[#This Row],[Billing Date]],"mmmm-yy")</f>
        <v>September-25</v>
      </c>
      <c r="Y219" s="1">
        <f>Sales4[[#This Row],[Net Value]]/Sales4[[#This Row],[Billed Quantity]]</f>
        <v>101.24</v>
      </c>
      <c r="Z219" s="117"/>
      <c r="AA219" s="12" t="e">
        <f>SUM(Sales4[[#This Row],[BOM Cost]:[Other Conversion cost pu]])</f>
        <v>#REF!</v>
      </c>
      <c r="AB21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1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19" s="12">
        <f>IFERROR(VLOOKUP(Sales4[[#This Row],[Material]],'COGS Break up'!#REF!,5,0),0)</f>
        <v>0</v>
      </c>
      <c r="AE21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19" s="48" t="e">
        <f>Sales4[[#This Row],[PGI per unit]]-Sales4[[#This Row],[BOM Cost]]-Sales4[[#This Row],[Labour cost per unit]]-Sales4[[#This Row],[Other Conversion cost pu]]</f>
        <v>#REF!</v>
      </c>
      <c r="AG219" s="48" t="e">
        <f>Sales4[[#This Row],[BOM Cost2]]+Sales4[[#This Row],[Labour Cost]]+Sales4[[#This Row],[Other conversion cost]]</f>
        <v>#REF!</v>
      </c>
      <c r="AH219" s="12" t="e">
        <f>Sales4[[#This Row],[Billed Quantity]]*Sales4[[#This Row],[BOM Cost]]</f>
        <v>#REF!</v>
      </c>
      <c r="AI219" s="12" t="e">
        <f>Sales4[[#This Row],[Billed Quantity]]*Sales4[[#This Row],[Labour cost per unit]]</f>
        <v>#REF!</v>
      </c>
      <c r="AJ219" s="12">
        <f>Sales4[[#This Row],[Droppage per unit]]*Sales4[[#This Row],[Billed Quantity]]</f>
        <v>0</v>
      </c>
      <c r="AK219" s="12" t="e">
        <f>Sales4[[#This Row],[Billed Quantity]]*Sales4[[#This Row],[Other Conversion cost pu]]</f>
        <v>#REF!</v>
      </c>
      <c r="AL219" s="48" t="e">
        <f>Sales4[[#This Row],[PGI Amount]]-Sales4[[#This Row],[BOM Cost2]]-Sales4[[#This Row],[Labour Cost]]-Sales4[[#This Row],[Other conversion cost]]</f>
        <v>#REF!</v>
      </c>
      <c r="AM219" s="121" t="e">
        <f>1-Sales4[[#This Row],[PGI COST]]/Sales4[[#This Row],[Net Value]]</f>
        <v>#REF!</v>
      </c>
      <c r="AN219" s="1">
        <f>Sales4[[#This Row],[PGI Amount]]/Sales4[[#This Row],[Billed Quantity]]</f>
        <v>109.03</v>
      </c>
      <c r="AO219" s="72" t="e">
        <f>SUMIFS('COGS Break up'!#REF!,'COGS Break up'!#REF!,Sales4[[#This Row],[Material]],'COGS Break up'!#REF!,'MIS Working'!$AO$1)</f>
        <v>#REF!</v>
      </c>
      <c r="AP219" s="72" t="e">
        <f>SUMIFS('COGS Break up'!#REF!,'COGS Break up'!#REF!,Sales4[[#This Row],[Material]],'COGS Break up'!#REF!,'MIS Working'!$AP$1)</f>
        <v>#REF!</v>
      </c>
      <c r="AQ219" s="72" t="e">
        <f>SUMIFS('COGS Break up'!#REF!,'COGS Break up'!#REF!,Sales4[[#This Row],[Material]],'COGS Break up'!#REF!,'MIS Working'!$AQ$1)</f>
        <v>#REF!</v>
      </c>
      <c r="AR219" s="72">
        <f>Sales4[[#This Row],[Droppage per unit]]</f>
        <v>0</v>
      </c>
      <c r="AS219" s="15" t="e">
        <f>AO219*Sales4[[#This Row],[Billed Quantity]]</f>
        <v>#REF!</v>
      </c>
      <c r="AT219" s="72" t="e">
        <f>AP219*Sales4[[#This Row],[Billed Quantity]]</f>
        <v>#REF!</v>
      </c>
      <c r="AU219" s="72" t="e">
        <f>AQ219*Sales4[[#This Row],[Billed Quantity]]</f>
        <v>#REF!</v>
      </c>
      <c r="AV219" s="72">
        <f>AR219*Sales4[[#This Row],[Billed Quantity]]</f>
        <v>0</v>
      </c>
    </row>
    <row r="220" spans="1:48" x14ac:dyDescent="0.3">
      <c r="A220" s="1" t="s">
        <v>479</v>
      </c>
      <c r="B220" s="2">
        <v>45912</v>
      </c>
      <c r="C220" s="1">
        <v>3271269682</v>
      </c>
      <c r="D220" s="1" t="s">
        <v>46</v>
      </c>
      <c r="E220" s="1" t="s">
        <v>47</v>
      </c>
      <c r="F220" s="1" t="s">
        <v>18</v>
      </c>
      <c r="G220" s="1" t="s">
        <v>19</v>
      </c>
      <c r="H220" s="1" t="s">
        <v>27</v>
      </c>
      <c r="I220" s="3">
        <v>1120</v>
      </c>
      <c r="J220" s="4">
        <v>368961.6</v>
      </c>
      <c r="K220" s="3">
        <v>1120</v>
      </c>
      <c r="L220" s="3">
        <v>1120</v>
      </c>
      <c r="M220" s="2">
        <v>45912</v>
      </c>
      <c r="N220" s="4">
        <v>401284.8</v>
      </c>
      <c r="O220" s="1" t="s">
        <v>21</v>
      </c>
      <c r="P220" s="1" t="s">
        <v>22</v>
      </c>
      <c r="Q220" s="1">
        <v>1</v>
      </c>
      <c r="R220" s="1" t="str">
        <f>VLOOKUP(Sales4[[#This Row],[Material type]],Master!$H$3:$I$8,2,0)</f>
        <v>Finished Goods</v>
      </c>
      <c r="S220" s="1" t="str">
        <f>VLOOKUP(Sales4[[#This Row],[Material Group]],Master!B:C,2,0)</f>
        <v>FG-PCB-CF</v>
      </c>
      <c r="T220" s="1" t="str">
        <f>VLOOKUP(Sales4[[#This Row],[Material Group Descrip]],Master!E:F,2,0)</f>
        <v>FG-PCB-CF</v>
      </c>
      <c r="U220" s="9" t="b">
        <f ca="1">(TODAY()-1)=Sales4[[#This Row],[Billing Date]]</f>
        <v>0</v>
      </c>
      <c r="V220" s="10" t="e">
        <f>Sales4[[#This Row],[Net Value]]-Sales4[[#This Row],[PGI COST]]</f>
        <v>#REF!</v>
      </c>
      <c r="W220" s="11" t="e">
        <f>Sales4[[#This Row],[Gross Margin]]/Sales4[[#This Row],[Net Value]]</f>
        <v>#REF!</v>
      </c>
      <c r="X220" s="1" t="str">
        <f>TEXT(Sales4[[#This Row],[Billing Date]],"mmmm-yy")</f>
        <v>September-25</v>
      </c>
      <c r="Y220" s="1">
        <f>Sales4[[#This Row],[Net Value]]/Sales4[[#This Row],[Billed Quantity]]</f>
        <v>358.28999999999996</v>
      </c>
      <c r="Z220" s="117">
        <f>Sales4[[#This Row],[Actual delivery qty]]</f>
        <v>1120</v>
      </c>
      <c r="AA220" s="12" t="e">
        <f>SUM(Sales4[[#This Row],[BOM Cost]:[Other Conversion cost pu]])</f>
        <v>#REF!</v>
      </c>
      <c r="AB22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2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20" s="12">
        <f>IFERROR(VLOOKUP(Sales4[[#This Row],[Material]],'COGS Break up'!#REF!,5,0),0)</f>
        <v>0</v>
      </c>
      <c r="AE22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20" s="48" t="e">
        <f>Sales4[[#This Row],[PGI per unit]]-Sales4[[#This Row],[BOM Cost]]-Sales4[[#This Row],[Labour cost per unit]]-Sales4[[#This Row],[Other Conversion cost pu]]</f>
        <v>#REF!</v>
      </c>
      <c r="AG220" s="48" t="e">
        <f>Sales4[[#This Row],[BOM Cost2]]+Sales4[[#This Row],[Labour Cost]]+Sales4[[#This Row],[Other conversion cost]]</f>
        <v>#REF!</v>
      </c>
      <c r="AH220" s="12" t="e">
        <f>Sales4[[#This Row],[Billed Quantity]]*Sales4[[#This Row],[BOM Cost]]</f>
        <v>#REF!</v>
      </c>
      <c r="AI220" s="12" t="e">
        <f>Sales4[[#This Row],[Billed Quantity]]*Sales4[[#This Row],[Labour cost per unit]]</f>
        <v>#REF!</v>
      </c>
      <c r="AJ220" s="12">
        <f>Sales4[[#This Row],[Droppage per unit]]*Sales4[[#This Row],[Billed Quantity]]</f>
        <v>0</v>
      </c>
      <c r="AK220" s="12" t="e">
        <f>Sales4[[#This Row],[Billed Quantity]]*Sales4[[#This Row],[Other Conversion cost pu]]</f>
        <v>#REF!</v>
      </c>
      <c r="AL220" s="48" t="e">
        <f>Sales4[[#This Row],[PGI Amount]]-Sales4[[#This Row],[BOM Cost2]]-Sales4[[#This Row],[Labour Cost]]-Sales4[[#This Row],[Other conversion cost]]</f>
        <v>#REF!</v>
      </c>
      <c r="AM220" s="121" t="e">
        <f>1-Sales4[[#This Row],[PGI COST]]/Sales4[[#This Row],[Net Value]]</f>
        <v>#REF!</v>
      </c>
      <c r="AN220" s="1">
        <f>Sales4[[#This Row],[PGI Amount]]/Sales4[[#This Row],[Billed Quantity]]</f>
        <v>329.43</v>
      </c>
      <c r="AO220" s="72" t="e">
        <f>SUMIFS('COGS Break up'!#REF!,'COGS Break up'!#REF!,Sales4[[#This Row],[Material]],'COGS Break up'!#REF!,'MIS Working'!$AO$1)</f>
        <v>#REF!</v>
      </c>
      <c r="AP220" s="72" t="e">
        <f>SUMIFS('COGS Break up'!#REF!,'COGS Break up'!#REF!,Sales4[[#This Row],[Material]],'COGS Break up'!#REF!,'MIS Working'!$AP$1)</f>
        <v>#REF!</v>
      </c>
      <c r="AQ220" s="72" t="e">
        <f>SUMIFS('COGS Break up'!#REF!,'COGS Break up'!#REF!,Sales4[[#This Row],[Material]],'COGS Break up'!#REF!,'MIS Working'!$AQ$1)</f>
        <v>#REF!</v>
      </c>
      <c r="AR220" s="72">
        <f>Sales4[[#This Row],[Droppage per unit]]</f>
        <v>0</v>
      </c>
      <c r="AS220" s="15" t="e">
        <f>AO220*Sales4[[#This Row],[Billed Quantity]]</f>
        <v>#REF!</v>
      </c>
      <c r="AT220" s="72" t="e">
        <f>AP220*Sales4[[#This Row],[Billed Quantity]]</f>
        <v>#REF!</v>
      </c>
      <c r="AU220" s="72" t="e">
        <f>AQ220*Sales4[[#This Row],[Billed Quantity]]</f>
        <v>#REF!</v>
      </c>
      <c r="AV220" s="72">
        <f>AR220*Sales4[[#This Row],[Billed Quantity]]</f>
        <v>0</v>
      </c>
    </row>
    <row r="221" spans="1:48" x14ac:dyDescent="0.3">
      <c r="A221" s="1" t="s">
        <v>479</v>
      </c>
      <c r="B221" s="2">
        <v>45912</v>
      </c>
      <c r="C221" s="1">
        <v>3271269745</v>
      </c>
      <c r="D221" s="1" t="s">
        <v>46</v>
      </c>
      <c r="E221" s="1" t="s">
        <v>47</v>
      </c>
      <c r="F221" s="1" t="s">
        <v>18</v>
      </c>
      <c r="G221" s="1" t="s">
        <v>19</v>
      </c>
      <c r="H221" s="1" t="s">
        <v>27</v>
      </c>
      <c r="I221" s="3">
        <v>385</v>
      </c>
      <c r="J221" s="4">
        <v>126830.55</v>
      </c>
      <c r="K221" s="3">
        <v>385</v>
      </c>
      <c r="L221" s="3">
        <v>385</v>
      </c>
      <c r="M221" s="2">
        <v>45912</v>
      </c>
      <c r="N221" s="4">
        <v>137941.65</v>
      </c>
      <c r="O221" s="1" t="s">
        <v>21</v>
      </c>
      <c r="P221" s="1" t="s">
        <v>22</v>
      </c>
      <c r="Q221" s="1">
        <v>1</v>
      </c>
      <c r="R221" s="1" t="str">
        <f>VLOOKUP(Sales4[[#This Row],[Material type]],Master!$H$3:$I$8,2,0)</f>
        <v>Finished Goods</v>
      </c>
      <c r="S221" s="1" t="str">
        <f>VLOOKUP(Sales4[[#This Row],[Material Group]],Master!B:C,2,0)</f>
        <v>FG-PCB-CF</v>
      </c>
      <c r="T221" s="1" t="str">
        <f>VLOOKUP(Sales4[[#This Row],[Material Group Descrip]],Master!E:F,2,0)</f>
        <v>FG-PCB-CF</v>
      </c>
      <c r="U221" s="9" t="b">
        <f ca="1">(TODAY()-1)=Sales4[[#This Row],[Billing Date]]</f>
        <v>0</v>
      </c>
      <c r="V221" s="10" t="e">
        <f>Sales4[[#This Row],[Net Value]]-Sales4[[#This Row],[PGI COST]]</f>
        <v>#REF!</v>
      </c>
      <c r="W221" s="11" t="e">
        <f>Sales4[[#This Row],[Gross Margin]]/Sales4[[#This Row],[Net Value]]</f>
        <v>#REF!</v>
      </c>
      <c r="X221" s="1" t="str">
        <f>TEXT(Sales4[[#This Row],[Billing Date]],"mmmm-yy")</f>
        <v>September-25</v>
      </c>
      <c r="Y221" s="1">
        <f>Sales4[[#This Row],[Net Value]]/Sales4[[#This Row],[Billed Quantity]]</f>
        <v>358.28999999999996</v>
      </c>
      <c r="Z221" s="117">
        <f>Sales4[[#This Row],[Actual delivery qty]]</f>
        <v>385</v>
      </c>
      <c r="AA221" s="12" t="e">
        <f>SUM(Sales4[[#This Row],[BOM Cost]:[Other Conversion cost pu]])</f>
        <v>#REF!</v>
      </c>
      <c r="AB22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2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21" s="12">
        <f>IFERROR(VLOOKUP(Sales4[[#This Row],[Material]],'COGS Break up'!#REF!,5,0),0)</f>
        <v>0</v>
      </c>
      <c r="AE22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21" s="48" t="e">
        <f>Sales4[[#This Row],[PGI per unit]]-Sales4[[#This Row],[BOM Cost]]-Sales4[[#This Row],[Labour cost per unit]]-Sales4[[#This Row],[Other Conversion cost pu]]</f>
        <v>#REF!</v>
      </c>
      <c r="AG221" s="48" t="e">
        <f>Sales4[[#This Row],[BOM Cost2]]+Sales4[[#This Row],[Labour Cost]]+Sales4[[#This Row],[Other conversion cost]]</f>
        <v>#REF!</v>
      </c>
      <c r="AH221" s="12" t="e">
        <f>Sales4[[#This Row],[Billed Quantity]]*Sales4[[#This Row],[BOM Cost]]</f>
        <v>#REF!</v>
      </c>
      <c r="AI221" s="12" t="e">
        <f>Sales4[[#This Row],[Billed Quantity]]*Sales4[[#This Row],[Labour cost per unit]]</f>
        <v>#REF!</v>
      </c>
      <c r="AJ221" s="12">
        <f>Sales4[[#This Row],[Droppage per unit]]*Sales4[[#This Row],[Billed Quantity]]</f>
        <v>0</v>
      </c>
      <c r="AK221" s="12" t="e">
        <f>Sales4[[#This Row],[Billed Quantity]]*Sales4[[#This Row],[Other Conversion cost pu]]</f>
        <v>#REF!</v>
      </c>
      <c r="AL221" s="48" t="e">
        <f>Sales4[[#This Row],[PGI Amount]]-Sales4[[#This Row],[BOM Cost2]]-Sales4[[#This Row],[Labour Cost]]-Sales4[[#This Row],[Other conversion cost]]</f>
        <v>#REF!</v>
      </c>
      <c r="AM221" s="121" t="e">
        <f>1-Sales4[[#This Row],[PGI COST]]/Sales4[[#This Row],[Net Value]]</f>
        <v>#REF!</v>
      </c>
      <c r="AN221" s="1">
        <f>Sales4[[#This Row],[PGI Amount]]/Sales4[[#This Row],[Billed Quantity]]</f>
        <v>329.43</v>
      </c>
      <c r="AO221" s="72" t="e">
        <f>SUMIFS('COGS Break up'!#REF!,'COGS Break up'!#REF!,Sales4[[#This Row],[Material]],'COGS Break up'!#REF!,'MIS Working'!$AO$1)</f>
        <v>#REF!</v>
      </c>
      <c r="AP221" s="72" t="e">
        <f>SUMIFS('COGS Break up'!#REF!,'COGS Break up'!#REF!,Sales4[[#This Row],[Material]],'COGS Break up'!#REF!,'MIS Working'!$AP$1)</f>
        <v>#REF!</v>
      </c>
      <c r="AQ221" s="72" t="e">
        <f>SUMIFS('COGS Break up'!#REF!,'COGS Break up'!#REF!,Sales4[[#This Row],[Material]],'COGS Break up'!#REF!,'MIS Working'!$AQ$1)</f>
        <v>#REF!</v>
      </c>
      <c r="AR221" s="72">
        <f>Sales4[[#This Row],[Droppage per unit]]</f>
        <v>0</v>
      </c>
      <c r="AS221" s="15" t="e">
        <f>AO221*Sales4[[#This Row],[Billed Quantity]]</f>
        <v>#REF!</v>
      </c>
      <c r="AT221" s="72" t="e">
        <f>AP221*Sales4[[#This Row],[Billed Quantity]]</f>
        <v>#REF!</v>
      </c>
      <c r="AU221" s="72" t="e">
        <f>AQ221*Sales4[[#This Row],[Billed Quantity]]</f>
        <v>#REF!</v>
      </c>
      <c r="AV221" s="72">
        <f>AR221*Sales4[[#This Row],[Billed Quantity]]</f>
        <v>0</v>
      </c>
    </row>
    <row r="222" spans="1:48" x14ac:dyDescent="0.3">
      <c r="A222" s="1" t="s">
        <v>479</v>
      </c>
      <c r="B222" s="2">
        <v>45912</v>
      </c>
      <c r="C222" s="1">
        <v>3271269917</v>
      </c>
      <c r="D222" s="1" t="s">
        <v>46</v>
      </c>
      <c r="E222" s="1" t="s">
        <v>47</v>
      </c>
      <c r="F222" s="1" t="s">
        <v>18</v>
      </c>
      <c r="G222" s="1" t="s">
        <v>19</v>
      </c>
      <c r="H222" s="1" t="s">
        <v>27</v>
      </c>
      <c r="I222" s="3">
        <v>210</v>
      </c>
      <c r="J222" s="4">
        <v>69180.3</v>
      </c>
      <c r="K222" s="3">
        <v>210</v>
      </c>
      <c r="L222" s="3">
        <v>210</v>
      </c>
      <c r="M222" s="2">
        <v>45912</v>
      </c>
      <c r="N222" s="4">
        <v>75240.899999999994</v>
      </c>
      <c r="O222" s="1" t="s">
        <v>21</v>
      </c>
      <c r="P222" s="1" t="s">
        <v>22</v>
      </c>
      <c r="Q222" s="1">
        <v>1</v>
      </c>
      <c r="R222" s="1" t="str">
        <f>VLOOKUP(Sales4[[#This Row],[Material type]],Master!$H$3:$I$8,2,0)</f>
        <v>Finished Goods</v>
      </c>
      <c r="S222" s="1" t="str">
        <f>VLOOKUP(Sales4[[#This Row],[Material Group]],Master!B:C,2,0)</f>
        <v>FG-PCB-CF</v>
      </c>
      <c r="T222" s="1" t="str">
        <f>VLOOKUP(Sales4[[#This Row],[Material Group Descrip]],Master!E:F,2,0)</f>
        <v>FG-PCB-CF</v>
      </c>
      <c r="U222" s="9" t="b">
        <f ca="1">(TODAY()-1)=Sales4[[#This Row],[Billing Date]]</f>
        <v>0</v>
      </c>
      <c r="V222" s="10" t="e">
        <f>Sales4[[#This Row],[Net Value]]-Sales4[[#This Row],[PGI COST]]</f>
        <v>#REF!</v>
      </c>
      <c r="W222" s="11" t="e">
        <f>Sales4[[#This Row],[Gross Margin]]/Sales4[[#This Row],[Net Value]]</f>
        <v>#REF!</v>
      </c>
      <c r="X222" s="1" t="str">
        <f>TEXT(Sales4[[#This Row],[Billing Date]],"mmmm-yy")</f>
        <v>September-25</v>
      </c>
      <c r="Y222" s="1">
        <f>Sales4[[#This Row],[Net Value]]/Sales4[[#This Row],[Billed Quantity]]</f>
        <v>358.28999999999996</v>
      </c>
      <c r="Z222" s="117">
        <f>Sales4[[#This Row],[Actual delivery qty]]</f>
        <v>210</v>
      </c>
      <c r="AA222" s="12" t="e">
        <f>SUM(Sales4[[#This Row],[BOM Cost]:[Other Conversion cost pu]])</f>
        <v>#REF!</v>
      </c>
      <c r="AB22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2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22" s="12">
        <f>IFERROR(VLOOKUP(Sales4[[#This Row],[Material]],'COGS Break up'!#REF!,5,0),0)</f>
        <v>0</v>
      </c>
      <c r="AE22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22" s="48" t="e">
        <f>Sales4[[#This Row],[PGI per unit]]-Sales4[[#This Row],[BOM Cost]]-Sales4[[#This Row],[Labour cost per unit]]-Sales4[[#This Row],[Other Conversion cost pu]]</f>
        <v>#REF!</v>
      </c>
      <c r="AG222" s="48" t="e">
        <f>Sales4[[#This Row],[BOM Cost2]]+Sales4[[#This Row],[Labour Cost]]+Sales4[[#This Row],[Other conversion cost]]</f>
        <v>#REF!</v>
      </c>
      <c r="AH222" s="12" t="e">
        <f>Sales4[[#This Row],[Billed Quantity]]*Sales4[[#This Row],[BOM Cost]]</f>
        <v>#REF!</v>
      </c>
      <c r="AI222" s="12" t="e">
        <f>Sales4[[#This Row],[Billed Quantity]]*Sales4[[#This Row],[Labour cost per unit]]</f>
        <v>#REF!</v>
      </c>
      <c r="AJ222" s="12">
        <f>Sales4[[#This Row],[Droppage per unit]]*Sales4[[#This Row],[Billed Quantity]]</f>
        <v>0</v>
      </c>
      <c r="AK222" s="12" t="e">
        <f>Sales4[[#This Row],[Billed Quantity]]*Sales4[[#This Row],[Other Conversion cost pu]]</f>
        <v>#REF!</v>
      </c>
      <c r="AL222" s="48" t="e">
        <f>Sales4[[#This Row],[PGI Amount]]-Sales4[[#This Row],[BOM Cost2]]-Sales4[[#This Row],[Labour Cost]]-Sales4[[#This Row],[Other conversion cost]]</f>
        <v>#REF!</v>
      </c>
      <c r="AM222" s="121" t="e">
        <f>1-Sales4[[#This Row],[PGI COST]]/Sales4[[#This Row],[Net Value]]</f>
        <v>#REF!</v>
      </c>
      <c r="AN222" s="1">
        <f>Sales4[[#This Row],[PGI Amount]]/Sales4[[#This Row],[Billed Quantity]]</f>
        <v>329.43</v>
      </c>
      <c r="AO222" s="72" t="e">
        <f>SUMIFS('COGS Break up'!#REF!,'COGS Break up'!#REF!,Sales4[[#This Row],[Material]],'COGS Break up'!#REF!,'MIS Working'!$AO$1)</f>
        <v>#REF!</v>
      </c>
      <c r="AP222" s="72" t="e">
        <f>SUMIFS('COGS Break up'!#REF!,'COGS Break up'!#REF!,Sales4[[#This Row],[Material]],'COGS Break up'!#REF!,'MIS Working'!$AP$1)</f>
        <v>#REF!</v>
      </c>
      <c r="AQ222" s="72" t="e">
        <f>SUMIFS('COGS Break up'!#REF!,'COGS Break up'!#REF!,Sales4[[#This Row],[Material]],'COGS Break up'!#REF!,'MIS Working'!$AQ$1)</f>
        <v>#REF!</v>
      </c>
      <c r="AR222" s="72">
        <f>Sales4[[#This Row],[Droppage per unit]]</f>
        <v>0</v>
      </c>
      <c r="AS222" s="15" t="e">
        <f>AO222*Sales4[[#This Row],[Billed Quantity]]</f>
        <v>#REF!</v>
      </c>
      <c r="AT222" s="72" t="e">
        <f>AP222*Sales4[[#This Row],[Billed Quantity]]</f>
        <v>#REF!</v>
      </c>
      <c r="AU222" s="72" t="e">
        <f>AQ222*Sales4[[#This Row],[Billed Quantity]]</f>
        <v>#REF!</v>
      </c>
      <c r="AV222" s="72">
        <f>AR222*Sales4[[#This Row],[Billed Quantity]]</f>
        <v>0</v>
      </c>
    </row>
    <row r="223" spans="1:48" x14ac:dyDescent="0.3">
      <c r="A223" s="1" t="s">
        <v>479</v>
      </c>
      <c r="B223" s="2">
        <v>45912</v>
      </c>
      <c r="C223" s="1">
        <v>3271269917</v>
      </c>
      <c r="D223" s="1" t="s">
        <v>637</v>
      </c>
      <c r="E223" s="1" t="s">
        <v>638</v>
      </c>
      <c r="F223" s="1" t="s">
        <v>18</v>
      </c>
      <c r="G223" s="1" t="s">
        <v>19</v>
      </c>
      <c r="H223" s="1" t="s">
        <v>27</v>
      </c>
      <c r="I223" s="3">
        <v>105</v>
      </c>
      <c r="J223" s="4">
        <v>33602.1</v>
      </c>
      <c r="K223" s="3">
        <v>105</v>
      </c>
      <c r="L223" s="3">
        <v>105</v>
      </c>
      <c r="M223" s="2">
        <v>45912</v>
      </c>
      <c r="N223" s="4">
        <v>38417.4</v>
      </c>
      <c r="O223" s="1" t="s">
        <v>21</v>
      </c>
      <c r="P223" s="1" t="s">
        <v>22</v>
      </c>
      <c r="Q223" s="1">
        <v>1</v>
      </c>
      <c r="R223" s="1" t="str">
        <f>VLOOKUP(Sales4[[#This Row],[Material type]],Master!$H$3:$I$8,2,0)</f>
        <v>Finished Goods</v>
      </c>
      <c r="S223" s="1" t="str">
        <f>VLOOKUP(Sales4[[#This Row],[Material Group]],Master!B:C,2,0)</f>
        <v>FG-PCB-CF</v>
      </c>
      <c r="T223" s="1" t="str">
        <f>VLOOKUP(Sales4[[#This Row],[Material Group Descrip]],Master!E:F,2,0)</f>
        <v>FG-PCB-CF</v>
      </c>
      <c r="U223" s="9" t="b">
        <f ca="1">(TODAY()-1)=Sales4[[#This Row],[Billing Date]]</f>
        <v>0</v>
      </c>
      <c r="V223" s="10" t="e">
        <f>Sales4[[#This Row],[Net Value]]-Sales4[[#This Row],[PGI COST]]</f>
        <v>#REF!</v>
      </c>
      <c r="W223" s="11" t="e">
        <f>Sales4[[#This Row],[Gross Margin]]/Sales4[[#This Row],[Net Value]]</f>
        <v>#REF!</v>
      </c>
      <c r="X223" s="1" t="str">
        <f>TEXT(Sales4[[#This Row],[Billing Date]],"mmmm-yy")</f>
        <v>September-25</v>
      </c>
      <c r="Y223" s="1">
        <f>Sales4[[#This Row],[Net Value]]/Sales4[[#This Row],[Billed Quantity]]</f>
        <v>365.88</v>
      </c>
      <c r="Z223" s="117">
        <f>Sales4[[#This Row],[Actual delivery qty]]</f>
        <v>105</v>
      </c>
      <c r="AA223" s="12" t="e">
        <f>SUM(Sales4[[#This Row],[BOM Cost]:[Other Conversion cost pu]])</f>
        <v>#REF!</v>
      </c>
      <c r="AB22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2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23" s="12">
        <f>IFERROR(VLOOKUP(Sales4[[#This Row],[Material]],'COGS Break up'!#REF!,5,0),0)</f>
        <v>0</v>
      </c>
      <c r="AE22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23" s="48" t="e">
        <f>Sales4[[#This Row],[PGI per unit]]-Sales4[[#This Row],[BOM Cost]]-Sales4[[#This Row],[Labour cost per unit]]-Sales4[[#This Row],[Other Conversion cost pu]]</f>
        <v>#REF!</v>
      </c>
      <c r="AG223" s="48" t="e">
        <f>Sales4[[#This Row],[BOM Cost2]]+Sales4[[#This Row],[Labour Cost]]+Sales4[[#This Row],[Other conversion cost]]</f>
        <v>#REF!</v>
      </c>
      <c r="AH223" s="12" t="e">
        <f>Sales4[[#This Row],[Billed Quantity]]*Sales4[[#This Row],[BOM Cost]]</f>
        <v>#REF!</v>
      </c>
      <c r="AI223" s="12" t="e">
        <f>Sales4[[#This Row],[Billed Quantity]]*Sales4[[#This Row],[Labour cost per unit]]</f>
        <v>#REF!</v>
      </c>
      <c r="AJ223" s="12">
        <f>Sales4[[#This Row],[Droppage per unit]]*Sales4[[#This Row],[Billed Quantity]]</f>
        <v>0</v>
      </c>
      <c r="AK223" s="12" t="e">
        <f>Sales4[[#This Row],[Billed Quantity]]*Sales4[[#This Row],[Other Conversion cost pu]]</f>
        <v>#REF!</v>
      </c>
      <c r="AL223" s="48" t="e">
        <f>Sales4[[#This Row],[PGI Amount]]-Sales4[[#This Row],[BOM Cost2]]-Sales4[[#This Row],[Labour Cost]]-Sales4[[#This Row],[Other conversion cost]]</f>
        <v>#REF!</v>
      </c>
      <c r="AM223" s="121" t="e">
        <f>1-Sales4[[#This Row],[PGI COST]]/Sales4[[#This Row],[Net Value]]</f>
        <v>#REF!</v>
      </c>
      <c r="AN223" s="1">
        <f>Sales4[[#This Row],[PGI Amount]]/Sales4[[#This Row],[Billed Quantity]]</f>
        <v>320.02</v>
      </c>
      <c r="AO223" s="72" t="e">
        <f>SUMIFS('COGS Break up'!#REF!,'COGS Break up'!#REF!,Sales4[[#This Row],[Material]],'COGS Break up'!#REF!,'MIS Working'!$AO$1)</f>
        <v>#REF!</v>
      </c>
      <c r="AP223" s="72" t="e">
        <f>SUMIFS('COGS Break up'!#REF!,'COGS Break up'!#REF!,Sales4[[#This Row],[Material]],'COGS Break up'!#REF!,'MIS Working'!$AP$1)</f>
        <v>#REF!</v>
      </c>
      <c r="AQ223" s="72" t="e">
        <f>SUMIFS('COGS Break up'!#REF!,'COGS Break up'!#REF!,Sales4[[#This Row],[Material]],'COGS Break up'!#REF!,'MIS Working'!$AQ$1)</f>
        <v>#REF!</v>
      </c>
      <c r="AR223" s="72">
        <f>Sales4[[#This Row],[Droppage per unit]]</f>
        <v>0</v>
      </c>
      <c r="AS223" s="15" t="e">
        <f>AO223*Sales4[[#This Row],[Billed Quantity]]</f>
        <v>#REF!</v>
      </c>
      <c r="AT223" s="72" t="e">
        <f>AP223*Sales4[[#This Row],[Billed Quantity]]</f>
        <v>#REF!</v>
      </c>
      <c r="AU223" s="72" t="e">
        <f>AQ223*Sales4[[#This Row],[Billed Quantity]]</f>
        <v>#REF!</v>
      </c>
      <c r="AV223" s="72">
        <f>AR223*Sales4[[#This Row],[Billed Quantity]]</f>
        <v>0</v>
      </c>
    </row>
    <row r="224" spans="1:48" x14ac:dyDescent="0.3">
      <c r="A224" s="1" t="s">
        <v>479</v>
      </c>
      <c r="B224" s="2">
        <v>45912</v>
      </c>
      <c r="C224" s="1">
        <v>3271269682</v>
      </c>
      <c r="D224" s="1" t="s">
        <v>637</v>
      </c>
      <c r="E224" s="1" t="s">
        <v>638</v>
      </c>
      <c r="F224" s="1" t="s">
        <v>18</v>
      </c>
      <c r="G224" s="1" t="s">
        <v>19</v>
      </c>
      <c r="H224" s="1" t="s">
        <v>27</v>
      </c>
      <c r="I224" s="3">
        <v>210</v>
      </c>
      <c r="J224" s="4">
        <v>67204.2</v>
      </c>
      <c r="K224" s="3">
        <v>210</v>
      </c>
      <c r="L224" s="3">
        <v>210</v>
      </c>
      <c r="M224" s="2">
        <v>45912</v>
      </c>
      <c r="N224" s="4">
        <v>76834.8</v>
      </c>
      <c r="O224" s="1" t="s">
        <v>21</v>
      </c>
      <c r="P224" s="1" t="s">
        <v>22</v>
      </c>
      <c r="Q224" s="1">
        <v>1</v>
      </c>
      <c r="R224" s="1" t="str">
        <f>VLOOKUP(Sales4[[#This Row],[Material type]],Master!$H$3:$I$8,2,0)</f>
        <v>Finished Goods</v>
      </c>
      <c r="S224" s="1" t="str">
        <f>VLOOKUP(Sales4[[#This Row],[Material Group]],Master!B:C,2,0)</f>
        <v>FG-PCB-CF</v>
      </c>
      <c r="T224" s="1" t="str">
        <f>VLOOKUP(Sales4[[#This Row],[Material Group Descrip]],Master!E:F,2,0)</f>
        <v>FG-PCB-CF</v>
      </c>
      <c r="U224" s="9" t="b">
        <f ca="1">(TODAY()-1)=Sales4[[#This Row],[Billing Date]]</f>
        <v>0</v>
      </c>
      <c r="V224" s="10" t="e">
        <f>Sales4[[#This Row],[Net Value]]-Sales4[[#This Row],[PGI COST]]</f>
        <v>#REF!</v>
      </c>
      <c r="W224" s="11" t="e">
        <f>Sales4[[#This Row],[Gross Margin]]/Sales4[[#This Row],[Net Value]]</f>
        <v>#REF!</v>
      </c>
      <c r="X224" s="1" t="str">
        <f>TEXT(Sales4[[#This Row],[Billing Date]],"mmmm-yy")</f>
        <v>September-25</v>
      </c>
      <c r="Y224" s="1">
        <f>Sales4[[#This Row],[Net Value]]/Sales4[[#This Row],[Billed Quantity]]</f>
        <v>365.88</v>
      </c>
      <c r="Z224" s="117">
        <f>Sales4[[#This Row],[Actual delivery qty]]</f>
        <v>210</v>
      </c>
      <c r="AA224" s="12" t="e">
        <f>SUM(Sales4[[#This Row],[BOM Cost]:[Other Conversion cost pu]])</f>
        <v>#REF!</v>
      </c>
      <c r="AB22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2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24" s="12">
        <f>IFERROR(VLOOKUP(Sales4[[#This Row],[Material]],'COGS Break up'!#REF!,5,0),0)</f>
        <v>0</v>
      </c>
      <c r="AE22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24" s="48" t="e">
        <f>Sales4[[#This Row],[PGI per unit]]-Sales4[[#This Row],[BOM Cost]]-Sales4[[#This Row],[Labour cost per unit]]-Sales4[[#This Row],[Other Conversion cost pu]]</f>
        <v>#REF!</v>
      </c>
      <c r="AG224" s="48" t="e">
        <f>Sales4[[#This Row],[BOM Cost2]]+Sales4[[#This Row],[Labour Cost]]+Sales4[[#This Row],[Other conversion cost]]</f>
        <v>#REF!</v>
      </c>
      <c r="AH224" s="12" t="e">
        <f>Sales4[[#This Row],[Billed Quantity]]*Sales4[[#This Row],[BOM Cost]]</f>
        <v>#REF!</v>
      </c>
      <c r="AI224" s="12" t="e">
        <f>Sales4[[#This Row],[Billed Quantity]]*Sales4[[#This Row],[Labour cost per unit]]</f>
        <v>#REF!</v>
      </c>
      <c r="AJ224" s="12">
        <f>Sales4[[#This Row],[Droppage per unit]]*Sales4[[#This Row],[Billed Quantity]]</f>
        <v>0</v>
      </c>
      <c r="AK224" s="12" t="e">
        <f>Sales4[[#This Row],[Billed Quantity]]*Sales4[[#This Row],[Other Conversion cost pu]]</f>
        <v>#REF!</v>
      </c>
      <c r="AL224" s="48" t="e">
        <f>Sales4[[#This Row],[PGI Amount]]-Sales4[[#This Row],[BOM Cost2]]-Sales4[[#This Row],[Labour Cost]]-Sales4[[#This Row],[Other conversion cost]]</f>
        <v>#REF!</v>
      </c>
      <c r="AM224" s="121" t="e">
        <f>1-Sales4[[#This Row],[PGI COST]]/Sales4[[#This Row],[Net Value]]</f>
        <v>#REF!</v>
      </c>
      <c r="AN224" s="1">
        <f>Sales4[[#This Row],[PGI Amount]]/Sales4[[#This Row],[Billed Quantity]]</f>
        <v>320.02</v>
      </c>
      <c r="AO224" s="72" t="e">
        <f>SUMIFS('COGS Break up'!#REF!,'COGS Break up'!#REF!,Sales4[[#This Row],[Material]],'COGS Break up'!#REF!,'MIS Working'!$AO$1)</f>
        <v>#REF!</v>
      </c>
      <c r="AP224" s="72" t="e">
        <f>SUMIFS('COGS Break up'!#REF!,'COGS Break up'!#REF!,Sales4[[#This Row],[Material]],'COGS Break up'!#REF!,'MIS Working'!$AP$1)</f>
        <v>#REF!</v>
      </c>
      <c r="AQ224" s="72" t="e">
        <f>SUMIFS('COGS Break up'!#REF!,'COGS Break up'!#REF!,Sales4[[#This Row],[Material]],'COGS Break up'!#REF!,'MIS Working'!$AQ$1)</f>
        <v>#REF!</v>
      </c>
      <c r="AR224" s="72">
        <f>Sales4[[#This Row],[Droppage per unit]]</f>
        <v>0</v>
      </c>
      <c r="AS224" s="15" t="e">
        <f>AO224*Sales4[[#This Row],[Billed Quantity]]</f>
        <v>#REF!</v>
      </c>
      <c r="AT224" s="72" t="e">
        <f>AP224*Sales4[[#This Row],[Billed Quantity]]</f>
        <v>#REF!</v>
      </c>
      <c r="AU224" s="72" t="e">
        <f>AQ224*Sales4[[#This Row],[Billed Quantity]]</f>
        <v>#REF!</v>
      </c>
      <c r="AV224" s="72">
        <f>AR224*Sales4[[#This Row],[Billed Quantity]]</f>
        <v>0</v>
      </c>
    </row>
    <row r="225" spans="1:48" x14ac:dyDescent="0.3">
      <c r="A225" s="1" t="s">
        <v>479</v>
      </c>
      <c r="B225" s="2">
        <v>45912</v>
      </c>
      <c r="C225" s="1">
        <v>3271269649</v>
      </c>
      <c r="D225" s="1" t="s">
        <v>641</v>
      </c>
      <c r="E225" s="1" t="s">
        <v>642</v>
      </c>
      <c r="F225" s="1" t="s">
        <v>18</v>
      </c>
      <c r="G225" s="1" t="s">
        <v>19</v>
      </c>
      <c r="H225" s="1" t="s">
        <v>27</v>
      </c>
      <c r="I225" s="3">
        <v>805</v>
      </c>
      <c r="J225" s="4">
        <v>368126.5</v>
      </c>
      <c r="K225" s="3">
        <v>805</v>
      </c>
      <c r="L225" s="3">
        <v>805</v>
      </c>
      <c r="M225" s="2">
        <v>45912</v>
      </c>
      <c r="N225" s="4">
        <v>398475</v>
      </c>
      <c r="O225" s="1" t="s">
        <v>21</v>
      </c>
      <c r="P225" s="1" t="s">
        <v>22</v>
      </c>
      <c r="Q225" s="1">
        <v>1</v>
      </c>
      <c r="R225" s="1" t="str">
        <f>VLOOKUP(Sales4[[#This Row],[Material type]],Master!$H$3:$I$8,2,0)</f>
        <v>Finished Goods</v>
      </c>
      <c r="S225" s="1" t="str">
        <f>VLOOKUP(Sales4[[#This Row],[Material Group]],Master!B:C,2,0)</f>
        <v>FG-PCB-CF</v>
      </c>
      <c r="T225" s="1" t="str">
        <f>VLOOKUP(Sales4[[#This Row],[Material Group Descrip]],Master!E:F,2,0)</f>
        <v>FG-PCB-CF</v>
      </c>
      <c r="U225" s="9" t="b">
        <f ca="1">(TODAY()-1)=Sales4[[#This Row],[Billing Date]]</f>
        <v>0</v>
      </c>
      <c r="V225" s="10" t="e">
        <f>Sales4[[#This Row],[Net Value]]-Sales4[[#This Row],[PGI COST]]</f>
        <v>#REF!</v>
      </c>
      <c r="W225" s="11" t="e">
        <f>Sales4[[#This Row],[Gross Margin]]/Sales4[[#This Row],[Net Value]]</f>
        <v>#REF!</v>
      </c>
      <c r="X225" s="1" t="str">
        <f>TEXT(Sales4[[#This Row],[Billing Date]],"mmmm-yy")</f>
        <v>September-25</v>
      </c>
      <c r="Y225" s="1">
        <f>Sales4[[#This Row],[Net Value]]/Sales4[[#This Row],[Billed Quantity]]</f>
        <v>495</v>
      </c>
      <c r="Z225" s="117">
        <f>Sales4[[#This Row],[Actual delivery qty]]</f>
        <v>805</v>
      </c>
      <c r="AA225" s="12" t="e">
        <f>SUM(Sales4[[#This Row],[BOM Cost]:[Other Conversion cost pu]])</f>
        <v>#REF!</v>
      </c>
      <c r="AB22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2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25" s="12">
        <f>IFERROR(VLOOKUP(Sales4[[#This Row],[Material]],'COGS Break up'!#REF!,5,0),0)</f>
        <v>0</v>
      </c>
      <c r="AE22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25" s="48" t="e">
        <f>Sales4[[#This Row],[PGI per unit]]-Sales4[[#This Row],[BOM Cost]]-Sales4[[#This Row],[Labour cost per unit]]-Sales4[[#This Row],[Other Conversion cost pu]]</f>
        <v>#REF!</v>
      </c>
      <c r="AG225" s="48" t="e">
        <f>Sales4[[#This Row],[BOM Cost2]]+Sales4[[#This Row],[Labour Cost]]+Sales4[[#This Row],[Other conversion cost]]</f>
        <v>#REF!</v>
      </c>
      <c r="AH225" s="12" t="e">
        <f>Sales4[[#This Row],[Billed Quantity]]*Sales4[[#This Row],[BOM Cost]]</f>
        <v>#REF!</v>
      </c>
      <c r="AI225" s="12" t="e">
        <f>Sales4[[#This Row],[Billed Quantity]]*Sales4[[#This Row],[Labour cost per unit]]</f>
        <v>#REF!</v>
      </c>
      <c r="AJ225" s="12">
        <f>Sales4[[#This Row],[Droppage per unit]]*Sales4[[#This Row],[Billed Quantity]]</f>
        <v>0</v>
      </c>
      <c r="AK225" s="12" t="e">
        <f>Sales4[[#This Row],[Billed Quantity]]*Sales4[[#This Row],[Other Conversion cost pu]]</f>
        <v>#REF!</v>
      </c>
      <c r="AL225" s="48" t="e">
        <f>Sales4[[#This Row],[PGI Amount]]-Sales4[[#This Row],[BOM Cost2]]-Sales4[[#This Row],[Labour Cost]]-Sales4[[#This Row],[Other conversion cost]]</f>
        <v>#REF!</v>
      </c>
      <c r="AM225" s="121" t="e">
        <f>1-Sales4[[#This Row],[PGI COST]]/Sales4[[#This Row],[Net Value]]</f>
        <v>#REF!</v>
      </c>
      <c r="AN225" s="1">
        <f>Sales4[[#This Row],[PGI Amount]]/Sales4[[#This Row],[Billed Quantity]]</f>
        <v>457.3</v>
      </c>
      <c r="AO225" s="72" t="e">
        <f>SUMIFS('COGS Break up'!#REF!,'COGS Break up'!#REF!,Sales4[[#This Row],[Material]],'COGS Break up'!#REF!,'MIS Working'!$AO$1)</f>
        <v>#REF!</v>
      </c>
      <c r="AP225" s="72" t="e">
        <f>SUMIFS('COGS Break up'!#REF!,'COGS Break up'!#REF!,Sales4[[#This Row],[Material]],'COGS Break up'!#REF!,'MIS Working'!$AP$1)</f>
        <v>#REF!</v>
      </c>
      <c r="AQ225" s="72" t="e">
        <f>SUMIFS('COGS Break up'!#REF!,'COGS Break up'!#REF!,Sales4[[#This Row],[Material]],'COGS Break up'!#REF!,'MIS Working'!$AQ$1)</f>
        <v>#REF!</v>
      </c>
      <c r="AR225" s="72">
        <f>Sales4[[#This Row],[Droppage per unit]]</f>
        <v>0</v>
      </c>
      <c r="AS225" s="15" t="e">
        <f>AO225*Sales4[[#This Row],[Billed Quantity]]</f>
        <v>#REF!</v>
      </c>
      <c r="AT225" s="72" t="e">
        <f>AP225*Sales4[[#This Row],[Billed Quantity]]</f>
        <v>#REF!</v>
      </c>
      <c r="AU225" s="72" t="e">
        <f>AQ225*Sales4[[#This Row],[Billed Quantity]]</f>
        <v>#REF!</v>
      </c>
      <c r="AV225" s="72">
        <f>AR225*Sales4[[#This Row],[Billed Quantity]]</f>
        <v>0</v>
      </c>
    </row>
    <row r="226" spans="1:48" x14ac:dyDescent="0.3">
      <c r="A226" s="1" t="s">
        <v>479</v>
      </c>
      <c r="B226" s="2">
        <v>45912</v>
      </c>
      <c r="C226" s="1">
        <v>3271269745</v>
      </c>
      <c r="D226" s="1" t="s">
        <v>641</v>
      </c>
      <c r="E226" s="1" t="s">
        <v>642</v>
      </c>
      <c r="F226" s="1" t="s">
        <v>18</v>
      </c>
      <c r="G226" s="1" t="s">
        <v>19</v>
      </c>
      <c r="H226" s="1" t="s">
        <v>27</v>
      </c>
      <c r="I226" s="3">
        <v>105</v>
      </c>
      <c r="J226" s="4">
        <v>48016.5</v>
      </c>
      <c r="K226" s="3">
        <v>105</v>
      </c>
      <c r="L226" s="3">
        <v>105</v>
      </c>
      <c r="M226" s="2">
        <v>45912</v>
      </c>
      <c r="N226" s="4">
        <v>51975</v>
      </c>
      <c r="O226" s="1" t="s">
        <v>21</v>
      </c>
      <c r="P226" s="1" t="s">
        <v>22</v>
      </c>
      <c r="Q226" s="1">
        <v>1</v>
      </c>
      <c r="R226" s="1" t="str">
        <f>VLOOKUP(Sales4[[#This Row],[Material type]],Master!$H$3:$I$8,2,0)</f>
        <v>Finished Goods</v>
      </c>
      <c r="S226" s="1" t="str">
        <f>VLOOKUP(Sales4[[#This Row],[Material Group]],Master!B:C,2,0)</f>
        <v>FG-PCB-CF</v>
      </c>
      <c r="T226" s="1" t="str">
        <f>VLOOKUP(Sales4[[#This Row],[Material Group Descrip]],Master!E:F,2,0)</f>
        <v>FG-PCB-CF</v>
      </c>
      <c r="U226" s="9" t="b">
        <f ca="1">(TODAY()-1)=Sales4[[#This Row],[Billing Date]]</f>
        <v>0</v>
      </c>
      <c r="V226" s="10" t="e">
        <f>Sales4[[#This Row],[Net Value]]-Sales4[[#This Row],[PGI COST]]</f>
        <v>#REF!</v>
      </c>
      <c r="W226" s="11" t="e">
        <f>Sales4[[#This Row],[Gross Margin]]/Sales4[[#This Row],[Net Value]]</f>
        <v>#REF!</v>
      </c>
      <c r="X226" s="1" t="str">
        <f>TEXT(Sales4[[#This Row],[Billing Date]],"mmmm-yy")</f>
        <v>September-25</v>
      </c>
      <c r="Y226" s="1">
        <f>Sales4[[#This Row],[Net Value]]/Sales4[[#This Row],[Billed Quantity]]</f>
        <v>495</v>
      </c>
      <c r="Z226" s="117">
        <f>Sales4[[#This Row],[Actual delivery qty]]</f>
        <v>105</v>
      </c>
      <c r="AA226" s="12" t="e">
        <f>SUM(Sales4[[#This Row],[BOM Cost]:[Other Conversion cost pu]])</f>
        <v>#REF!</v>
      </c>
      <c r="AB22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2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26" s="12">
        <f>IFERROR(VLOOKUP(Sales4[[#This Row],[Material]],'COGS Break up'!#REF!,5,0),0)</f>
        <v>0</v>
      </c>
      <c r="AE22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26" s="48" t="e">
        <f>Sales4[[#This Row],[PGI per unit]]-Sales4[[#This Row],[BOM Cost]]-Sales4[[#This Row],[Labour cost per unit]]-Sales4[[#This Row],[Other Conversion cost pu]]</f>
        <v>#REF!</v>
      </c>
      <c r="AG226" s="48" t="e">
        <f>Sales4[[#This Row],[BOM Cost2]]+Sales4[[#This Row],[Labour Cost]]+Sales4[[#This Row],[Other conversion cost]]</f>
        <v>#REF!</v>
      </c>
      <c r="AH226" s="12" t="e">
        <f>Sales4[[#This Row],[Billed Quantity]]*Sales4[[#This Row],[BOM Cost]]</f>
        <v>#REF!</v>
      </c>
      <c r="AI226" s="12" t="e">
        <f>Sales4[[#This Row],[Billed Quantity]]*Sales4[[#This Row],[Labour cost per unit]]</f>
        <v>#REF!</v>
      </c>
      <c r="AJ226" s="12">
        <f>Sales4[[#This Row],[Droppage per unit]]*Sales4[[#This Row],[Billed Quantity]]</f>
        <v>0</v>
      </c>
      <c r="AK226" s="12" t="e">
        <f>Sales4[[#This Row],[Billed Quantity]]*Sales4[[#This Row],[Other Conversion cost pu]]</f>
        <v>#REF!</v>
      </c>
      <c r="AL226" s="48" t="e">
        <f>Sales4[[#This Row],[PGI Amount]]-Sales4[[#This Row],[BOM Cost2]]-Sales4[[#This Row],[Labour Cost]]-Sales4[[#This Row],[Other conversion cost]]</f>
        <v>#REF!</v>
      </c>
      <c r="AM226" s="121" t="e">
        <f>1-Sales4[[#This Row],[PGI COST]]/Sales4[[#This Row],[Net Value]]</f>
        <v>#REF!</v>
      </c>
      <c r="AN226" s="1">
        <f>Sales4[[#This Row],[PGI Amount]]/Sales4[[#This Row],[Billed Quantity]]</f>
        <v>457.3</v>
      </c>
      <c r="AO226" s="72" t="e">
        <f>SUMIFS('COGS Break up'!#REF!,'COGS Break up'!#REF!,Sales4[[#This Row],[Material]],'COGS Break up'!#REF!,'MIS Working'!$AO$1)</f>
        <v>#REF!</v>
      </c>
      <c r="AP226" s="72" t="e">
        <f>SUMIFS('COGS Break up'!#REF!,'COGS Break up'!#REF!,Sales4[[#This Row],[Material]],'COGS Break up'!#REF!,'MIS Working'!$AP$1)</f>
        <v>#REF!</v>
      </c>
      <c r="AQ226" s="72" t="e">
        <f>SUMIFS('COGS Break up'!#REF!,'COGS Break up'!#REF!,Sales4[[#This Row],[Material]],'COGS Break up'!#REF!,'MIS Working'!$AQ$1)</f>
        <v>#REF!</v>
      </c>
      <c r="AR226" s="72">
        <f>Sales4[[#This Row],[Droppage per unit]]</f>
        <v>0</v>
      </c>
      <c r="AS226" s="15" t="e">
        <f>AO226*Sales4[[#This Row],[Billed Quantity]]</f>
        <v>#REF!</v>
      </c>
      <c r="AT226" s="72" t="e">
        <f>AP226*Sales4[[#This Row],[Billed Quantity]]</f>
        <v>#REF!</v>
      </c>
      <c r="AU226" s="72" t="e">
        <f>AQ226*Sales4[[#This Row],[Billed Quantity]]</f>
        <v>#REF!</v>
      </c>
      <c r="AV226" s="72">
        <f>AR226*Sales4[[#This Row],[Billed Quantity]]</f>
        <v>0</v>
      </c>
    </row>
    <row r="227" spans="1:48" x14ac:dyDescent="0.3">
      <c r="A227" s="1" t="s">
        <v>479</v>
      </c>
      <c r="B227" s="2">
        <v>45912</v>
      </c>
      <c r="C227" s="1">
        <v>3271269917</v>
      </c>
      <c r="D227" s="1" t="s">
        <v>641</v>
      </c>
      <c r="E227" s="1" t="s">
        <v>642</v>
      </c>
      <c r="F227" s="1" t="s">
        <v>18</v>
      </c>
      <c r="G227" s="1" t="s">
        <v>19</v>
      </c>
      <c r="H227" s="1" t="s">
        <v>27</v>
      </c>
      <c r="I227" s="3">
        <v>105</v>
      </c>
      <c r="J227" s="4">
        <v>48016.5</v>
      </c>
      <c r="K227" s="3">
        <v>105</v>
      </c>
      <c r="L227" s="3">
        <v>105</v>
      </c>
      <c r="M227" s="2">
        <v>45912</v>
      </c>
      <c r="N227" s="4">
        <v>51975</v>
      </c>
      <c r="O227" s="1" t="s">
        <v>21</v>
      </c>
      <c r="P227" s="1" t="s">
        <v>22</v>
      </c>
      <c r="Q227" s="1">
        <v>1</v>
      </c>
      <c r="R227" s="1" t="str">
        <f>VLOOKUP(Sales4[[#This Row],[Material type]],Master!$H$3:$I$8,2,0)</f>
        <v>Finished Goods</v>
      </c>
      <c r="S227" s="1" t="str">
        <f>VLOOKUP(Sales4[[#This Row],[Material Group]],Master!B:C,2,0)</f>
        <v>FG-PCB-CF</v>
      </c>
      <c r="T227" s="1" t="str">
        <f>VLOOKUP(Sales4[[#This Row],[Material Group Descrip]],Master!E:F,2,0)</f>
        <v>FG-PCB-CF</v>
      </c>
      <c r="U227" s="9" t="b">
        <f ca="1">(TODAY()-1)=Sales4[[#This Row],[Billing Date]]</f>
        <v>0</v>
      </c>
      <c r="V227" s="10" t="e">
        <f>Sales4[[#This Row],[Net Value]]-Sales4[[#This Row],[PGI COST]]</f>
        <v>#REF!</v>
      </c>
      <c r="W227" s="11" t="e">
        <f>Sales4[[#This Row],[Gross Margin]]/Sales4[[#This Row],[Net Value]]</f>
        <v>#REF!</v>
      </c>
      <c r="X227" s="1" t="str">
        <f>TEXT(Sales4[[#This Row],[Billing Date]],"mmmm-yy")</f>
        <v>September-25</v>
      </c>
      <c r="Y227" s="1">
        <f>Sales4[[#This Row],[Net Value]]/Sales4[[#This Row],[Billed Quantity]]</f>
        <v>495</v>
      </c>
      <c r="Z227" s="117">
        <f>Sales4[[#This Row],[Actual delivery qty]]</f>
        <v>105</v>
      </c>
      <c r="AA227" s="12" t="e">
        <f>SUM(Sales4[[#This Row],[BOM Cost]:[Other Conversion cost pu]])</f>
        <v>#REF!</v>
      </c>
      <c r="AB22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2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27" s="12">
        <f>IFERROR(VLOOKUP(Sales4[[#This Row],[Material]],'COGS Break up'!#REF!,5,0),0)</f>
        <v>0</v>
      </c>
      <c r="AE22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27" s="48" t="e">
        <f>Sales4[[#This Row],[PGI per unit]]-Sales4[[#This Row],[BOM Cost]]-Sales4[[#This Row],[Labour cost per unit]]-Sales4[[#This Row],[Other Conversion cost pu]]</f>
        <v>#REF!</v>
      </c>
      <c r="AG227" s="48" t="e">
        <f>Sales4[[#This Row],[BOM Cost2]]+Sales4[[#This Row],[Labour Cost]]+Sales4[[#This Row],[Other conversion cost]]</f>
        <v>#REF!</v>
      </c>
      <c r="AH227" s="12" t="e">
        <f>Sales4[[#This Row],[Billed Quantity]]*Sales4[[#This Row],[BOM Cost]]</f>
        <v>#REF!</v>
      </c>
      <c r="AI227" s="12" t="e">
        <f>Sales4[[#This Row],[Billed Quantity]]*Sales4[[#This Row],[Labour cost per unit]]</f>
        <v>#REF!</v>
      </c>
      <c r="AJ227" s="12">
        <f>Sales4[[#This Row],[Droppage per unit]]*Sales4[[#This Row],[Billed Quantity]]</f>
        <v>0</v>
      </c>
      <c r="AK227" s="12" t="e">
        <f>Sales4[[#This Row],[Billed Quantity]]*Sales4[[#This Row],[Other Conversion cost pu]]</f>
        <v>#REF!</v>
      </c>
      <c r="AL227" s="48" t="e">
        <f>Sales4[[#This Row],[PGI Amount]]-Sales4[[#This Row],[BOM Cost2]]-Sales4[[#This Row],[Labour Cost]]-Sales4[[#This Row],[Other conversion cost]]</f>
        <v>#REF!</v>
      </c>
      <c r="AM227" s="121" t="e">
        <f>1-Sales4[[#This Row],[PGI COST]]/Sales4[[#This Row],[Net Value]]</f>
        <v>#REF!</v>
      </c>
      <c r="AN227" s="1">
        <f>Sales4[[#This Row],[PGI Amount]]/Sales4[[#This Row],[Billed Quantity]]</f>
        <v>457.3</v>
      </c>
      <c r="AO227" s="72" t="e">
        <f>SUMIFS('COGS Break up'!#REF!,'COGS Break up'!#REF!,Sales4[[#This Row],[Material]],'COGS Break up'!#REF!,'MIS Working'!$AO$1)</f>
        <v>#REF!</v>
      </c>
      <c r="AP227" s="72" t="e">
        <f>SUMIFS('COGS Break up'!#REF!,'COGS Break up'!#REF!,Sales4[[#This Row],[Material]],'COGS Break up'!#REF!,'MIS Working'!$AP$1)</f>
        <v>#REF!</v>
      </c>
      <c r="AQ227" s="72" t="e">
        <f>SUMIFS('COGS Break up'!#REF!,'COGS Break up'!#REF!,Sales4[[#This Row],[Material]],'COGS Break up'!#REF!,'MIS Working'!$AQ$1)</f>
        <v>#REF!</v>
      </c>
      <c r="AR227" s="72">
        <f>Sales4[[#This Row],[Droppage per unit]]</f>
        <v>0</v>
      </c>
      <c r="AS227" s="15" t="e">
        <f>AO227*Sales4[[#This Row],[Billed Quantity]]</f>
        <v>#REF!</v>
      </c>
      <c r="AT227" s="72" t="e">
        <f>AP227*Sales4[[#This Row],[Billed Quantity]]</f>
        <v>#REF!</v>
      </c>
      <c r="AU227" s="72" t="e">
        <f>AQ227*Sales4[[#This Row],[Billed Quantity]]</f>
        <v>#REF!</v>
      </c>
      <c r="AV227" s="72">
        <f>AR227*Sales4[[#This Row],[Billed Quantity]]</f>
        <v>0</v>
      </c>
    </row>
    <row r="228" spans="1:48" x14ac:dyDescent="0.3">
      <c r="A228" s="1" t="s">
        <v>479</v>
      </c>
      <c r="B228" s="2">
        <v>45912</v>
      </c>
      <c r="C228" s="1">
        <v>3271269745</v>
      </c>
      <c r="D228" s="1" t="s">
        <v>44</v>
      </c>
      <c r="E228" s="1" t="s">
        <v>45</v>
      </c>
      <c r="F228" s="1" t="s">
        <v>18</v>
      </c>
      <c r="G228" s="1" t="s">
        <v>19</v>
      </c>
      <c r="H228" s="1" t="s">
        <v>27</v>
      </c>
      <c r="I228" s="3">
        <v>980</v>
      </c>
      <c r="J228" s="4">
        <v>326614.40000000002</v>
      </c>
      <c r="K228" s="3">
        <v>980</v>
      </c>
      <c r="L228" s="3">
        <v>980</v>
      </c>
      <c r="M228" s="2">
        <v>45912</v>
      </c>
      <c r="N228" s="4">
        <v>347204.2</v>
      </c>
      <c r="O228" s="1" t="s">
        <v>21</v>
      </c>
      <c r="P228" s="1" t="s">
        <v>22</v>
      </c>
      <c r="Q228" s="1">
        <v>1</v>
      </c>
      <c r="R228" s="1" t="str">
        <f>VLOOKUP(Sales4[[#This Row],[Material type]],Master!$H$3:$I$8,2,0)</f>
        <v>Finished Goods</v>
      </c>
      <c r="S228" s="1" t="str">
        <f>VLOOKUP(Sales4[[#This Row],[Material Group]],Master!B:C,2,0)</f>
        <v>FG-PCB-CF</v>
      </c>
      <c r="T228" s="1" t="str">
        <f>VLOOKUP(Sales4[[#This Row],[Material Group Descrip]],Master!E:F,2,0)</f>
        <v>FG-PCB-CF</v>
      </c>
      <c r="U228" s="9" t="b">
        <f ca="1">(TODAY()-1)=Sales4[[#This Row],[Billing Date]]</f>
        <v>0</v>
      </c>
      <c r="V228" s="10" t="e">
        <f>Sales4[[#This Row],[Net Value]]-Sales4[[#This Row],[PGI COST]]</f>
        <v>#REF!</v>
      </c>
      <c r="W228" s="11" t="e">
        <f>Sales4[[#This Row],[Gross Margin]]/Sales4[[#This Row],[Net Value]]</f>
        <v>#REF!</v>
      </c>
      <c r="X228" s="1" t="str">
        <f>TEXT(Sales4[[#This Row],[Billing Date]],"mmmm-yy")</f>
        <v>September-25</v>
      </c>
      <c r="Y228" s="1">
        <f>Sales4[[#This Row],[Net Value]]/Sales4[[#This Row],[Billed Quantity]]</f>
        <v>354.29</v>
      </c>
      <c r="Z228" s="117">
        <f>Sales4[[#This Row],[Actual delivery qty]]</f>
        <v>980</v>
      </c>
      <c r="AA228" s="12" t="e">
        <f>SUM(Sales4[[#This Row],[BOM Cost]:[Other Conversion cost pu]])</f>
        <v>#REF!</v>
      </c>
      <c r="AB22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2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28" s="12">
        <f>IFERROR(VLOOKUP(Sales4[[#This Row],[Material]],'COGS Break up'!#REF!,5,0),0)</f>
        <v>0</v>
      </c>
      <c r="AE22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28" s="48" t="e">
        <f>Sales4[[#This Row],[PGI per unit]]-Sales4[[#This Row],[BOM Cost]]-Sales4[[#This Row],[Labour cost per unit]]-Sales4[[#This Row],[Other Conversion cost pu]]</f>
        <v>#REF!</v>
      </c>
      <c r="AG228" s="48" t="e">
        <f>Sales4[[#This Row],[BOM Cost2]]+Sales4[[#This Row],[Labour Cost]]+Sales4[[#This Row],[Other conversion cost]]</f>
        <v>#REF!</v>
      </c>
      <c r="AH228" s="12" t="e">
        <f>Sales4[[#This Row],[Billed Quantity]]*Sales4[[#This Row],[BOM Cost]]</f>
        <v>#REF!</v>
      </c>
      <c r="AI228" s="12" t="e">
        <f>Sales4[[#This Row],[Billed Quantity]]*Sales4[[#This Row],[Labour cost per unit]]</f>
        <v>#REF!</v>
      </c>
      <c r="AJ228" s="12">
        <f>Sales4[[#This Row],[Droppage per unit]]*Sales4[[#This Row],[Billed Quantity]]</f>
        <v>0</v>
      </c>
      <c r="AK228" s="12" t="e">
        <f>Sales4[[#This Row],[Billed Quantity]]*Sales4[[#This Row],[Other Conversion cost pu]]</f>
        <v>#REF!</v>
      </c>
      <c r="AL228" s="48" t="e">
        <f>Sales4[[#This Row],[PGI Amount]]-Sales4[[#This Row],[BOM Cost2]]-Sales4[[#This Row],[Labour Cost]]-Sales4[[#This Row],[Other conversion cost]]</f>
        <v>#REF!</v>
      </c>
      <c r="AM228" s="121" t="e">
        <f>1-Sales4[[#This Row],[PGI COST]]/Sales4[[#This Row],[Net Value]]</f>
        <v>#REF!</v>
      </c>
      <c r="AN228" s="1">
        <f>Sales4[[#This Row],[PGI Amount]]/Sales4[[#This Row],[Billed Quantity]]</f>
        <v>333.28000000000003</v>
      </c>
      <c r="AO228" s="72" t="e">
        <f>SUMIFS('COGS Break up'!#REF!,'COGS Break up'!#REF!,Sales4[[#This Row],[Material]],'COGS Break up'!#REF!,'MIS Working'!$AO$1)</f>
        <v>#REF!</v>
      </c>
      <c r="AP228" s="72" t="e">
        <f>SUMIFS('COGS Break up'!#REF!,'COGS Break up'!#REF!,Sales4[[#This Row],[Material]],'COGS Break up'!#REF!,'MIS Working'!$AP$1)</f>
        <v>#REF!</v>
      </c>
      <c r="AQ228" s="72" t="e">
        <f>SUMIFS('COGS Break up'!#REF!,'COGS Break up'!#REF!,Sales4[[#This Row],[Material]],'COGS Break up'!#REF!,'MIS Working'!$AQ$1)</f>
        <v>#REF!</v>
      </c>
      <c r="AR228" s="72">
        <f>Sales4[[#This Row],[Droppage per unit]]</f>
        <v>0</v>
      </c>
      <c r="AS228" s="15" t="e">
        <f>AO228*Sales4[[#This Row],[Billed Quantity]]</f>
        <v>#REF!</v>
      </c>
      <c r="AT228" s="72" t="e">
        <f>AP228*Sales4[[#This Row],[Billed Quantity]]</f>
        <v>#REF!</v>
      </c>
      <c r="AU228" s="72" t="e">
        <f>AQ228*Sales4[[#This Row],[Billed Quantity]]</f>
        <v>#REF!</v>
      </c>
      <c r="AV228" s="72">
        <f>AR228*Sales4[[#This Row],[Billed Quantity]]</f>
        <v>0</v>
      </c>
    </row>
    <row r="229" spans="1:48" x14ac:dyDescent="0.3">
      <c r="A229" s="1" t="s">
        <v>479</v>
      </c>
      <c r="B229" s="2">
        <v>45912</v>
      </c>
      <c r="C229" s="1">
        <v>3271269682</v>
      </c>
      <c r="D229" s="1" t="s">
        <v>44</v>
      </c>
      <c r="E229" s="1" t="s">
        <v>45</v>
      </c>
      <c r="F229" s="1" t="s">
        <v>18</v>
      </c>
      <c r="G229" s="1" t="s">
        <v>19</v>
      </c>
      <c r="H229" s="1" t="s">
        <v>27</v>
      </c>
      <c r="I229" s="3">
        <v>1120</v>
      </c>
      <c r="J229" s="4">
        <v>373273.59999999998</v>
      </c>
      <c r="K229" s="3">
        <v>1120</v>
      </c>
      <c r="L229" s="3">
        <v>1120</v>
      </c>
      <c r="M229" s="2">
        <v>45912</v>
      </c>
      <c r="N229" s="4">
        <v>396804.8</v>
      </c>
      <c r="O229" s="1" t="s">
        <v>21</v>
      </c>
      <c r="P229" s="1" t="s">
        <v>22</v>
      </c>
      <c r="Q229" s="1">
        <v>1</v>
      </c>
      <c r="R229" s="1" t="str">
        <f>VLOOKUP(Sales4[[#This Row],[Material type]],Master!$H$3:$I$8,2,0)</f>
        <v>Finished Goods</v>
      </c>
      <c r="S229" s="1" t="str">
        <f>VLOOKUP(Sales4[[#This Row],[Material Group]],Master!B:C,2,0)</f>
        <v>FG-PCB-CF</v>
      </c>
      <c r="T229" s="1" t="str">
        <f>VLOOKUP(Sales4[[#This Row],[Material Group Descrip]],Master!E:F,2,0)</f>
        <v>FG-PCB-CF</v>
      </c>
      <c r="U229" s="9" t="b">
        <f ca="1">(TODAY()-1)=Sales4[[#This Row],[Billing Date]]</f>
        <v>0</v>
      </c>
      <c r="V229" s="10" t="e">
        <f>Sales4[[#This Row],[Net Value]]-Sales4[[#This Row],[PGI COST]]</f>
        <v>#REF!</v>
      </c>
      <c r="W229" s="11" t="e">
        <f>Sales4[[#This Row],[Gross Margin]]/Sales4[[#This Row],[Net Value]]</f>
        <v>#REF!</v>
      </c>
      <c r="X229" s="1" t="str">
        <f>TEXT(Sales4[[#This Row],[Billing Date]],"mmmm-yy")</f>
        <v>September-25</v>
      </c>
      <c r="Y229" s="1">
        <f>Sales4[[#This Row],[Net Value]]/Sales4[[#This Row],[Billed Quantity]]</f>
        <v>354.28999999999996</v>
      </c>
      <c r="Z229" s="117">
        <f>Sales4[[#This Row],[Actual delivery qty]]</f>
        <v>1120</v>
      </c>
      <c r="AA229" s="12" t="e">
        <f>SUM(Sales4[[#This Row],[BOM Cost]:[Other Conversion cost pu]])</f>
        <v>#REF!</v>
      </c>
      <c r="AB22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2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29" s="12">
        <f>IFERROR(VLOOKUP(Sales4[[#This Row],[Material]],'COGS Break up'!#REF!,5,0),0)</f>
        <v>0</v>
      </c>
      <c r="AE22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29" s="48" t="e">
        <f>Sales4[[#This Row],[PGI per unit]]-Sales4[[#This Row],[BOM Cost]]-Sales4[[#This Row],[Labour cost per unit]]-Sales4[[#This Row],[Other Conversion cost pu]]</f>
        <v>#REF!</v>
      </c>
      <c r="AG229" s="48" t="e">
        <f>Sales4[[#This Row],[BOM Cost2]]+Sales4[[#This Row],[Labour Cost]]+Sales4[[#This Row],[Other conversion cost]]</f>
        <v>#REF!</v>
      </c>
      <c r="AH229" s="12" t="e">
        <f>Sales4[[#This Row],[Billed Quantity]]*Sales4[[#This Row],[BOM Cost]]</f>
        <v>#REF!</v>
      </c>
      <c r="AI229" s="12" t="e">
        <f>Sales4[[#This Row],[Billed Quantity]]*Sales4[[#This Row],[Labour cost per unit]]</f>
        <v>#REF!</v>
      </c>
      <c r="AJ229" s="12">
        <f>Sales4[[#This Row],[Droppage per unit]]*Sales4[[#This Row],[Billed Quantity]]</f>
        <v>0</v>
      </c>
      <c r="AK229" s="12" t="e">
        <f>Sales4[[#This Row],[Billed Quantity]]*Sales4[[#This Row],[Other Conversion cost pu]]</f>
        <v>#REF!</v>
      </c>
      <c r="AL229" s="48" t="e">
        <f>Sales4[[#This Row],[PGI Amount]]-Sales4[[#This Row],[BOM Cost2]]-Sales4[[#This Row],[Labour Cost]]-Sales4[[#This Row],[Other conversion cost]]</f>
        <v>#REF!</v>
      </c>
      <c r="AM229" s="121" t="e">
        <f>1-Sales4[[#This Row],[PGI COST]]/Sales4[[#This Row],[Net Value]]</f>
        <v>#REF!</v>
      </c>
      <c r="AN229" s="1">
        <f>Sales4[[#This Row],[PGI Amount]]/Sales4[[#This Row],[Billed Quantity]]</f>
        <v>333.28</v>
      </c>
      <c r="AO229" s="72" t="e">
        <f>SUMIFS('COGS Break up'!#REF!,'COGS Break up'!#REF!,Sales4[[#This Row],[Material]],'COGS Break up'!#REF!,'MIS Working'!$AO$1)</f>
        <v>#REF!</v>
      </c>
      <c r="AP229" s="72" t="e">
        <f>SUMIFS('COGS Break up'!#REF!,'COGS Break up'!#REF!,Sales4[[#This Row],[Material]],'COGS Break up'!#REF!,'MIS Working'!$AP$1)</f>
        <v>#REF!</v>
      </c>
      <c r="AQ229" s="72" t="e">
        <f>SUMIFS('COGS Break up'!#REF!,'COGS Break up'!#REF!,Sales4[[#This Row],[Material]],'COGS Break up'!#REF!,'MIS Working'!$AQ$1)</f>
        <v>#REF!</v>
      </c>
      <c r="AR229" s="72">
        <f>Sales4[[#This Row],[Droppage per unit]]</f>
        <v>0</v>
      </c>
      <c r="AS229" s="15" t="e">
        <f>AO229*Sales4[[#This Row],[Billed Quantity]]</f>
        <v>#REF!</v>
      </c>
      <c r="AT229" s="72" t="e">
        <f>AP229*Sales4[[#This Row],[Billed Quantity]]</f>
        <v>#REF!</v>
      </c>
      <c r="AU229" s="72" t="e">
        <f>AQ229*Sales4[[#This Row],[Billed Quantity]]</f>
        <v>#REF!</v>
      </c>
      <c r="AV229" s="72">
        <f>AR229*Sales4[[#This Row],[Billed Quantity]]</f>
        <v>0</v>
      </c>
    </row>
    <row r="230" spans="1:48" x14ac:dyDescent="0.3">
      <c r="A230" s="1" t="s">
        <v>479</v>
      </c>
      <c r="B230" s="2">
        <v>45912</v>
      </c>
      <c r="C230" s="1">
        <v>3271269746</v>
      </c>
      <c r="D230" s="1" t="s">
        <v>40</v>
      </c>
      <c r="E230" s="1" t="s">
        <v>41</v>
      </c>
      <c r="F230" s="1" t="s">
        <v>18</v>
      </c>
      <c r="G230" s="1" t="s">
        <v>34</v>
      </c>
      <c r="H230" s="1" t="s">
        <v>772</v>
      </c>
      <c r="I230" s="3">
        <v>5013</v>
      </c>
      <c r="J230" s="4">
        <v>739618.02</v>
      </c>
      <c r="K230" s="3">
        <v>5013</v>
      </c>
      <c r="L230" s="3">
        <v>5013</v>
      </c>
      <c r="M230" s="2">
        <v>45912</v>
      </c>
      <c r="N230" s="4">
        <v>816818.22</v>
      </c>
      <c r="O230" s="1" t="s">
        <v>21</v>
      </c>
      <c r="P230" s="1" t="s">
        <v>22</v>
      </c>
      <c r="Q230" s="1">
        <v>1</v>
      </c>
      <c r="R230" s="1" t="str">
        <f>VLOOKUP(Sales4[[#This Row],[Material type]],Master!$H$3:$I$8,2,0)</f>
        <v>Semi-Finished Goods</v>
      </c>
      <c r="S230" s="1" t="str">
        <f>VLOOKUP(Sales4[[#This Row],[Material Group]],Master!B:C,2,0)</f>
        <v>SFG-GV5 Stator</v>
      </c>
      <c r="T230" s="1" t="str">
        <f>VLOOKUP(Sales4[[#This Row],[Material Group Descrip]],Master!E:F,2,0)</f>
        <v>Sub Ass.-Mech Stator</v>
      </c>
      <c r="U230" s="9" t="b">
        <f ca="1">(TODAY()-1)=Sales4[[#This Row],[Billing Date]]</f>
        <v>0</v>
      </c>
      <c r="V230" s="10" t="e">
        <f>Sales4[[#This Row],[Net Value]]-Sales4[[#This Row],[PGI COST]]</f>
        <v>#REF!</v>
      </c>
      <c r="W230" s="11" t="e">
        <f>Sales4[[#This Row],[Gross Margin]]/Sales4[[#This Row],[Net Value]]</f>
        <v>#REF!</v>
      </c>
      <c r="X230" s="1" t="str">
        <f>TEXT(Sales4[[#This Row],[Billing Date]],"mmmm-yy")</f>
        <v>September-25</v>
      </c>
      <c r="Y230" s="1">
        <f>Sales4[[#This Row],[Net Value]]/Sales4[[#This Row],[Billed Quantity]]</f>
        <v>162.94</v>
      </c>
      <c r="Z230" s="117">
        <f>Sales4[[#This Row],[Actual delivery qty]]</f>
        <v>5013</v>
      </c>
      <c r="AA230" s="12" t="e">
        <f>SUM(Sales4[[#This Row],[BOM Cost]:[Other Conversion cost pu]])</f>
        <v>#REF!</v>
      </c>
      <c r="AB23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3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30" s="12">
        <f>IFERROR(VLOOKUP(Sales4[[#This Row],[Material]],'COGS Break up'!#REF!,5,0),0)</f>
        <v>0</v>
      </c>
      <c r="AE23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30" s="48" t="e">
        <f>Sales4[[#This Row],[PGI per unit]]-Sales4[[#This Row],[BOM Cost]]-Sales4[[#This Row],[Labour cost per unit]]-Sales4[[#This Row],[Other Conversion cost pu]]</f>
        <v>#REF!</v>
      </c>
      <c r="AG230" s="48" t="e">
        <f>Sales4[[#This Row],[BOM Cost2]]+Sales4[[#This Row],[Labour Cost]]+Sales4[[#This Row],[Other conversion cost]]</f>
        <v>#REF!</v>
      </c>
      <c r="AH230" s="12" t="e">
        <f>Sales4[[#This Row],[Billed Quantity]]*Sales4[[#This Row],[BOM Cost]]</f>
        <v>#REF!</v>
      </c>
      <c r="AI230" s="12" t="e">
        <f>Sales4[[#This Row],[Billed Quantity]]*Sales4[[#This Row],[Labour cost per unit]]</f>
        <v>#REF!</v>
      </c>
      <c r="AJ230" s="12">
        <f>Sales4[[#This Row],[Droppage per unit]]*Sales4[[#This Row],[Billed Quantity]]</f>
        <v>0</v>
      </c>
      <c r="AK230" s="12" t="e">
        <f>Sales4[[#This Row],[Billed Quantity]]*Sales4[[#This Row],[Other Conversion cost pu]]</f>
        <v>#REF!</v>
      </c>
      <c r="AL230" s="48" t="e">
        <f>Sales4[[#This Row],[PGI Amount]]-Sales4[[#This Row],[BOM Cost2]]-Sales4[[#This Row],[Labour Cost]]-Sales4[[#This Row],[Other conversion cost]]</f>
        <v>#REF!</v>
      </c>
      <c r="AM230" s="121" t="e">
        <f>1-Sales4[[#This Row],[PGI COST]]/Sales4[[#This Row],[Net Value]]</f>
        <v>#REF!</v>
      </c>
      <c r="AN230" s="1">
        <f>Sales4[[#This Row],[PGI Amount]]/Sales4[[#This Row],[Billed Quantity]]</f>
        <v>147.54</v>
      </c>
      <c r="AO230" s="72" t="e">
        <f>SUMIFS('COGS Break up'!#REF!,'COGS Break up'!#REF!,Sales4[[#This Row],[Material]],'COGS Break up'!#REF!,'MIS Working'!$AO$1)</f>
        <v>#REF!</v>
      </c>
      <c r="AP230" s="72" t="e">
        <f>SUMIFS('COGS Break up'!#REF!,'COGS Break up'!#REF!,Sales4[[#This Row],[Material]],'COGS Break up'!#REF!,'MIS Working'!$AP$1)</f>
        <v>#REF!</v>
      </c>
      <c r="AQ230" s="72" t="e">
        <f>SUMIFS('COGS Break up'!#REF!,'COGS Break up'!#REF!,Sales4[[#This Row],[Material]],'COGS Break up'!#REF!,'MIS Working'!$AQ$1)</f>
        <v>#REF!</v>
      </c>
      <c r="AR230" s="72">
        <f>Sales4[[#This Row],[Droppage per unit]]</f>
        <v>0</v>
      </c>
      <c r="AS230" s="15" t="e">
        <f>AO230*Sales4[[#This Row],[Billed Quantity]]</f>
        <v>#REF!</v>
      </c>
      <c r="AT230" s="72" t="e">
        <f>AP230*Sales4[[#This Row],[Billed Quantity]]</f>
        <v>#REF!</v>
      </c>
      <c r="AU230" s="72" t="e">
        <f>AQ230*Sales4[[#This Row],[Billed Quantity]]</f>
        <v>#REF!</v>
      </c>
      <c r="AV230" s="72">
        <f>AR230*Sales4[[#This Row],[Billed Quantity]]</f>
        <v>0</v>
      </c>
    </row>
    <row r="231" spans="1:48" x14ac:dyDescent="0.3">
      <c r="A231" s="1" t="s">
        <v>1212</v>
      </c>
      <c r="B231" s="2">
        <v>45912</v>
      </c>
      <c r="C231" s="1">
        <v>3271269678</v>
      </c>
      <c r="D231" s="1" t="s">
        <v>1392</v>
      </c>
      <c r="E231" s="1" t="s">
        <v>1393</v>
      </c>
      <c r="F231" s="1" t="s">
        <v>18</v>
      </c>
      <c r="G231" s="1" t="s">
        <v>48</v>
      </c>
      <c r="H231" s="1" t="s">
        <v>207</v>
      </c>
      <c r="I231" s="3">
        <v>700</v>
      </c>
      <c r="J231" s="4">
        <v>13707.65</v>
      </c>
      <c r="K231" s="3">
        <v>700</v>
      </c>
      <c r="L231" s="3">
        <v>700</v>
      </c>
      <c r="M231" s="2">
        <v>45912</v>
      </c>
      <c r="N231" s="4">
        <v>21350</v>
      </c>
      <c r="O231" s="1" t="s">
        <v>21</v>
      </c>
      <c r="P231" s="1" t="s">
        <v>22</v>
      </c>
      <c r="Q231" s="1">
        <v>6</v>
      </c>
      <c r="R231" s="1" t="str">
        <f>VLOOKUP(Sales4[[#This Row],[Material type]],Master!$H$3:$I$8,2,0)</f>
        <v>Raw Material</v>
      </c>
      <c r="S231" s="1" t="str">
        <f>VLOOKUP(Sales4[[#This Row],[Material Group]],Master!B:C,2,0)</f>
        <v>RM-Mech. Accessories</v>
      </c>
      <c r="T231" s="1" t="str">
        <f>VLOOKUP(Sales4[[#This Row],[Material Group Descrip]],Master!E:F,2,0)</f>
        <v>Raw Material</v>
      </c>
      <c r="U231" s="9" t="b">
        <f ca="1">(TODAY()-1)=Sales4[[#This Row],[Billing Date]]</f>
        <v>0</v>
      </c>
      <c r="V231" s="10" t="e">
        <f>Sales4[[#This Row],[Net Value]]-Sales4[[#This Row],[PGI COST]]</f>
        <v>#REF!</v>
      </c>
      <c r="W231" s="11" t="e">
        <f>Sales4[[#This Row],[Gross Margin]]/Sales4[[#This Row],[Net Value]]</f>
        <v>#REF!</v>
      </c>
      <c r="X231" s="1" t="str">
        <f>TEXT(Sales4[[#This Row],[Billing Date]],"mmmm-yy")</f>
        <v>September-25</v>
      </c>
      <c r="Y231" s="1">
        <f>Sales4[[#This Row],[Net Value]]/Sales4[[#This Row],[Billed Quantity]]</f>
        <v>30.5</v>
      </c>
      <c r="Z231" s="117">
        <f>Sales4[[#This Row],[Actual delivery qty]]</f>
        <v>700</v>
      </c>
      <c r="AA231" s="12" t="e">
        <f>SUM(Sales4[[#This Row],[BOM Cost]:[Other Conversion cost pu]])</f>
        <v>#REF!</v>
      </c>
      <c r="AB23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3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31" s="12">
        <f>IFERROR(VLOOKUP(Sales4[[#This Row],[Material]],'COGS Break up'!#REF!,5,0),0)</f>
        <v>0</v>
      </c>
      <c r="AE23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31" s="48" t="e">
        <f>Sales4[[#This Row],[PGI per unit]]-Sales4[[#This Row],[BOM Cost]]-Sales4[[#This Row],[Labour cost per unit]]-Sales4[[#This Row],[Other Conversion cost pu]]</f>
        <v>#REF!</v>
      </c>
      <c r="AG231" s="48" t="e">
        <f>Sales4[[#This Row],[BOM Cost2]]+Sales4[[#This Row],[Labour Cost]]+Sales4[[#This Row],[Other conversion cost]]</f>
        <v>#REF!</v>
      </c>
      <c r="AH231" s="12" t="e">
        <f>Sales4[[#This Row],[Billed Quantity]]*Sales4[[#This Row],[BOM Cost]]</f>
        <v>#REF!</v>
      </c>
      <c r="AI231" s="12" t="e">
        <f>Sales4[[#This Row],[Billed Quantity]]*Sales4[[#This Row],[Labour cost per unit]]</f>
        <v>#REF!</v>
      </c>
      <c r="AJ231" s="12">
        <f>Sales4[[#This Row],[Droppage per unit]]*Sales4[[#This Row],[Billed Quantity]]</f>
        <v>0</v>
      </c>
      <c r="AK231" s="12" t="e">
        <f>Sales4[[#This Row],[Billed Quantity]]*Sales4[[#This Row],[Other Conversion cost pu]]</f>
        <v>#REF!</v>
      </c>
      <c r="AL231" s="48" t="e">
        <f>Sales4[[#This Row],[PGI Amount]]-Sales4[[#This Row],[BOM Cost2]]-Sales4[[#This Row],[Labour Cost]]-Sales4[[#This Row],[Other conversion cost]]</f>
        <v>#REF!</v>
      </c>
      <c r="AM231" s="121" t="e">
        <f>1-Sales4[[#This Row],[PGI COST]]/Sales4[[#This Row],[Net Value]]</f>
        <v>#REF!</v>
      </c>
      <c r="AN231" s="1">
        <f>Sales4[[#This Row],[PGI Amount]]/Sales4[[#This Row],[Billed Quantity]]</f>
        <v>19.582357142857141</v>
      </c>
      <c r="AO231" s="72" t="e">
        <f>SUMIFS('COGS Break up'!#REF!,'COGS Break up'!#REF!,Sales4[[#This Row],[Material]],'COGS Break up'!#REF!,'MIS Working'!$AO$1)</f>
        <v>#REF!</v>
      </c>
      <c r="AP231" s="72" t="e">
        <f>SUMIFS('COGS Break up'!#REF!,'COGS Break up'!#REF!,Sales4[[#This Row],[Material]],'COGS Break up'!#REF!,'MIS Working'!$AP$1)</f>
        <v>#REF!</v>
      </c>
      <c r="AQ231" s="72" t="e">
        <f>SUMIFS('COGS Break up'!#REF!,'COGS Break up'!#REF!,Sales4[[#This Row],[Material]],'COGS Break up'!#REF!,'MIS Working'!$AQ$1)</f>
        <v>#REF!</v>
      </c>
      <c r="AR231" s="72">
        <f>Sales4[[#This Row],[Droppage per unit]]</f>
        <v>0</v>
      </c>
      <c r="AS231" s="15" t="e">
        <f>AO231*Sales4[[#This Row],[Billed Quantity]]</f>
        <v>#REF!</v>
      </c>
      <c r="AT231" s="72" t="e">
        <f>AP231*Sales4[[#This Row],[Billed Quantity]]</f>
        <v>#REF!</v>
      </c>
      <c r="AU231" s="72" t="e">
        <f>AQ231*Sales4[[#This Row],[Billed Quantity]]</f>
        <v>#REF!</v>
      </c>
      <c r="AV231" s="72">
        <f>AR231*Sales4[[#This Row],[Billed Quantity]]</f>
        <v>0</v>
      </c>
    </row>
    <row r="232" spans="1:48" x14ac:dyDescent="0.3">
      <c r="A232" s="1" t="s">
        <v>1394</v>
      </c>
      <c r="B232" s="2">
        <v>45912</v>
      </c>
      <c r="C232" s="1">
        <v>3271269823</v>
      </c>
      <c r="D232" s="1" t="s">
        <v>38</v>
      </c>
      <c r="E232" s="1" t="s">
        <v>39</v>
      </c>
      <c r="F232" s="1" t="s">
        <v>18</v>
      </c>
      <c r="G232" s="1" t="s">
        <v>19</v>
      </c>
      <c r="H232" s="1" t="s">
        <v>27</v>
      </c>
      <c r="I232" s="3">
        <v>1680</v>
      </c>
      <c r="J232" s="4">
        <v>553492.80000000005</v>
      </c>
      <c r="K232" s="3">
        <v>1680</v>
      </c>
      <c r="L232" s="3">
        <v>1680</v>
      </c>
      <c r="M232" s="2">
        <v>45912</v>
      </c>
      <c r="N232" s="4">
        <v>613468.80000000005</v>
      </c>
      <c r="O232" s="1" t="s">
        <v>21</v>
      </c>
      <c r="P232" s="1" t="s">
        <v>22</v>
      </c>
      <c r="Q232" s="1">
        <v>3</v>
      </c>
      <c r="R232" s="1" t="str">
        <f>VLOOKUP(Sales4[[#This Row],[Material type]],Master!$H$3:$I$8,2,0)</f>
        <v>Finished Goods</v>
      </c>
      <c r="S232" s="1" t="str">
        <f>VLOOKUP(Sales4[[#This Row],[Material Group]],Master!B:C,2,0)</f>
        <v>FG-PCB-CF</v>
      </c>
      <c r="T232" s="1" t="str">
        <f>VLOOKUP(Sales4[[#This Row],[Material Group Descrip]],Master!E:F,2,0)</f>
        <v>FG-PCB-CF</v>
      </c>
      <c r="U232" s="9" t="b">
        <f ca="1">(TODAY()-1)=Sales4[[#This Row],[Billing Date]]</f>
        <v>0</v>
      </c>
      <c r="V232" s="10" t="e">
        <f>Sales4[[#This Row],[Net Value]]-Sales4[[#This Row],[PGI COST]]</f>
        <v>#REF!</v>
      </c>
      <c r="W232" s="11" t="e">
        <f>Sales4[[#This Row],[Gross Margin]]/Sales4[[#This Row],[Net Value]]</f>
        <v>#REF!</v>
      </c>
      <c r="X232" s="1" t="str">
        <f>TEXT(Sales4[[#This Row],[Billing Date]],"mmmm-yy")</f>
        <v>September-25</v>
      </c>
      <c r="Y232" s="1">
        <f>Sales4[[#This Row],[Net Value]]/Sales4[[#This Row],[Billed Quantity]]</f>
        <v>365.16</v>
      </c>
      <c r="Z232" s="117">
        <f>Sales4[[#This Row],[Actual delivery qty]]</f>
        <v>1680</v>
      </c>
      <c r="AA232" s="12" t="e">
        <f>SUM(Sales4[[#This Row],[BOM Cost]:[Other Conversion cost pu]])</f>
        <v>#REF!</v>
      </c>
      <c r="AB23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3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32" s="12">
        <f>IFERROR(VLOOKUP(Sales4[[#This Row],[Material]],'COGS Break up'!#REF!,5,0),0)</f>
        <v>0</v>
      </c>
      <c r="AE23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32" s="48" t="e">
        <f>Sales4[[#This Row],[PGI per unit]]-Sales4[[#This Row],[BOM Cost]]-Sales4[[#This Row],[Labour cost per unit]]-Sales4[[#This Row],[Other Conversion cost pu]]</f>
        <v>#REF!</v>
      </c>
      <c r="AG232" s="48" t="e">
        <f>Sales4[[#This Row],[BOM Cost2]]+Sales4[[#This Row],[Labour Cost]]+Sales4[[#This Row],[Other conversion cost]]</f>
        <v>#REF!</v>
      </c>
      <c r="AH232" s="12" t="e">
        <f>Sales4[[#This Row],[Billed Quantity]]*Sales4[[#This Row],[BOM Cost]]</f>
        <v>#REF!</v>
      </c>
      <c r="AI232" s="12" t="e">
        <f>Sales4[[#This Row],[Billed Quantity]]*Sales4[[#This Row],[Labour cost per unit]]</f>
        <v>#REF!</v>
      </c>
      <c r="AJ232" s="12">
        <f>Sales4[[#This Row],[Droppage per unit]]*Sales4[[#This Row],[Billed Quantity]]</f>
        <v>0</v>
      </c>
      <c r="AK232" s="12" t="e">
        <f>Sales4[[#This Row],[Billed Quantity]]*Sales4[[#This Row],[Other Conversion cost pu]]</f>
        <v>#REF!</v>
      </c>
      <c r="AL232" s="48" t="e">
        <f>Sales4[[#This Row],[PGI Amount]]-Sales4[[#This Row],[BOM Cost2]]-Sales4[[#This Row],[Labour Cost]]-Sales4[[#This Row],[Other conversion cost]]</f>
        <v>#REF!</v>
      </c>
      <c r="AM232" s="121" t="e">
        <f>1-Sales4[[#This Row],[PGI COST]]/Sales4[[#This Row],[Net Value]]</f>
        <v>#REF!</v>
      </c>
      <c r="AN232" s="1">
        <f>Sales4[[#This Row],[PGI Amount]]/Sales4[[#This Row],[Billed Quantity]]</f>
        <v>329.46000000000004</v>
      </c>
      <c r="AO232" s="72" t="e">
        <f>SUMIFS('COGS Break up'!#REF!,'COGS Break up'!#REF!,Sales4[[#This Row],[Material]],'COGS Break up'!#REF!,'MIS Working'!$AO$1)</f>
        <v>#REF!</v>
      </c>
      <c r="AP232" s="72" t="e">
        <f>SUMIFS('COGS Break up'!#REF!,'COGS Break up'!#REF!,Sales4[[#This Row],[Material]],'COGS Break up'!#REF!,'MIS Working'!$AP$1)</f>
        <v>#REF!</v>
      </c>
      <c r="AQ232" s="72" t="e">
        <f>SUMIFS('COGS Break up'!#REF!,'COGS Break up'!#REF!,Sales4[[#This Row],[Material]],'COGS Break up'!#REF!,'MIS Working'!$AQ$1)</f>
        <v>#REF!</v>
      </c>
      <c r="AR232" s="72">
        <f>Sales4[[#This Row],[Droppage per unit]]</f>
        <v>0</v>
      </c>
      <c r="AS232" s="15" t="e">
        <f>AO232*Sales4[[#This Row],[Billed Quantity]]</f>
        <v>#REF!</v>
      </c>
      <c r="AT232" s="72" t="e">
        <f>AP232*Sales4[[#This Row],[Billed Quantity]]</f>
        <v>#REF!</v>
      </c>
      <c r="AU232" s="72" t="e">
        <f>AQ232*Sales4[[#This Row],[Billed Quantity]]</f>
        <v>#REF!</v>
      </c>
      <c r="AV232" s="72">
        <f>AR232*Sales4[[#This Row],[Billed Quantity]]</f>
        <v>0</v>
      </c>
    </row>
    <row r="233" spans="1:48" x14ac:dyDescent="0.3">
      <c r="A233" s="1" t="s">
        <v>479</v>
      </c>
      <c r="B233" s="2">
        <v>45911</v>
      </c>
      <c r="C233" s="1">
        <v>3271269335</v>
      </c>
      <c r="D233" s="1" t="s">
        <v>23</v>
      </c>
      <c r="E233" s="1" t="s">
        <v>24</v>
      </c>
      <c r="F233" s="1" t="s">
        <v>18</v>
      </c>
      <c r="G233" s="1" t="s">
        <v>19</v>
      </c>
      <c r="H233" s="1" t="s">
        <v>27</v>
      </c>
      <c r="I233" s="3">
        <v>1540</v>
      </c>
      <c r="J233" s="4">
        <v>653622.19999999995</v>
      </c>
      <c r="K233" s="3">
        <v>1540</v>
      </c>
      <c r="L233" s="3">
        <v>1540</v>
      </c>
      <c r="M233" s="2">
        <v>45911</v>
      </c>
      <c r="N233" s="4">
        <v>744066.4</v>
      </c>
      <c r="O233" s="1" t="s">
        <v>21</v>
      </c>
      <c r="P233" s="1" t="s">
        <v>22</v>
      </c>
      <c r="Q233" s="1">
        <v>1</v>
      </c>
      <c r="R233" s="1" t="str">
        <f>VLOOKUP(Sales4[[#This Row],[Material type]],Master!$H$3:$I$8,2,0)</f>
        <v>Finished Goods</v>
      </c>
      <c r="S233" s="1" t="str">
        <f>VLOOKUP(Sales4[[#This Row],[Material Group]],Master!B:C,2,0)</f>
        <v>FG-PCB-CF</v>
      </c>
      <c r="T233" s="1" t="str">
        <f>VLOOKUP(Sales4[[#This Row],[Material Group Descrip]],Master!E:F,2,0)</f>
        <v>FG-PCB-CF</v>
      </c>
      <c r="U233" s="9" t="b">
        <f ca="1">(TODAY()-1)=Sales4[[#This Row],[Billing Date]]</f>
        <v>0</v>
      </c>
      <c r="V233" s="10" t="e">
        <f>Sales4[[#This Row],[Net Value]]-Sales4[[#This Row],[PGI COST]]</f>
        <v>#REF!</v>
      </c>
      <c r="W233" s="11" t="e">
        <f>Sales4[[#This Row],[Gross Margin]]/Sales4[[#This Row],[Net Value]]</f>
        <v>#REF!</v>
      </c>
      <c r="X233" s="1" t="str">
        <f>TEXT(Sales4[[#This Row],[Billing Date]],"mmmm-yy")</f>
        <v>September-25</v>
      </c>
      <c r="Y233" s="1">
        <f>Sales4[[#This Row],[Net Value]]/Sales4[[#This Row],[Billed Quantity]]</f>
        <v>483.16</v>
      </c>
      <c r="Z233" s="117">
        <f>Sales4[[#This Row],[Actual delivery qty]]</f>
        <v>1540</v>
      </c>
      <c r="AA233" s="12" t="e">
        <f>SUM(Sales4[[#This Row],[BOM Cost]:[Other Conversion cost pu]])</f>
        <v>#REF!</v>
      </c>
      <c r="AB23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3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33" s="12">
        <f>IFERROR(VLOOKUP(Sales4[[#This Row],[Material]],'COGS Break up'!#REF!,5,0),0)</f>
        <v>0</v>
      </c>
      <c r="AE23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33" s="48" t="e">
        <f>Sales4[[#This Row],[PGI per unit]]-Sales4[[#This Row],[BOM Cost]]-Sales4[[#This Row],[Labour cost per unit]]-Sales4[[#This Row],[Other Conversion cost pu]]</f>
        <v>#REF!</v>
      </c>
      <c r="AG233" s="48" t="e">
        <f>Sales4[[#This Row],[BOM Cost2]]+Sales4[[#This Row],[Labour Cost]]+Sales4[[#This Row],[Other conversion cost]]</f>
        <v>#REF!</v>
      </c>
      <c r="AH233" s="12" t="e">
        <f>Sales4[[#This Row],[Billed Quantity]]*Sales4[[#This Row],[BOM Cost]]</f>
        <v>#REF!</v>
      </c>
      <c r="AI233" s="12" t="e">
        <f>Sales4[[#This Row],[Billed Quantity]]*Sales4[[#This Row],[Labour cost per unit]]</f>
        <v>#REF!</v>
      </c>
      <c r="AJ233" s="12">
        <f>Sales4[[#This Row],[Droppage per unit]]*Sales4[[#This Row],[Billed Quantity]]</f>
        <v>0</v>
      </c>
      <c r="AK233" s="12" t="e">
        <f>Sales4[[#This Row],[Billed Quantity]]*Sales4[[#This Row],[Other Conversion cost pu]]</f>
        <v>#REF!</v>
      </c>
      <c r="AL233" s="48" t="e">
        <f>Sales4[[#This Row],[PGI Amount]]-Sales4[[#This Row],[BOM Cost2]]-Sales4[[#This Row],[Labour Cost]]-Sales4[[#This Row],[Other conversion cost]]</f>
        <v>#REF!</v>
      </c>
      <c r="AM233" s="121" t="e">
        <f>1-Sales4[[#This Row],[PGI COST]]/Sales4[[#This Row],[Net Value]]</f>
        <v>#REF!</v>
      </c>
      <c r="AN233" s="1">
        <f>Sales4[[#This Row],[PGI Amount]]/Sales4[[#This Row],[Billed Quantity]]</f>
        <v>424.42999999999995</v>
      </c>
      <c r="AO233" s="72" t="e">
        <f>SUMIFS('COGS Break up'!#REF!,'COGS Break up'!#REF!,Sales4[[#This Row],[Material]],'COGS Break up'!#REF!,'MIS Working'!$AO$1)</f>
        <v>#REF!</v>
      </c>
      <c r="AP233" s="72" t="e">
        <f>SUMIFS('COGS Break up'!#REF!,'COGS Break up'!#REF!,Sales4[[#This Row],[Material]],'COGS Break up'!#REF!,'MIS Working'!$AP$1)</f>
        <v>#REF!</v>
      </c>
      <c r="AQ233" s="72" t="e">
        <f>SUMIFS('COGS Break up'!#REF!,'COGS Break up'!#REF!,Sales4[[#This Row],[Material]],'COGS Break up'!#REF!,'MIS Working'!$AQ$1)</f>
        <v>#REF!</v>
      </c>
      <c r="AR233" s="72">
        <f>Sales4[[#This Row],[Droppage per unit]]</f>
        <v>0</v>
      </c>
      <c r="AS233" s="15" t="e">
        <f>AO233*Sales4[[#This Row],[Billed Quantity]]</f>
        <v>#REF!</v>
      </c>
      <c r="AT233" s="72" t="e">
        <f>AP233*Sales4[[#This Row],[Billed Quantity]]</f>
        <v>#REF!</v>
      </c>
      <c r="AU233" s="72" t="e">
        <f>AQ233*Sales4[[#This Row],[Billed Quantity]]</f>
        <v>#REF!</v>
      </c>
      <c r="AV233" s="72">
        <f>AR233*Sales4[[#This Row],[Billed Quantity]]</f>
        <v>0</v>
      </c>
    </row>
    <row r="234" spans="1:48" x14ac:dyDescent="0.3">
      <c r="A234" s="1" t="s">
        <v>479</v>
      </c>
      <c r="B234" s="2">
        <v>45911</v>
      </c>
      <c r="C234" s="1">
        <v>3271269604</v>
      </c>
      <c r="D234" s="1" t="s">
        <v>23</v>
      </c>
      <c r="E234" s="1" t="s">
        <v>24</v>
      </c>
      <c r="F234" s="1" t="s">
        <v>18</v>
      </c>
      <c r="G234" s="1" t="s">
        <v>19</v>
      </c>
      <c r="H234" s="1" t="s">
        <v>27</v>
      </c>
      <c r="I234" s="3">
        <v>210</v>
      </c>
      <c r="J234" s="4">
        <v>89130.3</v>
      </c>
      <c r="K234" s="3">
        <v>210</v>
      </c>
      <c r="L234" s="3">
        <v>210</v>
      </c>
      <c r="M234" s="2">
        <v>45911</v>
      </c>
      <c r="N234" s="4">
        <v>101463.6</v>
      </c>
      <c r="O234" s="1" t="s">
        <v>21</v>
      </c>
      <c r="P234" s="1" t="s">
        <v>22</v>
      </c>
      <c r="Q234" s="1">
        <v>1</v>
      </c>
      <c r="R234" s="1" t="str">
        <f>VLOOKUP(Sales4[[#This Row],[Material type]],Master!$H$3:$I$8,2,0)</f>
        <v>Finished Goods</v>
      </c>
      <c r="S234" s="1" t="str">
        <f>VLOOKUP(Sales4[[#This Row],[Material Group]],Master!B:C,2,0)</f>
        <v>FG-PCB-CF</v>
      </c>
      <c r="T234" s="1" t="str">
        <f>VLOOKUP(Sales4[[#This Row],[Material Group Descrip]],Master!E:F,2,0)</f>
        <v>FG-PCB-CF</v>
      </c>
      <c r="U234" s="9" t="b">
        <f ca="1">(TODAY()-1)=Sales4[[#This Row],[Billing Date]]</f>
        <v>0</v>
      </c>
      <c r="V234" s="10" t="e">
        <f>Sales4[[#This Row],[Net Value]]-Sales4[[#This Row],[PGI COST]]</f>
        <v>#REF!</v>
      </c>
      <c r="W234" s="11" t="e">
        <f>Sales4[[#This Row],[Gross Margin]]/Sales4[[#This Row],[Net Value]]</f>
        <v>#REF!</v>
      </c>
      <c r="X234" s="1" t="str">
        <f>TEXT(Sales4[[#This Row],[Billing Date]],"mmmm-yy")</f>
        <v>September-25</v>
      </c>
      <c r="Y234" s="1">
        <f>Sales4[[#This Row],[Net Value]]/Sales4[[#This Row],[Billed Quantity]]</f>
        <v>483.16</v>
      </c>
      <c r="Z234" s="117">
        <f>Sales4[[#This Row],[Actual delivery qty]]</f>
        <v>210</v>
      </c>
      <c r="AA234" s="12" t="e">
        <f>SUM(Sales4[[#This Row],[BOM Cost]:[Other Conversion cost pu]])</f>
        <v>#REF!</v>
      </c>
      <c r="AB23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3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34" s="12">
        <f>IFERROR(VLOOKUP(Sales4[[#This Row],[Material]],'COGS Break up'!#REF!,5,0),0)</f>
        <v>0</v>
      </c>
      <c r="AE23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34" s="48" t="e">
        <f>Sales4[[#This Row],[PGI per unit]]-Sales4[[#This Row],[BOM Cost]]-Sales4[[#This Row],[Labour cost per unit]]-Sales4[[#This Row],[Other Conversion cost pu]]</f>
        <v>#REF!</v>
      </c>
      <c r="AG234" s="48" t="e">
        <f>Sales4[[#This Row],[BOM Cost2]]+Sales4[[#This Row],[Labour Cost]]+Sales4[[#This Row],[Other conversion cost]]</f>
        <v>#REF!</v>
      </c>
      <c r="AH234" s="12" t="e">
        <f>Sales4[[#This Row],[Billed Quantity]]*Sales4[[#This Row],[BOM Cost]]</f>
        <v>#REF!</v>
      </c>
      <c r="AI234" s="12" t="e">
        <f>Sales4[[#This Row],[Billed Quantity]]*Sales4[[#This Row],[Labour cost per unit]]</f>
        <v>#REF!</v>
      </c>
      <c r="AJ234" s="12">
        <f>Sales4[[#This Row],[Droppage per unit]]*Sales4[[#This Row],[Billed Quantity]]</f>
        <v>0</v>
      </c>
      <c r="AK234" s="12" t="e">
        <f>Sales4[[#This Row],[Billed Quantity]]*Sales4[[#This Row],[Other Conversion cost pu]]</f>
        <v>#REF!</v>
      </c>
      <c r="AL234" s="48" t="e">
        <f>Sales4[[#This Row],[PGI Amount]]-Sales4[[#This Row],[BOM Cost2]]-Sales4[[#This Row],[Labour Cost]]-Sales4[[#This Row],[Other conversion cost]]</f>
        <v>#REF!</v>
      </c>
      <c r="AM234" s="121" t="e">
        <f>1-Sales4[[#This Row],[PGI COST]]/Sales4[[#This Row],[Net Value]]</f>
        <v>#REF!</v>
      </c>
      <c r="AN234" s="1">
        <f>Sales4[[#This Row],[PGI Amount]]/Sales4[[#This Row],[Billed Quantity]]</f>
        <v>424.43</v>
      </c>
      <c r="AO234" s="72" t="e">
        <f>SUMIFS('COGS Break up'!#REF!,'COGS Break up'!#REF!,Sales4[[#This Row],[Material]],'COGS Break up'!#REF!,'MIS Working'!$AO$1)</f>
        <v>#REF!</v>
      </c>
      <c r="AP234" s="72" t="e">
        <f>SUMIFS('COGS Break up'!#REF!,'COGS Break up'!#REF!,Sales4[[#This Row],[Material]],'COGS Break up'!#REF!,'MIS Working'!$AP$1)</f>
        <v>#REF!</v>
      </c>
      <c r="AQ234" s="72" t="e">
        <f>SUMIFS('COGS Break up'!#REF!,'COGS Break up'!#REF!,Sales4[[#This Row],[Material]],'COGS Break up'!#REF!,'MIS Working'!$AQ$1)</f>
        <v>#REF!</v>
      </c>
      <c r="AR234" s="72">
        <f>Sales4[[#This Row],[Droppage per unit]]</f>
        <v>0</v>
      </c>
      <c r="AS234" s="15" t="e">
        <f>AO234*Sales4[[#This Row],[Billed Quantity]]</f>
        <v>#REF!</v>
      </c>
      <c r="AT234" s="72" t="e">
        <f>AP234*Sales4[[#This Row],[Billed Quantity]]</f>
        <v>#REF!</v>
      </c>
      <c r="AU234" s="72" t="e">
        <f>AQ234*Sales4[[#This Row],[Billed Quantity]]</f>
        <v>#REF!</v>
      </c>
      <c r="AV234" s="72">
        <f>AR234*Sales4[[#This Row],[Billed Quantity]]</f>
        <v>0</v>
      </c>
    </row>
    <row r="235" spans="1:48" x14ac:dyDescent="0.3">
      <c r="A235" s="1" t="s">
        <v>479</v>
      </c>
      <c r="B235" s="2">
        <v>45911</v>
      </c>
      <c r="C235" s="1">
        <v>3271269345</v>
      </c>
      <c r="D235" s="1" t="s">
        <v>362</v>
      </c>
      <c r="E235" s="1" t="s">
        <v>363</v>
      </c>
      <c r="F235" s="1" t="s">
        <v>18</v>
      </c>
      <c r="G235" s="1" t="s">
        <v>19</v>
      </c>
      <c r="H235" s="1" t="s">
        <v>483</v>
      </c>
      <c r="I235" s="3">
        <v>245</v>
      </c>
      <c r="J235" s="4">
        <v>179611.95</v>
      </c>
      <c r="K235" s="3">
        <v>245</v>
      </c>
      <c r="L235" s="3">
        <v>245</v>
      </c>
      <c r="M235" s="2">
        <v>45911</v>
      </c>
      <c r="N235" s="4">
        <v>211248.8</v>
      </c>
      <c r="O235" s="1" t="s">
        <v>21</v>
      </c>
      <c r="P235" s="1" t="s">
        <v>22</v>
      </c>
      <c r="Q235" s="1">
        <v>1</v>
      </c>
      <c r="R235" s="1" t="str">
        <f>VLOOKUP(Sales4[[#This Row],[Material type]],Master!$H$3:$I$8,2,0)</f>
        <v>Finished Goods</v>
      </c>
      <c r="S235" s="1" t="str">
        <f>VLOOKUP(Sales4[[#This Row],[Material Group]],Master!B:C,2,0)</f>
        <v>FG-PCB-MG</v>
      </c>
      <c r="T235" s="1" t="str">
        <f>VLOOKUP(Sales4[[#This Row],[Material Group Descrip]],Master!E:F,2,0)</f>
        <v>FG-PCB-MG</v>
      </c>
      <c r="U235" s="9" t="b">
        <f ca="1">(TODAY()-1)=Sales4[[#This Row],[Billing Date]]</f>
        <v>0</v>
      </c>
      <c r="V235" s="10" t="e">
        <f>Sales4[[#This Row],[Net Value]]-Sales4[[#This Row],[PGI COST]]</f>
        <v>#REF!</v>
      </c>
      <c r="W235" s="11" t="e">
        <f>Sales4[[#This Row],[Gross Margin]]/Sales4[[#This Row],[Net Value]]</f>
        <v>#REF!</v>
      </c>
      <c r="X235" s="1" t="str">
        <f>TEXT(Sales4[[#This Row],[Billing Date]],"mmmm-yy")</f>
        <v>September-25</v>
      </c>
      <c r="Y235" s="1">
        <f>Sales4[[#This Row],[Net Value]]/Sales4[[#This Row],[Billed Quantity]]</f>
        <v>862.24</v>
      </c>
      <c r="Z235" s="117">
        <f>Sales4[[#This Row],[Actual delivery qty]]</f>
        <v>245</v>
      </c>
      <c r="AA235" s="12" t="e">
        <f>SUM(Sales4[[#This Row],[BOM Cost]:[Other Conversion cost pu]])</f>
        <v>#REF!</v>
      </c>
      <c r="AB23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3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35" s="12">
        <f>IFERROR(VLOOKUP(Sales4[[#This Row],[Material]],'COGS Break up'!#REF!,5,0),0)</f>
        <v>0</v>
      </c>
      <c r="AE23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35" s="48" t="e">
        <f>Sales4[[#This Row],[PGI per unit]]-Sales4[[#This Row],[BOM Cost]]-Sales4[[#This Row],[Labour cost per unit]]-Sales4[[#This Row],[Other Conversion cost pu]]</f>
        <v>#REF!</v>
      </c>
      <c r="AG235" s="48" t="e">
        <f>Sales4[[#This Row],[BOM Cost2]]+Sales4[[#This Row],[Labour Cost]]+Sales4[[#This Row],[Other conversion cost]]</f>
        <v>#REF!</v>
      </c>
      <c r="AH235" s="12" t="e">
        <f>Sales4[[#This Row],[Billed Quantity]]*Sales4[[#This Row],[BOM Cost]]</f>
        <v>#REF!</v>
      </c>
      <c r="AI235" s="12" t="e">
        <f>Sales4[[#This Row],[Billed Quantity]]*Sales4[[#This Row],[Labour cost per unit]]</f>
        <v>#REF!</v>
      </c>
      <c r="AJ235" s="12">
        <f>Sales4[[#This Row],[Droppage per unit]]*Sales4[[#This Row],[Billed Quantity]]</f>
        <v>0</v>
      </c>
      <c r="AK235" s="12" t="e">
        <f>Sales4[[#This Row],[Billed Quantity]]*Sales4[[#This Row],[Other Conversion cost pu]]</f>
        <v>#REF!</v>
      </c>
      <c r="AL235" s="48" t="e">
        <f>Sales4[[#This Row],[PGI Amount]]-Sales4[[#This Row],[BOM Cost2]]-Sales4[[#This Row],[Labour Cost]]-Sales4[[#This Row],[Other conversion cost]]</f>
        <v>#REF!</v>
      </c>
      <c r="AM235" s="121" t="e">
        <f>1-Sales4[[#This Row],[PGI COST]]/Sales4[[#This Row],[Net Value]]</f>
        <v>#REF!</v>
      </c>
      <c r="AN235" s="1">
        <f>Sales4[[#This Row],[PGI Amount]]/Sales4[[#This Row],[Billed Quantity]]</f>
        <v>733.11</v>
      </c>
      <c r="AO235" s="72" t="e">
        <f>SUMIFS('COGS Break up'!#REF!,'COGS Break up'!#REF!,Sales4[[#This Row],[Material]],'COGS Break up'!#REF!,'MIS Working'!$AO$1)</f>
        <v>#REF!</v>
      </c>
      <c r="AP235" s="72" t="e">
        <f>SUMIFS('COGS Break up'!#REF!,'COGS Break up'!#REF!,Sales4[[#This Row],[Material]],'COGS Break up'!#REF!,'MIS Working'!$AP$1)</f>
        <v>#REF!</v>
      </c>
      <c r="AQ235" s="72" t="e">
        <f>SUMIFS('COGS Break up'!#REF!,'COGS Break up'!#REF!,Sales4[[#This Row],[Material]],'COGS Break up'!#REF!,'MIS Working'!$AQ$1)</f>
        <v>#REF!</v>
      </c>
      <c r="AR235" s="72">
        <f>Sales4[[#This Row],[Droppage per unit]]</f>
        <v>0</v>
      </c>
      <c r="AS235" s="15" t="e">
        <f>AO235*Sales4[[#This Row],[Billed Quantity]]</f>
        <v>#REF!</v>
      </c>
      <c r="AT235" s="72" t="e">
        <f>AP235*Sales4[[#This Row],[Billed Quantity]]</f>
        <v>#REF!</v>
      </c>
      <c r="AU235" s="72" t="e">
        <f>AQ235*Sales4[[#This Row],[Billed Quantity]]</f>
        <v>#REF!</v>
      </c>
      <c r="AV235" s="72">
        <f>AR235*Sales4[[#This Row],[Billed Quantity]]</f>
        <v>0</v>
      </c>
    </row>
    <row r="236" spans="1:48" x14ac:dyDescent="0.3">
      <c r="A236" s="1" t="s">
        <v>479</v>
      </c>
      <c r="B236" s="2">
        <v>45911</v>
      </c>
      <c r="C236" s="1">
        <v>3271269276</v>
      </c>
      <c r="D236" s="1" t="s">
        <v>362</v>
      </c>
      <c r="E236" s="1" t="s">
        <v>363</v>
      </c>
      <c r="F236" s="1" t="s">
        <v>18</v>
      </c>
      <c r="G236" s="1" t="s">
        <v>19</v>
      </c>
      <c r="H236" s="1" t="s">
        <v>483</v>
      </c>
      <c r="I236" s="3">
        <v>140</v>
      </c>
      <c r="J236" s="4">
        <v>102635.4</v>
      </c>
      <c r="K236" s="3">
        <v>140</v>
      </c>
      <c r="L236" s="3">
        <v>140</v>
      </c>
      <c r="M236" s="2">
        <v>45911</v>
      </c>
      <c r="N236" s="4">
        <v>120713.60000000001</v>
      </c>
      <c r="O236" s="1" t="s">
        <v>21</v>
      </c>
      <c r="P236" s="1" t="s">
        <v>22</v>
      </c>
      <c r="Q236" s="1">
        <v>1</v>
      </c>
      <c r="R236" s="1" t="str">
        <f>VLOOKUP(Sales4[[#This Row],[Material type]],Master!$H$3:$I$8,2,0)</f>
        <v>Finished Goods</v>
      </c>
      <c r="S236" s="1" t="str">
        <f>VLOOKUP(Sales4[[#This Row],[Material Group]],Master!B:C,2,0)</f>
        <v>FG-PCB-MG</v>
      </c>
      <c r="T236" s="1" t="str">
        <f>VLOOKUP(Sales4[[#This Row],[Material Group Descrip]],Master!E:F,2,0)</f>
        <v>FG-PCB-MG</v>
      </c>
      <c r="U236" s="9" t="b">
        <f ca="1">(TODAY()-1)=Sales4[[#This Row],[Billing Date]]</f>
        <v>0</v>
      </c>
      <c r="V236" s="10" t="e">
        <f>Sales4[[#This Row],[Net Value]]-Sales4[[#This Row],[PGI COST]]</f>
        <v>#REF!</v>
      </c>
      <c r="W236" s="11" t="e">
        <f>Sales4[[#This Row],[Gross Margin]]/Sales4[[#This Row],[Net Value]]</f>
        <v>#REF!</v>
      </c>
      <c r="X236" s="1" t="str">
        <f>TEXT(Sales4[[#This Row],[Billing Date]],"mmmm-yy")</f>
        <v>September-25</v>
      </c>
      <c r="Y236" s="1">
        <f>Sales4[[#This Row],[Net Value]]/Sales4[[#This Row],[Billed Quantity]]</f>
        <v>862.24</v>
      </c>
      <c r="Z236" s="117">
        <f>Sales4[[#This Row],[Actual delivery qty]]</f>
        <v>140</v>
      </c>
      <c r="AA236" s="12" t="e">
        <f>SUM(Sales4[[#This Row],[BOM Cost]:[Other Conversion cost pu]])</f>
        <v>#REF!</v>
      </c>
      <c r="AB23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3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36" s="12">
        <f>IFERROR(VLOOKUP(Sales4[[#This Row],[Material]],'COGS Break up'!#REF!,5,0),0)</f>
        <v>0</v>
      </c>
      <c r="AE23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36" s="48" t="e">
        <f>Sales4[[#This Row],[PGI per unit]]-Sales4[[#This Row],[BOM Cost]]-Sales4[[#This Row],[Labour cost per unit]]-Sales4[[#This Row],[Other Conversion cost pu]]</f>
        <v>#REF!</v>
      </c>
      <c r="AG236" s="48" t="e">
        <f>Sales4[[#This Row],[BOM Cost2]]+Sales4[[#This Row],[Labour Cost]]+Sales4[[#This Row],[Other conversion cost]]</f>
        <v>#REF!</v>
      </c>
      <c r="AH236" s="12" t="e">
        <f>Sales4[[#This Row],[Billed Quantity]]*Sales4[[#This Row],[BOM Cost]]</f>
        <v>#REF!</v>
      </c>
      <c r="AI236" s="12" t="e">
        <f>Sales4[[#This Row],[Billed Quantity]]*Sales4[[#This Row],[Labour cost per unit]]</f>
        <v>#REF!</v>
      </c>
      <c r="AJ236" s="12">
        <f>Sales4[[#This Row],[Droppage per unit]]*Sales4[[#This Row],[Billed Quantity]]</f>
        <v>0</v>
      </c>
      <c r="AK236" s="12" t="e">
        <f>Sales4[[#This Row],[Billed Quantity]]*Sales4[[#This Row],[Other Conversion cost pu]]</f>
        <v>#REF!</v>
      </c>
      <c r="AL236" s="48" t="e">
        <f>Sales4[[#This Row],[PGI Amount]]-Sales4[[#This Row],[BOM Cost2]]-Sales4[[#This Row],[Labour Cost]]-Sales4[[#This Row],[Other conversion cost]]</f>
        <v>#REF!</v>
      </c>
      <c r="AM236" s="121" t="e">
        <f>1-Sales4[[#This Row],[PGI COST]]/Sales4[[#This Row],[Net Value]]</f>
        <v>#REF!</v>
      </c>
      <c r="AN236" s="1">
        <f>Sales4[[#This Row],[PGI Amount]]/Sales4[[#This Row],[Billed Quantity]]</f>
        <v>733.11</v>
      </c>
      <c r="AO236" s="72" t="e">
        <f>SUMIFS('COGS Break up'!#REF!,'COGS Break up'!#REF!,Sales4[[#This Row],[Material]],'COGS Break up'!#REF!,'MIS Working'!$AO$1)</f>
        <v>#REF!</v>
      </c>
      <c r="AP236" s="72" t="e">
        <f>SUMIFS('COGS Break up'!#REF!,'COGS Break up'!#REF!,Sales4[[#This Row],[Material]],'COGS Break up'!#REF!,'MIS Working'!$AP$1)</f>
        <v>#REF!</v>
      </c>
      <c r="AQ236" s="72" t="e">
        <f>SUMIFS('COGS Break up'!#REF!,'COGS Break up'!#REF!,Sales4[[#This Row],[Material]],'COGS Break up'!#REF!,'MIS Working'!$AQ$1)</f>
        <v>#REF!</v>
      </c>
      <c r="AR236" s="72">
        <f>Sales4[[#This Row],[Droppage per unit]]</f>
        <v>0</v>
      </c>
      <c r="AS236" s="15" t="e">
        <f>AO236*Sales4[[#This Row],[Billed Quantity]]</f>
        <v>#REF!</v>
      </c>
      <c r="AT236" s="72" t="e">
        <f>AP236*Sales4[[#This Row],[Billed Quantity]]</f>
        <v>#REF!</v>
      </c>
      <c r="AU236" s="72" t="e">
        <f>AQ236*Sales4[[#This Row],[Billed Quantity]]</f>
        <v>#REF!</v>
      </c>
      <c r="AV236" s="72">
        <f>AR236*Sales4[[#This Row],[Billed Quantity]]</f>
        <v>0</v>
      </c>
    </row>
    <row r="237" spans="1:48" x14ac:dyDescent="0.3">
      <c r="A237" s="1" t="s">
        <v>479</v>
      </c>
      <c r="B237" s="2">
        <v>45911</v>
      </c>
      <c r="C237" s="1">
        <v>3271269604</v>
      </c>
      <c r="D237" s="1" t="s">
        <v>362</v>
      </c>
      <c r="E237" s="1" t="s">
        <v>363</v>
      </c>
      <c r="F237" s="1" t="s">
        <v>18</v>
      </c>
      <c r="G237" s="1" t="s">
        <v>19</v>
      </c>
      <c r="H237" s="1" t="s">
        <v>483</v>
      </c>
      <c r="I237" s="3">
        <v>105</v>
      </c>
      <c r="J237" s="4">
        <v>76976.55</v>
      </c>
      <c r="K237" s="3">
        <v>105</v>
      </c>
      <c r="L237" s="3">
        <v>105</v>
      </c>
      <c r="M237" s="2">
        <v>45911</v>
      </c>
      <c r="N237" s="4">
        <v>90535.2</v>
      </c>
      <c r="O237" s="1" t="s">
        <v>21</v>
      </c>
      <c r="P237" s="1" t="s">
        <v>22</v>
      </c>
      <c r="Q237" s="1">
        <v>1</v>
      </c>
      <c r="R237" s="1" t="str">
        <f>VLOOKUP(Sales4[[#This Row],[Material type]],Master!$H$3:$I$8,2,0)</f>
        <v>Finished Goods</v>
      </c>
      <c r="S237" s="1" t="str">
        <f>VLOOKUP(Sales4[[#This Row],[Material Group]],Master!B:C,2,0)</f>
        <v>FG-PCB-MG</v>
      </c>
      <c r="T237" s="1" t="str">
        <f>VLOOKUP(Sales4[[#This Row],[Material Group Descrip]],Master!E:F,2,0)</f>
        <v>FG-PCB-MG</v>
      </c>
      <c r="U237" s="9" t="b">
        <f ca="1">(TODAY()-1)=Sales4[[#This Row],[Billing Date]]</f>
        <v>0</v>
      </c>
      <c r="V237" s="10" t="e">
        <f>Sales4[[#This Row],[Net Value]]-Sales4[[#This Row],[PGI COST]]</f>
        <v>#REF!</v>
      </c>
      <c r="W237" s="11" t="e">
        <f>Sales4[[#This Row],[Gross Margin]]/Sales4[[#This Row],[Net Value]]</f>
        <v>#REF!</v>
      </c>
      <c r="X237" s="1" t="str">
        <f>TEXT(Sales4[[#This Row],[Billing Date]],"mmmm-yy")</f>
        <v>September-25</v>
      </c>
      <c r="Y237" s="1">
        <f>Sales4[[#This Row],[Net Value]]/Sales4[[#This Row],[Billed Quantity]]</f>
        <v>862.24</v>
      </c>
      <c r="Z237" s="117">
        <f>Sales4[[#This Row],[Actual delivery qty]]</f>
        <v>105</v>
      </c>
      <c r="AA237" s="12" t="e">
        <f>SUM(Sales4[[#This Row],[BOM Cost]:[Other Conversion cost pu]])</f>
        <v>#REF!</v>
      </c>
      <c r="AB23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3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37" s="12">
        <f>IFERROR(VLOOKUP(Sales4[[#This Row],[Material]],'COGS Break up'!#REF!,5,0),0)</f>
        <v>0</v>
      </c>
      <c r="AE23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37" s="48" t="e">
        <f>Sales4[[#This Row],[PGI per unit]]-Sales4[[#This Row],[BOM Cost]]-Sales4[[#This Row],[Labour cost per unit]]-Sales4[[#This Row],[Other Conversion cost pu]]</f>
        <v>#REF!</v>
      </c>
      <c r="AG237" s="48" t="e">
        <f>Sales4[[#This Row],[BOM Cost2]]+Sales4[[#This Row],[Labour Cost]]+Sales4[[#This Row],[Other conversion cost]]</f>
        <v>#REF!</v>
      </c>
      <c r="AH237" s="12" t="e">
        <f>Sales4[[#This Row],[Billed Quantity]]*Sales4[[#This Row],[BOM Cost]]</f>
        <v>#REF!</v>
      </c>
      <c r="AI237" s="12" t="e">
        <f>Sales4[[#This Row],[Billed Quantity]]*Sales4[[#This Row],[Labour cost per unit]]</f>
        <v>#REF!</v>
      </c>
      <c r="AJ237" s="12">
        <f>Sales4[[#This Row],[Droppage per unit]]*Sales4[[#This Row],[Billed Quantity]]</f>
        <v>0</v>
      </c>
      <c r="AK237" s="12" t="e">
        <f>Sales4[[#This Row],[Billed Quantity]]*Sales4[[#This Row],[Other Conversion cost pu]]</f>
        <v>#REF!</v>
      </c>
      <c r="AL237" s="48" t="e">
        <f>Sales4[[#This Row],[PGI Amount]]-Sales4[[#This Row],[BOM Cost2]]-Sales4[[#This Row],[Labour Cost]]-Sales4[[#This Row],[Other conversion cost]]</f>
        <v>#REF!</v>
      </c>
      <c r="AM237" s="121" t="e">
        <f>1-Sales4[[#This Row],[PGI COST]]/Sales4[[#This Row],[Net Value]]</f>
        <v>#REF!</v>
      </c>
      <c r="AN237" s="1">
        <f>Sales4[[#This Row],[PGI Amount]]/Sales4[[#This Row],[Billed Quantity]]</f>
        <v>733.11</v>
      </c>
      <c r="AO237" s="72" t="e">
        <f>SUMIFS('COGS Break up'!#REF!,'COGS Break up'!#REF!,Sales4[[#This Row],[Material]],'COGS Break up'!#REF!,'MIS Working'!$AO$1)</f>
        <v>#REF!</v>
      </c>
      <c r="AP237" s="72" t="e">
        <f>SUMIFS('COGS Break up'!#REF!,'COGS Break up'!#REF!,Sales4[[#This Row],[Material]],'COGS Break up'!#REF!,'MIS Working'!$AP$1)</f>
        <v>#REF!</v>
      </c>
      <c r="AQ237" s="72" t="e">
        <f>SUMIFS('COGS Break up'!#REF!,'COGS Break up'!#REF!,Sales4[[#This Row],[Material]],'COGS Break up'!#REF!,'MIS Working'!$AQ$1)</f>
        <v>#REF!</v>
      </c>
      <c r="AR237" s="72">
        <f>Sales4[[#This Row],[Droppage per unit]]</f>
        <v>0</v>
      </c>
      <c r="AS237" s="15" t="e">
        <f>AO237*Sales4[[#This Row],[Billed Quantity]]</f>
        <v>#REF!</v>
      </c>
      <c r="AT237" s="72" t="e">
        <f>AP237*Sales4[[#This Row],[Billed Quantity]]</f>
        <v>#REF!</v>
      </c>
      <c r="AU237" s="72" t="e">
        <f>AQ237*Sales4[[#This Row],[Billed Quantity]]</f>
        <v>#REF!</v>
      </c>
      <c r="AV237" s="72">
        <f>AR237*Sales4[[#This Row],[Billed Quantity]]</f>
        <v>0</v>
      </c>
    </row>
    <row r="238" spans="1:48" x14ac:dyDescent="0.3">
      <c r="A238" s="1" t="s">
        <v>479</v>
      </c>
      <c r="B238" s="2">
        <v>45911</v>
      </c>
      <c r="C238" s="1">
        <v>3271269276</v>
      </c>
      <c r="D238" s="1" t="s">
        <v>364</v>
      </c>
      <c r="E238" s="1" t="s">
        <v>365</v>
      </c>
      <c r="F238" s="1" t="s">
        <v>18</v>
      </c>
      <c r="G238" s="1" t="s">
        <v>19</v>
      </c>
      <c r="H238" s="1" t="s">
        <v>771</v>
      </c>
      <c r="I238" s="3">
        <v>805</v>
      </c>
      <c r="J238" s="4">
        <v>87769.15</v>
      </c>
      <c r="K238" s="3">
        <v>805</v>
      </c>
      <c r="L238" s="3">
        <v>805</v>
      </c>
      <c r="M238" s="2">
        <v>45911</v>
      </c>
      <c r="N238" s="4">
        <v>81498.2</v>
      </c>
      <c r="O238" s="1" t="s">
        <v>21</v>
      </c>
      <c r="P238" s="1" t="s">
        <v>22</v>
      </c>
      <c r="Q238" s="1">
        <v>1</v>
      </c>
      <c r="R238" s="1" t="str">
        <f>VLOOKUP(Sales4[[#This Row],[Material type]],Master!$H$3:$I$8,2,0)</f>
        <v>Finished Goods</v>
      </c>
      <c r="S238" s="1" t="str">
        <f>VLOOKUP(Sales4[[#This Row],[Material Group]],Master!B:C,2,0)</f>
        <v>FG-PCB-MG Interface</v>
      </c>
      <c r="T238" s="1" t="str">
        <f>VLOOKUP(Sales4[[#This Row],[Material Group Descrip]],Master!E:F,2,0)</f>
        <v>FG-PCB-MG</v>
      </c>
      <c r="U238" s="9" t="b">
        <f ca="1">(TODAY()-1)=Sales4[[#This Row],[Billing Date]]</f>
        <v>0</v>
      </c>
      <c r="V238" s="10" t="e">
        <f>Sales4[[#This Row],[Net Value]]-Sales4[[#This Row],[PGI COST]]</f>
        <v>#REF!</v>
      </c>
      <c r="W238" s="11" t="e">
        <f>Sales4[[#This Row],[Gross Margin]]/Sales4[[#This Row],[Net Value]]</f>
        <v>#REF!</v>
      </c>
      <c r="X238" s="1" t="str">
        <f>TEXT(Sales4[[#This Row],[Billing Date]],"mmmm-yy")</f>
        <v>September-25</v>
      </c>
      <c r="Y238" s="1">
        <f>Sales4[[#This Row],[Net Value]]/Sales4[[#This Row],[Billed Quantity]]</f>
        <v>101.24</v>
      </c>
      <c r="Z238" s="117"/>
      <c r="AA238" s="12" t="e">
        <f>SUM(Sales4[[#This Row],[BOM Cost]:[Other Conversion cost pu]])</f>
        <v>#REF!</v>
      </c>
      <c r="AB23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3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38" s="12">
        <f>IFERROR(VLOOKUP(Sales4[[#This Row],[Material]],'COGS Break up'!#REF!,5,0),0)</f>
        <v>0</v>
      </c>
      <c r="AE23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38" s="48" t="e">
        <f>Sales4[[#This Row],[PGI per unit]]-Sales4[[#This Row],[BOM Cost]]-Sales4[[#This Row],[Labour cost per unit]]-Sales4[[#This Row],[Other Conversion cost pu]]</f>
        <v>#REF!</v>
      </c>
      <c r="AG238" s="48" t="e">
        <f>Sales4[[#This Row],[BOM Cost2]]+Sales4[[#This Row],[Labour Cost]]+Sales4[[#This Row],[Other conversion cost]]</f>
        <v>#REF!</v>
      </c>
      <c r="AH238" s="12" t="e">
        <f>Sales4[[#This Row],[Billed Quantity]]*Sales4[[#This Row],[BOM Cost]]</f>
        <v>#REF!</v>
      </c>
      <c r="AI238" s="12" t="e">
        <f>Sales4[[#This Row],[Billed Quantity]]*Sales4[[#This Row],[Labour cost per unit]]</f>
        <v>#REF!</v>
      </c>
      <c r="AJ238" s="12">
        <f>Sales4[[#This Row],[Droppage per unit]]*Sales4[[#This Row],[Billed Quantity]]</f>
        <v>0</v>
      </c>
      <c r="AK238" s="12" t="e">
        <f>Sales4[[#This Row],[Billed Quantity]]*Sales4[[#This Row],[Other Conversion cost pu]]</f>
        <v>#REF!</v>
      </c>
      <c r="AL238" s="48" t="e">
        <f>Sales4[[#This Row],[PGI Amount]]-Sales4[[#This Row],[BOM Cost2]]-Sales4[[#This Row],[Labour Cost]]-Sales4[[#This Row],[Other conversion cost]]</f>
        <v>#REF!</v>
      </c>
      <c r="AM238" s="121" t="e">
        <f>1-Sales4[[#This Row],[PGI COST]]/Sales4[[#This Row],[Net Value]]</f>
        <v>#REF!</v>
      </c>
      <c r="AN238" s="1">
        <f>Sales4[[#This Row],[PGI Amount]]/Sales4[[#This Row],[Billed Quantity]]</f>
        <v>109.02999999999999</v>
      </c>
      <c r="AO238" s="72" t="e">
        <f>SUMIFS('COGS Break up'!#REF!,'COGS Break up'!#REF!,Sales4[[#This Row],[Material]],'COGS Break up'!#REF!,'MIS Working'!$AO$1)</f>
        <v>#REF!</v>
      </c>
      <c r="AP238" s="72" t="e">
        <f>SUMIFS('COGS Break up'!#REF!,'COGS Break up'!#REF!,Sales4[[#This Row],[Material]],'COGS Break up'!#REF!,'MIS Working'!$AP$1)</f>
        <v>#REF!</v>
      </c>
      <c r="AQ238" s="72" t="e">
        <f>SUMIFS('COGS Break up'!#REF!,'COGS Break up'!#REF!,Sales4[[#This Row],[Material]],'COGS Break up'!#REF!,'MIS Working'!$AQ$1)</f>
        <v>#REF!</v>
      </c>
      <c r="AR238" s="72">
        <f>Sales4[[#This Row],[Droppage per unit]]</f>
        <v>0</v>
      </c>
      <c r="AS238" s="15" t="e">
        <f>AO238*Sales4[[#This Row],[Billed Quantity]]</f>
        <v>#REF!</v>
      </c>
      <c r="AT238" s="72" t="e">
        <f>AP238*Sales4[[#This Row],[Billed Quantity]]</f>
        <v>#REF!</v>
      </c>
      <c r="AU238" s="72" t="e">
        <f>AQ238*Sales4[[#This Row],[Billed Quantity]]</f>
        <v>#REF!</v>
      </c>
      <c r="AV238" s="72">
        <f>AR238*Sales4[[#This Row],[Billed Quantity]]</f>
        <v>0</v>
      </c>
    </row>
    <row r="239" spans="1:48" x14ac:dyDescent="0.3">
      <c r="A239" s="1" t="s">
        <v>479</v>
      </c>
      <c r="B239" s="2">
        <v>45911</v>
      </c>
      <c r="C239" s="1">
        <v>3271269345</v>
      </c>
      <c r="D239" s="1" t="s">
        <v>364</v>
      </c>
      <c r="E239" s="1" t="s">
        <v>365</v>
      </c>
      <c r="F239" s="1" t="s">
        <v>18</v>
      </c>
      <c r="G239" s="1" t="s">
        <v>19</v>
      </c>
      <c r="H239" s="1" t="s">
        <v>771</v>
      </c>
      <c r="I239" s="3">
        <v>280</v>
      </c>
      <c r="J239" s="4">
        <v>30528.400000000001</v>
      </c>
      <c r="K239" s="3">
        <v>280</v>
      </c>
      <c r="L239" s="3">
        <v>280</v>
      </c>
      <c r="M239" s="2">
        <v>45911</v>
      </c>
      <c r="N239" s="4">
        <v>28347.200000000001</v>
      </c>
      <c r="O239" s="1" t="s">
        <v>21</v>
      </c>
      <c r="P239" s="1" t="s">
        <v>22</v>
      </c>
      <c r="Q239" s="1">
        <v>1</v>
      </c>
      <c r="R239" s="1" t="str">
        <f>VLOOKUP(Sales4[[#This Row],[Material type]],Master!$H$3:$I$8,2,0)</f>
        <v>Finished Goods</v>
      </c>
      <c r="S239" s="1" t="str">
        <f>VLOOKUP(Sales4[[#This Row],[Material Group]],Master!B:C,2,0)</f>
        <v>FG-PCB-MG Interface</v>
      </c>
      <c r="T239" s="1" t="str">
        <f>VLOOKUP(Sales4[[#This Row],[Material Group Descrip]],Master!E:F,2,0)</f>
        <v>FG-PCB-MG</v>
      </c>
      <c r="U239" s="9" t="b">
        <f ca="1">(TODAY()-1)=Sales4[[#This Row],[Billing Date]]</f>
        <v>0</v>
      </c>
      <c r="V239" s="10" t="e">
        <f>Sales4[[#This Row],[Net Value]]-Sales4[[#This Row],[PGI COST]]</f>
        <v>#REF!</v>
      </c>
      <c r="W239" s="11" t="e">
        <f>Sales4[[#This Row],[Gross Margin]]/Sales4[[#This Row],[Net Value]]</f>
        <v>#REF!</v>
      </c>
      <c r="X239" s="1" t="str">
        <f>TEXT(Sales4[[#This Row],[Billing Date]],"mmmm-yy")</f>
        <v>September-25</v>
      </c>
      <c r="Y239" s="1">
        <f>Sales4[[#This Row],[Net Value]]/Sales4[[#This Row],[Billed Quantity]]</f>
        <v>101.24000000000001</v>
      </c>
      <c r="Z239" s="117"/>
      <c r="AA239" s="12" t="e">
        <f>SUM(Sales4[[#This Row],[BOM Cost]:[Other Conversion cost pu]])</f>
        <v>#REF!</v>
      </c>
      <c r="AB23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3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39" s="12">
        <f>IFERROR(VLOOKUP(Sales4[[#This Row],[Material]],'COGS Break up'!#REF!,5,0),0)</f>
        <v>0</v>
      </c>
      <c r="AE23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39" s="48" t="e">
        <f>Sales4[[#This Row],[PGI per unit]]-Sales4[[#This Row],[BOM Cost]]-Sales4[[#This Row],[Labour cost per unit]]-Sales4[[#This Row],[Other Conversion cost pu]]</f>
        <v>#REF!</v>
      </c>
      <c r="AG239" s="48" t="e">
        <f>Sales4[[#This Row],[BOM Cost2]]+Sales4[[#This Row],[Labour Cost]]+Sales4[[#This Row],[Other conversion cost]]</f>
        <v>#REF!</v>
      </c>
      <c r="AH239" s="12" t="e">
        <f>Sales4[[#This Row],[Billed Quantity]]*Sales4[[#This Row],[BOM Cost]]</f>
        <v>#REF!</v>
      </c>
      <c r="AI239" s="12" t="e">
        <f>Sales4[[#This Row],[Billed Quantity]]*Sales4[[#This Row],[Labour cost per unit]]</f>
        <v>#REF!</v>
      </c>
      <c r="AJ239" s="12">
        <f>Sales4[[#This Row],[Droppage per unit]]*Sales4[[#This Row],[Billed Quantity]]</f>
        <v>0</v>
      </c>
      <c r="AK239" s="12" t="e">
        <f>Sales4[[#This Row],[Billed Quantity]]*Sales4[[#This Row],[Other Conversion cost pu]]</f>
        <v>#REF!</v>
      </c>
      <c r="AL239" s="48" t="e">
        <f>Sales4[[#This Row],[PGI Amount]]-Sales4[[#This Row],[BOM Cost2]]-Sales4[[#This Row],[Labour Cost]]-Sales4[[#This Row],[Other conversion cost]]</f>
        <v>#REF!</v>
      </c>
      <c r="AM239" s="121" t="e">
        <f>1-Sales4[[#This Row],[PGI COST]]/Sales4[[#This Row],[Net Value]]</f>
        <v>#REF!</v>
      </c>
      <c r="AN239" s="1">
        <f>Sales4[[#This Row],[PGI Amount]]/Sales4[[#This Row],[Billed Quantity]]</f>
        <v>109.03</v>
      </c>
      <c r="AO239" s="72" t="e">
        <f>SUMIFS('COGS Break up'!#REF!,'COGS Break up'!#REF!,Sales4[[#This Row],[Material]],'COGS Break up'!#REF!,'MIS Working'!$AO$1)</f>
        <v>#REF!</v>
      </c>
      <c r="AP239" s="72" t="e">
        <f>SUMIFS('COGS Break up'!#REF!,'COGS Break up'!#REF!,Sales4[[#This Row],[Material]],'COGS Break up'!#REF!,'MIS Working'!$AP$1)</f>
        <v>#REF!</v>
      </c>
      <c r="AQ239" s="72" t="e">
        <f>SUMIFS('COGS Break up'!#REF!,'COGS Break up'!#REF!,Sales4[[#This Row],[Material]],'COGS Break up'!#REF!,'MIS Working'!$AQ$1)</f>
        <v>#REF!</v>
      </c>
      <c r="AR239" s="72">
        <f>Sales4[[#This Row],[Droppage per unit]]</f>
        <v>0</v>
      </c>
      <c r="AS239" s="15" t="e">
        <f>AO239*Sales4[[#This Row],[Billed Quantity]]</f>
        <v>#REF!</v>
      </c>
      <c r="AT239" s="72" t="e">
        <f>AP239*Sales4[[#This Row],[Billed Quantity]]</f>
        <v>#REF!</v>
      </c>
      <c r="AU239" s="72" t="e">
        <f>AQ239*Sales4[[#This Row],[Billed Quantity]]</f>
        <v>#REF!</v>
      </c>
      <c r="AV239" s="72">
        <f>AR239*Sales4[[#This Row],[Billed Quantity]]</f>
        <v>0</v>
      </c>
    </row>
    <row r="240" spans="1:48" x14ac:dyDescent="0.3">
      <c r="A240" s="1" t="s">
        <v>479</v>
      </c>
      <c r="B240" s="2">
        <v>45911</v>
      </c>
      <c r="C240" s="1">
        <v>3271269335</v>
      </c>
      <c r="D240" s="1" t="s">
        <v>46</v>
      </c>
      <c r="E240" s="1" t="s">
        <v>47</v>
      </c>
      <c r="F240" s="1" t="s">
        <v>18</v>
      </c>
      <c r="G240" s="1" t="s">
        <v>19</v>
      </c>
      <c r="H240" s="1" t="s">
        <v>27</v>
      </c>
      <c r="I240" s="3">
        <v>560</v>
      </c>
      <c r="J240" s="4">
        <v>184480.8</v>
      </c>
      <c r="K240" s="3">
        <v>560</v>
      </c>
      <c r="L240" s="3">
        <v>560</v>
      </c>
      <c r="M240" s="2">
        <v>45911</v>
      </c>
      <c r="N240" s="4">
        <v>200642.4</v>
      </c>
      <c r="O240" s="1" t="s">
        <v>21</v>
      </c>
      <c r="P240" s="1" t="s">
        <v>22</v>
      </c>
      <c r="Q240" s="1">
        <v>1</v>
      </c>
      <c r="R240" s="1" t="str">
        <f>VLOOKUP(Sales4[[#This Row],[Material type]],Master!$H$3:$I$8,2,0)</f>
        <v>Finished Goods</v>
      </c>
      <c r="S240" s="1" t="str">
        <f>VLOOKUP(Sales4[[#This Row],[Material Group]],Master!B:C,2,0)</f>
        <v>FG-PCB-CF</v>
      </c>
      <c r="T240" s="1" t="str">
        <f>VLOOKUP(Sales4[[#This Row],[Material Group Descrip]],Master!E:F,2,0)</f>
        <v>FG-PCB-CF</v>
      </c>
      <c r="U240" s="9" t="b">
        <f ca="1">(TODAY()-1)=Sales4[[#This Row],[Billing Date]]</f>
        <v>0</v>
      </c>
      <c r="V240" s="10" t="e">
        <f>Sales4[[#This Row],[Net Value]]-Sales4[[#This Row],[PGI COST]]</f>
        <v>#REF!</v>
      </c>
      <c r="W240" s="11" t="e">
        <f>Sales4[[#This Row],[Gross Margin]]/Sales4[[#This Row],[Net Value]]</f>
        <v>#REF!</v>
      </c>
      <c r="X240" s="1" t="str">
        <f>TEXT(Sales4[[#This Row],[Billing Date]],"mmmm-yy")</f>
        <v>September-25</v>
      </c>
      <c r="Y240" s="1">
        <f>Sales4[[#This Row],[Net Value]]/Sales4[[#This Row],[Billed Quantity]]</f>
        <v>358.28999999999996</v>
      </c>
      <c r="Z240" s="117">
        <f>Sales4[[#This Row],[Actual delivery qty]]</f>
        <v>560</v>
      </c>
      <c r="AA240" s="12" t="e">
        <f>SUM(Sales4[[#This Row],[BOM Cost]:[Other Conversion cost pu]])</f>
        <v>#REF!</v>
      </c>
      <c r="AB24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4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40" s="12">
        <f>IFERROR(VLOOKUP(Sales4[[#This Row],[Material]],'COGS Break up'!#REF!,5,0),0)</f>
        <v>0</v>
      </c>
      <c r="AE24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40" s="48" t="e">
        <f>Sales4[[#This Row],[PGI per unit]]-Sales4[[#This Row],[BOM Cost]]-Sales4[[#This Row],[Labour cost per unit]]-Sales4[[#This Row],[Other Conversion cost pu]]</f>
        <v>#REF!</v>
      </c>
      <c r="AG240" s="48" t="e">
        <f>Sales4[[#This Row],[BOM Cost2]]+Sales4[[#This Row],[Labour Cost]]+Sales4[[#This Row],[Other conversion cost]]</f>
        <v>#REF!</v>
      </c>
      <c r="AH240" s="12" t="e">
        <f>Sales4[[#This Row],[Billed Quantity]]*Sales4[[#This Row],[BOM Cost]]</f>
        <v>#REF!</v>
      </c>
      <c r="AI240" s="12" t="e">
        <f>Sales4[[#This Row],[Billed Quantity]]*Sales4[[#This Row],[Labour cost per unit]]</f>
        <v>#REF!</v>
      </c>
      <c r="AJ240" s="12">
        <f>Sales4[[#This Row],[Droppage per unit]]*Sales4[[#This Row],[Billed Quantity]]</f>
        <v>0</v>
      </c>
      <c r="AK240" s="12" t="e">
        <f>Sales4[[#This Row],[Billed Quantity]]*Sales4[[#This Row],[Other Conversion cost pu]]</f>
        <v>#REF!</v>
      </c>
      <c r="AL240" s="48" t="e">
        <f>Sales4[[#This Row],[PGI Amount]]-Sales4[[#This Row],[BOM Cost2]]-Sales4[[#This Row],[Labour Cost]]-Sales4[[#This Row],[Other conversion cost]]</f>
        <v>#REF!</v>
      </c>
      <c r="AM240" s="121" t="e">
        <f>1-Sales4[[#This Row],[PGI COST]]/Sales4[[#This Row],[Net Value]]</f>
        <v>#REF!</v>
      </c>
      <c r="AN240" s="1">
        <f>Sales4[[#This Row],[PGI Amount]]/Sales4[[#This Row],[Billed Quantity]]</f>
        <v>329.43</v>
      </c>
      <c r="AO240" s="72" t="e">
        <f>SUMIFS('COGS Break up'!#REF!,'COGS Break up'!#REF!,Sales4[[#This Row],[Material]],'COGS Break up'!#REF!,'MIS Working'!$AO$1)</f>
        <v>#REF!</v>
      </c>
      <c r="AP240" s="72" t="e">
        <f>SUMIFS('COGS Break up'!#REF!,'COGS Break up'!#REF!,Sales4[[#This Row],[Material]],'COGS Break up'!#REF!,'MIS Working'!$AP$1)</f>
        <v>#REF!</v>
      </c>
      <c r="AQ240" s="72" t="e">
        <f>SUMIFS('COGS Break up'!#REF!,'COGS Break up'!#REF!,Sales4[[#This Row],[Material]],'COGS Break up'!#REF!,'MIS Working'!$AQ$1)</f>
        <v>#REF!</v>
      </c>
      <c r="AR240" s="72">
        <f>Sales4[[#This Row],[Droppage per unit]]</f>
        <v>0</v>
      </c>
      <c r="AS240" s="15" t="e">
        <f>AO240*Sales4[[#This Row],[Billed Quantity]]</f>
        <v>#REF!</v>
      </c>
      <c r="AT240" s="72" t="e">
        <f>AP240*Sales4[[#This Row],[Billed Quantity]]</f>
        <v>#REF!</v>
      </c>
      <c r="AU240" s="72" t="e">
        <f>AQ240*Sales4[[#This Row],[Billed Quantity]]</f>
        <v>#REF!</v>
      </c>
      <c r="AV240" s="72">
        <f>AR240*Sales4[[#This Row],[Billed Quantity]]</f>
        <v>0</v>
      </c>
    </row>
    <row r="241" spans="1:48" x14ac:dyDescent="0.3">
      <c r="A241" s="1" t="s">
        <v>479</v>
      </c>
      <c r="B241" s="2">
        <v>45911</v>
      </c>
      <c r="C241" s="1">
        <v>3271269345</v>
      </c>
      <c r="D241" s="1" t="s">
        <v>46</v>
      </c>
      <c r="E241" s="1" t="s">
        <v>47</v>
      </c>
      <c r="F241" s="1" t="s">
        <v>18</v>
      </c>
      <c r="G241" s="1" t="s">
        <v>19</v>
      </c>
      <c r="H241" s="1" t="s">
        <v>27</v>
      </c>
      <c r="I241" s="3">
        <v>560</v>
      </c>
      <c r="J241" s="4">
        <v>184480.8</v>
      </c>
      <c r="K241" s="3">
        <v>560</v>
      </c>
      <c r="L241" s="3">
        <v>560</v>
      </c>
      <c r="M241" s="2">
        <v>45911</v>
      </c>
      <c r="N241" s="4">
        <v>200642.4</v>
      </c>
      <c r="O241" s="1" t="s">
        <v>21</v>
      </c>
      <c r="P241" s="1" t="s">
        <v>22</v>
      </c>
      <c r="Q241" s="1">
        <v>1</v>
      </c>
      <c r="R241" s="1" t="str">
        <f>VLOOKUP(Sales4[[#This Row],[Material type]],Master!$H$3:$I$8,2,0)</f>
        <v>Finished Goods</v>
      </c>
      <c r="S241" s="1" t="str">
        <f>VLOOKUP(Sales4[[#This Row],[Material Group]],Master!B:C,2,0)</f>
        <v>FG-PCB-CF</v>
      </c>
      <c r="T241" s="1" t="str">
        <f>VLOOKUP(Sales4[[#This Row],[Material Group Descrip]],Master!E:F,2,0)</f>
        <v>FG-PCB-CF</v>
      </c>
      <c r="U241" s="9" t="b">
        <f ca="1">(TODAY()-1)=Sales4[[#This Row],[Billing Date]]</f>
        <v>0</v>
      </c>
      <c r="V241" s="10" t="e">
        <f>Sales4[[#This Row],[Net Value]]-Sales4[[#This Row],[PGI COST]]</f>
        <v>#REF!</v>
      </c>
      <c r="W241" s="11" t="e">
        <f>Sales4[[#This Row],[Gross Margin]]/Sales4[[#This Row],[Net Value]]</f>
        <v>#REF!</v>
      </c>
      <c r="X241" s="1" t="str">
        <f>TEXT(Sales4[[#This Row],[Billing Date]],"mmmm-yy")</f>
        <v>September-25</v>
      </c>
      <c r="Y241" s="1">
        <f>Sales4[[#This Row],[Net Value]]/Sales4[[#This Row],[Billed Quantity]]</f>
        <v>358.28999999999996</v>
      </c>
      <c r="Z241" s="117">
        <f>Sales4[[#This Row],[Actual delivery qty]]</f>
        <v>560</v>
      </c>
      <c r="AA241" s="12" t="e">
        <f>SUM(Sales4[[#This Row],[BOM Cost]:[Other Conversion cost pu]])</f>
        <v>#REF!</v>
      </c>
      <c r="AB24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4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41" s="12">
        <f>IFERROR(VLOOKUP(Sales4[[#This Row],[Material]],'COGS Break up'!#REF!,5,0),0)</f>
        <v>0</v>
      </c>
      <c r="AE24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41" s="48" t="e">
        <f>Sales4[[#This Row],[PGI per unit]]-Sales4[[#This Row],[BOM Cost]]-Sales4[[#This Row],[Labour cost per unit]]-Sales4[[#This Row],[Other Conversion cost pu]]</f>
        <v>#REF!</v>
      </c>
      <c r="AG241" s="48" t="e">
        <f>Sales4[[#This Row],[BOM Cost2]]+Sales4[[#This Row],[Labour Cost]]+Sales4[[#This Row],[Other conversion cost]]</f>
        <v>#REF!</v>
      </c>
      <c r="AH241" s="12" t="e">
        <f>Sales4[[#This Row],[Billed Quantity]]*Sales4[[#This Row],[BOM Cost]]</f>
        <v>#REF!</v>
      </c>
      <c r="AI241" s="12" t="e">
        <f>Sales4[[#This Row],[Billed Quantity]]*Sales4[[#This Row],[Labour cost per unit]]</f>
        <v>#REF!</v>
      </c>
      <c r="AJ241" s="12">
        <f>Sales4[[#This Row],[Droppage per unit]]*Sales4[[#This Row],[Billed Quantity]]</f>
        <v>0</v>
      </c>
      <c r="AK241" s="12" t="e">
        <f>Sales4[[#This Row],[Billed Quantity]]*Sales4[[#This Row],[Other Conversion cost pu]]</f>
        <v>#REF!</v>
      </c>
      <c r="AL241" s="48" t="e">
        <f>Sales4[[#This Row],[PGI Amount]]-Sales4[[#This Row],[BOM Cost2]]-Sales4[[#This Row],[Labour Cost]]-Sales4[[#This Row],[Other conversion cost]]</f>
        <v>#REF!</v>
      </c>
      <c r="AM241" s="121" t="e">
        <f>1-Sales4[[#This Row],[PGI COST]]/Sales4[[#This Row],[Net Value]]</f>
        <v>#REF!</v>
      </c>
      <c r="AN241" s="1">
        <f>Sales4[[#This Row],[PGI Amount]]/Sales4[[#This Row],[Billed Quantity]]</f>
        <v>329.43</v>
      </c>
      <c r="AO241" s="72" t="e">
        <f>SUMIFS('COGS Break up'!#REF!,'COGS Break up'!#REF!,Sales4[[#This Row],[Material]],'COGS Break up'!#REF!,'MIS Working'!$AO$1)</f>
        <v>#REF!</v>
      </c>
      <c r="AP241" s="72" t="e">
        <f>SUMIFS('COGS Break up'!#REF!,'COGS Break up'!#REF!,Sales4[[#This Row],[Material]],'COGS Break up'!#REF!,'MIS Working'!$AP$1)</f>
        <v>#REF!</v>
      </c>
      <c r="AQ241" s="72" t="e">
        <f>SUMIFS('COGS Break up'!#REF!,'COGS Break up'!#REF!,Sales4[[#This Row],[Material]],'COGS Break up'!#REF!,'MIS Working'!$AQ$1)</f>
        <v>#REF!</v>
      </c>
      <c r="AR241" s="72">
        <f>Sales4[[#This Row],[Droppage per unit]]</f>
        <v>0</v>
      </c>
      <c r="AS241" s="15" t="e">
        <f>AO241*Sales4[[#This Row],[Billed Quantity]]</f>
        <v>#REF!</v>
      </c>
      <c r="AT241" s="72" t="e">
        <f>AP241*Sales4[[#This Row],[Billed Quantity]]</f>
        <v>#REF!</v>
      </c>
      <c r="AU241" s="72" t="e">
        <f>AQ241*Sales4[[#This Row],[Billed Quantity]]</f>
        <v>#REF!</v>
      </c>
      <c r="AV241" s="72">
        <f>AR241*Sales4[[#This Row],[Billed Quantity]]</f>
        <v>0</v>
      </c>
    </row>
    <row r="242" spans="1:48" x14ac:dyDescent="0.3">
      <c r="A242" s="1" t="s">
        <v>479</v>
      </c>
      <c r="B242" s="2">
        <v>45911</v>
      </c>
      <c r="C242" s="1">
        <v>3271269604</v>
      </c>
      <c r="D242" s="1" t="s">
        <v>637</v>
      </c>
      <c r="E242" s="1" t="s">
        <v>638</v>
      </c>
      <c r="F242" s="1" t="s">
        <v>18</v>
      </c>
      <c r="G242" s="1" t="s">
        <v>19</v>
      </c>
      <c r="H242" s="1" t="s">
        <v>27</v>
      </c>
      <c r="I242" s="3">
        <v>240</v>
      </c>
      <c r="J242" s="4">
        <v>76804.800000000003</v>
      </c>
      <c r="K242" s="3">
        <v>240</v>
      </c>
      <c r="L242" s="3">
        <v>240</v>
      </c>
      <c r="M242" s="2">
        <v>45911</v>
      </c>
      <c r="N242" s="4">
        <v>87811.199999999997</v>
      </c>
      <c r="O242" s="1" t="s">
        <v>21</v>
      </c>
      <c r="P242" s="1" t="s">
        <v>22</v>
      </c>
      <c r="Q242" s="1">
        <v>1</v>
      </c>
      <c r="R242" s="1" t="str">
        <f>VLOOKUP(Sales4[[#This Row],[Material type]],Master!$H$3:$I$8,2,0)</f>
        <v>Finished Goods</v>
      </c>
      <c r="S242" s="1" t="str">
        <f>VLOOKUP(Sales4[[#This Row],[Material Group]],Master!B:C,2,0)</f>
        <v>FG-PCB-CF</v>
      </c>
      <c r="T242" s="1" t="str">
        <f>VLOOKUP(Sales4[[#This Row],[Material Group Descrip]],Master!E:F,2,0)</f>
        <v>FG-PCB-CF</v>
      </c>
      <c r="U242" s="9" t="b">
        <f ca="1">(TODAY()-1)=Sales4[[#This Row],[Billing Date]]</f>
        <v>0</v>
      </c>
      <c r="V242" s="10" t="e">
        <f>Sales4[[#This Row],[Net Value]]-Sales4[[#This Row],[PGI COST]]</f>
        <v>#REF!</v>
      </c>
      <c r="W242" s="11" t="e">
        <f>Sales4[[#This Row],[Gross Margin]]/Sales4[[#This Row],[Net Value]]</f>
        <v>#REF!</v>
      </c>
      <c r="X242" s="1" t="str">
        <f>TEXT(Sales4[[#This Row],[Billing Date]],"mmmm-yy")</f>
        <v>September-25</v>
      </c>
      <c r="Y242" s="1">
        <f>Sales4[[#This Row],[Net Value]]/Sales4[[#This Row],[Billed Quantity]]</f>
        <v>365.88</v>
      </c>
      <c r="Z242" s="117">
        <f>Sales4[[#This Row],[Actual delivery qty]]</f>
        <v>240</v>
      </c>
      <c r="AA242" s="12" t="e">
        <f>SUM(Sales4[[#This Row],[BOM Cost]:[Other Conversion cost pu]])</f>
        <v>#REF!</v>
      </c>
      <c r="AB24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4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42" s="12">
        <f>IFERROR(VLOOKUP(Sales4[[#This Row],[Material]],'COGS Break up'!#REF!,5,0),0)</f>
        <v>0</v>
      </c>
      <c r="AE24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42" s="48" t="e">
        <f>Sales4[[#This Row],[PGI per unit]]-Sales4[[#This Row],[BOM Cost]]-Sales4[[#This Row],[Labour cost per unit]]-Sales4[[#This Row],[Other Conversion cost pu]]</f>
        <v>#REF!</v>
      </c>
      <c r="AG242" s="48" t="e">
        <f>Sales4[[#This Row],[BOM Cost2]]+Sales4[[#This Row],[Labour Cost]]+Sales4[[#This Row],[Other conversion cost]]</f>
        <v>#REF!</v>
      </c>
      <c r="AH242" s="12" t="e">
        <f>Sales4[[#This Row],[Billed Quantity]]*Sales4[[#This Row],[BOM Cost]]</f>
        <v>#REF!</v>
      </c>
      <c r="AI242" s="12" t="e">
        <f>Sales4[[#This Row],[Billed Quantity]]*Sales4[[#This Row],[Labour cost per unit]]</f>
        <v>#REF!</v>
      </c>
      <c r="AJ242" s="12">
        <f>Sales4[[#This Row],[Droppage per unit]]*Sales4[[#This Row],[Billed Quantity]]</f>
        <v>0</v>
      </c>
      <c r="AK242" s="12" t="e">
        <f>Sales4[[#This Row],[Billed Quantity]]*Sales4[[#This Row],[Other Conversion cost pu]]</f>
        <v>#REF!</v>
      </c>
      <c r="AL242" s="48" t="e">
        <f>Sales4[[#This Row],[PGI Amount]]-Sales4[[#This Row],[BOM Cost2]]-Sales4[[#This Row],[Labour Cost]]-Sales4[[#This Row],[Other conversion cost]]</f>
        <v>#REF!</v>
      </c>
      <c r="AM242" s="121" t="e">
        <f>1-Sales4[[#This Row],[PGI COST]]/Sales4[[#This Row],[Net Value]]</f>
        <v>#REF!</v>
      </c>
      <c r="AN242" s="1">
        <f>Sales4[[#This Row],[PGI Amount]]/Sales4[[#This Row],[Billed Quantity]]</f>
        <v>320.02000000000004</v>
      </c>
      <c r="AO242" s="72" t="e">
        <f>SUMIFS('COGS Break up'!#REF!,'COGS Break up'!#REF!,Sales4[[#This Row],[Material]],'COGS Break up'!#REF!,'MIS Working'!$AO$1)</f>
        <v>#REF!</v>
      </c>
      <c r="AP242" s="72" t="e">
        <f>SUMIFS('COGS Break up'!#REF!,'COGS Break up'!#REF!,Sales4[[#This Row],[Material]],'COGS Break up'!#REF!,'MIS Working'!$AP$1)</f>
        <v>#REF!</v>
      </c>
      <c r="AQ242" s="72" t="e">
        <f>SUMIFS('COGS Break up'!#REF!,'COGS Break up'!#REF!,Sales4[[#This Row],[Material]],'COGS Break up'!#REF!,'MIS Working'!$AQ$1)</f>
        <v>#REF!</v>
      </c>
      <c r="AR242" s="72">
        <f>Sales4[[#This Row],[Droppage per unit]]</f>
        <v>0</v>
      </c>
      <c r="AS242" s="15" t="e">
        <f>AO242*Sales4[[#This Row],[Billed Quantity]]</f>
        <v>#REF!</v>
      </c>
      <c r="AT242" s="72" t="e">
        <f>AP242*Sales4[[#This Row],[Billed Quantity]]</f>
        <v>#REF!</v>
      </c>
      <c r="AU242" s="72" t="e">
        <f>AQ242*Sales4[[#This Row],[Billed Quantity]]</f>
        <v>#REF!</v>
      </c>
      <c r="AV242" s="72">
        <f>AR242*Sales4[[#This Row],[Billed Quantity]]</f>
        <v>0</v>
      </c>
    </row>
    <row r="243" spans="1:48" x14ac:dyDescent="0.3">
      <c r="A243" s="1" t="s">
        <v>479</v>
      </c>
      <c r="B243" s="2">
        <v>45911</v>
      </c>
      <c r="C243" s="1">
        <v>3271269345</v>
      </c>
      <c r="D243" s="1" t="s">
        <v>637</v>
      </c>
      <c r="E243" s="1" t="s">
        <v>638</v>
      </c>
      <c r="F243" s="1" t="s">
        <v>18</v>
      </c>
      <c r="G243" s="1" t="s">
        <v>19</v>
      </c>
      <c r="H243" s="1" t="s">
        <v>27</v>
      </c>
      <c r="I243" s="3">
        <v>277</v>
      </c>
      <c r="J243" s="4">
        <v>88645.54</v>
      </c>
      <c r="K243" s="3">
        <v>277</v>
      </c>
      <c r="L243" s="3">
        <v>277</v>
      </c>
      <c r="M243" s="2">
        <v>45911</v>
      </c>
      <c r="N243" s="4">
        <v>101348.76</v>
      </c>
      <c r="O243" s="1" t="s">
        <v>21</v>
      </c>
      <c r="P243" s="1" t="s">
        <v>22</v>
      </c>
      <c r="Q243" s="1">
        <v>1</v>
      </c>
      <c r="R243" s="1" t="str">
        <f>VLOOKUP(Sales4[[#This Row],[Material type]],Master!$H$3:$I$8,2,0)</f>
        <v>Finished Goods</v>
      </c>
      <c r="S243" s="1" t="str">
        <f>VLOOKUP(Sales4[[#This Row],[Material Group]],Master!B:C,2,0)</f>
        <v>FG-PCB-CF</v>
      </c>
      <c r="T243" s="1" t="str">
        <f>VLOOKUP(Sales4[[#This Row],[Material Group Descrip]],Master!E:F,2,0)</f>
        <v>FG-PCB-CF</v>
      </c>
      <c r="U243" s="9" t="b">
        <f ca="1">(TODAY()-1)=Sales4[[#This Row],[Billing Date]]</f>
        <v>0</v>
      </c>
      <c r="V243" s="10" t="e">
        <f>Sales4[[#This Row],[Net Value]]-Sales4[[#This Row],[PGI COST]]</f>
        <v>#REF!</v>
      </c>
      <c r="W243" s="11" t="e">
        <f>Sales4[[#This Row],[Gross Margin]]/Sales4[[#This Row],[Net Value]]</f>
        <v>#REF!</v>
      </c>
      <c r="X243" s="1" t="str">
        <f>TEXT(Sales4[[#This Row],[Billing Date]],"mmmm-yy")</f>
        <v>September-25</v>
      </c>
      <c r="Y243" s="1">
        <f>Sales4[[#This Row],[Net Value]]/Sales4[[#This Row],[Billed Quantity]]</f>
        <v>365.88</v>
      </c>
      <c r="Z243" s="117">
        <f>Sales4[[#This Row],[Actual delivery qty]]</f>
        <v>277</v>
      </c>
      <c r="AA243" s="12" t="e">
        <f>SUM(Sales4[[#This Row],[BOM Cost]:[Other Conversion cost pu]])</f>
        <v>#REF!</v>
      </c>
      <c r="AB24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4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43" s="12">
        <f>IFERROR(VLOOKUP(Sales4[[#This Row],[Material]],'COGS Break up'!#REF!,5,0),0)</f>
        <v>0</v>
      </c>
      <c r="AE24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43" s="48" t="e">
        <f>Sales4[[#This Row],[PGI per unit]]-Sales4[[#This Row],[BOM Cost]]-Sales4[[#This Row],[Labour cost per unit]]-Sales4[[#This Row],[Other Conversion cost pu]]</f>
        <v>#REF!</v>
      </c>
      <c r="AG243" s="48" t="e">
        <f>Sales4[[#This Row],[BOM Cost2]]+Sales4[[#This Row],[Labour Cost]]+Sales4[[#This Row],[Other conversion cost]]</f>
        <v>#REF!</v>
      </c>
      <c r="AH243" s="12" t="e">
        <f>Sales4[[#This Row],[Billed Quantity]]*Sales4[[#This Row],[BOM Cost]]</f>
        <v>#REF!</v>
      </c>
      <c r="AI243" s="12" t="e">
        <f>Sales4[[#This Row],[Billed Quantity]]*Sales4[[#This Row],[Labour cost per unit]]</f>
        <v>#REF!</v>
      </c>
      <c r="AJ243" s="12">
        <f>Sales4[[#This Row],[Droppage per unit]]*Sales4[[#This Row],[Billed Quantity]]</f>
        <v>0</v>
      </c>
      <c r="AK243" s="12" t="e">
        <f>Sales4[[#This Row],[Billed Quantity]]*Sales4[[#This Row],[Other Conversion cost pu]]</f>
        <v>#REF!</v>
      </c>
      <c r="AL243" s="48" t="e">
        <f>Sales4[[#This Row],[PGI Amount]]-Sales4[[#This Row],[BOM Cost2]]-Sales4[[#This Row],[Labour Cost]]-Sales4[[#This Row],[Other conversion cost]]</f>
        <v>#REF!</v>
      </c>
      <c r="AM243" s="121" t="e">
        <f>1-Sales4[[#This Row],[PGI COST]]/Sales4[[#This Row],[Net Value]]</f>
        <v>#REF!</v>
      </c>
      <c r="AN243" s="1">
        <f>Sales4[[#This Row],[PGI Amount]]/Sales4[[#This Row],[Billed Quantity]]</f>
        <v>320.02</v>
      </c>
      <c r="AO243" s="72" t="e">
        <f>SUMIFS('COGS Break up'!#REF!,'COGS Break up'!#REF!,Sales4[[#This Row],[Material]],'COGS Break up'!#REF!,'MIS Working'!$AO$1)</f>
        <v>#REF!</v>
      </c>
      <c r="AP243" s="72" t="e">
        <f>SUMIFS('COGS Break up'!#REF!,'COGS Break up'!#REF!,Sales4[[#This Row],[Material]],'COGS Break up'!#REF!,'MIS Working'!$AP$1)</f>
        <v>#REF!</v>
      </c>
      <c r="AQ243" s="72" t="e">
        <f>SUMIFS('COGS Break up'!#REF!,'COGS Break up'!#REF!,Sales4[[#This Row],[Material]],'COGS Break up'!#REF!,'MIS Working'!$AQ$1)</f>
        <v>#REF!</v>
      </c>
      <c r="AR243" s="72">
        <f>Sales4[[#This Row],[Droppage per unit]]</f>
        <v>0</v>
      </c>
      <c r="AS243" s="15" t="e">
        <f>AO243*Sales4[[#This Row],[Billed Quantity]]</f>
        <v>#REF!</v>
      </c>
      <c r="AT243" s="72" t="e">
        <f>AP243*Sales4[[#This Row],[Billed Quantity]]</f>
        <v>#REF!</v>
      </c>
      <c r="AU243" s="72" t="e">
        <f>AQ243*Sales4[[#This Row],[Billed Quantity]]</f>
        <v>#REF!</v>
      </c>
      <c r="AV243" s="72">
        <f>AR243*Sales4[[#This Row],[Billed Quantity]]</f>
        <v>0</v>
      </c>
    </row>
    <row r="244" spans="1:48" x14ac:dyDescent="0.3">
      <c r="A244" s="1" t="s">
        <v>479</v>
      </c>
      <c r="B244" s="2">
        <v>45911</v>
      </c>
      <c r="C244" s="1">
        <v>3271269335</v>
      </c>
      <c r="D244" s="1" t="s">
        <v>637</v>
      </c>
      <c r="E244" s="1" t="s">
        <v>638</v>
      </c>
      <c r="F244" s="1" t="s">
        <v>18</v>
      </c>
      <c r="G244" s="1" t="s">
        <v>19</v>
      </c>
      <c r="H244" s="1" t="s">
        <v>27</v>
      </c>
      <c r="I244" s="3">
        <v>101</v>
      </c>
      <c r="J244" s="4">
        <v>32322.02</v>
      </c>
      <c r="K244" s="3">
        <v>101</v>
      </c>
      <c r="L244" s="3">
        <v>101</v>
      </c>
      <c r="M244" s="2">
        <v>45911</v>
      </c>
      <c r="N244" s="4">
        <v>36953.879999999997</v>
      </c>
      <c r="O244" s="1" t="s">
        <v>21</v>
      </c>
      <c r="P244" s="1" t="s">
        <v>22</v>
      </c>
      <c r="Q244" s="1">
        <v>1</v>
      </c>
      <c r="R244" s="1" t="str">
        <f>VLOOKUP(Sales4[[#This Row],[Material type]],Master!$H$3:$I$8,2,0)</f>
        <v>Finished Goods</v>
      </c>
      <c r="S244" s="1" t="str">
        <f>VLOOKUP(Sales4[[#This Row],[Material Group]],Master!B:C,2,0)</f>
        <v>FG-PCB-CF</v>
      </c>
      <c r="T244" s="1" t="str">
        <f>VLOOKUP(Sales4[[#This Row],[Material Group Descrip]],Master!E:F,2,0)</f>
        <v>FG-PCB-CF</v>
      </c>
      <c r="U244" s="9" t="b">
        <f ca="1">(TODAY()-1)=Sales4[[#This Row],[Billing Date]]</f>
        <v>0</v>
      </c>
      <c r="V244" s="10" t="e">
        <f>Sales4[[#This Row],[Net Value]]-Sales4[[#This Row],[PGI COST]]</f>
        <v>#REF!</v>
      </c>
      <c r="W244" s="11" t="e">
        <f>Sales4[[#This Row],[Gross Margin]]/Sales4[[#This Row],[Net Value]]</f>
        <v>#REF!</v>
      </c>
      <c r="X244" s="1" t="str">
        <f>TEXT(Sales4[[#This Row],[Billing Date]],"mmmm-yy")</f>
        <v>September-25</v>
      </c>
      <c r="Y244" s="1">
        <f>Sales4[[#This Row],[Net Value]]/Sales4[[#This Row],[Billed Quantity]]</f>
        <v>365.88</v>
      </c>
      <c r="Z244" s="117">
        <f>Sales4[[#This Row],[Actual delivery qty]]</f>
        <v>101</v>
      </c>
      <c r="AA244" s="12" t="e">
        <f>SUM(Sales4[[#This Row],[BOM Cost]:[Other Conversion cost pu]])</f>
        <v>#REF!</v>
      </c>
      <c r="AB24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4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44" s="12">
        <f>IFERROR(VLOOKUP(Sales4[[#This Row],[Material]],'COGS Break up'!#REF!,5,0),0)</f>
        <v>0</v>
      </c>
      <c r="AE24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44" s="48" t="e">
        <f>Sales4[[#This Row],[PGI per unit]]-Sales4[[#This Row],[BOM Cost]]-Sales4[[#This Row],[Labour cost per unit]]-Sales4[[#This Row],[Other Conversion cost pu]]</f>
        <v>#REF!</v>
      </c>
      <c r="AG244" s="48" t="e">
        <f>Sales4[[#This Row],[BOM Cost2]]+Sales4[[#This Row],[Labour Cost]]+Sales4[[#This Row],[Other conversion cost]]</f>
        <v>#REF!</v>
      </c>
      <c r="AH244" s="12" t="e">
        <f>Sales4[[#This Row],[Billed Quantity]]*Sales4[[#This Row],[BOM Cost]]</f>
        <v>#REF!</v>
      </c>
      <c r="AI244" s="12" t="e">
        <f>Sales4[[#This Row],[Billed Quantity]]*Sales4[[#This Row],[Labour cost per unit]]</f>
        <v>#REF!</v>
      </c>
      <c r="AJ244" s="12">
        <f>Sales4[[#This Row],[Droppage per unit]]*Sales4[[#This Row],[Billed Quantity]]</f>
        <v>0</v>
      </c>
      <c r="AK244" s="12" t="e">
        <f>Sales4[[#This Row],[Billed Quantity]]*Sales4[[#This Row],[Other Conversion cost pu]]</f>
        <v>#REF!</v>
      </c>
      <c r="AL244" s="48" t="e">
        <f>Sales4[[#This Row],[PGI Amount]]-Sales4[[#This Row],[BOM Cost2]]-Sales4[[#This Row],[Labour Cost]]-Sales4[[#This Row],[Other conversion cost]]</f>
        <v>#REF!</v>
      </c>
      <c r="AM244" s="121" t="e">
        <f>1-Sales4[[#This Row],[PGI COST]]/Sales4[[#This Row],[Net Value]]</f>
        <v>#REF!</v>
      </c>
      <c r="AN244" s="1">
        <f>Sales4[[#This Row],[PGI Amount]]/Sales4[[#This Row],[Billed Quantity]]</f>
        <v>320.02</v>
      </c>
      <c r="AO244" s="72" t="e">
        <f>SUMIFS('COGS Break up'!#REF!,'COGS Break up'!#REF!,Sales4[[#This Row],[Material]],'COGS Break up'!#REF!,'MIS Working'!$AO$1)</f>
        <v>#REF!</v>
      </c>
      <c r="AP244" s="72" t="e">
        <f>SUMIFS('COGS Break up'!#REF!,'COGS Break up'!#REF!,Sales4[[#This Row],[Material]],'COGS Break up'!#REF!,'MIS Working'!$AP$1)</f>
        <v>#REF!</v>
      </c>
      <c r="AQ244" s="72" t="e">
        <f>SUMIFS('COGS Break up'!#REF!,'COGS Break up'!#REF!,Sales4[[#This Row],[Material]],'COGS Break up'!#REF!,'MIS Working'!$AQ$1)</f>
        <v>#REF!</v>
      </c>
      <c r="AR244" s="72">
        <f>Sales4[[#This Row],[Droppage per unit]]</f>
        <v>0</v>
      </c>
      <c r="AS244" s="15" t="e">
        <f>AO244*Sales4[[#This Row],[Billed Quantity]]</f>
        <v>#REF!</v>
      </c>
      <c r="AT244" s="72" t="e">
        <f>AP244*Sales4[[#This Row],[Billed Quantity]]</f>
        <v>#REF!</v>
      </c>
      <c r="AU244" s="72" t="e">
        <f>AQ244*Sales4[[#This Row],[Billed Quantity]]</f>
        <v>#REF!</v>
      </c>
      <c r="AV244" s="72">
        <f>AR244*Sales4[[#This Row],[Billed Quantity]]</f>
        <v>0</v>
      </c>
    </row>
    <row r="245" spans="1:48" x14ac:dyDescent="0.3">
      <c r="A245" s="1" t="s">
        <v>479</v>
      </c>
      <c r="B245" s="2">
        <v>45911</v>
      </c>
      <c r="C245" s="1">
        <v>3271269335</v>
      </c>
      <c r="D245" s="1" t="s">
        <v>641</v>
      </c>
      <c r="E245" s="1" t="s">
        <v>642</v>
      </c>
      <c r="F245" s="1" t="s">
        <v>18</v>
      </c>
      <c r="G245" s="1" t="s">
        <v>19</v>
      </c>
      <c r="H245" s="1" t="s">
        <v>27</v>
      </c>
      <c r="I245" s="3">
        <v>210</v>
      </c>
      <c r="J245" s="4">
        <v>96033</v>
      </c>
      <c r="K245" s="3">
        <v>210</v>
      </c>
      <c r="L245" s="3">
        <v>210</v>
      </c>
      <c r="M245" s="2">
        <v>45911</v>
      </c>
      <c r="N245" s="4">
        <v>103950</v>
      </c>
      <c r="O245" s="1" t="s">
        <v>21</v>
      </c>
      <c r="P245" s="1" t="s">
        <v>22</v>
      </c>
      <c r="Q245" s="1">
        <v>1</v>
      </c>
      <c r="R245" s="1" t="str">
        <f>VLOOKUP(Sales4[[#This Row],[Material type]],Master!$H$3:$I$8,2,0)</f>
        <v>Finished Goods</v>
      </c>
      <c r="S245" s="1" t="str">
        <f>VLOOKUP(Sales4[[#This Row],[Material Group]],Master!B:C,2,0)</f>
        <v>FG-PCB-CF</v>
      </c>
      <c r="T245" s="1" t="str">
        <f>VLOOKUP(Sales4[[#This Row],[Material Group Descrip]],Master!E:F,2,0)</f>
        <v>FG-PCB-CF</v>
      </c>
      <c r="U245" s="9" t="b">
        <f ca="1">(TODAY()-1)=Sales4[[#This Row],[Billing Date]]</f>
        <v>0</v>
      </c>
      <c r="V245" s="10" t="e">
        <f>Sales4[[#This Row],[Net Value]]-Sales4[[#This Row],[PGI COST]]</f>
        <v>#REF!</v>
      </c>
      <c r="W245" s="11" t="e">
        <f>Sales4[[#This Row],[Gross Margin]]/Sales4[[#This Row],[Net Value]]</f>
        <v>#REF!</v>
      </c>
      <c r="X245" s="1" t="str">
        <f>TEXT(Sales4[[#This Row],[Billing Date]],"mmmm-yy")</f>
        <v>September-25</v>
      </c>
      <c r="Y245" s="1">
        <f>Sales4[[#This Row],[Net Value]]/Sales4[[#This Row],[Billed Quantity]]</f>
        <v>495</v>
      </c>
      <c r="Z245" s="117">
        <f>Sales4[[#This Row],[Actual delivery qty]]</f>
        <v>210</v>
      </c>
      <c r="AA245" s="12" t="e">
        <f>SUM(Sales4[[#This Row],[BOM Cost]:[Other Conversion cost pu]])</f>
        <v>#REF!</v>
      </c>
      <c r="AB24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4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45" s="12">
        <f>IFERROR(VLOOKUP(Sales4[[#This Row],[Material]],'COGS Break up'!#REF!,5,0),0)</f>
        <v>0</v>
      </c>
      <c r="AE24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45" s="48" t="e">
        <f>Sales4[[#This Row],[PGI per unit]]-Sales4[[#This Row],[BOM Cost]]-Sales4[[#This Row],[Labour cost per unit]]-Sales4[[#This Row],[Other Conversion cost pu]]</f>
        <v>#REF!</v>
      </c>
      <c r="AG245" s="48" t="e">
        <f>Sales4[[#This Row],[BOM Cost2]]+Sales4[[#This Row],[Labour Cost]]+Sales4[[#This Row],[Other conversion cost]]</f>
        <v>#REF!</v>
      </c>
      <c r="AH245" s="12" t="e">
        <f>Sales4[[#This Row],[Billed Quantity]]*Sales4[[#This Row],[BOM Cost]]</f>
        <v>#REF!</v>
      </c>
      <c r="AI245" s="12" t="e">
        <f>Sales4[[#This Row],[Billed Quantity]]*Sales4[[#This Row],[Labour cost per unit]]</f>
        <v>#REF!</v>
      </c>
      <c r="AJ245" s="12">
        <f>Sales4[[#This Row],[Droppage per unit]]*Sales4[[#This Row],[Billed Quantity]]</f>
        <v>0</v>
      </c>
      <c r="AK245" s="12" t="e">
        <f>Sales4[[#This Row],[Billed Quantity]]*Sales4[[#This Row],[Other Conversion cost pu]]</f>
        <v>#REF!</v>
      </c>
      <c r="AL245" s="48" t="e">
        <f>Sales4[[#This Row],[PGI Amount]]-Sales4[[#This Row],[BOM Cost2]]-Sales4[[#This Row],[Labour Cost]]-Sales4[[#This Row],[Other conversion cost]]</f>
        <v>#REF!</v>
      </c>
      <c r="AM245" s="121" t="e">
        <f>1-Sales4[[#This Row],[PGI COST]]/Sales4[[#This Row],[Net Value]]</f>
        <v>#REF!</v>
      </c>
      <c r="AN245" s="1">
        <f>Sales4[[#This Row],[PGI Amount]]/Sales4[[#This Row],[Billed Quantity]]</f>
        <v>457.3</v>
      </c>
      <c r="AO245" s="72" t="e">
        <f>SUMIFS('COGS Break up'!#REF!,'COGS Break up'!#REF!,Sales4[[#This Row],[Material]],'COGS Break up'!#REF!,'MIS Working'!$AO$1)</f>
        <v>#REF!</v>
      </c>
      <c r="AP245" s="72" t="e">
        <f>SUMIFS('COGS Break up'!#REF!,'COGS Break up'!#REF!,Sales4[[#This Row],[Material]],'COGS Break up'!#REF!,'MIS Working'!$AP$1)</f>
        <v>#REF!</v>
      </c>
      <c r="AQ245" s="72" t="e">
        <f>SUMIFS('COGS Break up'!#REF!,'COGS Break up'!#REF!,Sales4[[#This Row],[Material]],'COGS Break up'!#REF!,'MIS Working'!$AQ$1)</f>
        <v>#REF!</v>
      </c>
      <c r="AR245" s="72">
        <f>Sales4[[#This Row],[Droppage per unit]]</f>
        <v>0</v>
      </c>
      <c r="AS245" s="15" t="e">
        <f>AO245*Sales4[[#This Row],[Billed Quantity]]</f>
        <v>#REF!</v>
      </c>
      <c r="AT245" s="72" t="e">
        <f>AP245*Sales4[[#This Row],[Billed Quantity]]</f>
        <v>#REF!</v>
      </c>
      <c r="AU245" s="72" t="e">
        <f>AQ245*Sales4[[#This Row],[Billed Quantity]]</f>
        <v>#REF!</v>
      </c>
      <c r="AV245" s="72">
        <f>AR245*Sales4[[#This Row],[Billed Quantity]]</f>
        <v>0</v>
      </c>
    </row>
    <row r="246" spans="1:48" x14ac:dyDescent="0.3">
      <c r="A246" s="1" t="s">
        <v>479</v>
      </c>
      <c r="B246" s="2">
        <v>45911</v>
      </c>
      <c r="C246" s="1">
        <v>3271269276</v>
      </c>
      <c r="D246" s="1" t="s">
        <v>42</v>
      </c>
      <c r="E246" s="1" t="s">
        <v>43</v>
      </c>
      <c r="F246" s="1" t="s">
        <v>18</v>
      </c>
      <c r="G246" s="1" t="s">
        <v>19</v>
      </c>
      <c r="H246" s="1" t="s">
        <v>27</v>
      </c>
      <c r="I246" s="3">
        <v>1120</v>
      </c>
      <c r="J246" s="4">
        <v>369006.4</v>
      </c>
      <c r="K246" s="3">
        <v>1120</v>
      </c>
      <c r="L246" s="3">
        <v>1120</v>
      </c>
      <c r="M246" s="2">
        <v>45911</v>
      </c>
      <c r="N246" s="4">
        <v>401284.8</v>
      </c>
      <c r="O246" s="1" t="s">
        <v>21</v>
      </c>
      <c r="P246" s="1" t="s">
        <v>22</v>
      </c>
      <c r="Q246" s="1">
        <v>1</v>
      </c>
      <c r="R246" s="1" t="str">
        <f>VLOOKUP(Sales4[[#This Row],[Material type]],Master!$H$3:$I$8,2,0)</f>
        <v>Finished Goods</v>
      </c>
      <c r="S246" s="1" t="str">
        <f>VLOOKUP(Sales4[[#This Row],[Material Group]],Master!B:C,2,0)</f>
        <v>FG-PCB-CF</v>
      </c>
      <c r="T246" s="1" t="str">
        <f>VLOOKUP(Sales4[[#This Row],[Material Group Descrip]],Master!E:F,2,0)</f>
        <v>FG-PCB-CF</v>
      </c>
      <c r="U246" s="9" t="b">
        <f ca="1">(TODAY()-1)=Sales4[[#This Row],[Billing Date]]</f>
        <v>0</v>
      </c>
      <c r="V246" s="10" t="e">
        <f>Sales4[[#This Row],[Net Value]]-Sales4[[#This Row],[PGI COST]]</f>
        <v>#REF!</v>
      </c>
      <c r="W246" s="11" t="e">
        <f>Sales4[[#This Row],[Gross Margin]]/Sales4[[#This Row],[Net Value]]</f>
        <v>#REF!</v>
      </c>
      <c r="X246" s="1" t="str">
        <f>TEXT(Sales4[[#This Row],[Billing Date]],"mmmm-yy")</f>
        <v>September-25</v>
      </c>
      <c r="Y246" s="1">
        <f>Sales4[[#This Row],[Net Value]]/Sales4[[#This Row],[Billed Quantity]]</f>
        <v>358.28999999999996</v>
      </c>
      <c r="Z246" s="117">
        <f>Sales4[[#This Row],[Actual delivery qty]]</f>
        <v>1120</v>
      </c>
      <c r="AA246" s="12" t="e">
        <f>SUM(Sales4[[#This Row],[BOM Cost]:[Other Conversion cost pu]])</f>
        <v>#REF!</v>
      </c>
      <c r="AB24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4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46" s="12">
        <f>IFERROR(VLOOKUP(Sales4[[#This Row],[Material]],'COGS Break up'!#REF!,5,0),0)</f>
        <v>0</v>
      </c>
      <c r="AE24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46" s="48" t="e">
        <f>Sales4[[#This Row],[PGI per unit]]-Sales4[[#This Row],[BOM Cost]]-Sales4[[#This Row],[Labour cost per unit]]-Sales4[[#This Row],[Other Conversion cost pu]]</f>
        <v>#REF!</v>
      </c>
      <c r="AG246" s="48" t="e">
        <f>Sales4[[#This Row],[BOM Cost2]]+Sales4[[#This Row],[Labour Cost]]+Sales4[[#This Row],[Other conversion cost]]</f>
        <v>#REF!</v>
      </c>
      <c r="AH246" s="12" t="e">
        <f>Sales4[[#This Row],[Billed Quantity]]*Sales4[[#This Row],[BOM Cost]]</f>
        <v>#REF!</v>
      </c>
      <c r="AI246" s="12" t="e">
        <f>Sales4[[#This Row],[Billed Quantity]]*Sales4[[#This Row],[Labour cost per unit]]</f>
        <v>#REF!</v>
      </c>
      <c r="AJ246" s="12">
        <f>Sales4[[#This Row],[Droppage per unit]]*Sales4[[#This Row],[Billed Quantity]]</f>
        <v>0</v>
      </c>
      <c r="AK246" s="12" t="e">
        <f>Sales4[[#This Row],[Billed Quantity]]*Sales4[[#This Row],[Other Conversion cost pu]]</f>
        <v>#REF!</v>
      </c>
      <c r="AL246" s="48" t="e">
        <f>Sales4[[#This Row],[PGI Amount]]-Sales4[[#This Row],[BOM Cost2]]-Sales4[[#This Row],[Labour Cost]]-Sales4[[#This Row],[Other conversion cost]]</f>
        <v>#REF!</v>
      </c>
      <c r="AM246" s="121" t="e">
        <f>1-Sales4[[#This Row],[PGI COST]]/Sales4[[#This Row],[Net Value]]</f>
        <v>#REF!</v>
      </c>
      <c r="AN246" s="1">
        <f>Sales4[[#This Row],[PGI Amount]]/Sales4[[#This Row],[Billed Quantity]]</f>
        <v>329.47</v>
      </c>
      <c r="AO246" s="72" t="e">
        <f>SUMIFS('COGS Break up'!#REF!,'COGS Break up'!#REF!,Sales4[[#This Row],[Material]],'COGS Break up'!#REF!,'MIS Working'!$AO$1)</f>
        <v>#REF!</v>
      </c>
      <c r="AP246" s="72" t="e">
        <f>SUMIFS('COGS Break up'!#REF!,'COGS Break up'!#REF!,Sales4[[#This Row],[Material]],'COGS Break up'!#REF!,'MIS Working'!$AP$1)</f>
        <v>#REF!</v>
      </c>
      <c r="AQ246" s="72" t="e">
        <f>SUMIFS('COGS Break up'!#REF!,'COGS Break up'!#REF!,Sales4[[#This Row],[Material]],'COGS Break up'!#REF!,'MIS Working'!$AQ$1)</f>
        <v>#REF!</v>
      </c>
      <c r="AR246" s="72">
        <f>Sales4[[#This Row],[Droppage per unit]]</f>
        <v>0</v>
      </c>
      <c r="AS246" s="15" t="e">
        <f>AO246*Sales4[[#This Row],[Billed Quantity]]</f>
        <v>#REF!</v>
      </c>
      <c r="AT246" s="72" t="e">
        <f>AP246*Sales4[[#This Row],[Billed Quantity]]</f>
        <v>#REF!</v>
      </c>
      <c r="AU246" s="72" t="e">
        <f>AQ246*Sales4[[#This Row],[Billed Quantity]]</f>
        <v>#REF!</v>
      </c>
      <c r="AV246" s="72">
        <f>AR246*Sales4[[#This Row],[Billed Quantity]]</f>
        <v>0</v>
      </c>
    </row>
    <row r="247" spans="1:48" x14ac:dyDescent="0.3">
      <c r="A247" s="1" t="s">
        <v>479</v>
      </c>
      <c r="B247" s="2">
        <v>45911</v>
      </c>
      <c r="C247" s="1">
        <v>3271269335</v>
      </c>
      <c r="D247" s="1" t="s">
        <v>42</v>
      </c>
      <c r="E247" s="1" t="s">
        <v>43</v>
      </c>
      <c r="F247" s="1" t="s">
        <v>18</v>
      </c>
      <c r="G247" s="1" t="s">
        <v>19</v>
      </c>
      <c r="H247" s="1" t="s">
        <v>27</v>
      </c>
      <c r="I247" s="3">
        <v>1225</v>
      </c>
      <c r="J247" s="4">
        <v>403600.75</v>
      </c>
      <c r="K247" s="3">
        <v>1225</v>
      </c>
      <c r="L247" s="3">
        <v>1225</v>
      </c>
      <c r="M247" s="2">
        <v>45911</v>
      </c>
      <c r="N247" s="4">
        <v>438905.25</v>
      </c>
      <c r="O247" s="1" t="s">
        <v>21</v>
      </c>
      <c r="P247" s="1" t="s">
        <v>22</v>
      </c>
      <c r="Q247" s="1">
        <v>1</v>
      </c>
      <c r="R247" s="1" t="str">
        <f>VLOOKUP(Sales4[[#This Row],[Material type]],Master!$H$3:$I$8,2,0)</f>
        <v>Finished Goods</v>
      </c>
      <c r="S247" s="1" t="str">
        <f>VLOOKUP(Sales4[[#This Row],[Material Group]],Master!B:C,2,0)</f>
        <v>FG-PCB-CF</v>
      </c>
      <c r="T247" s="1" t="str">
        <f>VLOOKUP(Sales4[[#This Row],[Material Group Descrip]],Master!E:F,2,0)</f>
        <v>FG-PCB-CF</v>
      </c>
      <c r="U247" s="9" t="b">
        <f ca="1">(TODAY()-1)=Sales4[[#This Row],[Billing Date]]</f>
        <v>0</v>
      </c>
      <c r="V247" s="10" t="e">
        <f>Sales4[[#This Row],[Net Value]]-Sales4[[#This Row],[PGI COST]]</f>
        <v>#REF!</v>
      </c>
      <c r="W247" s="11" t="e">
        <f>Sales4[[#This Row],[Gross Margin]]/Sales4[[#This Row],[Net Value]]</f>
        <v>#REF!</v>
      </c>
      <c r="X247" s="1" t="str">
        <f>TEXT(Sales4[[#This Row],[Billing Date]],"mmmm-yy")</f>
        <v>September-25</v>
      </c>
      <c r="Y247" s="1">
        <f>Sales4[[#This Row],[Net Value]]/Sales4[[#This Row],[Billed Quantity]]</f>
        <v>358.29</v>
      </c>
      <c r="Z247" s="117">
        <f>Sales4[[#This Row],[Actual delivery qty]]</f>
        <v>1225</v>
      </c>
      <c r="AA247" s="12" t="e">
        <f>SUM(Sales4[[#This Row],[BOM Cost]:[Other Conversion cost pu]])</f>
        <v>#REF!</v>
      </c>
      <c r="AB24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4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47" s="12">
        <f>IFERROR(VLOOKUP(Sales4[[#This Row],[Material]],'COGS Break up'!#REF!,5,0),0)</f>
        <v>0</v>
      </c>
      <c r="AE24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47" s="48" t="e">
        <f>Sales4[[#This Row],[PGI per unit]]-Sales4[[#This Row],[BOM Cost]]-Sales4[[#This Row],[Labour cost per unit]]-Sales4[[#This Row],[Other Conversion cost pu]]</f>
        <v>#REF!</v>
      </c>
      <c r="AG247" s="48" t="e">
        <f>Sales4[[#This Row],[BOM Cost2]]+Sales4[[#This Row],[Labour Cost]]+Sales4[[#This Row],[Other conversion cost]]</f>
        <v>#REF!</v>
      </c>
      <c r="AH247" s="12" t="e">
        <f>Sales4[[#This Row],[Billed Quantity]]*Sales4[[#This Row],[BOM Cost]]</f>
        <v>#REF!</v>
      </c>
      <c r="AI247" s="12" t="e">
        <f>Sales4[[#This Row],[Billed Quantity]]*Sales4[[#This Row],[Labour cost per unit]]</f>
        <v>#REF!</v>
      </c>
      <c r="AJ247" s="12">
        <f>Sales4[[#This Row],[Droppage per unit]]*Sales4[[#This Row],[Billed Quantity]]</f>
        <v>0</v>
      </c>
      <c r="AK247" s="12" t="e">
        <f>Sales4[[#This Row],[Billed Quantity]]*Sales4[[#This Row],[Other Conversion cost pu]]</f>
        <v>#REF!</v>
      </c>
      <c r="AL247" s="48" t="e">
        <f>Sales4[[#This Row],[PGI Amount]]-Sales4[[#This Row],[BOM Cost2]]-Sales4[[#This Row],[Labour Cost]]-Sales4[[#This Row],[Other conversion cost]]</f>
        <v>#REF!</v>
      </c>
      <c r="AM247" s="121" t="e">
        <f>1-Sales4[[#This Row],[PGI COST]]/Sales4[[#This Row],[Net Value]]</f>
        <v>#REF!</v>
      </c>
      <c r="AN247" s="1">
        <f>Sales4[[#This Row],[PGI Amount]]/Sales4[[#This Row],[Billed Quantity]]</f>
        <v>329.47</v>
      </c>
      <c r="AO247" s="72" t="e">
        <f>SUMIFS('COGS Break up'!#REF!,'COGS Break up'!#REF!,Sales4[[#This Row],[Material]],'COGS Break up'!#REF!,'MIS Working'!$AO$1)</f>
        <v>#REF!</v>
      </c>
      <c r="AP247" s="72" t="e">
        <f>SUMIFS('COGS Break up'!#REF!,'COGS Break up'!#REF!,Sales4[[#This Row],[Material]],'COGS Break up'!#REF!,'MIS Working'!$AP$1)</f>
        <v>#REF!</v>
      </c>
      <c r="AQ247" s="72" t="e">
        <f>SUMIFS('COGS Break up'!#REF!,'COGS Break up'!#REF!,Sales4[[#This Row],[Material]],'COGS Break up'!#REF!,'MIS Working'!$AQ$1)</f>
        <v>#REF!</v>
      </c>
      <c r="AR247" s="72">
        <f>Sales4[[#This Row],[Droppage per unit]]</f>
        <v>0</v>
      </c>
      <c r="AS247" s="15" t="e">
        <f>AO247*Sales4[[#This Row],[Billed Quantity]]</f>
        <v>#REF!</v>
      </c>
      <c r="AT247" s="72" t="e">
        <f>AP247*Sales4[[#This Row],[Billed Quantity]]</f>
        <v>#REF!</v>
      </c>
      <c r="AU247" s="72" t="e">
        <f>AQ247*Sales4[[#This Row],[Billed Quantity]]</f>
        <v>#REF!</v>
      </c>
      <c r="AV247" s="72">
        <f>AR247*Sales4[[#This Row],[Billed Quantity]]</f>
        <v>0</v>
      </c>
    </row>
    <row r="248" spans="1:48" x14ac:dyDescent="0.3">
      <c r="A248" s="1" t="s">
        <v>479</v>
      </c>
      <c r="B248" s="2">
        <v>45911</v>
      </c>
      <c r="C248" s="1">
        <v>3271269345</v>
      </c>
      <c r="D248" s="1" t="s">
        <v>42</v>
      </c>
      <c r="E248" s="1" t="s">
        <v>43</v>
      </c>
      <c r="F248" s="1" t="s">
        <v>18</v>
      </c>
      <c r="G248" s="1" t="s">
        <v>19</v>
      </c>
      <c r="H248" s="1" t="s">
        <v>27</v>
      </c>
      <c r="I248" s="3">
        <v>560</v>
      </c>
      <c r="J248" s="4">
        <v>184503.2</v>
      </c>
      <c r="K248" s="3">
        <v>560</v>
      </c>
      <c r="L248" s="3">
        <v>560</v>
      </c>
      <c r="M248" s="2">
        <v>45911</v>
      </c>
      <c r="N248" s="4">
        <v>200642.4</v>
      </c>
      <c r="O248" s="1" t="s">
        <v>21</v>
      </c>
      <c r="P248" s="1" t="s">
        <v>22</v>
      </c>
      <c r="Q248" s="1">
        <v>1</v>
      </c>
      <c r="R248" s="1" t="str">
        <f>VLOOKUP(Sales4[[#This Row],[Material type]],Master!$H$3:$I$8,2,0)</f>
        <v>Finished Goods</v>
      </c>
      <c r="S248" s="1" t="str">
        <f>VLOOKUP(Sales4[[#This Row],[Material Group]],Master!B:C,2,0)</f>
        <v>FG-PCB-CF</v>
      </c>
      <c r="T248" s="1" t="str">
        <f>VLOOKUP(Sales4[[#This Row],[Material Group Descrip]],Master!E:F,2,0)</f>
        <v>FG-PCB-CF</v>
      </c>
      <c r="U248" s="9" t="b">
        <f ca="1">(TODAY()-1)=Sales4[[#This Row],[Billing Date]]</f>
        <v>0</v>
      </c>
      <c r="V248" s="10" t="e">
        <f>Sales4[[#This Row],[Net Value]]-Sales4[[#This Row],[PGI COST]]</f>
        <v>#REF!</v>
      </c>
      <c r="W248" s="11" t="e">
        <f>Sales4[[#This Row],[Gross Margin]]/Sales4[[#This Row],[Net Value]]</f>
        <v>#REF!</v>
      </c>
      <c r="X248" s="1" t="str">
        <f>TEXT(Sales4[[#This Row],[Billing Date]],"mmmm-yy")</f>
        <v>September-25</v>
      </c>
      <c r="Y248" s="1">
        <f>Sales4[[#This Row],[Net Value]]/Sales4[[#This Row],[Billed Quantity]]</f>
        <v>358.28999999999996</v>
      </c>
      <c r="Z248" s="117">
        <f>Sales4[[#This Row],[Actual delivery qty]]</f>
        <v>560</v>
      </c>
      <c r="AA248" s="12" t="e">
        <f>SUM(Sales4[[#This Row],[BOM Cost]:[Other Conversion cost pu]])</f>
        <v>#REF!</v>
      </c>
      <c r="AB24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4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48" s="12">
        <f>IFERROR(VLOOKUP(Sales4[[#This Row],[Material]],'COGS Break up'!#REF!,5,0),0)</f>
        <v>0</v>
      </c>
      <c r="AE24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48" s="48" t="e">
        <f>Sales4[[#This Row],[PGI per unit]]-Sales4[[#This Row],[BOM Cost]]-Sales4[[#This Row],[Labour cost per unit]]-Sales4[[#This Row],[Other Conversion cost pu]]</f>
        <v>#REF!</v>
      </c>
      <c r="AG248" s="48" t="e">
        <f>Sales4[[#This Row],[BOM Cost2]]+Sales4[[#This Row],[Labour Cost]]+Sales4[[#This Row],[Other conversion cost]]</f>
        <v>#REF!</v>
      </c>
      <c r="AH248" s="12" t="e">
        <f>Sales4[[#This Row],[Billed Quantity]]*Sales4[[#This Row],[BOM Cost]]</f>
        <v>#REF!</v>
      </c>
      <c r="AI248" s="12" t="e">
        <f>Sales4[[#This Row],[Billed Quantity]]*Sales4[[#This Row],[Labour cost per unit]]</f>
        <v>#REF!</v>
      </c>
      <c r="AJ248" s="12">
        <f>Sales4[[#This Row],[Droppage per unit]]*Sales4[[#This Row],[Billed Quantity]]</f>
        <v>0</v>
      </c>
      <c r="AK248" s="12" t="e">
        <f>Sales4[[#This Row],[Billed Quantity]]*Sales4[[#This Row],[Other Conversion cost pu]]</f>
        <v>#REF!</v>
      </c>
      <c r="AL248" s="48" t="e">
        <f>Sales4[[#This Row],[PGI Amount]]-Sales4[[#This Row],[BOM Cost2]]-Sales4[[#This Row],[Labour Cost]]-Sales4[[#This Row],[Other conversion cost]]</f>
        <v>#REF!</v>
      </c>
      <c r="AM248" s="121" t="e">
        <f>1-Sales4[[#This Row],[PGI COST]]/Sales4[[#This Row],[Net Value]]</f>
        <v>#REF!</v>
      </c>
      <c r="AN248" s="1">
        <f>Sales4[[#This Row],[PGI Amount]]/Sales4[[#This Row],[Billed Quantity]]</f>
        <v>329.47</v>
      </c>
      <c r="AO248" s="72" t="e">
        <f>SUMIFS('COGS Break up'!#REF!,'COGS Break up'!#REF!,Sales4[[#This Row],[Material]],'COGS Break up'!#REF!,'MIS Working'!$AO$1)</f>
        <v>#REF!</v>
      </c>
      <c r="AP248" s="72" t="e">
        <f>SUMIFS('COGS Break up'!#REF!,'COGS Break up'!#REF!,Sales4[[#This Row],[Material]],'COGS Break up'!#REF!,'MIS Working'!$AP$1)</f>
        <v>#REF!</v>
      </c>
      <c r="AQ248" s="72" t="e">
        <f>SUMIFS('COGS Break up'!#REF!,'COGS Break up'!#REF!,Sales4[[#This Row],[Material]],'COGS Break up'!#REF!,'MIS Working'!$AQ$1)</f>
        <v>#REF!</v>
      </c>
      <c r="AR248" s="72">
        <f>Sales4[[#This Row],[Droppage per unit]]</f>
        <v>0</v>
      </c>
      <c r="AS248" s="15" t="e">
        <f>AO248*Sales4[[#This Row],[Billed Quantity]]</f>
        <v>#REF!</v>
      </c>
      <c r="AT248" s="72" t="e">
        <f>AP248*Sales4[[#This Row],[Billed Quantity]]</f>
        <v>#REF!</v>
      </c>
      <c r="AU248" s="72" t="e">
        <f>AQ248*Sales4[[#This Row],[Billed Quantity]]</f>
        <v>#REF!</v>
      </c>
      <c r="AV248" s="72">
        <f>AR248*Sales4[[#This Row],[Billed Quantity]]</f>
        <v>0</v>
      </c>
    </row>
    <row r="249" spans="1:48" x14ac:dyDescent="0.3">
      <c r="A249" s="1" t="s">
        <v>479</v>
      </c>
      <c r="B249" s="2">
        <v>45911</v>
      </c>
      <c r="C249" s="1">
        <v>3271269335</v>
      </c>
      <c r="D249" s="1" t="s">
        <v>44</v>
      </c>
      <c r="E249" s="1" t="s">
        <v>45</v>
      </c>
      <c r="F249" s="1" t="s">
        <v>18</v>
      </c>
      <c r="G249" s="1" t="s">
        <v>19</v>
      </c>
      <c r="H249" s="1" t="s">
        <v>27</v>
      </c>
      <c r="I249" s="3">
        <v>210</v>
      </c>
      <c r="J249" s="4">
        <v>69988.800000000003</v>
      </c>
      <c r="K249" s="3">
        <v>210</v>
      </c>
      <c r="L249" s="3">
        <v>210</v>
      </c>
      <c r="M249" s="2">
        <v>45911</v>
      </c>
      <c r="N249" s="4">
        <v>74400.899999999994</v>
      </c>
      <c r="O249" s="1" t="s">
        <v>21</v>
      </c>
      <c r="P249" s="1" t="s">
        <v>22</v>
      </c>
      <c r="Q249" s="1">
        <v>1</v>
      </c>
      <c r="R249" s="1" t="str">
        <f>VLOOKUP(Sales4[[#This Row],[Material type]],Master!$H$3:$I$8,2,0)</f>
        <v>Finished Goods</v>
      </c>
      <c r="S249" s="1" t="str">
        <f>VLOOKUP(Sales4[[#This Row],[Material Group]],Master!B:C,2,0)</f>
        <v>FG-PCB-CF</v>
      </c>
      <c r="T249" s="1" t="str">
        <f>VLOOKUP(Sales4[[#This Row],[Material Group Descrip]],Master!E:F,2,0)</f>
        <v>FG-PCB-CF</v>
      </c>
      <c r="U249" s="9" t="b">
        <f ca="1">(TODAY()-1)=Sales4[[#This Row],[Billing Date]]</f>
        <v>0</v>
      </c>
      <c r="V249" s="10" t="e">
        <f>Sales4[[#This Row],[Net Value]]-Sales4[[#This Row],[PGI COST]]</f>
        <v>#REF!</v>
      </c>
      <c r="W249" s="11" t="e">
        <f>Sales4[[#This Row],[Gross Margin]]/Sales4[[#This Row],[Net Value]]</f>
        <v>#REF!</v>
      </c>
      <c r="X249" s="1" t="str">
        <f>TEXT(Sales4[[#This Row],[Billing Date]],"mmmm-yy")</f>
        <v>September-25</v>
      </c>
      <c r="Y249" s="1">
        <f>Sales4[[#This Row],[Net Value]]/Sales4[[#This Row],[Billed Quantity]]</f>
        <v>354.28999999999996</v>
      </c>
      <c r="Z249" s="117">
        <f>Sales4[[#This Row],[Actual delivery qty]]</f>
        <v>210</v>
      </c>
      <c r="AA249" s="12" t="e">
        <f>SUM(Sales4[[#This Row],[BOM Cost]:[Other Conversion cost pu]])</f>
        <v>#REF!</v>
      </c>
      <c r="AB24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4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49" s="12">
        <f>IFERROR(VLOOKUP(Sales4[[#This Row],[Material]],'COGS Break up'!#REF!,5,0),0)</f>
        <v>0</v>
      </c>
      <c r="AE24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49" s="48" t="e">
        <f>Sales4[[#This Row],[PGI per unit]]-Sales4[[#This Row],[BOM Cost]]-Sales4[[#This Row],[Labour cost per unit]]-Sales4[[#This Row],[Other Conversion cost pu]]</f>
        <v>#REF!</v>
      </c>
      <c r="AG249" s="48" t="e">
        <f>Sales4[[#This Row],[BOM Cost2]]+Sales4[[#This Row],[Labour Cost]]+Sales4[[#This Row],[Other conversion cost]]</f>
        <v>#REF!</v>
      </c>
      <c r="AH249" s="12" t="e">
        <f>Sales4[[#This Row],[Billed Quantity]]*Sales4[[#This Row],[BOM Cost]]</f>
        <v>#REF!</v>
      </c>
      <c r="AI249" s="12" t="e">
        <f>Sales4[[#This Row],[Billed Quantity]]*Sales4[[#This Row],[Labour cost per unit]]</f>
        <v>#REF!</v>
      </c>
      <c r="AJ249" s="12">
        <f>Sales4[[#This Row],[Droppage per unit]]*Sales4[[#This Row],[Billed Quantity]]</f>
        <v>0</v>
      </c>
      <c r="AK249" s="12" t="e">
        <f>Sales4[[#This Row],[Billed Quantity]]*Sales4[[#This Row],[Other Conversion cost pu]]</f>
        <v>#REF!</v>
      </c>
      <c r="AL249" s="48" t="e">
        <f>Sales4[[#This Row],[PGI Amount]]-Sales4[[#This Row],[BOM Cost2]]-Sales4[[#This Row],[Labour Cost]]-Sales4[[#This Row],[Other conversion cost]]</f>
        <v>#REF!</v>
      </c>
      <c r="AM249" s="121" t="e">
        <f>1-Sales4[[#This Row],[PGI COST]]/Sales4[[#This Row],[Net Value]]</f>
        <v>#REF!</v>
      </c>
      <c r="AN249" s="1">
        <f>Sales4[[#This Row],[PGI Amount]]/Sales4[[#This Row],[Billed Quantity]]</f>
        <v>333.28000000000003</v>
      </c>
      <c r="AO249" s="72" t="e">
        <f>SUMIFS('COGS Break up'!#REF!,'COGS Break up'!#REF!,Sales4[[#This Row],[Material]],'COGS Break up'!#REF!,'MIS Working'!$AO$1)</f>
        <v>#REF!</v>
      </c>
      <c r="AP249" s="72" t="e">
        <f>SUMIFS('COGS Break up'!#REF!,'COGS Break up'!#REF!,Sales4[[#This Row],[Material]],'COGS Break up'!#REF!,'MIS Working'!$AP$1)</f>
        <v>#REF!</v>
      </c>
      <c r="AQ249" s="72" t="e">
        <f>SUMIFS('COGS Break up'!#REF!,'COGS Break up'!#REF!,Sales4[[#This Row],[Material]],'COGS Break up'!#REF!,'MIS Working'!$AQ$1)</f>
        <v>#REF!</v>
      </c>
      <c r="AR249" s="72">
        <f>Sales4[[#This Row],[Droppage per unit]]</f>
        <v>0</v>
      </c>
      <c r="AS249" s="15" t="e">
        <f>AO249*Sales4[[#This Row],[Billed Quantity]]</f>
        <v>#REF!</v>
      </c>
      <c r="AT249" s="72" t="e">
        <f>AP249*Sales4[[#This Row],[Billed Quantity]]</f>
        <v>#REF!</v>
      </c>
      <c r="AU249" s="72" t="e">
        <f>AQ249*Sales4[[#This Row],[Billed Quantity]]</f>
        <v>#REF!</v>
      </c>
      <c r="AV249" s="72">
        <f>AR249*Sales4[[#This Row],[Billed Quantity]]</f>
        <v>0</v>
      </c>
    </row>
    <row r="250" spans="1:48" x14ac:dyDescent="0.3">
      <c r="A250" s="1" t="s">
        <v>479</v>
      </c>
      <c r="B250" s="2">
        <v>45911</v>
      </c>
      <c r="C250" s="1">
        <v>3271269602</v>
      </c>
      <c r="D250" s="1" t="s">
        <v>40</v>
      </c>
      <c r="E250" s="1" t="s">
        <v>41</v>
      </c>
      <c r="F250" s="1" t="s">
        <v>18</v>
      </c>
      <c r="G250" s="1" t="s">
        <v>34</v>
      </c>
      <c r="H250" s="1" t="s">
        <v>772</v>
      </c>
      <c r="I250" s="3">
        <v>565</v>
      </c>
      <c r="J250" s="4">
        <v>83360.100000000006</v>
      </c>
      <c r="K250" s="3">
        <v>565</v>
      </c>
      <c r="L250" s="3">
        <v>565</v>
      </c>
      <c r="M250" s="2">
        <v>45911</v>
      </c>
      <c r="N250" s="4">
        <v>92061.1</v>
      </c>
      <c r="O250" s="1" t="s">
        <v>21</v>
      </c>
      <c r="P250" s="1" t="s">
        <v>22</v>
      </c>
      <c r="Q250" s="1">
        <v>1</v>
      </c>
      <c r="R250" s="1" t="str">
        <f>VLOOKUP(Sales4[[#This Row],[Material type]],Master!$H$3:$I$8,2,0)</f>
        <v>Semi-Finished Goods</v>
      </c>
      <c r="S250" s="1" t="str">
        <f>VLOOKUP(Sales4[[#This Row],[Material Group]],Master!B:C,2,0)</f>
        <v>SFG-GV5 Stator</v>
      </c>
      <c r="T250" s="1" t="str">
        <f>VLOOKUP(Sales4[[#This Row],[Material Group Descrip]],Master!E:F,2,0)</f>
        <v>Sub Ass.-Mech Stator</v>
      </c>
      <c r="U250" s="9" t="b">
        <f ca="1">(TODAY()-1)=Sales4[[#This Row],[Billing Date]]</f>
        <v>0</v>
      </c>
      <c r="V250" s="10" t="e">
        <f>Sales4[[#This Row],[Net Value]]-Sales4[[#This Row],[PGI COST]]</f>
        <v>#REF!</v>
      </c>
      <c r="W250" s="11" t="e">
        <f>Sales4[[#This Row],[Gross Margin]]/Sales4[[#This Row],[Net Value]]</f>
        <v>#REF!</v>
      </c>
      <c r="X250" s="1" t="str">
        <f>TEXT(Sales4[[#This Row],[Billing Date]],"mmmm-yy")</f>
        <v>September-25</v>
      </c>
      <c r="Y250" s="1">
        <f>Sales4[[#This Row],[Net Value]]/Sales4[[#This Row],[Billed Quantity]]</f>
        <v>162.94</v>
      </c>
      <c r="Z250" s="117">
        <f>Sales4[[#This Row],[Actual delivery qty]]</f>
        <v>565</v>
      </c>
      <c r="AA250" s="12" t="e">
        <f>SUM(Sales4[[#This Row],[BOM Cost]:[Other Conversion cost pu]])</f>
        <v>#REF!</v>
      </c>
      <c r="AB25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5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50" s="12">
        <f>IFERROR(VLOOKUP(Sales4[[#This Row],[Material]],'COGS Break up'!#REF!,5,0),0)</f>
        <v>0</v>
      </c>
      <c r="AE25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50" s="48" t="e">
        <f>Sales4[[#This Row],[PGI per unit]]-Sales4[[#This Row],[BOM Cost]]-Sales4[[#This Row],[Labour cost per unit]]-Sales4[[#This Row],[Other Conversion cost pu]]</f>
        <v>#REF!</v>
      </c>
      <c r="AG250" s="48" t="e">
        <f>Sales4[[#This Row],[BOM Cost2]]+Sales4[[#This Row],[Labour Cost]]+Sales4[[#This Row],[Other conversion cost]]</f>
        <v>#REF!</v>
      </c>
      <c r="AH250" s="12" t="e">
        <f>Sales4[[#This Row],[Billed Quantity]]*Sales4[[#This Row],[BOM Cost]]</f>
        <v>#REF!</v>
      </c>
      <c r="AI250" s="12" t="e">
        <f>Sales4[[#This Row],[Billed Quantity]]*Sales4[[#This Row],[Labour cost per unit]]</f>
        <v>#REF!</v>
      </c>
      <c r="AJ250" s="12">
        <f>Sales4[[#This Row],[Droppage per unit]]*Sales4[[#This Row],[Billed Quantity]]</f>
        <v>0</v>
      </c>
      <c r="AK250" s="12" t="e">
        <f>Sales4[[#This Row],[Billed Quantity]]*Sales4[[#This Row],[Other Conversion cost pu]]</f>
        <v>#REF!</v>
      </c>
      <c r="AL250" s="48" t="e">
        <f>Sales4[[#This Row],[PGI Amount]]-Sales4[[#This Row],[BOM Cost2]]-Sales4[[#This Row],[Labour Cost]]-Sales4[[#This Row],[Other conversion cost]]</f>
        <v>#REF!</v>
      </c>
      <c r="AM250" s="121" t="e">
        <f>1-Sales4[[#This Row],[PGI COST]]/Sales4[[#This Row],[Net Value]]</f>
        <v>#REF!</v>
      </c>
      <c r="AN250" s="1">
        <f>Sales4[[#This Row],[PGI Amount]]/Sales4[[#This Row],[Billed Quantity]]</f>
        <v>147.54000000000002</v>
      </c>
      <c r="AO250" s="72" t="e">
        <f>SUMIFS('COGS Break up'!#REF!,'COGS Break up'!#REF!,Sales4[[#This Row],[Material]],'COGS Break up'!#REF!,'MIS Working'!$AO$1)</f>
        <v>#REF!</v>
      </c>
      <c r="AP250" s="72" t="e">
        <f>SUMIFS('COGS Break up'!#REF!,'COGS Break up'!#REF!,Sales4[[#This Row],[Material]],'COGS Break up'!#REF!,'MIS Working'!$AP$1)</f>
        <v>#REF!</v>
      </c>
      <c r="AQ250" s="72" t="e">
        <f>SUMIFS('COGS Break up'!#REF!,'COGS Break up'!#REF!,Sales4[[#This Row],[Material]],'COGS Break up'!#REF!,'MIS Working'!$AQ$1)</f>
        <v>#REF!</v>
      </c>
      <c r="AR250" s="72">
        <f>Sales4[[#This Row],[Droppage per unit]]</f>
        <v>0</v>
      </c>
      <c r="AS250" s="15" t="e">
        <f>AO250*Sales4[[#This Row],[Billed Quantity]]</f>
        <v>#REF!</v>
      </c>
      <c r="AT250" s="72" t="e">
        <f>AP250*Sales4[[#This Row],[Billed Quantity]]</f>
        <v>#REF!</v>
      </c>
      <c r="AU250" s="72" t="e">
        <f>AQ250*Sales4[[#This Row],[Billed Quantity]]</f>
        <v>#REF!</v>
      </c>
      <c r="AV250" s="72">
        <f>AR250*Sales4[[#This Row],[Billed Quantity]]</f>
        <v>0</v>
      </c>
    </row>
    <row r="251" spans="1:48" x14ac:dyDescent="0.3">
      <c r="A251" s="1" t="s">
        <v>479</v>
      </c>
      <c r="B251" s="2">
        <v>45911</v>
      </c>
      <c r="C251" s="1">
        <v>3271269336</v>
      </c>
      <c r="D251" s="1" t="s">
        <v>40</v>
      </c>
      <c r="E251" s="1" t="s">
        <v>41</v>
      </c>
      <c r="F251" s="1" t="s">
        <v>18</v>
      </c>
      <c r="G251" s="1" t="s">
        <v>34</v>
      </c>
      <c r="H251" s="1" t="s">
        <v>772</v>
      </c>
      <c r="I251" s="3">
        <v>2840</v>
      </c>
      <c r="J251" s="4">
        <v>419013.6</v>
      </c>
      <c r="K251" s="3">
        <v>2840</v>
      </c>
      <c r="L251" s="3">
        <v>2840</v>
      </c>
      <c r="M251" s="2">
        <v>45911</v>
      </c>
      <c r="N251" s="4">
        <v>462749.6</v>
      </c>
      <c r="O251" s="1" t="s">
        <v>21</v>
      </c>
      <c r="P251" s="1" t="s">
        <v>22</v>
      </c>
      <c r="Q251" s="1">
        <v>1</v>
      </c>
      <c r="R251" s="1" t="str">
        <f>VLOOKUP(Sales4[[#This Row],[Material type]],Master!$H$3:$I$8,2,0)</f>
        <v>Semi-Finished Goods</v>
      </c>
      <c r="S251" s="1" t="str">
        <f>VLOOKUP(Sales4[[#This Row],[Material Group]],Master!B:C,2,0)</f>
        <v>SFG-GV5 Stator</v>
      </c>
      <c r="T251" s="1" t="str">
        <f>VLOOKUP(Sales4[[#This Row],[Material Group Descrip]],Master!E:F,2,0)</f>
        <v>Sub Ass.-Mech Stator</v>
      </c>
      <c r="U251" s="9" t="b">
        <f ca="1">(TODAY()-1)=Sales4[[#This Row],[Billing Date]]</f>
        <v>0</v>
      </c>
      <c r="V251" s="10" t="e">
        <f>Sales4[[#This Row],[Net Value]]-Sales4[[#This Row],[PGI COST]]</f>
        <v>#REF!</v>
      </c>
      <c r="W251" s="11" t="e">
        <f>Sales4[[#This Row],[Gross Margin]]/Sales4[[#This Row],[Net Value]]</f>
        <v>#REF!</v>
      </c>
      <c r="X251" s="1" t="str">
        <f>TEXT(Sales4[[#This Row],[Billing Date]],"mmmm-yy")</f>
        <v>September-25</v>
      </c>
      <c r="Y251" s="1">
        <f>Sales4[[#This Row],[Net Value]]/Sales4[[#This Row],[Billed Quantity]]</f>
        <v>162.94</v>
      </c>
      <c r="Z251" s="117">
        <f>Sales4[[#This Row],[Actual delivery qty]]</f>
        <v>2840</v>
      </c>
      <c r="AA251" s="12" t="e">
        <f>SUM(Sales4[[#This Row],[BOM Cost]:[Other Conversion cost pu]])</f>
        <v>#REF!</v>
      </c>
      <c r="AB25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5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51" s="12">
        <f>IFERROR(VLOOKUP(Sales4[[#This Row],[Material]],'COGS Break up'!#REF!,5,0),0)</f>
        <v>0</v>
      </c>
      <c r="AE25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51" s="48" t="e">
        <f>Sales4[[#This Row],[PGI per unit]]-Sales4[[#This Row],[BOM Cost]]-Sales4[[#This Row],[Labour cost per unit]]-Sales4[[#This Row],[Other Conversion cost pu]]</f>
        <v>#REF!</v>
      </c>
      <c r="AG251" s="48" t="e">
        <f>Sales4[[#This Row],[BOM Cost2]]+Sales4[[#This Row],[Labour Cost]]+Sales4[[#This Row],[Other conversion cost]]</f>
        <v>#REF!</v>
      </c>
      <c r="AH251" s="12" t="e">
        <f>Sales4[[#This Row],[Billed Quantity]]*Sales4[[#This Row],[BOM Cost]]</f>
        <v>#REF!</v>
      </c>
      <c r="AI251" s="12" t="e">
        <f>Sales4[[#This Row],[Billed Quantity]]*Sales4[[#This Row],[Labour cost per unit]]</f>
        <v>#REF!</v>
      </c>
      <c r="AJ251" s="12">
        <f>Sales4[[#This Row],[Droppage per unit]]*Sales4[[#This Row],[Billed Quantity]]</f>
        <v>0</v>
      </c>
      <c r="AK251" s="12" t="e">
        <f>Sales4[[#This Row],[Billed Quantity]]*Sales4[[#This Row],[Other Conversion cost pu]]</f>
        <v>#REF!</v>
      </c>
      <c r="AL251" s="48" t="e">
        <f>Sales4[[#This Row],[PGI Amount]]-Sales4[[#This Row],[BOM Cost2]]-Sales4[[#This Row],[Labour Cost]]-Sales4[[#This Row],[Other conversion cost]]</f>
        <v>#REF!</v>
      </c>
      <c r="AM251" s="121" t="e">
        <f>1-Sales4[[#This Row],[PGI COST]]/Sales4[[#This Row],[Net Value]]</f>
        <v>#REF!</v>
      </c>
      <c r="AN251" s="1">
        <f>Sales4[[#This Row],[PGI Amount]]/Sales4[[#This Row],[Billed Quantity]]</f>
        <v>147.54</v>
      </c>
      <c r="AO251" s="72" t="e">
        <f>SUMIFS('COGS Break up'!#REF!,'COGS Break up'!#REF!,Sales4[[#This Row],[Material]],'COGS Break up'!#REF!,'MIS Working'!$AO$1)</f>
        <v>#REF!</v>
      </c>
      <c r="AP251" s="72" t="e">
        <f>SUMIFS('COGS Break up'!#REF!,'COGS Break up'!#REF!,Sales4[[#This Row],[Material]],'COGS Break up'!#REF!,'MIS Working'!$AP$1)</f>
        <v>#REF!</v>
      </c>
      <c r="AQ251" s="72" t="e">
        <f>SUMIFS('COGS Break up'!#REF!,'COGS Break up'!#REF!,Sales4[[#This Row],[Material]],'COGS Break up'!#REF!,'MIS Working'!$AQ$1)</f>
        <v>#REF!</v>
      </c>
      <c r="AR251" s="72">
        <f>Sales4[[#This Row],[Droppage per unit]]</f>
        <v>0</v>
      </c>
      <c r="AS251" s="15" t="e">
        <f>AO251*Sales4[[#This Row],[Billed Quantity]]</f>
        <v>#REF!</v>
      </c>
      <c r="AT251" s="72" t="e">
        <f>AP251*Sales4[[#This Row],[Billed Quantity]]</f>
        <v>#REF!</v>
      </c>
      <c r="AU251" s="72" t="e">
        <f>AQ251*Sales4[[#This Row],[Billed Quantity]]</f>
        <v>#REF!</v>
      </c>
      <c r="AV251" s="72">
        <f>AR251*Sales4[[#This Row],[Billed Quantity]]</f>
        <v>0</v>
      </c>
    </row>
    <row r="252" spans="1:48" x14ac:dyDescent="0.3">
      <c r="A252" s="1" t="s">
        <v>479</v>
      </c>
      <c r="B252" s="2">
        <v>45911</v>
      </c>
      <c r="C252" s="1">
        <v>3271269337</v>
      </c>
      <c r="D252" s="1" t="s">
        <v>595</v>
      </c>
      <c r="E252" s="1" t="s">
        <v>596</v>
      </c>
      <c r="F252" s="1" t="s">
        <v>18</v>
      </c>
      <c r="G252" s="1" t="s">
        <v>34</v>
      </c>
      <c r="H252" s="1" t="s">
        <v>772</v>
      </c>
      <c r="I252" s="3">
        <v>1828</v>
      </c>
      <c r="J252" s="4">
        <v>228500</v>
      </c>
      <c r="K252" s="3">
        <v>1828</v>
      </c>
      <c r="L252" s="3">
        <v>1828</v>
      </c>
      <c r="M252" s="2">
        <v>45911</v>
      </c>
      <c r="N252" s="4">
        <v>242008.92</v>
      </c>
      <c r="O252" s="1" t="s">
        <v>21</v>
      </c>
      <c r="P252" s="1" t="s">
        <v>22</v>
      </c>
      <c r="Q252" s="1">
        <v>1</v>
      </c>
      <c r="R252" s="1" t="str">
        <f>VLOOKUP(Sales4[[#This Row],[Material type]],Master!$H$3:$I$8,2,0)</f>
        <v>Semi-Finished Goods</v>
      </c>
      <c r="S252" s="1" t="str">
        <f>VLOOKUP(Sales4[[#This Row],[Material Group]],Master!B:C,2,0)</f>
        <v>SFG-GV5 Stator</v>
      </c>
      <c r="T252" s="1" t="str">
        <f>VLOOKUP(Sales4[[#This Row],[Material Group Descrip]],Master!E:F,2,0)</f>
        <v>Sub Ass.-Mech Stator</v>
      </c>
      <c r="U252" s="9" t="b">
        <f ca="1">(TODAY()-1)=Sales4[[#This Row],[Billing Date]]</f>
        <v>0</v>
      </c>
      <c r="V252" s="10" t="e">
        <f>Sales4[[#This Row],[Net Value]]-Sales4[[#This Row],[PGI COST]]</f>
        <v>#REF!</v>
      </c>
      <c r="W252" s="11" t="e">
        <f>Sales4[[#This Row],[Gross Margin]]/Sales4[[#This Row],[Net Value]]</f>
        <v>#REF!</v>
      </c>
      <c r="X252" s="1" t="str">
        <f>TEXT(Sales4[[#This Row],[Billing Date]],"mmmm-yy")</f>
        <v>September-25</v>
      </c>
      <c r="Y252" s="1">
        <f>Sales4[[#This Row],[Net Value]]/Sales4[[#This Row],[Billed Quantity]]</f>
        <v>132.39000000000001</v>
      </c>
      <c r="Z252" s="117">
        <f>Sales4[[#This Row],[Actual delivery qty]]</f>
        <v>1828</v>
      </c>
      <c r="AA252" s="12" t="e">
        <f>SUM(Sales4[[#This Row],[BOM Cost]:[Other Conversion cost pu]])</f>
        <v>#REF!</v>
      </c>
      <c r="AB25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5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52" s="12">
        <f>IFERROR(VLOOKUP(Sales4[[#This Row],[Material]],'COGS Break up'!#REF!,5,0),0)</f>
        <v>0</v>
      </c>
      <c r="AE25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52" s="48" t="e">
        <f>Sales4[[#This Row],[PGI per unit]]-Sales4[[#This Row],[BOM Cost]]-Sales4[[#This Row],[Labour cost per unit]]-Sales4[[#This Row],[Other Conversion cost pu]]</f>
        <v>#REF!</v>
      </c>
      <c r="AG252" s="48" t="e">
        <f>Sales4[[#This Row],[BOM Cost2]]+Sales4[[#This Row],[Labour Cost]]+Sales4[[#This Row],[Other conversion cost]]</f>
        <v>#REF!</v>
      </c>
      <c r="AH252" s="12" t="e">
        <f>Sales4[[#This Row],[Billed Quantity]]*Sales4[[#This Row],[BOM Cost]]</f>
        <v>#REF!</v>
      </c>
      <c r="AI252" s="12" t="e">
        <f>Sales4[[#This Row],[Billed Quantity]]*Sales4[[#This Row],[Labour cost per unit]]</f>
        <v>#REF!</v>
      </c>
      <c r="AJ252" s="12">
        <f>Sales4[[#This Row],[Droppage per unit]]*Sales4[[#This Row],[Billed Quantity]]</f>
        <v>0</v>
      </c>
      <c r="AK252" s="12" t="e">
        <f>Sales4[[#This Row],[Billed Quantity]]*Sales4[[#This Row],[Other Conversion cost pu]]</f>
        <v>#REF!</v>
      </c>
      <c r="AL252" s="48" t="e">
        <f>Sales4[[#This Row],[PGI Amount]]-Sales4[[#This Row],[BOM Cost2]]-Sales4[[#This Row],[Labour Cost]]-Sales4[[#This Row],[Other conversion cost]]</f>
        <v>#REF!</v>
      </c>
      <c r="AM252" s="121" t="e">
        <f>1-Sales4[[#This Row],[PGI COST]]/Sales4[[#This Row],[Net Value]]</f>
        <v>#REF!</v>
      </c>
      <c r="AN252" s="1">
        <f>Sales4[[#This Row],[PGI Amount]]/Sales4[[#This Row],[Billed Quantity]]</f>
        <v>125</v>
      </c>
      <c r="AO252" s="72" t="e">
        <f>SUMIFS('COGS Break up'!#REF!,'COGS Break up'!#REF!,Sales4[[#This Row],[Material]],'COGS Break up'!#REF!,'MIS Working'!$AO$1)</f>
        <v>#REF!</v>
      </c>
      <c r="AP252" s="72" t="e">
        <f>SUMIFS('COGS Break up'!#REF!,'COGS Break up'!#REF!,Sales4[[#This Row],[Material]],'COGS Break up'!#REF!,'MIS Working'!$AP$1)</f>
        <v>#REF!</v>
      </c>
      <c r="AQ252" s="72" t="e">
        <f>SUMIFS('COGS Break up'!#REF!,'COGS Break up'!#REF!,Sales4[[#This Row],[Material]],'COGS Break up'!#REF!,'MIS Working'!$AQ$1)</f>
        <v>#REF!</v>
      </c>
      <c r="AR252" s="72">
        <f>Sales4[[#This Row],[Droppage per unit]]</f>
        <v>0</v>
      </c>
      <c r="AS252" s="15" t="e">
        <f>AO252*Sales4[[#This Row],[Billed Quantity]]</f>
        <v>#REF!</v>
      </c>
      <c r="AT252" s="72" t="e">
        <f>AP252*Sales4[[#This Row],[Billed Quantity]]</f>
        <v>#REF!</v>
      </c>
      <c r="AU252" s="72" t="e">
        <f>AQ252*Sales4[[#This Row],[Billed Quantity]]</f>
        <v>#REF!</v>
      </c>
      <c r="AV252" s="72">
        <f>AR252*Sales4[[#This Row],[Billed Quantity]]</f>
        <v>0</v>
      </c>
    </row>
    <row r="253" spans="1:48" x14ac:dyDescent="0.3">
      <c r="A253" s="1" t="s">
        <v>1291</v>
      </c>
      <c r="B253" s="2">
        <v>45911</v>
      </c>
      <c r="C253" s="1">
        <v>3271269570</v>
      </c>
      <c r="D253" s="1" t="s">
        <v>535</v>
      </c>
      <c r="E253" s="1" t="s">
        <v>536</v>
      </c>
      <c r="F253" s="1" t="s">
        <v>18</v>
      </c>
      <c r="G253" s="1" t="s">
        <v>34</v>
      </c>
      <c r="H253" s="1" t="s">
        <v>832</v>
      </c>
      <c r="I253" s="3">
        <v>475</v>
      </c>
      <c r="J253" s="4">
        <v>42816.5</v>
      </c>
      <c r="K253" s="3">
        <v>475</v>
      </c>
      <c r="L253" s="3">
        <v>475</v>
      </c>
      <c r="M253" s="2">
        <v>45911</v>
      </c>
      <c r="N253" s="4">
        <v>75059.5</v>
      </c>
      <c r="O253" s="1" t="s">
        <v>21</v>
      </c>
      <c r="P253" s="1" t="s">
        <v>22</v>
      </c>
      <c r="Q253" s="1">
        <v>1</v>
      </c>
      <c r="R253" s="1" t="str">
        <f>VLOOKUP(Sales4[[#This Row],[Material type]],Master!$H$3:$I$8,2,0)</f>
        <v>Semi-Finished Goods</v>
      </c>
      <c r="S253" s="1" t="str">
        <f>VLOOKUP(Sales4[[#This Row],[Material Group]],Master!B:C,2,0)</f>
        <v>SFG-Ref Rotor</v>
      </c>
      <c r="T253" s="1" t="str">
        <f>VLOOKUP(Sales4[[#This Row],[Material Group Descrip]],Master!E:F,2,0)</f>
        <v>SFG-Ref Rotor</v>
      </c>
      <c r="U253" s="9" t="b">
        <f ca="1">(TODAY()-1)=Sales4[[#This Row],[Billing Date]]</f>
        <v>0</v>
      </c>
      <c r="V253" s="10" t="e">
        <f>Sales4[[#This Row],[Net Value]]-Sales4[[#This Row],[PGI COST]]</f>
        <v>#REF!</v>
      </c>
      <c r="W253" s="11" t="e">
        <f>Sales4[[#This Row],[Gross Margin]]/Sales4[[#This Row],[Net Value]]</f>
        <v>#REF!</v>
      </c>
      <c r="X253" s="1" t="str">
        <f>TEXT(Sales4[[#This Row],[Billing Date]],"mmmm-yy")</f>
        <v>September-25</v>
      </c>
      <c r="Y253" s="1">
        <f>Sales4[[#This Row],[Net Value]]/Sales4[[#This Row],[Billed Quantity]]</f>
        <v>158.02000000000001</v>
      </c>
      <c r="Z253" s="117">
        <f>Sales4[[#This Row],[Actual delivery qty]]</f>
        <v>475</v>
      </c>
      <c r="AA253" s="12" t="e">
        <f>SUM(Sales4[[#This Row],[BOM Cost]:[Other Conversion cost pu]])</f>
        <v>#REF!</v>
      </c>
      <c r="AB25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5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53" s="12">
        <f>IFERROR(VLOOKUP(Sales4[[#This Row],[Material]],'COGS Break up'!#REF!,5,0),0)</f>
        <v>0</v>
      </c>
      <c r="AE25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53" s="48" t="e">
        <f>Sales4[[#This Row],[PGI per unit]]-Sales4[[#This Row],[BOM Cost]]-Sales4[[#This Row],[Labour cost per unit]]-Sales4[[#This Row],[Other Conversion cost pu]]</f>
        <v>#REF!</v>
      </c>
      <c r="AG253" s="48" t="e">
        <f>Sales4[[#This Row],[BOM Cost2]]+Sales4[[#This Row],[Labour Cost]]+Sales4[[#This Row],[Other conversion cost]]</f>
        <v>#REF!</v>
      </c>
      <c r="AH253" s="12" t="e">
        <f>Sales4[[#This Row],[Billed Quantity]]*Sales4[[#This Row],[BOM Cost]]</f>
        <v>#REF!</v>
      </c>
      <c r="AI253" s="12" t="e">
        <f>Sales4[[#This Row],[Billed Quantity]]*Sales4[[#This Row],[Labour cost per unit]]</f>
        <v>#REF!</v>
      </c>
      <c r="AJ253" s="12">
        <f>Sales4[[#This Row],[Droppage per unit]]*Sales4[[#This Row],[Billed Quantity]]</f>
        <v>0</v>
      </c>
      <c r="AK253" s="12" t="e">
        <f>Sales4[[#This Row],[Billed Quantity]]*Sales4[[#This Row],[Other Conversion cost pu]]</f>
        <v>#REF!</v>
      </c>
      <c r="AL253" s="48" t="e">
        <f>Sales4[[#This Row],[PGI Amount]]-Sales4[[#This Row],[BOM Cost2]]-Sales4[[#This Row],[Labour Cost]]-Sales4[[#This Row],[Other conversion cost]]</f>
        <v>#REF!</v>
      </c>
      <c r="AM253" s="121" t="e">
        <f>1-Sales4[[#This Row],[PGI COST]]/Sales4[[#This Row],[Net Value]]</f>
        <v>#REF!</v>
      </c>
      <c r="AN253" s="1">
        <f>Sales4[[#This Row],[PGI Amount]]/Sales4[[#This Row],[Billed Quantity]]</f>
        <v>90.14</v>
      </c>
      <c r="AO253" s="72" t="e">
        <f>SUMIFS('COGS Break up'!#REF!,'COGS Break up'!#REF!,Sales4[[#This Row],[Material]],'COGS Break up'!#REF!,'MIS Working'!$AO$1)</f>
        <v>#REF!</v>
      </c>
      <c r="AP253" s="72" t="e">
        <f>SUMIFS('COGS Break up'!#REF!,'COGS Break up'!#REF!,Sales4[[#This Row],[Material]],'COGS Break up'!#REF!,'MIS Working'!$AP$1)</f>
        <v>#REF!</v>
      </c>
      <c r="AQ253" s="72" t="e">
        <f>SUMIFS('COGS Break up'!#REF!,'COGS Break up'!#REF!,Sales4[[#This Row],[Material]],'COGS Break up'!#REF!,'MIS Working'!$AQ$1)</f>
        <v>#REF!</v>
      </c>
      <c r="AR253" s="72">
        <f>Sales4[[#This Row],[Droppage per unit]]</f>
        <v>0</v>
      </c>
      <c r="AS253" s="15" t="e">
        <f>AO253*Sales4[[#This Row],[Billed Quantity]]</f>
        <v>#REF!</v>
      </c>
      <c r="AT253" s="72" t="e">
        <f>AP253*Sales4[[#This Row],[Billed Quantity]]</f>
        <v>#REF!</v>
      </c>
      <c r="AU253" s="72" t="e">
        <f>AQ253*Sales4[[#This Row],[Billed Quantity]]</f>
        <v>#REF!</v>
      </c>
      <c r="AV253" s="72">
        <f>AR253*Sales4[[#This Row],[Billed Quantity]]</f>
        <v>0</v>
      </c>
    </row>
    <row r="254" spans="1:48" x14ac:dyDescent="0.3">
      <c r="A254" s="1" t="s">
        <v>1291</v>
      </c>
      <c r="B254" s="2">
        <v>45911</v>
      </c>
      <c r="C254" s="1">
        <v>3271269570</v>
      </c>
      <c r="D254" s="1" t="s">
        <v>533</v>
      </c>
      <c r="E254" s="1" t="s">
        <v>534</v>
      </c>
      <c r="F254" s="1" t="s">
        <v>18</v>
      </c>
      <c r="G254" s="1" t="s">
        <v>34</v>
      </c>
      <c r="H254" s="1" t="s">
        <v>773</v>
      </c>
      <c r="I254" s="3">
        <v>475</v>
      </c>
      <c r="J254" s="4">
        <v>252847.25</v>
      </c>
      <c r="K254" s="3">
        <v>475</v>
      </c>
      <c r="L254" s="3">
        <v>475</v>
      </c>
      <c r="M254" s="2">
        <v>45911</v>
      </c>
      <c r="N254" s="4">
        <v>269268</v>
      </c>
      <c r="O254" s="1" t="s">
        <v>21</v>
      </c>
      <c r="P254" s="1" t="s">
        <v>22</v>
      </c>
      <c r="Q254" s="1">
        <v>1</v>
      </c>
      <c r="R254" s="1" t="str">
        <f>VLOOKUP(Sales4[[#This Row],[Material type]],Master!$H$3:$I$8,2,0)</f>
        <v>Semi-Finished Goods</v>
      </c>
      <c r="S254" s="1" t="str">
        <f>VLOOKUP(Sales4[[#This Row],[Material Group]],Master!B:C,2,0)</f>
        <v>SFG-Ref Stator</v>
      </c>
      <c r="T254" s="1" t="str">
        <f>VLOOKUP(Sales4[[#This Row],[Material Group Descrip]],Master!E:F,2,0)</f>
        <v>SFG-Ref Stator</v>
      </c>
      <c r="U254" s="9" t="b">
        <f ca="1">(TODAY()-1)=Sales4[[#This Row],[Billing Date]]</f>
        <v>0</v>
      </c>
      <c r="V254" s="10" t="e">
        <f>Sales4[[#This Row],[Net Value]]-Sales4[[#This Row],[PGI COST]]</f>
        <v>#REF!</v>
      </c>
      <c r="W254" s="11" t="e">
        <f>Sales4[[#This Row],[Gross Margin]]/Sales4[[#This Row],[Net Value]]</f>
        <v>#REF!</v>
      </c>
      <c r="X254" s="1" t="str">
        <f>TEXT(Sales4[[#This Row],[Billing Date]],"mmmm-yy")</f>
        <v>September-25</v>
      </c>
      <c r="Y254" s="1">
        <f>Sales4[[#This Row],[Net Value]]/Sales4[[#This Row],[Billed Quantity]]</f>
        <v>566.88</v>
      </c>
      <c r="Z254" s="117">
        <f>Sales4[[#This Row],[Actual delivery qty]]</f>
        <v>475</v>
      </c>
      <c r="AA254" s="12" t="e">
        <f>SUM(Sales4[[#This Row],[BOM Cost]:[Other Conversion cost pu]])</f>
        <v>#REF!</v>
      </c>
      <c r="AB25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5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54" s="12">
        <f>IFERROR(VLOOKUP(Sales4[[#This Row],[Material]],'COGS Break up'!#REF!,5,0),0)</f>
        <v>0</v>
      </c>
      <c r="AE25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54" s="48" t="e">
        <f>Sales4[[#This Row],[PGI per unit]]-Sales4[[#This Row],[BOM Cost]]-Sales4[[#This Row],[Labour cost per unit]]-Sales4[[#This Row],[Other Conversion cost pu]]</f>
        <v>#REF!</v>
      </c>
      <c r="AG254" s="48" t="e">
        <f>Sales4[[#This Row],[BOM Cost2]]+Sales4[[#This Row],[Labour Cost]]+Sales4[[#This Row],[Other conversion cost]]</f>
        <v>#REF!</v>
      </c>
      <c r="AH254" s="12" t="e">
        <f>Sales4[[#This Row],[Billed Quantity]]*Sales4[[#This Row],[BOM Cost]]</f>
        <v>#REF!</v>
      </c>
      <c r="AI254" s="12" t="e">
        <f>Sales4[[#This Row],[Billed Quantity]]*Sales4[[#This Row],[Labour cost per unit]]</f>
        <v>#REF!</v>
      </c>
      <c r="AJ254" s="12">
        <f>Sales4[[#This Row],[Droppage per unit]]*Sales4[[#This Row],[Billed Quantity]]</f>
        <v>0</v>
      </c>
      <c r="AK254" s="12" t="e">
        <f>Sales4[[#This Row],[Billed Quantity]]*Sales4[[#This Row],[Other Conversion cost pu]]</f>
        <v>#REF!</v>
      </c>
      <c r="AL254" s="48" t="e">
        <f>Sales4[[#This Row],[PGI Amount]]-Sales4[[#This Row],[BOM Cost2]]-Sales4[[#This Row],[Labour Cost]]-Sales4[[#This Row],[Other conversion cost]]</f>
        <v>#REF!</v>
      </c>
      <c r="AM254" s="121" t="e">
        <f>1-Sales4[[#This Row],[PGI COST]]/Sales4[[#This Row],[Net Value]]</f>
        <v>#REF!</v>
      </c>
      <c r="AN254" s="1">
        <f>Sales4[[#This Row],[PGI Amount]]/Sales4[[#This Row],[Billed Quantity]]</f>
        <v>532.30999999999995</v>
      </c>
      <c r="AO254" s="72" t="e">
        <f>SUMIFS('COGS Break up'!#REF!,'COGS Break up'!#REF!,Sales4[[#This Row],[Material]],'COGS Break up'!#REF!,'MIS Working'!$AO$1)</f>
        <v>#REF!</v>
      </c>
      <c r="AP254" s="72" t="e">
        <f>SUMIFS('COGS Break up'!#REF!,'COGS Break up'!#REF!,Sales4[[#This Row],[Material]],'COGS Break up'!#REF!,'MIS Working'!$AP$1)</f>
        <v>#REF!</v>
      </c>
      <c r="AQ254" s="72" t="e">
        <f>SUMIFS('COGS Break up'!#REF!,'COGS Break up'!#REF!,Sales4[[#This Row],[Material]],'COGS Break up'!#REF!,'MIS Working'!$AQ$1)</f>
        <v>#REF!</v>
      </c>
      <c r="AR254" s="72">
        <f>Sales4[[#This Row],[Droppage per unit]]</f>
        <v>0</v>
      </c>
      <c r="AS254" s="15" t="e">
        <f>AO254*Sales4[[#This Row],[Billed Quantity]]</f>
        <v>#REF!</v>
      </c>
      <c r="AT254" s="72" t="e">
        <f>AP254*Sales4[[#This Row],[Billed Quantity]]</f>
        <v>#REF!</v>
      </c>
      <c r="AU254" s="72" t="e">
        <f>AQ254*Sales4[[#This Row],[Billed Quantity]]</f>
        <v>#REF!</v>
      </c>
      <c r="AV254" s="72">
        <f>AR254*Sales4[[#This Row],[Billed Quantity]]</f>
        <v>0</v>
      </c>
    </row>
    <row r="255" spans="1:48" x14ac:dyDescent="0.3">
      <c r="A255" s="1" t="s">
        <v>479</v>
      </c>
      <c r="B255" s="2">
        <v>45910</v>
      </c>
      <c r="C255" s="1">
        <v>3271269008</v>
      </c>
      <c r="D255" s="1" t="s">
        <v>38</v>
      </c>
      <c r="E255" s="1" t="s">
        <v>39</v>
      </c>
      <c r="F255" s="1" t="s">
        <v>18</v>
      </c>
      <c r="G255" s="1" t="s">
        <v>19</v>
      </c>
      <c r="H255" s="1" t="s">
        <v>27</v>
      </c>
      <c r="I255" s="3">
        <v>4060</v>
      </c>
      <c r="J255" s="4">
        <v>1337607.6000000001</v>
      </c>
      <c r="K255" s="3">
        <v>4060</v>
      </c>
      <c r="L255" s="3">
        <v>4060</v>
      </c>
      <c r="M255" s="2">
        <v>45910</v>
      </c>
      <c r="N255" s="4">
        <v>1454657.4</v>
      </c>
      <c r="O255" s="1" t="s">
        <v>21</v>
      </c>
      <c r="P255" s="1" t="s">
        <v>22</v>
      </c>
      <c r="Q255" s="1">
        <v>1</v>
      </c>
      <c r="R255" s="1" t="str">
        <f>VLOOKUP(Sales4[[#This Row],[Material type]],Master!$H$3:$I$8,2,0)</f>
        <v>Finished Goods</v>
      </c>
      <c r="S255" s="1" t="str">
        <f>VLOOKUP(Sales4[[#This Row],[Material Group]],Master!B:C,2,0)</f>
        <v>FG-PCB-CF</v>
      </c>
      <c r="T255" s="1" t="str">
        <f>VLOOKUP(Sales4[[#This Row],[Material Group Descrip]],Master!E:F,2,0)</f>
        <v>FG-PCB-CF</v>
      </c>
      <c r="U255" s="9" t="b">
        <f ca="1">(TODAY()-1)=Sales4[[#This Row],[Billing Date]]</f>
        <v>0</v>
      </c>
      <c r="V255" s="10" t="e">
        <f>Sales4[[#This Row],[Net Value]]-Sales4[[#This Row],[PGI COST]]</f>
        <v>#REF!</v>
      </c>
      <c r="W255" s="11" t="e">
        <f>Sales4[[#This Row],[Gross Margin]]/Sales4[[#This Row],[Net Value]]</f>
        <v>#REF!</v>
      </c>
      <c r="X255" s="1" t="str">
        <f>TEXT(Sales4[[#This Row],[Billing Date]],"mmmm-yy")</f>
        <v>September-25</v>
      </c>
      <c r="Y255" s="1">
        <f>Sales4[[#This Row],[Net Value]]/Sales4[[#This Row],[Billed Quantity]]</f>
        <v>358.28999999999996</v>
      </c>
      <c r="Z255" s="117">
        <f>Sales4[[#This Row],[Actual delivery qty]]</f>
        <v>4060</v>
      </c>
      <c r="AA255" s="12" t="e">
        <f>SUM(Sales4[[#This Row],[BOM Cost]:[Other Conversion cost pu]])</f>
        <v>#REF!</v>
      </c>
      <c r="AB25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5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55" s="12">
        <f>IFERROR(VLOOKUP(Sales4[[#This Row],[Material]],'COGS Break up'!#REF!,5,0),0)</f>
        <v>0</v>
      </c>
      <c r="AE25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55" s="48" t="e">
        <f>Sales4[[#This Row],[PGI per unit]]-Sales4[[#This Row],[BOM Cost]]-Sales4[[#This Row],[Labour cost per unit]]-Sales4[[#This Row],[Other Conversion cost pu]]</f>
        <v>#REF!</v>
      </c>
      <c r="AG255" s="48" t="e">
        <f>Sales4[[#This Row],[BOM Cost2]]+Sales4[[#This Row],[Labour Cost]]+Sales4[[#This Row],[Other conversion cost]]</f>
        <v>#REF!</v>
      </c>
      <c r="AH255" s="12" t="e">
        <f>Sales4[[#This Row],[Billed Quantity]]*Sales4[[#This Row],[BOM Cost]]</f>
        <v>#REF!</v>
      </c>
      <c r="AI255" s="12" t="e">
        <f>Sales4[[#This Row],[Billed Quantity]]*Sales4[[#This Row],[Labour cost per unit]]</f>
        <v>#REF!</v>
      </c>
      <c r="AJ255" s="12">
        <f>Sales4[[#This Row],[Droppage per unit]]*Sales4[[#This Row],[Billed Quantity]]</f>
        <v>0</v>
      </c>
      <c r="AK255" s="12" t="e">
        <f>Sales4[[#This Row],[Billed Quantity]]*Sales4[[#This Row],[Other Conversion cost pu]]</f>
        <v>#REF!</v>
      </c>
      <c r="AL255" s="48" t="e">
        <f>Sales4[[#This Row],[PGI Amount]]-Sales4[[#This Row],[BOM Cost2]]-Sales4[[#This Row],[Labour Cost]]-Sales4[[#This Row],[Other conversion cost]]</f>
        <v>#REF!</v>
      </c>
      <c r="AM255" s="121" t="e">
        <f>1-Sales4[[#This Row],[PGI COST]]/Sales4[[#This Row],[Net Value]]</f>
        <v>#REF!</v>
      </c>
      <c r="AN255" s="1">
        <f>Sales4[[#This Row],[PGI Amount]]/Sales4[[#This Row],[Billed Quantity]]</f>
        <v>329.46000000000004</v>
      </c>
      <c r="AO255" s="72" t="e">
        <f>SUMIFS('COGS Break up'!#REF!,'COGS Break up'!#REF!,Sales4[[#This Row],[Material]],'COGS Break up'!#REF!,'MIS Working'!$AO$1)</f>
        <v>#REF!</v>
      </c>
      <c r="AP255" s="72" t="e">
        <f>SUMIFS('COGS Break up'!#REF!,'COGS Break up'!#REF!,Sales4[[#This Row],[Material]],'COGS Break up'!#REF!,'MIS Working'!$AP$1)</f>
        <v>#REF!</v>
      </c>
      <c r="AQ255" s="72" t="e">
        <f>SUMIFS('COGS Break up'!#REF!,'COGS Break up'!#REF!,Sales4[[#This Row],[Material]],'COGS Break up'!#REF!,'MIS Working'!$AQ$1)</f>
        <v>#REF!</v>
      </c>
      <c r="AR255" s="72">
        <f>Sales4[[#This Row],[Droppage per unit]]</f>
        <v>0</v>
      </c>
      <c r="AS255" s="15" t="e">
        <f>AO255*Sales4[[#This Row],[Billed Quantity]]</f>
        <v>#REF!</v>
      </c>
      <c r="AT255" s="72" t="e">
        <f>AP255*Sales4[[#This Row],[Billed Quantity]]</f>
        <v>#REF!</v>
      </c>
      <c r="AU255" s="72" t="e">
        <f>AQ255*Sales4[[#This Row],[Billed Quantity]]</f>
        <v>#REF!</v>
      </c>
      <c r="AV255" s="72">
        <f>AR255*Sales4[[#This Row],[Billed Quantity]]</f>
        <v>0</v>
      </c>
    </row>
    <row r="256" spans="1:48" x14ac:dyDescent="0.3">
      <c r="A256" s="1" t="s">
        <v>479</v>
      </c>
      <c r="B256" s="2">
        <v>45910</v>
      </c>
      <c r="C256" s="1">
        <v>3271269247</v>
      </c>
      <c r="D256" s="1" t="s">
        <v>38</v>
      </c>
      <c r="E256" s="1" t="s">
        <v>39</v>
      </c>
      <c r="F256" s="1" t="s">
        <v>18</v>
      </c>
      <c r="G256" s="1" t="s">
        <v>19</v>
      </c>
      <c r="H256" s="1" t="s">
        <v>27</v>
      </c>
      <c r="I256" s="3">
        <v>1050</v>
      </c>
      <c r="J256" s="4">
        <v>345933</v>
      </c>
      <c r="K256" s="3">
        <v>1050</v>
      </c>
      <c r="L256" s="3">
        <v>1050</v>
      </c>
      <c r="M256" s="2">
        <v>45910</v>
      </c>
      <c r="N256" s="4">
        <v>376204.5</v>
      </c>
      <c r="O256" s="1" t="s">
        <v>21</v>
      </c>
      <c r="P256" s="1" t="s">
        <v>22</v>
      </c>
      <c r="Q256" s="1">
        <v>1</v>
      </c>
      <c r="R256" s="1" t="str">
        <f>VLOOKUP(Sales4[[#This Row],[Material type]],Master!$H$3:$I$8,2,0)</f>
        <v>Finished Goods</v>
      </c>
      <c r="S256" s="1" t="str">
        <f>VLOOKUP(Sales4[[#This Row],[Material Group]],Master!B:C,2,0)</f>
        <v>FG-PCB-CF</v>
      </c>
      <c r="T256" s="1" t="str">
        <f>VLOOKUP(Sales4[[#This Row],[Material Group Descrip]],Master!E:F,2,0)</f>
        <v>FG-PCB-CF</v>
      </c>
      <c r="U256" s="9" t="b">
        <f ca="1">(TODAY()-1)=Sales4[[#This Row],[Billing Date]]</f>
        <v>0</v>
      </c>
      <c r="V256" s="10" t="e">
        <f>Sales4[[#This Row],[Net Value]]-Sales4[[#This Row],[PGI COST]]</f>
        <v>#REF!</v>
      </c>
      <c r="W256" s="11" t="e">
        <f>Sales4[[#This Row],[Gross Margin]]/Sales4[[#This Row],[Net Value]]</f>
        <v>#REF!</v>
      </c>
      <c r="X256" s="1" t="str">
        <f>TEXT(Sales4[[#This Row],[Billing Date]],"mmmm-yy")</f>
        <v>September-25</v>
      </c>
      <c r="Y256" s="1">
        <f>Sales4[[#This Row],[Net Value]]/Sales4[[#This Row],[Billed Quantity]]</f>
        <v>358.29</v>
      </c>
      <c r="Z256" s="117">
        <f>Sales4[[#This Row],[Actual delivery qty]]</f>
        <v>1050</v>
      </c>
      <c r="AA256" s="12" t="e">
        <f>SUM(Sales4[[#This Row],[BOM Cost]:[Other Conversion cost pu]])</f>
        <v>#REF!</v>
      </c>
      <c r="AB25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5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56" s="12">
        <f>IFERROR(VLOOKUP(Sales4[[#This Row],[Material]],'COGS Break up'!#REF!,5,0),0)</f>
        <v>0</v>
      </c>
      <c r="AE25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56" s="48" t="e">
        <f>Sales4[[#This Row],[PGI per unit]]-Sales4[[#This Row],[BOM Cost]]-Sales4[[#This Row],[Labour cost per unit]]-Sales4[[#This Row],[Other Conversion cost pu]]</f>
        <v>#REF!</v>
      </c>
      <c r="AG256" s="48" t="e">
        <f>Sales4[[#This Row],[BOM Cost2]]+Sales4[[#This Row],[Labour Cost]]+Sales4[[#This Row],[Other conversion cost]]</f>
        <v>#REF!</v>
      </c>
      <c r="AH256" s="12" t="e">
        <f>Sales4[[#This Row],[Billed Quantity]]*Sales4[[#This Row],[BOM Cost]]</f>
        <v>#REF!</v>
      </c>
      <c r="AI256" s="12" t="e">
        <f>Sales4[[#This Row],[Billed Quantity]]*Sales4[[#This Row],[Labour cost per unit]]</f>
        <v>#REF!</v>
      </c>
      <c r="AJ256" s="12">
        <f>Sales4[[#This Row],[Droppage per unit]]*Sales4[[#This Row],[Billed Quantity]]</f>
        <v>0</v>
      </c>
      <c r="AK256" s="12" t="e">
        <f>Sales4[[#This Row],[Billed Quantity]]*Sales4[[#This Row],[Other Conversion cost pu]]</f>
        <v>#REF!</v>
      </c>
      <c r="AL256" s="48" t="e">
        <f>Sales4[[#This Row],[PGI Amount]]-Sales4[[#This Row],[BOM Cost2]]-Sales4[[#This Row],[Labour Cost]]-Sales4[[#This Row],[Other conversion cost]]</f>
        <v>#REF!</v>
      </c>
      <c r="AM256" s="121" t="e">
        <f>1-Sales4[[#This Row],[PGI COST]]/Sales4[[#This Row],[Net Value]]</f>
        <v>#REF!</v>
      </c>
      <c r="AN256" s="1">
        <f>Sales4[[#This Row],[PGI Amount]]/Sales4[[#This Row],[Billed Quantity]]</f>
        <v>329.46</v>
      </c>
      <c r="AO256" s="72" t="e">
        <f>SUMIFS('COGS Break up'!#REF!,'COGS Break up'!#REF!,Sales4[[#This Row],[Material]],'COGS Break up'!#REF!,'MIS Working'!$AO$1)</f>
        <v>#REF!</v>
      </c>
      <c r="AP256" s="72" t="e">
        <f>SUMIFS('COGS Break up'!#REF!,'COGS Break up'!#REF!,Sales4[[#This Row],[Material]],'COGS Break up'!#REF!,'MIS Working'!$AP$1)</f>
        <v>#REF!</v>
      </c>
      <c r="AQ256" s="72" t="e">
        <f>SUMIFS('COGS Break up'!#REF!,'COGS Break up'!#REF!,Sales4[[#This Row],[Material]],'COGS Break up'!#REF!,'MIS Working'!$AQ$1)</f>
        <v>#REF!</v>
      </c>
      <c r="AR256" s="72">
        <f>Sales4[[#This Row],[Droppage per unit]]</f>
        <v>0</v>
      </c>
      <c r="AS256" s="15" t="e">
        <f>AO256*Sales4[[#This Row],[Billed Quantity]]</f>
        <v>#REF!</v>
      </c>
      <c r="AT256" s="72" t="e">
        <f>AP256*Sales4[[#This Row],[Billed Quantity]]</f>
        <v>#REF!</v>
      </c>
      <c r="AU256" s="72" t="e">
        <f>AQ256*Sales4[[#This Row],[Billed Quantity]]</f>
        <v>#REF!</v>
      </c>
      <c r="AV256" s="72">
        <f>AR256*Sales4[[#This Row],[Billed Quantity]]</f>
        <v>0</v>
      </c>
    </row>
    <row r="257" spans="1:48" x14ac:dyDescent="0.3">
      <c r="A257" s="1" t="s">
        <v>479</v>
      </c>
      <c r="B257" s="2">
        <v>45910</v>
      </c>
      <c r="C257" s="1">
        <v>3271269259</v>
      </c>
      <c r="D257" s="1" t="s">
        <v>38</v>
      </c>
      <c r="E257" s="1" t="s">
        <v>39</v>
      </c>
      <c r="F257" s="1" t="s">
        <v>18</v>
      </c>
      <c r="G257" s="1" t="s">
        <v>19</v>
      </c>
      <c r="H257" s="1" t="s">
        <v>27</v>
      </c>
      <c r="I257" s="3">
        <v>840</v>
      </c>
      <c r="J257" s="4">
        <v>276746.40000000002</v>
      </c>
      <c r="K257" s="3">
        <v>840</v>
      </c>
      <c r="L257" s="3">
        <v>840</v>
      </c>
      <c r="M257" s="2">
        <v>45910</v>
      </c>
      <c r="N257" s="4">
        <v>300963.59999999998</v>
      </c>
      <c r="O257" s="1" t="s">
        <v>21</v>
      </c>
      <c r="P257" s="1" t="s">
        <v>22</v>
      </c>
      <c r="Q257" s="1">
        <v>1</v>
      </c>
      <c r="R257" s="1" t="str">
        <f>VLOOKUP(Sales4[[#This Row],[Material type]],Master!$H$3:$I$8,2,0)</f>
        <v>Finished Goods</v>
      </c>
      <c r="S257" s="1" t="str">
        <f>VLOOKUP(Sales4[[#This Row],[Material Group]],Master!B:C,2,0)</f>
        <v>FG-PCB-CF</v>
      </c>
      <c r="T257" s="1" t="str">
        <f>VLOOKUP(Sales4[[#This Row],[Material Group Descrip]],Master!E:F,2,0)</f>
        <v>FG-PCB-CF</v>
      </c>
      <c r="U257" s="9" t="b">
        <f ca="1">(TODAY()-1)=Sales4[[#This Row],[Billing Date]]</f>
        <v>0</v>
      </c>
      <c r="V257" s="10" t="e">
        <f>Sales4[[#This Row],[Net Value]]-Sales4[[#This Row],[PGI COST]]</f>
        <v>#REF!</v>
      </c>
      <c r="W257" s="11" t="e">
        <f>Sales4[[#This Row],[Gross Margin]]/Sales4[[#This Row],[Net Value]]</f>
        <v>#REF!</v>
      </c>
      <c r="X257" s="1" t="str">
        <f>TEXT(Sales4[[#This Row],[Billing Date]],"mmmm-yy")</f>
        <v>September-25</v>
      </c>
      <c r="Y257" s="1">
        <f>Sales4[[#This Row],[Net Value]]/Sales4[[#This Row],[Billed Quantity]]</f>
        <v>358.28999999999996</v>
      </c>
      <c r="Z257" s="117">
        <f>Sales4[[#This Row],[Actual delivery qty]]</f>
        <v>840</v>
      </c>
      <c r="AA257" s="12" t="e">
        <f>SUM(Sales4[[#This Row],[BOM Cost]:[Other Conversion cost pu]])</f>
        <v>#REF!</v>
      </c>
      <c r="AB25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5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57" s="12">
        <f>IFERROR(VLOOKUP(Sales4[[#This Row],[Material]],'COGS Break up'!#REF!,5,0),0)</f>
        <v>0</v>
      </c>
      <c r="AE25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57" s="48" t="e">
        <f>Sales4[[#This Row],[PGI per unit]]-Sales4[[#This Row],[BOM Cost]]-Sales4[[#This Row],[Labour cost per unit]]-Sales4[[#This Row],[Other Conversion cost pu]]</f>
        <v>#REF!</v>
      </c>
      <c r="AG257" s="48" t="e">
        <f>Sales4[[#This Row],[BOM Cost2]]+Sales4[[#This Row],[Labour Cost]]+Sales4[[#This Row],[Other conversion cost]]</f>
        <v>#REF!</v>
      </c>
      <c r="AH257" s="12" t="e">
        <f>Sales4[[#This Row],[Billed Quantity]]*Sales4[[#This Row],[BOM Cost]]</f>
        <v>#REF!</v>
      </c>
      <c r="AI257" s="12" t="e">
        <f>Sales4[[#This Row],[Billed Quantity]]*Sales4[[#This Row],[Labour cost per unit]]</f>
        <v>#REF!</v>
      </c>
      <c r="AJ257" s="12">
        <f>Sales4[[#This Row],[Droppage per unit]]*Sales4[[#This Row],[Billed Quantity]]</f>
        <v>0</v>
      </c>
      <c r="AK257" s="12" t="e">
        <f>Sales4[[#This Row],[Billed Quantity]]*Sales4[[#This Row],[Other Conversion cost pu]]</f>
        <v>#REF!</v>
      </c>
      <c r="AL257" s="48" t="e">
        <f>Sales4[[#This Row],[PGI Amount]]-Sales4[[#This Row],[BOM Cost2]]-Sales4[[#This Row],[Labour Cost]]-Sales4[[#This Row],[Other conversion cost]]</f>
        <v>#REF!</v>
      </c>
      <c r="AM257" s="121" t="e">
        <f>1-Sales4[[#This Row],[PGI COST]]/Sales4[[#This Row],[Net Value]]</f>
        <v>#REF!</v>
      </c>
      <c r="AN257" s="1">
        <f>Sales4[[#This Row],[PGI Amount]]/Sales4[[#This Row],[Billed Quantity]]</f>
        <v>329.46000000000004</v>
      </c>
      <c r="AO257" s="72" t="e">
        <f>SUMIFS('COGS Break up'!#REF!,'COGS Break up'!#REF!,Sales4[[#This Row],[Material]],'COGS Break up'!#REF!,'MIS Working'!$AO$1)</f>
        <v>#REF!</v>
      </c>
      <c r="AP257" s="72" t="e">
        <f>SUMIFS('COGS Break up'!#REF!,'COGS Break up'!#REF!,Sales4[[#This Row],[Material]],'COGS Break up'!#REF!,'MIS Working'!$AP$1)</f>
        <v>#REF!</v>
      </c>
      <c r="AQ257" s="72" t="e">
        <f>SUMIFS('COGS Break up'!#REF!,'COGS Break up'!#REF!,Sales4[[#This Row],[Material]],'COGS Break up'!#REF!,'MIS Working'!$AQ$1)</f>
        <v>#REF!</v>
      </c>
      <c r="AR257" s="72">
        <f>Sales4[[#This Row],[Droppage per unit]]</f>
        <v>0</v>
      </c>
      <c r="AS257" s="15" t="e">
        <f>AO257*Sales4[[#This Row],[Billed Quantity]]</f>
        <v>#REF!</v>
      </c>
      <c r="AT257" s="72" t="e">
        <f>AP257*Sales4[[#This Row],[Billed Quantity]]</f>
        <v>#REF!</v>
      </c>
      <c r="AU257" s="72" t="e">
        <f>AQ257*Sales4[[#This Row],[Billed Quantity]]</f>
        <v>#REF!</v>
      </c>
      <c r="AV257" s="72">
        <f>AR257*Sales4[[#This Row],[Billed Quantity]]</f>
        <v>0</v>
      </c>
    </row>
    <row r="258" spans="1:48" x14ac:dyDescent="0.3">
      <c r="A258" s="1" t="s">
        <v>479</v>
      </c>
      <c r="B258" s="2">
        <v>45910</v>
      </c>
      <c r="C258" s="1">
        <v>3271269247</v>
      </c>
      <c r="D258" s="1" t="s">
        <v>23</v>
      </c>
      <c r="E258" s="1" t="s">
        <v>24</v>
      </c>
      <c r="F258" s="1" t="s">
        <v>18</v>
      </c>
      <c r="G258" s="1" t="s">
        <v>19</v>
      </c>
      <c r="H258" s="1" t="s">
        <v>27</v>
      </c>
      <c r="I258" s="3">
        <v>280</v>
      </c>
      <c r="J258" s="4">
        <v>118840.4</v>
      </c>
      <c r="K258" s="3">
        <v>280</v>
      </c>
      <c r="L258" s="3">
        <v>280</v>
      </c>
      <c r="M258" s="2">
        <v>45910</v>
      </c>
      <c r="N258" s="4">
        <v>135284.79999999999</v>
      </c>
      <c r="O258" s="1" t="s">
        <v>21</v>
      </c>
      <c r="P258" s="1" t="s">
        <v>22</v>
      </c>
      <c r="Q258" s="1">
        <v>1</v>
      </c>
      <c r="R258" s="1" t="str">
        <f>VLOOKUP(Sales4[[#This Row],[Material type]],Master!$H$3:$I$8,2,0)</f>
        <v>Finished Goods</v>
      </c>
      <c r="S258" s="1" t="str">
        <f>VLOOKUP(Sales4[[#This Row],[Material Group]],Master!B:C,2,0)</f>
        <v>FG-PCB-CF</v>
      </c>
      <c r="T258" s="1" t="str">
        <f>VLOOKUP(Sales4[[#This Row],[Material Group Descrip]],Master!E:F,2,0)</f>
        <v>FG-PCB-CF</v>
      </c>
      <c r="U258" s="9" t="b">
        <f ca="1">(TODAY()-1)=Sales4[[#This Row],[Billing Date]]</f>
        <v>0</v>
      </c>
      <c r="V258" s="10" t="e">
        <f>Sales4[[#This Row],[Net Value]]-Sales4[[#This Row],[PGI COST]]</f>
        <v>#REF!</v>
      </c>
      <c r="W258" s="11" t="e">
        <f>Sales4[[#This Row],[Gross Margin]]/Sales4[[#This Row],[Net Value]]</f>
        <v>#REF!</v>
      </c>
      <c r="X258" s="1" t="str">
        <f>TEXT(Sales4[[#This Row],[Billing Date]],"mmmm-yy")</f>
        <v>September-25</v>
      </c>
      <c r="Y258" s="1">
        <f>Sales4[[#This Row],[Net Value]]/Sales4[[#This Row],[Billed Quantity]]</f>
        <v>483.15999999999997</v>
      </c>
      <c r="Z258" s="117">
        <f>Sales4[[#This Row],[Actual delivery qty]]</f>
        <v>280</v>
      </c>
      <c r="AA258" s="12" t="e">
        <f>SUM(Sales4[[#This Row],[BOM Cost]:[Other Conversion cost pu]])</f>
        <v>#REF!</v>
      </c>
      <c r="AB25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5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58" s="12">
        <f>IFERROR(VLOOKUP(Sales4[[#This Row],[Material]],'COGS Break up'!#REF!,5,0),0)</f>
        <v>0</v>
      </c>
      <c r="AE25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58" s="48" t="e">
        <f>Sales4[[#This Row],[PGI per unit]]-Sales4[[#This Row],[BOM Cost]]-Sales4[[#This Row],[Labour cost per unit]]-Sales4[[#This Row],[Other Conversion cost pu]]</f>
        <v>#REF!</v>
      </c>
      <c r="AG258" s="48" t="e">
        <f>Sales4[[#This Row],[BOM Cost2]]+Sales4[[#This Row],[Labour Cost]]+Sales4[[#This Row],[Other conversion cost]]</f>
        <v>#REF!</v>
      </c>
      <c r="AH258" s="12" t="e">
        <f>Sales4[[#This Row],[Billed Quantity]]*Sales4[[#This Row],[BOM Cost]]</f>
        <v>#REF!</v>
      </c>
      <c r="AI258" s="12" t="e">
        <f>Sales4[[#This Row],[Billed Quantity]]*Sales4[[#This Row],[Labour cost per unit]]</f>
        <v>#REF!</v>
      </c>
      <c r="AJ258" s="12">
        <f>Sales4[[#This Row],[Droppage per unit]]*Sales4[[#This Row],[Billed Quantity]]</f>
        <v>0</v>
      </c>
      <c r="AK258" s="12" t="e">
        <f>Sales4[[#This Row],[Billed Quantity]]*Sales4[[#This Row],[Other Conversion cost pu]]</f>
        <v>#REF!</v>
      </c>
      <c r="AL258" s="48" t="e">
        <f>Sales4[[#This Row],[PGI Amount]]-Sales4[[#This Row],[BOM Cost2]]-Sales4[[#This Row],[Labour Cost]]-Sales4[[#This Row],[Other conversion cost]]</f>
        <v>#REF!</v>
      </c>
      <c r="AM258" s="121" t="e">
        <f>1-Sales4[[#This Row],[PGI COST]]/Sales4[[#This Row],[Net Value]]</f>
        <v>#REF!</v>
      </c>
      <c r="AN258" s="1">
        <f>Sales4[[#This Row],[PGI Amount]]/Sales4[[#This Row],[Billed Quantity]]</f>
        <v>424.43</v>
      </c>
      <c r="AO258" s="72" t="e">
        <f>SUMIFS('COGS Break up'!#REF!,'COGS Break up'!#REF!,Sales4[[#This Row],[Material]],'COGS Break up'!#REF!,'MIS Working'!$AO$1)</f>
        <v>#REF!</v>
      </c>
      <c r="AP258" s="72" t="e">
        <f>SUMIFS('COGS Break up'!#REF!,'COGS Break up'!#REF!,Sales4[[#This Row],[Material]],'COGS Break up'!#REF!,'MIS Working'!$AP$1)</f>
        <v>#REF!</v>
      </c>
      <c r="AQ258" s="72" t="e">
        <f>SUMIFS('COGS Break up'!#REF!,'COGS Break up'!#REF!,Sales4[[#This Row],[Material]],'COGS Break up'!#REF!,'MIS Working'!$AQ$1)</f>
        <v>#REF!</v>
      </c>
      <c r="AR258" s="72">
        <f>Sales4[[#This Row],[Droppage per unit]]</f>
        <v>0</v>
      </c>
      <c r="AS258" s="15" t="e">
        <f>AO258*Sales4[[#This Row],[Billed Quantity]]</f>
        <v>#REF!</v>
      </c>
      <c r="AT258" s="72" t="e">
        <f>AP258*Sales4[[#This Row],[Billed Quantity]]</f>
        <v>#REF!</v>
      </c>
      <c r="AU258" s="72" t="e">
        <f>AQ258*Sales4[[#This Row],[Billed Quantity]]</f>
        <v>#REF!</v>
      </c>
      <c r="AV258" s="72">
        <f>AR258*Sales4[[#This Row],[Billed Quantity]]</f>
        <v>0</v>
      </c>
    </row>
    <row r="259" spans="1:48" x14ac:dyDescent="0.3">
      <c r="A259" s="1" t="s">
        <v>479</v>
      </c>
      <c r="B259" s="2">
        <v>45910</v>
      </c>
      <c r="C259" s="1">
        <v>3271269259</v>
      </c>
      <c r="D259" s="1" t="s">
        <v>23</v>
      </c>
      <c r="E259" s="1" t="s">
        <v>24</v>
      </c>
      <c r="F259" s="1" t="s">
        <v>18</v>
      </c>
      <c r="G259" s="1" t="s">
        <v>19</v>
      </c>
      <c r="H259" s="1" t="s">
        <v>27</v>
      </c>
      <c r="I259" s="3">
        <v>490</v>
      </c>
      <c r="J259" s="4">
        <v>207970.7</v>
      </c>
      <c r="K259" s="3">
        <v>490</v>
      </c>
      <c r="L259" s="3">
        <v>490</v>
      </c>
      <c r="M259" s="2">
        <v>45910</v>
      </c>
      <c r="N259" s="4">
        <v>236748.4</v>
      </c>
      <c r="O259" s="1" t="s">
        <v>21</v>
      </c>
      <c r="P259" s="1" t="s">
        <v>22</v>
      </c>
      <c r="Q259" s="1">
        <v>1</v>
      </c>
      <c r="R259" s="1" t="str">
        <f>VLOOKUP(Sales4[[#This Row],[Material type]],Master!$H$3:$I$8,2,0)</f>
        <v>Finished Goods</v>
      </c>
      <c r="S259" s="1" t="str">
        <f>VLOOKUP(Sales4[[#This Row],[Material Group]],Master!B:C,2,0)</f>
        <v>FG-PCB-CF</v>
      </c>
      <c r="T259" s="1" t="str">
        <f>VLOOKUP(Sales4[[#This Row],[Material Group Descrip]],Master!E:F,2,0)</f>
        <v>FG-PCB-CF</v>
      </c>
      <c r="U259" s="9" t="b">
        <f ca="1">(TODAY()-1)=Sales4[[#This Row],[Billing Date]]</f>
        <v>0</v>
      </c>
      <c r="V259" s="10" t="e">
        <f>Sales4[[#This Row],[Net Value]]-Sales4[[#This Row],[PGI COST]]</f>
        <v>#REF!</v>
      </c>
      <c r="W259" s="11" t="e">
        <f>Sales4[[#This Row],[Gross Margin]]/Sales4[[#This Row],[Net Value]]</f>
        <v>#REF!</v>
      </c>
      <c r="X259" s="1" t="str">
        <f>TEXT(Sales4[[#This Row],[Billing Date]],"mmmm-yy")</f>
        <v>September-25</v>
      </c>
      <c r="Y259" s="1">
        <f>Sales4[[#This Row],[Net Value]]/Sales4[[#This Row],[Billed Quantity]]</f>
        <v>483.15999999999997</v>
      </c>
      <c r="Z259" s="117">
        <f>Sales4[[#This Row],[Actual delivery qty]]</f>
        <v>490</v>
      </c>
      <c r="AA259" s="12" t="e">
        <f>SUM(Sales4[[#This Row],[BOM Cost]:[Other Conversion cost pu]])</f>
        <v>#REF!</v>
      </c>
      <c r="AB25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5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59" s="12">
        <f>IFERROR(VLOOKUP(Sales4[[#This Row],[Material]],'COGS Break up'!#REF!,5,0),0)</f>
        <v>0</v>
      </c>
      <c r="AE25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59" s="48" t="e">
        <f>Sales4[[#This Row],[PGI per unit]]-Sales4[[#This Row],[BOM Cost]]-Sales4[[#This Row],[Labour cost per unit]]-Sales4[[#This Row],[Other Conversion cost pu]]</f>
        <v>#REF!</v>
      </c>
      <c r="AG259" s="48" t="e">
        <f>Sales4[[#This Row],[BOM Cost2]]+Sales4[[#This Row],[Labour Cost]]+Sales4[[#This Row],[Other conversion cost]]</f>
        <v>#REF!</v>
      </c>
      <c r="AH259" s="12" t="e">
        <f>Sales4[[#This Row],[Billed Quantity]]*Sales4[[#This Row],[BOM Cost]]</f>
        <v>#REF!</v>
      </c>
      <c r="AI259" s="12" t="e">
        <f>Sales4[[#This Row],[Billed Quantity]]*Sales4[[#This Row],[Labour cost per unit]]</f>
        <v>#REF!</v>
      </c>
      <c r="AJ259" s="12">
        <f>Sales4[[#This Row],[Droppage per unit]]*Sales4[[#This Row],[Billed Quantity]]</f>
        <v>0</v>
      </c>
      <c r="AK259" s="12" t="e">
        <f>Sales4[[#This Row],[Billed Quantity]]*Sales4[[#This Row],[Other Conversion cost pu]]</f>
        <v>#REF!</v>
      </c>
      <c r="AL259" s="48" t="e">
        <f>Sales4[[#This Row],[PGI Amount]]-Sales4[[#This Row],[BOM Cost2]]-Sales4[[#This Row],[Labour Cost]]-Sales4[[#This Row],[Other conversion cost]]</f>
        <v>#REF!</v>
      </c>
      <c r="AM259" s="121" t="e">
        <f>1-Sales4[[#This Row],[PGI COST]]/Sales4[[#This Row],[Net Value]]</f>
        <v>#REF!</v>
      </c>
      <c r="AN259" s="1">
        <f>Sales4[[#This Row],[PGI Amount]]/Sales4[[#This Row],[Billed Quantity]]</f>
        <v>424.43</v>
      </c>
      <c r="AO259" s="72" t="e">
        <f>SUMIFS('COGS Break up'!#REF!,'COGS Break up'!#REF!,Sales4[[#This Row],[Material]],'COGS Break up'!#REF!,'MIS Working'!$AO$1)</f>
        <v>#REF!</v>
      </c>
      <c r="AP259" s="72" t="e">
        <f>SUMIFS('COGS Break up'!#REF!,'COGS Break up'!#REF!,Sales4[[#This Row],[Material]],'COGS Break up'!#REF!,'MIS Working'!$AP$1)</f>
        <v>#REF!</v>
      </c>
      <c r="AQ259" s="72" t="e">
        <f>SUMIFS('COGS Break up'!#REF!,'COGS Break up'!#REF!,Sales4[[#This Row],[Material]],'COGS Break up'!#REF!,'MIS Working'!$AQ$1)</f>
        <v>#REF!</v>
      </c>
      <c r="AR259" s="72">
        <f>Sales4[[#This Row],[Droppage per unit]]</f>
        <v>0</v>
      </c>
      <c r="AS259" s="15" t="e">
        <f>AO259*Sales4[[#This Row],[Billed Quantity]]</f>
        <v>#REF!</v>
      </c>
      <c r="AT259" s="72" t="e">
        <f>AP259*Sales4[[#This Row],[Billed Quantity]]</f>
        <v>#REF!</v>
      </c>
      <c r="AU259" s="72" t="e">
        <f>AQ259*Sales4[[#This Row],[Billed Quantity]]</f>
        <v>#REF!</v>
      </c>
      <c r="AV259" s="72">
        <f>AR259*Sales4[[#This Row],[Billed Quantity]]</f>
        <v>0</v>
      </c>
    </row>
    <row r="260" spans="1:48" x14ac:dyDescent="0.3">
      <c r="A260" s="1" t="s">
        <v>479</v>
      </c>
      <c r="B260" s="2">
        <v>45910</v>
      </c>
      <c r="C260" s="1">
        <v>3271269008</v>
      </c>
      <c r="D260" s="1" t="s">
        <v>23</v>
      </c>
      <c r="E260" s="1" t="s">
        <v>24</v>
      </c>
      <c r="F260" s="1" t="s">
        <v>18</v>
      </c>
      <c r="G260" s="1" t="s">
        <v>19</v>
      </c>
      <c r="H260" s="1" t="s">
        <v>27</v>
      </c>
      <c r="I260" s="3">
        <v>1435</v>
      </c>
      <c r="J260" s="4">
        <v>609057.05000000005</v>
      </c>
      <c r="K260" s="3">
        <v>1435</v>
      </c>
      <c r="L260" s="3">
        <v>1435</v>
      </c>
      <c r="M260" s="2">
        <v>45910</v>
      </c>
      <c r="N260" s="4">
        <v>693334.6</v>
      </c>
      <c r="O260" s="1" t="s">
        <v>21</v>
      </c>
      <c r="P260" s="1" t="s">
        <v>22</v>
      </c>
      <c r="Q260" s="1">
        <v>1</v>
      </c>
      <c r="R260" s="1" t="str">
        <f>VLOOKUP(Sales4[[#This Row],[Material type]],Master!$H$3:$I$8,2,0)</f>
        <v>Finished Goods</v>
      </c>
      <c r="S260" s="1" t="str">
        <f>VLOOKUP(Sales4[[#This Row],[Material Group]],Master!B:C,2,0)</f>
        <v>FG-PCB-CF</v>
      </c>
      <c r="T260" s="1" t="str">
        <f>VLOOKUP(Sales4[[#This Row],[Material Group Descrip]],Master!E:F,2,0)</f>
        <v>FG-PCB-CF</v>
      </c>
      <c r="U260" s="9" t="b">
        <f ca="1">(TODAY()-1)=Sales4[[#This Row],[Billing Date]]</f>
        <v>0</v>
      </c>
      <c r="V260" s="10" t="e">
        <f>Sales4[[#This Row],[Net Value]]-Sales4[[#This Row],[PGI COST]]</f>
        <v>#REF!</v>
      </c>
      <c r="W260" s="11" t="e">
        <f>Sales4[[#This Row],[Gross Margin]]/Sales4[[#This Row],[Net Value]]</f>
        <v>#REF!</v>
      </c>
      <c r="X260" s="1" t="str">
        <f>TEXT(Sales4[[#This Row],[Billing Date]],"mmmm-yy")</f>
        <v>September-25</v>
      </c>
      <c r="Y260" s="1">
        <f>Sales4[[#This Row],[Net Value]]/Sales4[[#This Row],[Billed Quantity]]</f>
        <v>483.15999999999997</v>
      </c>
      <c r="Z260" s="117">
        <f>Sales4[[#This Row],[Actual delivery qty]]</f>
        <v>1435</v>
      </c>
      <c r="AA260" s="12" t="e">
        <f>SUM(Sales4[[#This Row],[BOM Cost]:[Other Conversion cost pu]])</f>
        <v>#REF!</v>
      </c>
      <c r="AB26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6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60" s="12">
        <f>IFERROR(VLOOKUP(Sales4[[#This Row],[Material]],'COGS Break up'!#REF!,5,0),0)</f>
        <v>0</v>
      </c>
      <c r="AE26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60" s="48" t="e">
        <f>Sales4[[#This Row],[PGI per unit]]-Sales4[[#This Row],[BOM Cost]]-Sales4[[#This Row],[Labour cost per unit]]-Sales4[[#This Row],[Other Conversion cost pu]]</f>
        <v>#REF!</v>
      </c>
      <c r="AG260" s="48" t="e">
        <f>Sales4[[#This Row],[BOM Cost2]]+Sales4[[#This Row],[Labour Cost]]+Sales4[[#This Row],[Other conversion cost]]</f>
        <v>#REF!</v>
      </c>
      <c r="AH260" s="12" t="e">
        <f>Sales4[[#This Row],[Billed Quantity]]*Sales4[[#This Row],[BOM Cost]]</f>
        <v>#REF!</v>
      </c>
      <c r="AI260" s="12" t="e">
        <f>Sales4[[#This Row],[Billed Quantity]]*Sales4[[#This Row],[Labour cost per unit]]</f>
        <v>#REF!</v>
      </c>
      <c r="AJ260" s="12">
        <f>Sales4[[#This Row],[Droppage per unit]]*Sales4[[#This Row],[Billed Quantity]]</f>
        <v>0</v>
      </c>
      <c r="AK260" s="12" t="e">
        <f>Sales4[[#This Row],[Billed Quantity]]*Sales4[[#This Row],[Other Conversion cost pu]]</f>
        <v>#REF!</v>
      </c>
      <c r="AL260" s="48" t="e">
        <f>Sales4[[#This Row],[PGI Amount]]-Sales4[[#This Row],[BOM Cost2]]-Sales4[[#This Row],[Labour Cost]]-Sales4[[#This Row],[Other conversion cost]]</f>
        <v>#REF!</v>
      </c>
      <c r="AM260" s="121" t="e">
        <f>1-Sales4[[#This Row],[PGI COST]]/Sales4[[#This Row],[Net Value]]</f>
        <v>#REF!</v>
      </c>
      <c r="AN260" s="1">
        <f>Sales4[[#This Row],[PGI Amount]]/Sales4[[#This Row],[Billed Quantity]]</f>
        <v>424.43</v>
      </c>
      <c r="AO260" s="72" t="e">
        <f>SUMIFS('COGS Break up'!#REF!,'COGS Break up'!#REF!,Sales4[[#This Row],[Material]],'COGS Break up'!#REF!,'MIS Working'!$AO$1)</f>
        <v>#REF!</v>
      </c>
      <c r="AP260" s="72" t="e">
        <f>SUMIFS('COGS Break up'!#REF!,'COGS Break up'!#REF!,Sales4[[#This Row],[Material]],'COGS Break up'!#REF!,'MIS Working'!$AP$1)</f>
        <v>#REF!</v>
      </c>
      <c r="AQ260" s="72" t="e">
        <f>SUMIFS('COGS Break up'!#REF!,'COGS Break up'!#REF!,Sales4[[#This Row],[Material]],'COGS Break up'!#REF!,'MIS Working'!$AQ$1)</f>
        <v>#REF!</v>
      </c>
      <c r="AR260" s="72">
        <f>Sales4[[#This Row],[Droppage per unit]]</f>
        <v>0</v>
      </c>
      <c r="AS260" s="15" t="e">
        <f>AO260*Sales4[[#This Row],[Billed Quantity]]</f>
        <v>#REF!</v>
      </c>
      <c r="AT260" s="72" t="e">
        <f>AP260*Sales4[[#This Row],[Billed Quantity]]</f>
        <v>#REF!</v>
      </c>
      <c r="AU260" s="72" t="e">
        <f>AQ260*Sales4[[#This Row],[Billed Quantity]]</f>
        <v>#REF!</v>
      </c>
      <c r="AV260" s="72">
        <f>AR260*Sales4[[#This Row],[Billed Quantity]]</f>
        <v>0</v>
      </c>
    </row>
    <row r="261" spans="1:48" x14ac:dyDescent="0.3">
      <c r="A261" s="1" t="s">
        <v>479</v>
      </c>
      <c r="B261" s="2">
        <v>45910</v>
      </c>
      <c r="C261" s="1">
        <v>3271269008</v>
      </c>
      <c r="D261" s="1" t="s">
        <v>362</v>
      </c>
      <c r="E261" s="1" t="s">
        <v>363</v>
      </c>
      <c r="F261" s="1" t="s">
        <v>18</v>
      </c>
      <c r="G261" s="1" t="s">
        <v>19</v>
      </c>
      <c r="H261" s="1" t="s">
        <v>483</v>
      </c>
      <c r="I261" s="3">
        <v>175</v>
      </c>
      <c r="J261" s="4">
        <v>128294.25</v>
      </c>
      <c r="K261" s="3">
        <v>175</v>
      </c>
      <c r="L261" s="3">
        <v>175</v>
      </c>
      <c r="M261" s="2">
        <v>45910</v>
      </c>
      <c r="N261" s="4">
        <v>150892</v>
      </c>
      <c r="O261" s="1" t="s">
        <v>21</v>
      </c>
      <c r="P261" s="1" t="s">
        <v>22</v>
      </c>
      <c r="Q261" s="1">
        <v>1</v>
      </c>
      <c r="R261" s="1" t="str">
        <f>VLOOKUP(Sales4[[#This Row],[Material type]],Master!$H$3:$I$8,2,0)</f>
        <v>Finished Goods</v>
      </c>
      <c r="S261" s="1" t="str">
        <f>VLOOKUP(Sales4[[#This Row],[Material Group]],Master!B:C,2,0)</f>
        <v>FG-PCB-MG</v>
      </c>
      <c r="T261" s="1" t="str">
        <f>VLOOKUP(Sales4[[#This Row],[Material Group Descrip]],Master!E:F,2,0)</f>
        <v>FG-PCB-MG</v>
      </c>
      <c r="U261" s="9" t="b">
        <f ca="1">(TODAY()-1)=Sales4[[#This Row],[Billing Date]]</f>
        <v>0</v>
      </c>
      <c r="V261" s="10" t="e">
        <f>Sales4[[#This Row],[Net Value]]-Sales4[[#This Row],[PGI COST]]</f>
        <v>#REF!</v>
      </c>
      <c r="W261" s="11" t="e">
        <f>Sales4[[#This Row],[Gross Margin]]/Sales4[[#This Row],[Net Value]]</f>
        <v>#REF!</v>
      </c>
      <c r="X261" s="1" t="str">
        <f>TEXT(Sales4[[#This Row],[Billing Date]],"mmmm-yy")</f>
        <v>September-25</v>
      </c>
      <c r="Y261" s="1">
        <f>Sales4[[#This Row],[Net Value]]/Sales4[[#This Row],[Billed Quantity]]</f>
        <v>862.24</v>
      </c>
      <c r="Z261" s="117">
        <f>Sales4[[#This Row],[Actual delivery qty]]</f>
        <v>175</v>
      </c>
      <c r="AA261" s="12" t="e">
        <f>SUM(Sales4[[#This Row],[BOM Cost]:[Other Conversion cost pu]])</f>
        <v>#REF!</v>
      </c>
      <c r="AB26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6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61" s="12">
        <f>IFERROR(VLOOKUP(Sales4[[#This Row],[Material]],'COGS Break up'!#REF!,5,0),0)</f>
        <v>0</v>
      </c>
      <c r="AE26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61" s="48" t="e">
        <f>Sales4[[#This Row],[PGI per unit]]-Sales4[[#This Row],[BOM Cost]]-Sales4[[#This Row],[Labour cost per unit]]-Sales4[[#This Row],[Other Conversion cost pu]]</f>
        <v>#REF!</v>
      </c>
      <c r="AG261" s="48" t="e">
        <f>Sales4[[#This Row],[BOM Cost2]]+Sales4[[#This Row],[Labour Cost]]+Sales4[[#This Row],[Other conversion cost]]</f>
        <v>#REF!</v>
      </c>
      <c r="AH261" s="12" t="e">
        <f>Sales4[[#This Row],[Billed Quantity]]*Sales4[[#This Row],[BOM Cost]]</f>
        <v>#REF!</v>
      </c>
      <c r="AI261" s="12" t="e">
        <f>Sales4[[#This Row],[Billed Quantity]]*Sales4[[#This Row],[Labour cost per unit]]</f>
        <v>#REF!</v>
      </c>
      <c r="AJ261" s="12">
        <f>Sales4[[#This Row],[Droppage per unit]]*Sales4[[#This Row],[Billed Quantity]]</f>
        <v>0</v>
      </c>
      <c r="AK261" s="12" t="e">
        <f>Sales4[[#This Row],[Billed Quantity]]*Sales4[[#This Row],[Other Conversion cost pu]]</f>
        <v>#REF!</v>
      </c>
      <c r="AL261" s="48" t="e">
        <f>Sales4[[#This Row],[PGI Amount]]-Sales4[[#This Row],[BOM Cost2]]-Sales4[[#This Row],[Labour Cost]]-Sales4[[#This Row],[Other conversion cost]]</f>
        <v>#REF!</v>
      </c>
      <c r="AM261" s="121" t="e">
        <f>1-Sales4[[#This Row],[PGI COST]]/Sales4[[#This Row],[Net Value]]</f>
        <v>#REF!</v>
      </c>
      <c r="AN261" s="1">
        <f>Sales4[[#This Row],[PGI Amount]]/Sales4[[#This Row],[Billed Quantity]]</f>
        <v>733.11</v>
      </c>
      <c r="AO261" s="72" t="e">
        <f>SUMIFS('COGS Break up'!#REF!,'COGS Break up'!#REF!,Sales4[[#This Row],[Material]],'COGS Break up'!#REF!,'MIS Working'!$AO$1)</f>
        <v>#REF!</v>
      </c>
      <c r="AP261" s="72" t="e">
        <f>SUMIFS('COGS Break up'!#REF!,'COGS Break up'!#REF!,Sales4[[#This Row],[Material]],'COGS Break up'!#REF!,'MIS Working'!$AP$1)</f>
        <v>#REF!</v>
      </c>
      <c r="AQ261" s="72" t="e">
        <f>SUMIFS('COGS Break up'!#REF!,'COGS Break up'!#REF!,Sales4[[#This Row],[Material]],'COGS Break up'!#REF!,'MIS Working'!$AQ$1)</f>
        <v>#REF!</v>
      </c>
      <c r="AR261" s="72">
        <f>Sales4[[#This Row],[Droppage per unit]]</f>
        <v>0</v>
      </c>
      <c r="AS261" s="15" t="e">
        <f>AO261*Sales4[[#This Row],[Billed Quantity]]</f>
        <v>#REF!</v>
      </c>
      <c r="AT261" s="72" t="e">
        <f>AP261*Sales4[[#This Row],[Billed Quantity]]</f>
        <v>#REF!</v>
      </c>
      <c r="AU261" s="72" t="e">
        <f>AQ261*Sales4[[#This Row],[Billed Quantity]]</f>
        <v>#REF!</v>
      </c>
      <c r="AV261" s="72">
        <f>AR261*Sales4[[#This Row],[Billed Quantity]]</f>
        <v>0</v>
      </c>
    </row>
    <row r="262" spans="1:48" x14ac:dyDescent="0.3">
      <c r="A262" s="1" t="s">
        <v>479</v>
      </c>
      <c r="B262" s="2">
        <v>45910</v>
      </c>
      <c r="C262" s="1">
        <v>3271268974</v>
      </c>
      <c r="D262" s="1" t="s">
        <v>362</v>
      </c>
      <c r="E262" s="1" t="s">
        <v>363</v>
      </c>
      <c r="F262" s="1" t="s">
        <v>18</v>
      </c>
      <c r="G262" s="1" t="s">
        <v>19</v>
      </c>
      <c r="H262" s="1" t="s">
        <v>483</v>
      </c>
      <c r="I262" s="3">
        <v>315</v>
      </c>
      <c r="J262" s="4">
        <v>230929.65</v>
      </c>
      <c r="K262" s="3">
        <v>315</v>
      </c>
      <c r="L262" s="3">
        <v>315</v>
      </c>
      <c r="M262" s="2">
        <v>45910</v>
      </c>
      <c r="N262" s="4">
        <v>271605.59999999998</v>
      </c>
      <c r="O262" s="1" t="s">
        <v>21</v>
      </c>
      <c r="P262" s="1" t="s">
        <v>22</v>
      </c>
      <c r="Q262" s="1">
        <v>1</v>
      </c>
      <c r="R262" s="1" t="str">
        <f>VLOOKUP(Sales4[[#This Row],[Material type]],Master!$H$3:$I$8,2,0)</f>
        <v>Finished Goods</v>
      </c>
      <c r="S262" s="1" t="str">
        <f>VLOOKUP(Sales4[[#This Row],[Material Group]],Master!B:C,2,0)</f>
        <v>FG-PCB-MG</v>
      </c>
      <c r="T262" s="1" t="str">
        <f>VLOOKUP(Sales4[[#This Row],[Material Group Descrip]],Master!E:F,2,0)</f>
        <v>FG-PCB-MG</v>
      </c>
      <c r="U262" s="9" t="b">
        <f ca="1">(TODAY()-1)=Sales4[[#This Row],[Billing Date]]</f>
        <v>0</v>
      </c>
      <c r="V262" s="10" t="e">
        <f>Sales4[[#This Row],[Net Value]]-Sales4[[#This Row],[PGI COST]]</f>
        <v>#REF!</v>
      </c>
      <c r="W262" s="11" t="e">
        <f>Sales4[[#This Row],[Gross Margin]]/Sales4[[#This Row],[Net Value]]</f>
        <v>#REF!</v>
      </c>
      <c r="X262" s="1" t="str">
        <f>TEXT(Sales4[[#This Row],[Billing Date]],"mmmm-yy")</f>
        <v>September-25</v>
      </c>
      <c r="Y262" s="1">
        <f>Sales4[[#This Row],[Net Value]]/Sales4[[#This Row],[Billed Quantity]]</f>
        <v>862.2399999999999</v>
      </c>
      <c r="Z262" s="117">
        <f>Sales4[[#This Row],[Actual delivery qty]]</f>
        <v>315</v>
      </c>
      <c r="AA262" s="12" t="e">
        <f>SUM(Sales4[[#This Row],[BOM Cost]:[Other Conversion cost pu]])</f>
        <v>#REF!</v>
      </c>
      <c r="AB26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6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62" s="12">
        <f>IFERROR(VLOOKUP(Sales4[[#This Row],[Material]],'COGS Break up'!#REF!,5,0),0)</f>
        <v>0</v>
      </c>
      <c r="AE26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62" s="48" t="e">
        <f>Sales4[[#This Row],[PGI per unit]]-Sales4[[#This Row],[BOM Cost]]-Sales4[[#This Row],[Labour cost per unit]]-Sales4[[#This Row],[Other Conversion cost pu]]</f>
        <v>#REF!</v>
      </c>
      <c r="AG262" s="48" t="e">
        <f>Sales4[[#This Row],[BOM Cost2]]+Sales4[[#This Row],[Labour Cost]]+Sales4[[#This Row],[Other conversion cost]]</f>
        <v>#REF!</v>
      </c>
      <c r="AH262" s="12" t="e">
        <f>Sales4[[#This Row],[Billed Quantity]]*Sales4[[#This Row],[BOM Cost]]</f>
        <v>#REF!</v>
      </c>
      <c r="AI262" s="12" t="e">
        <f>Sales4[[#This Row],[Billed Quantity]]*Sales4[[#This Row],[Labour cost per unit]]</f>
        <v>#REF!</v>
      </c>
      <c r="AJ262" s="12">
        <f>Sales4[[#This Row],[Droppage per unit]]*Sales4[[#This Row],[Billed Quantity]]</f>
        <v>0</v>
      </c>
      <c r="AK262" s="12" t="e">
        <f>Sales4[[#This Row],[Billed Quantity]]*Sales4[[#This Row],[Other Conversion cost pu]]</f>
        <v>#REF!</v>
      </c>
      <c r="AL262" s="48" t="e">
        <f>Sales4[[#This Row],[PGI Amount]]-Sales4[[#This Row],[BOM Cost2]]-Sales4[[#This Row],[Labour Cost]]-Sales4[[#This Row],[Other conversion cost]]</f>
        <v>#REF!</v>
      </c>
      <c r="AM262" s="121" t="e">
        <f>1-Sales4[[#This Row],[PGI COST]]/Sales4[[#This Row],[Net Value]]</f>
        <v>#REF!</v>
      </c>
      <c r="AN262" s="1">
        <f>Sales4[[#This Row],[PGI Amount]]/Sales4[[#This Row],[Billed Quantity]]</f>
        <v>733.11</v>
      </c>
      <c r="AO262" s="72" t="e">
        <f>SUMIFS('COGS Break up'!#REF!,'COGS Break up'!#REF!,Sales4[[#This Row],[Material]],'COGS Break up'!#REF!,'MIS Working'!$AO$1)</f>
        <v>#REF!</v>
      </c>
      <c r="AP262" s="72" t="e">
        <f>SUMIFS('COGS Break up'!#REF!,'COGS Break up'!#REF!,Sales4[[#This Row],[Material]],'COGS Break up'!#REF!,'MIS Working'!$AP$1)</f>
        <v>#REF!</v>
      </c>
      <c r="AQ262" s="72" t="e">
        <f>SUMIFS('COGS Break up'!#REF!,'COGS Break up'!#REF!,Sales4[[#This Row],[Material]],'COGS Break up'!#REF!,'MIS Working'!$AQ$1)</f>
        <v>#REF!</v>
      </c>
      <c r="AR262" s="72">
        <f>Sales4[[#This Row],[Droppage per unit]]</f>
        <v>0</v>
      </c>
      <c r="AS262" s="15" t="e">
        <f>AO262*Sales4[[#This Row],[Billed Quantity]]</f>
        <v>#REF!</v>
      </c>
      <c r="AT262" s="72" t="e">
        <f>AP262*Sales4[[#This Row],[Billed Quantity]]</f>
        <v>#REF!</v>
      </c>
      <c r="AU262" s="72" t="e">
        <f>AQ262*Sales4[[#This Row],[Billed Quantity]]</f>
        <v>#REF!</v>
      </c>
      <c r="AV262" s="72">
        <f>AR262*Sales4[[#This Row],[Billed Quantity]]</f>
        <v>0</v>
      </c>
    </row>
    <row r="263" spans="1:48" x14ac:dyDescent="0.3">
      <c r="A263" s="1" t="s">
        <v>479</v>
      </c>
      <c r="B263" s="2">
        <v>45910</v>
      </c>
      <c r="C263" s="1">
        <v>3271269259</v>
      </c>
      <c r="D263" s="1" t="s">
        <v>362</v>
      </c>
      <c r="E263" s="1" t="s">
        <v>363</v>
      </c>
      <c r="F263" s="1" t="s">
        <v>18</v>
      </c>
      <c r="G263" s="1" t="s">
        <v>19</v>
      </c>
      <c r="H263" s="1" t="s">
        <v>483</v>
      </c>
      <c r="I263" s="3">
        <v>210</v>
      </c>
      <c r="J263" s="4">
        <v>153953.1</v>
      </c>
      <c r="K263" s="3">
        <v>210</v>
      </c>
      <c r="L263" s="3">
        <v>210</v>
      </c>
      <c r="M263" s="2">
        <v>45910</v>
      </c>
      <c r="N263" s="4">
        <v>181070.4</v>
      </c>
      <c r="O263" s="1" t="s">
        <v>21</v>
      </c>
      <c r="P263" s="1" t="s">
        <v>22</v>
      </c>
      <c r="Q263" s="1">
        <v>1</v>
      </c>
      <c r="R263" s="1" t="str">
        <f>VLOOKUP(Sales4[[#This Row],[Material type]],Master!$H$3:$I$8,2,0)</f>
        <v>Finished Goods</v>
      </c>
      <c r="S263" s="1" t="str">
        <f>VLOOKUP(Sales4[[#This Row],[Material Group]],Master!B:C,2,0)</f>
        <v>FG-PCB-MG</v>
      </c>
      <c r="T263" s="1" t="str">
        <f>VLOOKUP(Sales4[[#This Row],[Material Group Descrip]],Master!E:F,2,0)</f>
        <v>FG-PCB-MG</v>
      </c>
      <c r="U263" s="9" t="b">
        <f ca="1">(TODAY()-1)=Sales4[[#This Row],[Billing Date]]</f>
        <v>0</v>
      </c>
      <c r="V263" s="10" t="e">
        <f>Sales4[[#This Row],[Net Value]]-Sales4[[#This Row],[PGI COST]]</f>
        <v>#REF!</v>
      </c>
      <c r="W263" s="11" t="e">
        <f>Sales4[[#This Row],[Gross Margin]]/Sales4[[#This Row],[Net Value]]</f>
        <v>#REF!</v>
      </c>
      <c r="X263" s="1" t="str">
        <f>TEXT(Sales4[[#This Row],[Billing Date]],"mmmm-yy")</f>
        <v>September-25</v>
      </c>
      <c r="Y263" s="1">
        <f>Sales4[[#This Row],[Net Value]]/Sales4[[#This Row],[Billed Quantity]]</f>
        <v>862.24</v>
      </c>
      <c r="Z263" s="117">
        <f>Sales4[[#This Row],[Actual delivery qty]]</f>
        <v>210</v>
      </c>
      <c r="AA263" s="12" t="e">
        <f>SUM(Sales4[[#This Row],[BOM Cost]:[Other Conversion cost pu]])</f>
        <v>#REF!</v>
      </c>
      <c r="AB26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6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63" s="12">
        <f>IFERROR(VLOOKUP(Sales4[[#This Row],[Material]],'COGS Break up'!#REF!,5,0),0)</f>
        <v>0</v>
      </c>
      <c r="AE26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63" s="48" t="e">
        <f>Sales4[[#This Row],[PGI per unit]]-Sales4[[#This Row],[BOM Cost]]-Sales4[[#This Row],[Labour cost per unit]]-Sales4[[#This Row],[Other Conversion cost pu]]</f>
        <v>#REF!</v>
      </c>
      <c r="AG263" s="48" t="e">
        <f>Sales4[[#This Row],[BOM Cost2]]+Sales4[[#This Row],[Labour Cost]]+Sales4[[#This Row],[Other conversion cost]]</f>
        <v>#REF!</v>
      </c>
      <c r="AH263" s="12" t="e">
        <f>Sales4[[#This Row],[Billed Quantity]]*Sales4[[#This Row],[BOM Cost]]</f>
        <v>#REF!</v>
      </c>
      <c r="AI263" s="12" t="e">
        <f>Sales4[[#This Row],[Billed Quantity]]*Sales4[[#This Row],[Labour cost per unit]]</f>
        <v>#REF!</v>
      </c>
      <c r="AJ263" s="12">
        <f>Sales4[[#This Row],[Droppage per unit]]*Sales4[[#This Row],[Billed Quantity]]</f>
        <v>0</v>
      </c>
      <c r="AK263" s="12" t="e">
        <f>Sales4[[#This Row],[Billed Quantity]]*Sales4[[#This Row],[Other Conversion cost pu]]</f>
        <v>#REF!</v>
      </c>
      <c r="AL263" s="48" t="e">
        <f>Sales4[[#This Row],[PGI Amount]]-Sales4[[#This Row],[BOM Cost2]]-Sales4[[#This Row],[Labour Cost]]-Sales4[[#This Row],[Other conversion cost]]</f>
        <v>#REF!</v>
      </c>
      <c r="AM263" s="121" t="e">
        <f>1-Sales4[[#This Row],[PGI COST]]/Sales4[[#This Row],[Net Value]]</f>
        <v>#REF!</v>
      </c>
      <c r="AN263" s="1">
        <f>Sales4[[#This Row],[PGI Amount]]/Sales4[[#This Row],[Billed Quantity]]</f>
        <v>733.11</v>
      </c>
      <c r="AO263" s="72" t="e">
        <f>SUMIFS('COGS Break up'!#REF!,'COGS Break up'!#REF!,Sales4[[#This Row],[Material]],'COGS Break up'!#REF!,'MIS Working'!$AO$1)</f>
        <v>#REF!</v>
      </c>
      <c r="AP263" s="72" t="e">
        <f>SUMIFS('COGS Break up'!#REF!,'COGS Break up'!#REF!,Sales4[[#This Row],[Material]],'COGS Break up'!#REF!,'MIS Working'!$AP$1)</f>
        <v>#REF!</v>
      </c>
      <c r="AQ263" s="72" t="e">
        <f>SUMIFS('COGS Break up'!#REF!,'COGS Break up'!#REF!,Sales4[[#This Row],[Material]],'COGS Break up'!#REF!,'MIS Working'!$AQ$1)</f>
        <v>#REF!</v>
      </c>
      <c r="AR263" s="72">
        <f>Sales4[[#This Row],[Droppage per unit]]</f>
        <v>0</v>
      </c>
      <c r="AS263" s="15" t="e">
        <f>AO263*Sales4[[#This Row],[Billed Quantity]]</f>
        <v>#REF!</v>
      </c>
      <c r="AT263" s="72" t="e">
        <f>AP263*Sales4[[#This Row],[Billed Quantity]]</f>
        <v>#REF!</v>
      </c>
      <c r="AU263" s="72" t="e">
        <f>AQ263*Sales4[[#This Row],[Billed Quantity]]</f>
        <v>#REF!</v>
      </c>
      <c r="AV263" s="72">
        <f>AR263*Sales4[[#This Row],[Billed Quantity]]</f>
        <v>0</v>
      </c>
    </row>
    <row r="264" spans="1:48" x14ac:dyDescent="0.3">
      <c r="A264" s="1" t="s">
        <v>479</v>
      </c>
      <c r="B264" s="2">
        <v>45910</v>
      </c>
      <c r="C264" s="1">
        <v>3271268974</v>
      </c>
      <c r="D264" s="1" t="s">
        <v>364</v>
      </c>
      <c r="E264" s="1" t="s">
        <v>365</v>
      </c>
      <c r="F264" s="1" t="s">
        <v>18</v>
      </c>
      <c r="G264" s="1" t="s">
        <v>19</v>
      </c>
      <c r="H264" s="1" t="s">
        <v>771</v>
      </c>
      <c r="I264" s="3">
        <v>245</v>
      </c>
      <c r="J264" s="4">
        <v>26712.35</v>
      </c>
      <c r="K264" s="3">
        <v>245</v>
      </c>
      <c r="L264" s="3">
        <v>245</v>
      </c>
      <c r="M264" s="2">
        <v>45910</v>
      </c>
      <c r="N264" s="4">
        <v>24803.8</v>
      </c>
      <c r="O264" s="1" t="s">
        <v>21</v>
      </c>
      <c r="P264" s="1" t="s">
        <v>22</v>
      </c>
      <c r="Q264" s="1">
        <v>1</v>
      </c>
      <c r="R264" s="1" t="str">
        <f>VLOOKUP(Sales4[[#This Row],[Material type]],Master!$H$3:$I$8,2,0)</f>
        <v>Finished Goods</v>
      </c>
      <c r="S264" s="1" t="str">
        <f>VLOOKUP(Sales4[[#This Row],[Material Group]],Master!B:C,2,0)</f>
        <v>FG-PCB-MG Interface</v>
      </c>
      <c r="T264" s="1" t="str">
        <f>VLOOKUP(Sales4[[#This Row],[Material Group Descrip]],Master!E:F,2,0)</f>
        <v>FG-PCB-MG</v>
      </c>
      <c r="U264" s="9" t="b">
        <f ca="1">(TODAY()-1)=Sales4[[#This Row],[Billing Date]]</f>
        <v>0</v>
      </c>
      <c r="V264" s="10" t="e">
        <f>Sales4[[#This Row],[Net Value]]-Sales4[[#This Row],[PGI COST]]</f>
        <v>#REF!</v>
      </c>
      <c r="W264" s="11" t="e">
        <f>Sales4[[#This Row],[Gross Margin]]/Sales4[[#This Row],[Net Value]]</f>
        <v>#REF!</v>
      </c>
      <c r="X264" s="1" t="str">
        <f>TEXT(Sales4[[#This Row],[Billing Date]],"mmmm-yy")</f>
        <v>September-25</v>
      </c>
      <c r="Y264" s="1">
        <f>Sales4[[#This Row],[Net Value]]/Sales4[[#This Row],[Billed Quantity]]</f>
        <v>101.24</v>
      </c>
      <c r="Z264" s="117"/>
      <c r="AA264" s="12" t="e">
        <f>SUM(Sales4[[#This Row],[BOM Cost]:[Other Conversion cost pu]])</f>
        <v>#REF!</v>
      </c>
      <c r="AB26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6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64" s="12">
        <f>IFERROR(VLOOKUP(Sales4[[#This Row],[Material]],'COGS Break up'!#REF!,5,0),0)</f>
        <v>0</v>
      </c>
      <c r="AE26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64" s="48" t="e">
        <f>Sales4[[#This Row],[PGI per unit]]-Sales4[[#This Row],[BOM Cost]]-Sales4[[#This Row],[Labour cost per unit]]-Sales4[[#This Row],[Other Conversion cost pu]]</f>
        <v>#REF!</v>
      </c>
      <c r="AG264" s="48" t="e">
        <f>Sales4[[#This Row],[BOM Cost2]]+Sales4[[#This Row],[Labour Cost]]+Sales4[[#This Row],[Other conversion cost]]</f>
        <v>#REF!</v>
      </c>
      <c r="AH264" s="12" t="e">
        <f>Sales4[[#This Row],[Billed Quantity]]*Sales4[[#This Row],[BOM Cost]]</f>
        <v>#REF!</v>
      </c>
      <c r="AI264" s="12" t="e">
        <f>Sales4[[#This Row],[Billed Quantity]]*Sales4[[#This Row],[Labour cost per unit]]</f>
        <v>#REF!</v>
      </c>
      <c r="AJ264" s="12">
        <f>Sales4[[#This Row],[Droppage per unit]]*Sales4[[#This Row],[Billed Quantity]]</f>
        <v>0</v>
      </c>
      <c r="AK264" s="12" t="e">
        <f>Sales4[[#This Row],[Billed Quantity]]*Sales4[[#This Row],[Other Conversion cost pu]]</f>
        <v>#REF!</v>
      </c>
      <c r="AL264" s="48" t="e">
        <f>Sales4[[#This Row],[PGI Amount]]-Sales4[[#This Row],[BOM Cost2]]-Sales4[[#This Row],[Labour Cost]]-Sales4[[#This Row],[Other conversion cost]]</f>
        <v>#REF!</v>
      </c>
      <c r="AM264" s="121" t="e">
        <f>1-Sales4[[#This Row],[PGI COST]]/Sales4[[#This Row],[Net Value]]</f>
        <v>#REF!</v>
      </c>
      <c r="AN264" s="1">
        <f>Sales4[[#This Row],[PGI Amount]]/Sales4[[#This Row],[Billed Quantity]]</f>
        <v>109.03</v>
      </c>
      <c r="AO264" s="72" t="e">
        <f>SUMIFS('COGS Break up'!#REF!,'COGS Break up'!#REF!,Sales4[[#This Row],[Material]],'COGS Break up'!#REF!,'MIS Working'!$AO$1)</f>
        <v>#REF!</v>
      </c>
      <c r="AP264" s="72" t="e">
        <f>SUMIFS('COGS Break up'!#REF!,'COGS Break up'!#REF!,Sales4[[#This Row],[Material]],'COGS Break up'!#REF!,'MIS Working'!$AP$1)</f>
        <v>#REF!</v>
      </c>
      <c r="AQ264" s="72" t="e">
        <f>SUMIFS('COGS Break up'!#REF!,'COGS Break up'!#REF!,Sales4[[#This Row],[Material]],'COGS Break up'!#REF!,'MIS Working'!$AQ$1)</f>
        <v>#REF!</v>
      </c>
      <c r="AR264" s="72">
        <f>Sales4[[#This Row],[Droppage per unit]]</f>
        <v>0</v>
      </c>
      <c r="AS264" s="15" t="e">
        <f>AO264*Sales4[[#This Row],[Billed Quantity]]</f>
        <v>#REF!</v>
      </c>
      <c r="AT264" s="72" t="e">
        <f>AP264*Sales4[[#This Row],[Billed Quantity]]</f>
        <v>#REF!</v>
      </c>
      <c r="AU264" s="72" t="e">
        <f>AQ264*Sales4[[#This Row],[Billed Quantity]]</f>
        <v>#REF!</v>
      </c>
      <c r="AV264" s="72">
        <f>AR264*Sales4[[#This Row],[Billed Quantity]]</f>
        <v>0</v>
      </c>
    </row>
    <row r="265" spans="1:48" x14ac:dyDescent="0.3">
      <c r="A265" s="1" t="s">
        <v>479</v>
      </c>
      <c r="B265" s="2">
        <v>45910</v>
      </c>
      <c r="C265" s="1">
        <v>3271268974</v>
      </c>
      <c r="D265" s="1" t="s">
        <v>46</v>
      </c>
      <c r="E265" s="1" t="s">
        <v>47</v>
      </c>
      <c r="F265" s="1" t="s">
        <v>18</v>
      </c>
      <c r="G265" s="1" t="s">
        <v>19</v>
      </c>
      <c r="H265" s="1" t="s">
        <v>27</v>
      </c>
      <c r="I265" s="3">
        <v>1155</v>
      </c>
      <c r="J265" s="4">
        <v>380491.65</v>
      </c>
      <c r="K265" s="3">
        <v>1155</v>
      </c>
      <c r="L265" s="3">
        <v>1155</v>
      </c>
      <c r="M265" s="2">
        <v>45910</v>
      </c>
      <c r="N265" s="4">
        <v>413824.95</v>
      </c>
      <c r="O265" s="1" t="s">
        <v>21</v>
      </c>
      <c r="P265" s="1" t="s">
        <v>22</v>
      </c>
      <c r="Q265" s="1">
        <v>1</v>
      </c>
      <c r="R265" s="1" t="str">
        <f>VLOOKUP(Sales4[[#This Row],[Material type]],Master!$H$3:$I$8,2,0)</f>
        <v>Finished Goods</v>
      </c>
      <c r="S265" s="1" t="str">
        <f>VLOOKUP(Sales4[[#This Row],[Material Group]],Master!B:C,2,0)</f>
        <v>FG-PCB-CF</v>
      </c>
      <c r="T265" s="1" t="str">
        <f>VLOOKUP(Sales4[[#This Row],[Material Group Descrip]],Master!E:F,2,0)</f>
        <v>FG-PCB-CF</v>
      </c>
      <c r="U265" s="9" t="b">
        <f ca="1">(TODAY()-1)=Sales4[[#This Row],[Billing Date]]</f>
        <v>0</v>
      </c>
      <c r="V265" s="10" t="e">
        <f>Sales4[[#This Row],[Net Value]]-Sales4[[#This Row],[PGI COST]]</f>
        <v>#REF!</v>
      </c>
      <c r="W265" s="11" t="e">
        <f>Sales4[[#This Row],[Gross Margin]]/Sales4[[#This Row],[Net Value]]</f>
        <v>#REF!</v>
      </c>
      <c r="X265" s="1" t="str">
        <f>TEXT(Sales4[[#This Row],[Billing Date]],"mmmm-yy")</f>
        <v>September-25</v>
      </c>
      <c r="Y265" s="1">
        <f>Sales4[[#This Row],[Net Value]]/Sales4[[#This Row],[Billed Quantity]]</f>
        <v>358.29</v>
      </c>
      <c r="Z265" s="117">
        <f>Sales4[[#This Row],[Actual delivery qty]]</f>
        <v>1155</v>
      </c>
      <c r="AA265" s="12" t="e">
        <f>SUM(Sales4[[#This Row],[BOM Cost]:[Other Conversion cost pu]])</f>
        <v>#REF!</v>
      </c>
      <c r="AB26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6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65" s="12">
        <f>IFERROR(VLOOKUP(Sales4[[#This Row],[Material]],'COGS Break up'!#REF!,5,0),0)</f>
        <v>0</v>
      </c>
      <c r="AE26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65" s="48" t="e">
        <f>Sales4[[#This Row],[PGI per unit]]-Sales4[[#This Row],[BOM Cost]]-Sales4[[#This Row],[Labour cost per unit]]-Sales4[[#This Row],[Other Conversion cost pu]]</f>
        <v>#REF!</v>
      </c>
      <c r="AG265" s="48" t="e">
        <f>Sales4[[#This Row],[BOM Cost2]]+Sales4[[#This Row],[Labour Cost]]+Sales4[[#This Row],[Other conversion cost]]</f>
        <v>#REF!</v>
      </c>
      <c r="AH265" s="12" t="e">
        <f>Sales4[[#This Row],[Billed Quantity]]*Sales4[[#This Row],[BOM Cost]]</f>
        <v>#REF!</v>
      </c>
      <c r="AI265" s="12" t="e">
        <f>Sales4[[#This Row],[Billed Quantity]]*Sales4[[#This Row],[Labour cost per unit]]</f>
        <v>#REF!</v>
      </c>
      <c r="AJ265" s="12">
        <f>Sales4[[#This Row],[Droppage per unit]]*Sales4[[#This Row],[Billed Quantity]]</f>
        <v>0</v>
      </c>
      <c r="AK265" s="12" t="e">
        <f>Sales4[[#This Row],[Billed Quantity]]*Sales4[[#This Row],[Other Conversion cost pu]]</f>
        <v>#REF!</v>
      </c>
      <c r="AL265" s="48" t="e">
        <f>Sales4[[#This Row],[PGI Amount]]-Sales4[[#This Row],[BOM Cost2]]-Sales4[[#This Row],[Labour Cost]]-Sales4[[#This Row],[Other conversion cost]]</f>
        <v>#REF!</v>
      </c>
      <c r="AM265" s="121" t="e">
        <f>1-Sales4[[#This Row],[PGI COST]]/Sales4[[#This Row],[Net Value]]</f>
        <v>#REF!</v>
      </c>
      <c r="AN265" s="1">
        <f>Sales4[[#This Row],[PGI Amount]]/Sales4[[#This Row],[Billed Quantity]]</f>
        <v>329.43</v>
      </c>
      <c r="AO265" s="72" t="e">
        <f>SUMIFS('COGS Break up'!#REF!,'COGS Break up'!#REF!,Sales4[[#This Row],[Material]],'COGS Break up'!#REF!,'MIS Working'!$AO$1)</f>
        <v>#REF!</v>
      </c>
      <c r="AP265" s="72" t="e">
        <f>SUMIFS('COGS Break up'!#REF!,'COGS Break up'!#REF!,Sales4[[#This Row],[Material]],'COGS Break up'!#REF!,'MIS Working'!$AP$1)</f>
        <v>#REF!</v>
      </c>
      <c r="AQ265" s="72" t="e">
        <f>SUMIFS('COGS Break up'!#REF!,'COGS Break up'!#REF!,Sales4[[#This Row],[Material]],'COGS Break up'!#REF!,'MIS Working'!$AQ$1)</f>
        <v>#REF!</v>
      </c>
      <c r="AR265" s="72">
        <f>Sales4[[#This Row],[Droppage per unit]]</f>
        <v>0</v>
      </c>
      <c r="AS265" s="15" t="e">
        <f>AO265*Sales4[[#This Row],[Billed Quantity]]</f>
        <v>#REF!</v>
      </c>
      <c r="AT265" s="72" t="e">
        <f>AP265*Sales4[[#This Row],[Billed Quantity]]</f>
        <v>#REF!</v>
      </c>
      <c r="AU265" s="72" t="e">
        <f>AQ265*Sales4[[#This Row],[Billed Quantity]]</f>
        <v>#REF!</v>
      </c>
      <c r="AV265" s="72">
        <f>AR265*Sales4[[#This Row],[Billed Quantity]]</f>
        <v>0</v>
      </c>
    </row>
    <row r="266" spans="1:48" x14ac:dyDescent="0.3">
      <c r="A266" s="1" t="s">
        <v>479</v>
      </c>
      <c r="B266" s="2">
        <v>45910</v>
      </c>
      <c r="C266" s="1">
        <v>3271269259</v>
      </c>
      <c r="D266" s="1" t="s">
        <v>637</v>
      </c>
      <c r="E266" s="1" t="s">
        <v>638</v>
      </c>
      <c r="F266" s="1" t="s">
        <v>18</v>
      </c>
      <c r="G266" s="1" t="s">
        <v>19</v>
      </c>
      <c r="H266" s="1" t="s">
        <v>27</v>
      </c>
      <c r="I266" s="3">
        <v>70</v>
      </c>
      <c r="J266" s="4">
        <v>22401.4</v>
      </c>
      <c r="K266" s="3">
        <v>70</v>
      </c>
      <c r="L266" s="3">
        <v>70</v>
      </c>
      <c r="M266" s="2">
        <v>45910</v>
      </c>
      <c r="N266" s="4">
        <v>25611.599999999999</v>
      </c>
      <c r="O266" s="1" t="s">
        <v>21</v>
      </c>
      <c r="P266" s="1" t="s">
        <v>22</v>
      </c>
      <c r="Q266" s="1">
        <v>1</v>
      </c>
      <c r="R266" s="1" t="str">
        <f>VLOOKUP(Sales4[[#This Row],[Material type]],Master!$H$3:$I$8,2,0)</f>
        <v>Finished Goods</v>
      </c>
      <c r="S266" s="1" t="str">
        <f>VLOOKUP(Sales4[[#This Row],[Material Group]],Master!B:C,2,0)</f>
        <v>FG-PCB-CF</v>
      </c>
      <c r="T266" s="1" t="str">
        <f>VLOOKUP(Sales4[[#This Row],[Material Group Descrip]],Master!E:F,2,0)</f>
        <v>FG-PCB-CF</v>
      </c>
      <c r="U266" s="9" t="b">
        <f ca="1">(TODAY()-1)=Sales4[[#This Row],[Billing Date]]</f>
        <v>0</v>
      </c>
      <c r="V266" s="10" t="e">
        <f>Sales4[[#This Row],[Net Value]]-Sales4[[#This Row],[PGI COST]]</f>
        <v>#REF!</v>
      </c>
      <c r="W266" s="11" t="e">
        <f>Sales4[[#This Row],[Gross Margin]]/Sales4[[#This Row],[Net Value]]</f>
        <v>#REF!</v>
      </c>
      <c r="X266" s="1" t="str">
        <f>TEXT(Sales4[[#This Row],[Billing Date]],"mmmm-yy")</f>
        <v>September-25</v>
      </c>
      <c r="Y266" s="1">
        <f>Sales4[[#This Row],[Net Value]]/Sales4[[#This Row],[Billed Quantity]]</f>
        <v>365.88</v>
      </c>
      <c r="Z266" s="117">
        <f>Sales4[[#This Row],[Actual delivery qty]]</f>
        <v>70</v>
      </c>
      <c r="AA266" s="12" t="e">
        <f>SUM(Sales4[[#This Row],[BOM Cost]:[Other Conversion cost pu]])</f>
        <v>#REF!</v>
      </c>
      <c r="AB26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6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66" s="12">
        <f>IFERROR(VLOOKUP(Sales4[[#This Row],[Material]],'COGS Break up'!#REF!,5,0),0)</f>
        <v>0</v>
      </c>
      <c r="AE26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66" s="48" t="e">
        <f>Sales4[[#This Row],[PGI per unit]]-Sales4[[#This Row],[BOM Cost]]-Sales4[[#This Row],[Labour cost per unit]]-Sales4[[#This Row],[Other Conversion cost pu]]</f>
        <v>#REF!</v>
      </c>
      <c r="AG266" s="48" t="e">
        <f>Sales4[[#This Row],[BOM Cost2]]+Sales4[[#This Row],[Labour Cost]]+Sales4[[#This Row],[Other conversion cost]]</f>
        <v>#REF!</v>
      </c>
      <c r="AH266" s="12" t="e">
        <f>Sales4[[#This Row],[Billed Quantity]]*Sales4[[#This Row],[BOM Cost]]</f>
        <v>#REF!</v>
      </c>
      <c r="AI266" s="12" t="e">
        <f>Sales4[[#This Row],[Billed Quantity]]*Sales4[[#This Row],[Labour cost per unit]]</f>
        <v>#REF!</v>
      </c>
      <c r="AJ266" s="12">
        <f>Sales4[[#This Row],[Droppage per unit]]*Sales4[[#This Row],[Billed Quantity]]</f>
        <v>0</v>
      </c>
      <c r="AK266" s="12" t="e">
        <f>Sales4[[#This Row],[Billed Quantity]]*Sales4[[#This Row],[Other Conversion cost pu]]</f>
        <v>#REF!</v>
      </c>
      <c r="AL266" s="48" t="e">
        <f>Sales4[[#This Row],[PGI Amount]]-Sales4[[#This Row],[BOM Cost2]]-Sales4[[#This Row],[Labour Cost]]-Sales4[[#This Row],[Other conversion cost]]</f>
        <v>#REF!</v>
      </c>
      <c r="AM266" s="121" t="e">
        <f>1-Sales4[[#This Row],[PGI COST]]/Sales4[[#This Row],[Net Value]]</f>
        <v>#REF!</v>
      </c>
      <c r="AN266" s="1">
        <f>Sales4[[#This Row],[PGI Amount]]/Sales4[[#This Row],[Billed Quantity]]</f>
        <v>320.02000000000004</v>
      </c>
      <c r="AO266" s="72" t="e">
        <f>SUMIFS('COGS Break up'!#REF!,'COGS Break up'!#REF!,Sales4[[#This Row],[Material]],'COGS Break up'!#REF!,'MIS Working'!$AO$1)</f>
        <v>#REF!</v>
      </c>
      <c r="AP266" s="72" t="e">
        <f>SUMIFS('COGS Break up'!#REF!,'COGS Break up'!#REF!,Sales4[[#This Row],[Material]],'COGS Break up'!#REF!,'MIS Working'!$AP$1)</f>
        <v>#REF!</v>
      </c>
      <c r="AQ266" s="72" t="e">
        <f>SUMIFS('COGS Break up'!#REF!,'COGS Break up'!#REF!,Sales4[[#This Row],[Material]],'COGS Break up'!#REF!,'MIS Working'!$AQ$1)</f>
        <v>#REF!</v>
      </c>
      <c r="AR266" s="72">
        <f>Sales4[[#This Row],[Droppage per unit]]</f>
        <v>0</v>
      </c>
      <c r="AS266" s="15" t="e">
        <f>AO266*Sales4[[#This Row],[Billed Quantity]]</f>
        <v>#REF!</v>
      </c>
      <c r="AT266" s="72" t="e">
        <f>AP266*Sales4[[#This Row],[Billed Quantity]]</f>
        <v>#REF!</v>
      </c>
      <c r="AU266" s="72" t="e">
        <f>AQ266*Sales4[[#This Row],[Billed Quantity]]</f>
        <v>#REF!</v>
      </c>
      <c r="AV266" s="72">
        <f>AR266*Sales4[[#This Row],[Billed Quantity]]</f>
        <v>0</v>
      </c>
    </row>
    <row r="267" spans="1:48" x14ac:dyDescent="0.3">
      <c r="A267" s="1" t="s">
        <v>479</v>
      </c>
      <c r="B267" s="2">
        <v>45910</v>
      </c>
      <c r="C267" s="1">
        <v>3271269259</v>
      </c>
      <c r="D267" s="1" t="s">
        <v>42</v>
      </c>
      <c r="E267" s="1" t="s">
        <v>43</v>
      </c>
      <c r="F267" s="1" t="s">
        <v>18</v>
      </c>
      <c r="G267" s="1" t="s">
        <v>19</v>
      </c>
      <c r="H267" s="1" t="s">
        <v>27</v>
      </c>
      <c r="I267" s="3">
        <v>315</v>
      </c>
      <c r="J267" s="4">
        <v>103783.05</v>
      </c>
      <c r="K267" s="3">
        <v>315</v>
      </c>
      <c r="L267" s="3">
        <v>315</v>
      </c>
      <c r="M267" s="2">
        <v>45910</v>
      </c>
      <c r="N267" s="4">
        <v>112861.35</v>
      </c>
      <c r="O267" s="1" t="s">
        <v>21</v>
      </c>
      <c r="P267" s="1" t="s">
        <v>22</v>
      </c>
      <c r="Q267" s="1">
        <v>1</v>
      </c>
      <c r="R267" s="1" t="str">
        <f>VLOOKUP(Sales4[[#This Row],[Material type]],Master!$H$3:$I$8,2,0)</f>
        <v>Finished Goods</v>
      </c>
      <c r="S267" s="1" t="str">
        <f>VLOOKUP(Sales4[[#This Row],[Material Group]],Master!B:C,2,0)</f>
        <v>FG-PCB-CF</v>
      </c>
      <c r="T267" s="1" t="str">
        <f>VLOOKUP(Sales4[[#This Row],[Material Group Descrip]],Master!E:F,2,0)</f>
        <v>FG-PCB-CF</v>
      </c>
      <c r="U267" s="9" t="b">
        <f ca="1">(TODAY()-1)=Sales4[[#This Row],[Billing Date]]</f>
        <v>0</v>
      </c>
      <c r="V267" s="10" t="e">
        <f>Sales4[[#This Row],[Net Value]]-Sales4[[#This Row],[PGI COST]]</f>
        <v>#REF!</v>
      </c>
      <c r="W267" s="11" t="e">
        <f>Sales4[[#This Row],[Gross Margin]]/Sales4[[#This Row],[Net Value]]</f>
        <v>#REF!</v>
      </c>
      <c r="X267" s="1" t="str">
        <f>TEXT(Sales4[[#This Row],[Billing Date]],"mmmm-yy")</f>
        <v>September-25</v>
      </c>
      <c r="Y267" s="1">
        <f>Sales4[[#This Row],[Net Value]]/Sales4[[#This Row],[Billed Quantity]]</f>
        <v>358.29</v>
      </c>
      <c r="Z267" s="117">
        <f>Sales4[[#This Row],[Actual delivery qty]]</f>
        <v>315</v>
      </c>
      <c r="AA267" s="12" t="e">
        <f>SUM(Sales4[[#This Row],[BOM Cost]:[Other Conversion cost pu]])</f>
        <v>#REF!</v>
      </c>
      <c r="AB26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6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67" s="12">
        <f>IFERROR(VLOOKUP(Sales4[[#This Row],[Material]],'COGS Break up'!#REF!,5,0),0)</f>
        <v>0</v>
      </c>
      <c r="AE26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67" s="48" t="e">
        <f>Sales4[[#This Row],[PGI per unit]]-Sales4[[#This Row],[BOM Cost]]-Sales4[[#This Row],[Labour cost per unit]]-Sales4[[#This Row],[Other Conversion cost pu]]</f>
        <v>#REF!</v>
      </c>
      <c r="AG267" s="48" t="e">
        <f>Sales4[[#This Row],[BOM Cost2]]+Sales4[[#This Row],[Labour Cost]]+Sales4[[#This Row],[Other conversion cost]]</f>
        <v>#REF!</v>
      </c>
      <c r="AH267" s="12" t="e">
        <f>Sales4[[#This Row],[Billed Quantity]]*Sales4[[#This Row],[BOM Cost]]</f>
        <v>#REF!</v>
      </c>
      <c r="AI267" s="12" t="e">
        <f>Sales4[[#This Row],[Billed Quantity]]*Sales4[[#This Row],[Labour cost per unit]]</f>
        <v>#REF!</v>
      </c>
      <c r="AJ267" s="12">
        <f>Sales4[[#This Row],[Droppage per unit]]*Sales4[[#This Row],[Billed Quantity]]</f>
        <v>0</v>
      </c>
      <c r="AK267" s="12" t="e">
        <f>Sales4[[#This Row],[Billed Quantity]]*Sales4[[#This Row],[Other Conversion cost pu]]</f>
        <v>#REF!</v>
      </c>
      <c r="AL267" s="48" t="e">
        <f>Sales4[[#This Row],[PGI Amount]]-Sales4[[#This Row],[BOM Cost2]]-Sales4[[#This Row],[Labour Cost]]-Sales4[[#This Row],[Other conversion cost]]</f>
        <v>#REF!</v>
      </c>
      <c r="AM267" s="121" t="e">
        <f>1-Sales4[[#This Row],[PGI COST]]/Sales4[[#This Row],[Net Value]]</f>
        <v>#REF!</v>
      </c>
      <c r="AN267" s="1">
        <f>Sales4[[#This Row],[PGI Amount]]/Sales4[[#This Row],[Billed Quantity]]</f>
        <v>329.47</v>
      </c>
      <c r="AO267" s="72" t="e">
        <f>SUMIFS('COGS Break up'!#REF!,'COGS Break up'!#REF!,Sales4[[#This Row],[Material]],'COGS Break up'!#REF!,'MIS Working'!$AO$1)</f>
        <v>#REF!</v>
      </c>
      <c r="AP267" s="72" t="e">
        <f>SUMIFS('COGS Break up'!#REF!,'COGS Break up'!#REF!,Sales4[[#This Row],[Material]],'COGS Break up'!#REF!,'MIS Working'!$AP$1)</f>
        <v>#REF!</v>
      </c>
      <c r="AQ267" s="72" t="e">
        <f>SUMIFS('COGS Break up'!#REF!,'COGS Break up'!#REF!,Sales4[[#This Row],[Material]],'COGS Break up'!#REF!,'MIS Working'!$AQ$1)</f>
        <v>#REF!</v>
      </c>
      <c r="AR267" s="72">
        <f>Sales4[[#This Row],[Droppage per unit]]</f>
        <v>0</v>
      </c>
      <c r="AS267" s="15" t="e">
        <f>AO267*Sales4[[#This Row],[Billed Quantity]]</f>
        <v>#REF!</v>
      </c>
      <c r="AT267" s="72" t="e">
        <f>AP267*Sales4[[#This Row],[Billed Quantity]]</f>
        <v>#REF!</v>
      </c>
      <c r="AU267" s="72" t="e">
        <f>AQ267*Sales4[[#This Row],[Billed Quantity]]</f>
        <v>#REF!</v>
      </c>
      <c r="AV267" s="72">
        <f>AR267*Sales4[[#This Row],[Billed Quantity]]</f>
        <v>0</v>
      </c>
    </row>
    <row r="268" spans="1:48" x14ac:dyDescent="0.3">
      <c r="A268" s="1" t="s">
        <v>479</v>
      </c>
      <c r="B268" s="2">
        <v>45910</v>
      </c>
      <c r="C268" s="1">
        <v>3271269008</v>
      </c>
      <c r="D268" s="1" t="s">
        <v>30</v>
      </c>
      <c r="E268" s="1" t="s">
        <v>31</v>
      </c>
      <c r="F268" s="1" t="s">
        <v>18</v>
      </c>
      <c r="G268" s="1" t="s">
        <v>19</v>
      </c>
      <c r="H268" s="1" t="s">
        <v>27</v>
      </c>
      <c r="I268" s="3">
        <v>175</v>
      </c>
      <c r="J268" s="4">
        <v>57650.25</v>
      </c>
      <c r="K268" s="3">
        <v>175</v>
      </c>
      <c r="L268" s="3">
        <v>175</v>
      </c>
      <c r="M268" s="2">
        <v>45910</v>
      </c>
      <c r="N268" s="4">
        <v>62700.75</v>
      </c>
      <c r="O268" s="1" t="s">
        <v>21</v>
      </c>
      <c r="P268" s="1" t="s">
        <v>22</v>
      </c>
      <c r="Q268" s="1">
        <v>1</v>
      </c>
      <c r="R268" s="1" t="str">
        <f>VLOOKUP(Sales4[[#This Row],[Material type]],Master!$H$3:$I$8,2,0)</f>
        <v>Finished Goods</v>
      </c>
      <c r="S268" s="1" t="str">
        <f>VLOOKUP(Sales4[[#This Row],[Material Group]],Master!B:C,2,0)</f>
        <v>FG-PCB-CF</v>
      </c>
      <c r="T268" s="1" t="str">
        <f>VLOOKUP(Sales4[[#This Row],[Material Group Descrip]],Master!E:F,2,0)</f>
        <v>FG-PCB-CF</v>
      </c>
      <c r="U268" s="9" t="b">
        <f ca="1">(TODAY()-1)=Sales4[[#This Row],[Billing Date]]</f>
        <v>0</v>
      </c>
      <c r="V268" s="10" t="e">
        <f>Sales4[[#This Row],[Net Value]]-Sales4[[#This Row],[PGI COST]]</f>
        <v>#REF!</v>
      </c>
      <c r="W268" s="11" t="e">
        <f>Sales4[[#This Row],[Gross Margin]]/Sales4[[#This Row],[Net Value]]</f>
        <v>#REF!</v>
      </c>
      <c r="X268" s="1" t="str">
        <f>TEXT(Sales4[[#This Row],[Billing Date]],"mmmm-yy")</f>
        <v>September-25</v>
      </c>
      <c r="Y268" s="1">
        <f>Sales4[[#This Row],[Net Value]]/Sales4[[#This Row],[Billed Quantity]]</f>
        <v>358.29</v>
      </c>
      <c r="Z268" s="117">
        <f>Sales4[[#This Row],[Actual delivery qty]]</f>
        <v>175</v>
      </c>
      <c r="AA268" s="12" t="e">
        <f>SUM(Sales4[[#This Row],[BOM Cost]:[Other Conversion cost pu]])</f>
        <v>#REF!</v>
      </c>
      <c r="AB26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6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68" s="12">
        <f>IFERROR(VLOOKUP(Sales4[[#This Row],[Material]],'COGS Break up'!#REF!,5,0),0)</f>
        <v>0</v>
      </c>
      <c r="AE26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68" s="48" t="e">
        <f>Sales4[[#This Row],[PGI per unit]]-Sales4[[#This Row],[BOM Cost]]-Sales4[[#This Row],[Labour cost per unit]]-Sales4[[#This Row],[Other Conversion cost pu]]</f>
        <v>#REF!</v>
      </c>
      <c r="AG268" s="48" t="e">
        <f>Sales4[[#This Row],[BOM Cost2]]+Sales4[[#This Row],[Labour Cost]]+Sales4[[#This Row],[Other conversion cost]]</f>
        <v>#REF!</v>
      </c>
      <c r="AH268" s="12" t="e">
        <f>Sales4[[#This Row],[Billed Quantity]]*Sales4[[#This Row],[BOM Cost]]</f>
        <v>#REF!</v>
      </c>
      <c r="AI268" s="12" t="e">
        <f>Sales4[[#This Row],[Billed Quantity]]*Sales4[[#This Row],[Labour cost per unit]]</f>
        <v>#REF!</v>
      </c>
      <c r="AJ268" s="12">
        <f>Sales4[[#This Row],[Droppage per unit]]*Sales4[[#This Row],[Billed Quantity]]</f>
        <v>0</v>
      </c>
      <c r="AK268" s="12" t="e">
        <f>Sales4[[#This Row],[Billed Quantity]]*Sales4[[#This Row],[Other Conversion cost pu]]</f>
        <v>#REF!</v>
      </c>
      <c r="AL268" s="48" t="e">
        <f>Sales4[[#This Row],[PGI Amount]]-Sales4[[#This Row],[BOM Cost2]]-Sales4[[#This Row],[Labour Cost]]-Sales4[[#This Row],[Other conversion cost]]</f>
        <v>#REF!</v>
      </c>
      <c r="AM268" s="121" t="e">
        <f>1-Sales4[[#This Row],[PGI COST]]/Sales4[[#This Row],[Net Value]]</f>
        <v>#REF!</v>
      </c>
      <c r="AN268" s="1">
        <f>Sales4[[#This Row],[PGI Amount]]/Sales4[[#This Row],[Billed Quantity]]</f>
        <v>329.43</v>
      </c>
      <c r="AO268" s="72" t="e">
        <f>SUMIFS('COGS Break up'!#REF!,'COGS Break up'!#REF!,Sales4[[#This Row],[Material]],'COGS Break up'!#REF!,'MIS Working'!$AO$1)</f>
        <v>#REF!</v>
      </c>
      <c r="AP268" s="72" t="e">
        <f>SUMIFS('COGS Break up'!#REF!,'COGS Break up'!#REF!,Sales4[[#This Row],[Material]],'COGS Break up'!#REF!,'MIS Working'!$AP$1)</f>
        <v>#REF!</v>
      </c>
      <c r="AQ268" s="72" t="e">
        <f>SUMIFS('COGS Break up'!#REF!,'COGS Break up'!#REF!,Sales4[[#This Row],[Material]],'COGS Break up'!#REF!,'MIS Working'!$AQ$1)</f>
        <v>#REF!</v>
      </c>
      <c r="AR268" s="72">
        <f>Sales4[[#This Row],[Droppage per unit]]</f>
        <v>0</v>
      </c>
      <c r="AS268" s="15" t="e">
        <f>AO268*Sales4[[#This Row],[Billed Quantity]]</f>
        <v>#REF!</v>
      </c>
      <c r="AT268" s="72" t="e">
        <f>AP268*Sales4[[#This Row],[Billed Quantity]]</f>
        <v>#REF!</v>
      </c>
      <c r="AU268" s="72" t="e">
        <f>AQ268*Sales4[[#This Row],[Billed Quantity]]</f>
        <v>#REF!</v>
      </c>
      <c r="AV268" s="72">
        <f>AR268*Sales4[[#This Row],[Billed Quantity]]</f>
        <v>0</v>
      </c>
    </row>
    <row r="269" spans="1:48" x14ac:dyDescent="0.3">
      <c r="A269" s="1" t="s">
        <v>479</v>
      </c>
      <c r="B269" s="2">
        <v>45910</v>
      </c>
      <c r="C269" s="1">
        <v>3271268974</v>
      </c>
      <c r="D269" s="1" t="s">
        <v>42</v>
      </c>
      <c r="E269" s="1" t="s">
        <v>43</v>
      </c>
      <c r="F269" s="1" t="s">
        <v>18</v>
      </c>
      <c r="G269" s="1" t="s">
        <v>19</v>
      </c>
      <c r="H269" s="1" t="s">
        <v>27</v>
      </c>
      <c r="I269" s="3">
        <v>455</v>
      </c>
      <c r="J269" s="4">
        <v>149908.85</v>
      </c>
      <c r="K269" s="3">
        <v>455</v>
      </c>
      <c r="L269" s="3">
        <v>455</v>
      </c>
      <c r="M269" s="2">
        <v>45910</v>
      </c>
      <c r="N269" s="4">
        <v>163021.95000000001</v>
      </c>
      <c r="O269" s="1" t="s">
        <v>21</v>
      </c>
      <c r="P269" s="1" t="s">
        <v>22</v>
      </c>
      <c r="Q269" s="1">
        <v>1</v>
      </c>
      <c r="R269" s="1" t="str">
        <f>VLOOKUP(Sales4[[#This Row],[Material type]],Master!$H$3:$I$8,2,0)</f>
        <v>Finished Goods</v>
      </c>
      <c r="S269" s="1" t="str">
        <f>VLOOKUP(Sales4[[#This Row],[Material Group]],Master!B:C,2,0)</f>
        <v>FG-PCB-CF</v>
      </c>
      <c r="T269" s="1" t="str">
        <f>VLOOKUP(Sales4[[#This Row],[Material Group Descrip]],Master!E:F,2,0)</f>
        <v>FG-PCB-CF</v>
      </c>
      <c r="U269" s="9" t="b">
        <f ca="1">(TODAY()-1)=Sales4[[#This Row],[Billing Date]]</f>
        <v>0</v>
      </c>
      <c r="V269" s="10" t="e">
        <f>Sales4[[#This Row],[Net Value]]-Sales4[[#This Row],[PGI COST]]</f>
        <v>#REF!</v>
      </c>
      <c r="W269" s="11" t="e">
        <f>Sales4[[#This Row],[Gross Margin]]/Sales4[[#This Row],[Net Value]]</f>
        <v>#REF!</v>
      </c>
      <c r="X269" s="1" t="str">
        <f>TEXT(Sales4[[#This Row],[Billing Date]],"mmmm-yy")</f>
        <v>September-25</v>
      </c>
      <c r="Y269" s="1">
        <f>Sales4[[#This Row],[Net Value]]/Sales4[[#This Row],[Billed Quantity]]</f>
        <v>358.29</v>
      </c>
      <c r="Z269" s="117">
        <f>Sales4[[#This Row],[Actual delivery qty]]</f>
        <v>455</v>
      </c>
      <c r="AA269" s="12" t="e">
        <f>SUM(Sales4[[#This Row],[BOM Cost]:[Other Conversion cost pu]])</f>
        <v>#REF!</v>
      </c>
      <c r="AB26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6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69" s="12">
        <f>IFERROR(VLOOKUP(Sales4[[#This Row],[Material]],'COGS Break up'!#REF!,5,0),0)</f>
        <v>0</v>
      </c>
      <c r="AE26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69" s="48" t="e">
        <f>Sales4[[#This Row],[PGI per unit]]-Sales4[[#This Row],[BOM Cost]]-Sales4[[#This Row],[Labour cost per unit]]-Sales4[[#This Row],[Other Conversion cost pu]]</f>
        <v>#REF!</v>
      </c>
      <c r="AG269" s="48" t="e">
        <f>Sales4[[#This Row],[BOM Cost2]]+Sales4[[#This Row],[Labour Cost]]+Sales4[[#This Row],[Other conversion cost]]</f>
        <v>#REF!</v>
      </c>
      <c r="AH269" s="12" t="e">
        <f>Sales4[[#This Row],[Billed Quantity]]*Sales4[[#This Row],[BOM Cost]]</f>
        <v>#REF!</v>
      </c>
      <c r="AI269" s="12" t="e">
        <f>Sales4[[#This Row],[Billed Quantity]]*Sales4[[#This Row],[Labour cost per unit]]</f>
        <v>#REF!</v>
      </c>
      <c r="AJ269" s="12">
        <f>Sales4[[#This Row],[Droppage per unit]]*Sales4[[#This Row],[Billed Quantity]]</f>
        <v>0</v>
      </c>
      <c r="AK269" s="12" t="e">
        <f>Sales4[[#This Row],[Billed Quantity]]*Sales4[[#This Row],[Other Conversion cost pu]]</f>
        <v>#REF!</v>
      </c>
      <c r="AL269" s="48" t="e">
        <f>Sales4[[#This Row],[PGI Amount]]-Sales4[[#This Row],[BOM Cost2]]-Sales4[[#This Row],[Labour Cost]]-Sales4[[#This Row],[Other conversion cost]]</f>
        <v>#REF!</v>
      </c>
      <c r="AM269" s="121" t="e">
        <f>1-Sales4[[#This Row],[PGI COST]]/Sales4[[#This Row],[Net Value]]</f>
        <v>#REF!</v>
      </c>
      <c r="AN269" s="1">
        <f>Sales4[[#This Row],[PGI Amount]]/Sales4[[#This Row],[Billed Quantity]]</f>
        <v>329.47</v>
      </c>
      <c r="AO269" s="72" t="e">
        <f>SUMIFS('COGS Break up'!#REF!,'COGS Break up'!#REF!,Sales4[[#This Row],[Material]],'COGS Break up'!#REF!,'MIS Working'!$AO$1)</f>
        <v>#REF!</v>
      </c>
      <c r="AP269" s="72" t="e">
        <f>SUMIFS('COGS Break up'!#REF!,'COGS Break up'!#REF!,Sales4[[#This Row],[Material]],'COGS Break up'!#REF!,'MIS Working'!$AP$1)</f>
        <v>#REF!</v>
      </c>
      <c r="AQ269" s="72" t="e">
        <f>SUMIFS('COGS Break up'!#REF!,'COGS Break up'!#REF!,Sales4[[#This Row],[Material]],'COGS Break up'!#REF!,'MIS Working'!$AQ$1)</f>
        <v>#REF!</v>
      </c>
      <c r="AR269" s="72">
        <f>Sales4[[#This Row],[Droppage per unit]]</f>
        <v>0</v>
      </c>
      <c r="AS269" s="15" t="e">
        <f>AO269*Sales4[[#This Row],[Billed Quantity]]</f>
        <v>#REF!</v>
      </c>
      <c r="AT269" s="72" t="e">
        <f>AP269*Sales4[[#This Row],[Billed Quantity]]</f>
        <v>#REF!</v>
      </c>
      <c r="AU269" s="72" t="e">
        <f>AQ269*Sales4[[#This Row],[Billed Quantity]]</f>
        <v>#REF!</v>
      </c>
      <c r="AV269" s="72">
        <f>AR269*Sales4[[#This Row],[Billed Quantity]]</f>
        <v>0</v>
      </c>
    </row>
    <row r="270" spans="1:48" x14ac:dyDescent="0.3">
      <c r="A270" s="1" t="s">
        <v>479</v>
      </c>
      <c r="B270" s="2">
        <v>45910</v>
      </c>
      <c r="C270" s="1">
        <v>3271269009</v>
      </c>
      <c r="D270" s="1" t="s">
        <v>40</v>
      </c>
      <c r="E270" s="1" t="s">
        <v>41</v>
      </c>
      <c r="F270" s="1" t="s">
        <v>18</v>
      </c>
      <c r="G270" s="1" t="s">
        <v>34</v>
      </c>
      <c r="H270" s="1" t="s">
        <v>772</v>
      </c>
      <c r="I270" s="3">
        <v>3588</v>
      </c>
      <c r="J270" s="4">
        <v>529373.52</v>
      </c>
      <c r="K270" s="3">
        <v>3588</v>
      </c>
      <c r="L270" s="3">
        <v>3588</v>
      </c>
      <c r="M270" s="2">
        <v>45910</v>
      </c>
      <c r="N270" s="4">
        <v>584628.72</v>
      </c>
      <c r="O270" s="1" t="s">
        <v>21</v>
      </c>
      <c r="P270" s="1" t="s">
        <v>22</v>
      </c>
      <c r="Q270" s="1">
        <v>1</v>
      </c>
      <c r="R270" s="1" t="str">
        <f>VLOOKUP(Sales4[[#This Row],[Material type]],Master!$H$3:$I$8,2,0)</f>
        <v>Semi-Finished Goods</v>
      </c>
      <c r="S270" s="1" t="str">
        <f>VLOOKUP(Sales4[[#This Row],[Material Group]],Master!B:C,2,0)</f>
        <v>SFG-GV5 Stator</v>
      </c>
      <c r="T270" s="1" t="str">
        <f>VLOOKUP(Sales4[[#This Row],[Material Group Descrip]],Master!E:F,2,0)</f>
        <v>Sub Ass.-Mech Stator</v>
      </c>
      <c r="U270" s="9" t="b">
        <f ca="1">(TODAY()-1)=Sales4[[#This Row],[Billing Date]]</f>
        <v>0</v>
      </c>
      <c r="V270" s="10" t="e">
        <f>Sales4[[#This Row],[Net Value]]-Sales4[[#This Row],[PGI COST]]</f>
        <v>#REF!</v>
      </c>
      <c r="W270" s="11" t="e">
        <f>Sales4[[#This Row],[Gross Margin]]/Sales4[[#This Row],[Net Value]]</f>
        <v>#REF!</v>
      </c>
      <c r="X270" s="1" t="str">
        <f>TEXT(Sales4[[#This Row],[Billing Date]],"mmmm-yy")</f>
        <v>September-25</v>
      </c>
      <c r="Y270" s="1">
        <f>Sales4[[#This Row],[Net Value]]/Sales4[[#This Row],[Billed Quantity]]</f>
        <v>162.94</v>
      </c>
      <c r="Z270" s="117">
        <f>Sales4[[#This Row],[Actual delivery qty]]</f>
        <v>3588</v>
      </c>
      <c r="AA270" s="12" t="e">
        <f>SUM(Sales4[[#This Row],[BOM Cost]:[Other Conversion cost pu]])</f>
        <v>#REF!</v>
      </c>
      <c r="AB27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7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70" s="12">
        <f>IFERROR(VLOOKUP(Sales4[[#This Row],[Material]],'COGS Break up'!#REF!,5,0),0)</f>
        <v>0</v>
      </c>
      <c r="AE27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70" s="48" t="e">
        <f>Sales4[[#This Row],[PGI per unit]]-Sales4[[#This Row],[BOM Cost]]-Sales4[[#This Row],[Labour cost per unit]]-Sales4[[#This Row],[Other Conversion cost pu]]</f>
        <v>#REF!</v>
      </c>
      <c r="AG270" s="48" t="e">
        <f>Sales4[[#This Row],[BOM Cost2]]+Sales4[[#This Row],[Labour Cost]]+Sales4[[#This Row],[Other conversion cost]]</f>
        <v>#REF!</v>
      </c>
      <c r="AH270" s="12" t="e">
        <f>Sales4[[#This Row],[Billed Quantity]]*Sales4[[#This Row],[BOM Cost]]</f>
        <v>#REF!</v>
      </c>
      <c r="AI270" s="12" t="e">
        <f>Sales4[[#This Row],[Billed Quantity]]*Sales4[[#This Row],[Labour cost per unit]]</f>
        <v>#REF!</v>
      </c>
      <c r="AJ270" s="12">
        <f>Sales4[[#This Row],[Droppage per unit]]*Sales4[[#This Row],[Billed Quantity]]</f>
        <v>0</v>
      </c>
      <c r="AK270" s="12" t="e">
        <f>Sales4[[#This Row],[Billed Quantity]]*Sales4[[#This Row],[Other Conversion cost pu]]</f>
        <v>#REF!</v>
      </c>
      <c r="AL270" s="48" t="e">
        <f>Sales4[[#This Row],[PGI Amount]]-Sales4[[#This Row],[BOM Cost2]]-Sales4[[#This Row],[Labour Cost]]-Sales4[[#This Row],[Other conversion cost]]</f>
        <v>#REF!</v>
      </c>
      <c r="AM270" s="121" t="e">
        <f>1-Sales4[[#This Row],[PGI COST]]/Sales4[[#This Row],[Net Value]]</f>
        <v>#REF!</v>
      </c>
      <c r="AN270" s="1">
        <f>Sales4[[#This Row],[PGI Amount]]/Sales4[[#This Row],[Billed Quantity]]</f>
        <v>147.54</v>
      </c>
      <c r="AO270" s="72" t="e">
        <f>SUMIFS('COGS Break up'!#REF!,'COGS Break up'!#REF!,Sales4[[#This Row],[Material]],'COGS Break up'!#REF!,'MIS Working'!$AO$1)</f>
        <v>#REF!</v>
      </c>
      <c r="AP270" s="72" t="e">
        <f>SUMIFS('COGS Break up'!#REF!,'COGS Break up'!#REF!,Sales4[[#This Row],[Material]],'COGS Break up'!#REF!,'MIS Working'!$AP$1)</f>
        <v>#REF!</v>
      </c>
      <c r="AQ270" s="72" t="e">
        <f>SUMIFS('COGS Break up'!#REF!,'COGS Break up'!#REF!,Sales4[[#This Row],[Material]],'COGS Break up'!#REF!,'MIS Working'!$AQ$1)</f>
        <v>#REF!</v>
      </c>
      <c r="AR270" s="72">
        <f>Sales4[[#This Row],[Droppage per unit]]</f>
        <v>0</v>
      </c>
      <c r="AS270" s="15" t="e">
        <f>AO270*Sales4[[#This Row],[Billed Quantity]]</f>
        <v>#REF!</v>
      </c>
      <c r="AT270" s="72" t="e">
        <f>AP270*Sales4[[#This Row],[Billed Quantity]]</f>
        <v>#REF!</v>
      </c>
      <c r="AU270" s="72" t="e">
        <f>AQ270*Sales4[[#This Row],[Billed Quantity]]</f>
        <v>#REF!</v>
      </c>
      <c r="AV270" s="72">
        <f>AR270*Sales4[[#This Row],[Billed Quantity]]</f>
        <v>0</v>
      </c>
    </row>
    <row r="271" spans="1:48" x14ac:dyDescent="0.3">
      <c r="A271" s="1" t="s">
        <v>1373</v>
      </c>
      <c r="B271" s="2">
        <v>45910</v>
      </c>
      <c r="C271" s="1">
        <v>3271269245</v>
      </c>
      <c r="D271" s="1" t="s">
        <v>362</v>
      </c>
      <c r="E271" s="1" t="s">
        <v>363</v>
      </c>
      <c r="F271" s="1" t="s">
        <v>18</v>
      </c>
      <c r="G271" s="1" t="s">
        <v>19</v>
      </c>
      <c r="H271" s="1" t="s">
        <v>483</v>
      </c>
      <c r="I271" s="3">
        <v>35</v>
      </c>
      <c r="J271" s="4">
        <v>25658.85</v>
      </c>
      <c r="K271" s="3">
        <v>35</v>
      </c>
      <c r="L271" s="3">
        <v>35</v>
      </c>
      <c r="M271" s="2">
        <v>45910</v>
      </c>
      <c r="N271" s="4">
        <v>30178.400000000001</v>
      </c>
      <c r="O271" s="1" t="s">
        <v>21</v>
      </c>
      <c r="P271" s="1" t="s">
        <v>22</v>
      </c>
      <c r="Q271" s="1">
        <v>3</v>
      </c>
      <c r="R271" s="1" t="str">
        <f>VLOOKUP(Sales4[[#This Row],[Material type]],Master!$H$3:$I$8,2,0)</f>
        <v>Finished Goods</v>
      </c>
      <c r="S271" s="1" t="str">
        <f>VLOOKUP(Sales4[[#This Row],[Material Group]],Master!B:C,2,0)</f>
        <v>FG-PCB-MG</v>
      </c>
      <c r="T271" s="1" t="str">
        <f>VLOOKUP(Sales4[[#This Row],[Material Group Descrip]],Master!E:F,2,0)</f>
        <v>FG-PCB-MG</v>
      </c>
      <c r="U271" s="9" t="b">
        <f ca="1">(TODAY()-1)=Sales4[[#This Row],[Billing Date]]</f>
        <v>0</v>
      </c>
      <c r="V271" s="10" t="e">
        <f>Sales4[[#This Row],[Net Value]]-Sales4[[#This Row],[PGI COST]]</f>
        <v>#REF!</v>
      </c>
      <c r="W271" s="11" t="e">
        <f>Sales4[[#This Row],[Gross Margin]]/Sales4[[#This Row],[Net Value]]</f>
        <v>#REF!</v>
      </c>
      <c r="X271" s="1" t="str">
        <f>TEXT(Sales4[[#This Row],[Billing Date]],"mmmm-yy")</f>
        <v>September-25</v>
      </c>
      <c r="Y271" s="1">
        <f>Sales4[[#This Row],[Net Value]]/Sales4[[#This Row],[Billed Quantity]]</f>
        <v>862.24</v>
      </c>
      <c r="Z271" s="117">
        <f>Sales4[[#This Row],[Actual delivery qty]]</f>
        <v>35</v>
      </c>
      <c r="AA271" s="12" t="e">
        <f>SUM(Sales4[[#This Row],[BOM Cost]:[Other Conversion cost pu]])</f>
        <v>#REF!</v>
      </c>
      <c r="AB27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7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71" s="12">
        <f>IFERROR(VLOOKUP(Sales4[[#This Row],[Material]],'COGS Break up'!#REF!,5,0),0)</f>
        <v>0</v>
      </c>
      <c r="AE27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71" s="48" t="e">
        <f>Sales4[[#This Row],[PGI per unit]]-Sales4[[#This Row],[BOM Cost]]-Sales4[[#This Row],[Labour cost per unit]]-Sales4[[#This Row],[Other Conversion cost pu]]</f>
        <v>#REF!</v>
      </c>
      <c r="AG271" s="48" t="e">
        <f>Sales4[[#This Row],[BOM Cost2]]+Sales4[[#This Row],[Labour Cost]]+Sales4[[#This Row],[Other conversion cost]]</f>
        <v>#REF!</v>
      </c>
      <c r="AH271" s="12" t="e">
        <f>Sales4[[#This Row],[Billed Quantity]]*Sales4[[#This Row],[BOM Cost]]</f>
        <v>#REF!</v>
      </c>
      <c r="AI271" s="12" t="e">
        <f>Sales4[[#This Row],[Billed Quantity]]*Sales4[[#This Row],[Labour cost per unit]]</f>
        <v>#REF!</v>
      </c>
      <c r="AJ271" s="12">
        <f>Sales4[[#This Row],[Droppage per unit]]*Sales4[[#This Row],[Billed Quantity]]</f>
        <v>0</v>
      </c>
      <c r="AK271" s="12" t="e">
        <f>Sales4[[#This Row],[Billed Quantity]]*Sales4[[#This Row],[Other Conversion cost pu]]</f>
        <v>#REF!</v>
      </c>
      <c r="AL271" s="48" t="e">
        <f>Sales4[[#This Row],[PGI Amount]]-Sales4[[#This Row],[BOM Cost2]]-Sales4[[#This Row],[Labour Cost]]-Sales4[[#This Row],[Other conversion cost]]</f>
        <v>#REF!</v>
      </c>
      <c r="AM271" s="121" t="e">
        <f>1-Sales4[[#This Row],[PGI COST]]/Sales4[[#This Row],[Net Value]]</f>
        <v>#REF!</v>
      </c>
      <c r="AN271" s="1">
        <f>Sales4[[#This Row],[PGI Amount]]/Sales4[[#This Row],[Billed Quantity]]</f>
        <v>733.11</v>
      </c>
      <c r="AO271" s="72" t="e">
        <f>SUMIFS('COGS Break up'!#REF!,'COGS Break up'!#REF!,Sales4[[#This Row],[Material]],'COGS Break up'!#REF!,'MIS Working'!$AO$1)</f>
        <v>#REF!</v>
      </c>
      <c r="AP271" s="72" t="e">
        <f>SUMIFS('COGS Break up'!#REF!,'COGS Break up'!#REF!,Sales4[[#This Row],[Material]],'COGS Break up'!#REF!,'MIS Working'!$AP$1)</f>
        <v>#REF!</v>
      </c>
      <c r="AQ271" s="72" t="e">
        <f>SUMIFS('COGS Break up'!#REF!,'COGS Break up'!#REF!,Sales4[[#This Row],[Material]],'COGS Break up'!#REF!,'MIS Working'!$AQ$1)</f>
        <v>#REF!</v>
      </c>
      <c r="AR271" s="72">
        <f>Sales4[[#This Row],[Droppage per unit]]</f>
        <v>0</v>
      </c>
      <c r="AS271" s="15" t="e">
        <f>AO271*Sales4[[#This Row],[Billed Quantity]]</f>
        <v>#REF!</v>
      </c>
      <c r="AT271" s="72" t="e">
        <f>AP271*Sales4[[#This Row],[Billed Quantity]]</f>
        <v>#REF!</v>
      </c>
      <c r="AU271" s="72" t="e">
        <f>AQ271*Sales4[[#This Row],[Billed Quantity]]</f>
        <v>#REF!</v>
      </c>
      <c r="AV271" s="72">
        <f>AR271*Sales4[[#This Row],[Billed Quantity]]</f>
        <v>0</v>
      </c>
    </row>
    <row r="272" spans="1:48" x14ac:dyDescent="0.3">
      <c r="A272" s="1" t="s">
        <v>1373</v>
      </c>
      <c r="B272" s="2">
        <v>45910</v>
      </c>
      <c r="C272" s="1">
        <v>3271269010</v>
      </c>
      <c r="D272" s="1" t="s">
        <v>362</v>
      </c>
      <c r="E272" s="1" t="s">
        <v>363</v>
      </c>
      <c r="F272" s="1" t="s">
        <v>18</v>
      </c>
      <c r="G272" s="1" t="s">
        <v>19</v>
      </c>
      <c r="H272" s="1" t="s">
        <v>483</v>
      </c>
      <c r="I272" s="3">
        <v>35</v>
      </c>
      <c r="J272" s="4">
        <v>25658.85</v>
      </c>
      <c r="K272" s="3">
        <v>35</v>
      </c>
      <c r="L272" s="3">
        <v>35</v>
      </c>
      <c r="M272" s="2">
        <v>45910</v>
      </c>
      <c r="N272" s="4">
        <v>30178.400000000001</v>
      </c>
      <c r="O272" s="1" t="s">
        <v>21</v>
      </c>
      <c r="P272" s="1" t="s">
        <v>22</v>
      </c>
      <c r="Q272" s="1">
        <v>3</v>
      </c>
      <c r="R272" s="1" t="str">
        <f>VLOOKUP(Sales4[[#This Row],[Material type]],Master!$H$3:$I$8,2,0)</f>
        <v>Finished Goods</v>
      </c>
      <c r="S272" s="1" t="str">
        <f>VLOOKUP(Sales4[[#This Row],[Material Group]],Master!B:C,2,0)</f>
        <v>FG-PCB-MG</v>
      </c>
      <c r="T272" s="1" t="str">
        <f>VLOOKUP(Sales4[[#This Row],[Material Group Descrip]],Master!E:F,2,0)</f>
        <v>FG-PCB-MG</v>
      </c>
      <c r="U272" s="9" t="b">
        <f ca="1">(TODAY()-1)=Sales4[[#This Row],[Billing Date]]</f>
        <v>0</v>
      </c>
      <c r="V272" s="10" t="e">
        <f>Sales4[[#This Row],[Net Value]]-Sales4[[#This Row],[PGI COST]]</f>
        <v>#REF!</v>
      </c>
      <c r="W272" s="11" t="e">
        <f>Sales4[[#This Row],[Gross Margin]]/Sales4[[#This Row],[Net Value]]</f>
        <v>#REF!</v>
      </c>
      <c r="X272" s="1" t="str">
        <f>TEXT(Sales4[[#This Row],[Billing Date]],"mmmm-yy")</f>
        <v>September-25</v>
      </c>
      <c r="Y272" s="1">
        <f>Sales4[[#This Row],[Net Value]]/Sales4[[#This Row],[Billed Quantity]]</f>
        <v>862.24</v>
      </c>
      <c r="Z272" s="117">
        <f>Sales4[[#This Row],[Actual delivery qty]]</f>
        <v>35</v>
      </c>
      <c r="AA272" s="12" t="e">
        <f>SUM(Sales4[[#This Row],[BOM Cost]:[Other Conversion cost pu]])</f>
        <v>#REF!</v>
      </c>
      <c r="AB27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7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72" s="12">
        <f>IFERROR(VLOOKUP(Sales4[[#This Row],[Material]],'COGS Break up'!#REF!,5,0),0)</f>
        <v>0</v>
      </c>
      <c r="AE27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72" s="48" t="e">
        <f>Sales4[[#This Row],[PGI per unit]]-Sales4[[#This Row],[BOM Cost]]-Sales4[[#This Row],[Labour cost per unit]]-Sales4[[#This Row],[Other Conversion cost pu]]</f>
        <v>#REF!</v>
      </c>
      <c r="AG272" s="48" t="e">
        <f>Sales4[[#This Row],[BOM Cost2]]+Sales4[[#This Row],[Labour Cost]]+Sales4[[#This Row],[Other conversion cost]]</f>
        <v>#REF!</v>
      </c>
      <c r="AH272" s="12" t="e">
        <f>Sales4[[#This Row],[Billed Quantity]]*Sales4[[#This Row],[BOM Cost]]</f>
        <v>#REF!</v>
      </c>
      <c r="AI272" s="12" t="e">
        <f>Sales4[[#This Row],[Billed Quantity]]*Sales4[[#This Row],[Labour cost per unit]]</f>
        <v>#REF!</v>
      </c>
      <c r="AJ272" s="12">
        <f>Sales4[[#This Row],[Droppage per unit]]*Sales4[[#This Row],[Billed Quantity]]</f>
        <v>0</v>
      </c>
      <c r="AK272" s="12" t="e">
        <f>Sales4[[#This Row],[Billed Quantity]]*Sales4[[#This Row],[Other Conversion cost pu]]</f>
        <v>#REF!</v>
      </c>
      <c r="AL272" s="48" t="e">
        <f>Sales4[[#This Row],[PGI Amount]]-Sales4[[#This Row],[BOM Cost2]]-Sales4[[#This Row],[Labour Cost]]-Sales4[[#This Row],[Other conversion cost]]</f>
        <v>#REF!</v>
      </c>
      <c r="AM272" s="121" t="e">
        <f>1-Sales4[[#This Row],[PGI COST]]/Sales4[[#This Row],[Net Value]]</f>
        <v>#REF!</v>
      </c>
      <c r="AN272" s="1">
        <f>Sales4[[#This Row],[PGI Amount]]/Sales4[[#This Row],[Billed Quantity]]</f>
        <v>733.11</v>
      </c>
      <c r="AO272" s="72" t="e">
        <f>SUMIFS('COGS Break up'!#REF!,'COGS Break up'!#REF!,Sales4[[#This Row],[Material]],'COGS Break up'!#REF!,'MIS Working'!$AO$1)</f>
        <v>#REF!</v>
      </c>
      <c r="AP272" s="72" t="e">
        <f>SUMIFS('COGS Break up'!#REF!,'COGS Break up'!#REF!,Sales4[[#This Row],[Material]],'COGS Break up'!#REF!,'MIS Working'!$AP$1)</f>
        <v>#REF!</v>
      </c>
      <c r="AQ272" s="72" t="e">
        <f>SUMIFS('COGS Break up'!#REF!,'COGS Break up'!#REF!,Sales4[[#This Row],[Material]],'COGS Break up'!#REF!,'MIS Working'!$AQ$1)</f>
        <v>#REF!</v>
      </c>
      <c r="AR272" s="72">
        <f>Sales4[[#This Row],[Droppage per unit]]</f>
        <v>0</v>
      </c>
      <c r="AS272" s="15" t="e">
        <f>AO272*Sales4[[#This Row],[Billed Quantity]]</f>
        <v>#REF!</v>
      </c>
      <c r="AT272" s="72" t="e">
        <f>AP272*Sales4[[#This Row],[Billed Quantity]]</f>
        <v>#REF!</v>
      </c>
      <c r="AU272" s="72" t="e">
        <f>AQ272*Sales4[[#This Row],[Billed Quantity]]</f>
        <v>#REF!</v>
      </c>
      <c r="AV272" s="72">
        <f>AR272*Sales4[[#This Row],[Billed Quantity]]</f>
        <v>0</v>
      </c>
    </row>
    <row r="273" spans="1:48" x14ac:dyDescent="0.3">
      <c r="A273" s="1" t="s">
        <v>1212</v>
      </c>
      <c r="B273" s="2">
        <v>45910</v>
      </c>
      <c r="C273" s="1">
        <v>3271269012</v>
      </c>
      <c r="D273" s="1" t="s">
        <v>1379</v>
      </c>
      <c r="E273" s="1" t="s">
        <v>1380</v>
      </c>
      <c r="F273" s="1" t="s">
        <v>18</v>
      </c>
      <c r="G273" s="1" t="s">
        <v>48</v>
      </c>
      <c r="H273" s="1" t="s">
        <v>207</v>
      </c>
      <c r="I273" s="3">
        <v>10000</v>
      </c>
      <c r="J273" s="4">
        <v>107887</v>
      </c>
      <c r="K273" s="3">
        <v>10000</v>
      </c>
      <c r="L273" s="3">
        <v>10000</v>
      </c>
      <c r="M273" s="2">
        <v>45910</v>
      </c>
      <c r="N273" s="4">
        <v>92400</v>
      </c>
      <c r="O273" s="1" t="s">
        <v>21</v>
      </c>
      <c r="P273" s="1" t="s">
        <v>22</v>
      </c>
      <c r="Q273" s="1">
        <v>6</v>
      </c>
      <c r="R273" s="1" t="str">
        <f>VLOOKUP(Sales4[[#This Row],[Material type]],Master!$H$3:$I$8,2,0)</f>
        <v>Raw Material</v>
      </c>
      <c r="S273" s="1" t="str">
        <f>VLOOKUP(Sales4[[#This Row],[Material Group]],Master!B:C,2,0)</f>
        <v>RM-Mech. Accessories</v>
      </c>
      <c r="T273" s="1" t="str">
        <f>VLOOKUP(Sales4[[#This Row],[Material Group Descrip]],Master!E:F,2,0)</f>
        <v>Raw Material</v>
      </c>
      <c r="U273" s="9" t="b">
        <f ca="1">(TODAY()-1)=Sales4[[#This Row],[Billing Date]]</f>
        <v>0</v>
      </c>
      <c r="V273" s="10" t="e">
        <f>Sales4[[#This Row],[Net Value]]-Sales4[[#This Row],[PGI COST]]</f>
        <v>#REF!</v>
      </c>
      <c r="W273" s="11" t="e">
        <f>Sales4[[#This Row],[Gross Margin]]/Sales4[[#This Row],[Net Value]]</f>
        <v>#REF!</v>
      </c>
      <c r="X273" s="1" t="str">
        <f>TEXT(Sales4[[#This Row],[Billing Date]],"mmmm-yy")</f>
        <v>September-25</v>
      </c>
      <c r="Y273" s="1">
        <f>Sales4[[#This Row],[Net Value]]/Sales4[[#This Row],[Billed Quantity]]</f>
        <v>9.24</v>
      </c>
      <c r="Z273" s="117">
        <f>Sales4[[#This Row],[Actual delivery qty]]</f>
        <v>10000</v>
      </c>
      <c r="AA273" s="12" t="e">
        <f>SUM(Sales4[[#This Row],[BOM Cost]:[Other Conversion cost pu]])</f>
        <v>#REF!</v>
      </c>
      <c r="AB27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7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73" s="12">
        <f>IFERROR(VLOOKUP(Sales4[[#This Row],[Material]],'COGS Break up'!#REF!,5,0),0)</f>
        <v>0</v>
      </c>
      <c r="AE27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73" s="48" t="e">
        <f>Sales4[[#This Row],[PGI per unit]]-Sales4[[#This Row],[BOM Cost]]-Sales4[[#This Row],[Labour cost per unit]]-Sales4[[#This Row],[Other Conversion cost pu]]</f>
        <v>#REF!</v>
      </c>
      <c r="AG273" s="48" t="e">
        <f>Sales4[[#This Row],[BOM Cost2]]+Sales4[[#This Row],[Labour Cost]]+Sales4[[#This Row],[Other conversion cost]]</f>
        <v>#REF!</v>
      </c>
      <c r="AH273" s="12" t="e">
        <f>Sales4[[#This Row],[Billed Quantity]]*Sales4[[#This Row],[BOM Cost]]</f>
        <v>#REF!</v>
      </c>
      <c r="AI273" s="12" t="e">
        <f>Sales4[[#This Row],[Billed Quantity]]*Sales4[[#This Row],[Labour cost per unit]]</f>
        <v>#REF!</v>
      </c>
      <c r="AJ273" s="12">
        <f>Sales4[[#This Row],[Droppage per unit]]*Sales4[[#This Row],[Billed Quantity]]</f>
        <v>0</v>
      </c>
      <c r="AK273" s="12" t="e">
        <f>Sales4[[#This Row],[Billed Quantity]]*Sales4[[#This Row],[Other Conversion cost pu]]</f>
        <v>#REF!</v>
      </c>
      <c r="AL273" s="48" t="e">
        <f>Sales4[[#This Row],[PGI Amount]]-Sales4[[#This Row],[BOM Cost2]]-Sales4[[#This Row],[Labour Cost]]-Sales4[[#This Row],[Other conversion cost]]</f>
        <v>#REF!</v>
      </c>
      <c r="AM273" s="121" t="e">
        <f>1-Sales4[[#This Row],[PGI COST]]/Sales4[[#This Row],[Net Value]]</f>
        <v>#REF!</v>
      </c>
      <c r="AN273" s="1">
        <f>Sales4[[#This Row],[PGI Amount]]/Sales4[[#This Row],[Billed Quantity]]</f>
        <v>10.7887</v>
      </c>
      <c r="AO273" s="72" t="e">
        <f>SUMIFS('COGS Break up'!#REF!,'COGS Break up'!#REF!,Sales4[[#This Row],[Material]],'COGS Break up'!#REF!,'MIS Working'!$AO$1)</f>
        <v>#REF!</v>
      </c>
      <c r="AP273" s="72" t="e">
        <f>SUMIFS('COGS Break up'!#REF!,'COGS Break up'!#REF!,Sales4[[#This Row],[Material]],'COGS Break up'!#REF!,'MIS Working'!$AP$1)</f>
        <v>#REF!</v>
      </c>
      <c r="AQ273" s="72" t="e">
        <f>SUMIFS('COGS Break up'!#REF!,'COGS Break up'!#REF!,Sales4[[#This Row],[Material]],'COGS Break up'!#REF!,'MIS Working'!$AQ$1)</f>
        <v>#REF!</v>
      </c>
      <c r="AR273" s="72">
        <f>Sales4[[#This Row],[Droppage per unit]]</f>
        <v>0</v>
      </c>
      <c r="AS273" s="15" t="e">
        <f>AO273*Sales4[[#This Row],[Billed Quantity]]</f>
        <v>#REF!</v>
      </c>
      <c r="AT273" s="72" t="e">
        <f>AP273*Sales4[[#This Row],[Billed Quantity]]</f>
        <v>#REF!</v>
      </c>
      <c r="AU273" s="72" t="e">
        <f>AQ273*Sales4[[#This Row],[Billed Quantity]]</f>
        <v>#REF!</v>
      </c>
      <c r="AV273" s="72">
        <f>AR273*Sales4[[#This Row],[Billed Quantity]]</f>
        <v>0</v>
      </c>
    </row>
    <row r="274" spans="1:48" x14ac:dyDescent="0.3">
      <c r="A274" s="1" t="s">
        <v>1212</v>
      </c>
      <c r="B274" s="2">
        <v>45910</v>
      </c>
      <c r="C274" s="1">
        <v>3271269012</v>
      </c>
      <c r="D274" s="1" t="s">
        <v>1227</v>
      </c>
      <c r="E274" s="1" t="s">
        <v>1228</v>
      </c>
      <c r="F274" s="1" t="s">
        <v>18</v>
      </c>
      <c r="G274" s="1" t="s">
        <v>48</v>
      </c>
      <c r="H274" s="1" t="s">
        <v>207</v>
      </c>
      <c r="I274" s="3">
        <v>1000</v>
      </c>
      <c r="J274" s="4">
        <v>8500</v>
      </c>
      <c r="K274" s="3">
        <v>1000</v>
      </c>
      <c r="L274" s="3">
        <v>1000</v>
      </c>
      <c r="M274" s="2">
        <v>45910</v>
      </c>
      <c r="N274" s="4">
        <v>8500</v>
      </c>
      <c r="O274" s="1" t="s">
        <v>21</v>
      </c>
      <c r="P274" s="1" t="s">
        <v>22</v>
      </c>
      <c r="Q274" s="1">
        <v>6</v>
      </c>
      <c r="R274" s="1" t="str">
        <f>VLOOKUP(Sales4[[#This Row],[Material type]],Master!$H$3:$I$8,2,0)</f>
        <v>Raw Material</v>
      </c>
      <c r="S274" s="1" t="str">
        <f>VLOOKUP(Sales4[[#This Row],[Material Group]],Master!B:C,2,0)</f>
        <v>RM-Mech. Accessories</v>
      </c>
      <c r="T274" s="1" t="str">
        <f>VLOOKUP(Sales4[[#This Row],[Material Group Descrip]],Master!E:F,2,0)</f>
        <v>Raw Material</v>
      </c>
      <c r="U274" s="9" t="b">
        <f ca="1">(TODAY()-1)=Sales4[[#This Row],[Billing Date]]</f>
        <v>0</v>
      </c>
      <c r="V274" s="10" t="e">
        <f>Sales4[[#This Row],[Net Value]]-Sales4[[#This Row],[PGI COST]]</f>
        <v>#REF!</v>
      </c>
      <c r="W274" s="11" t="e">
        <f>Sales4[[#This Row],[Gross Margin]]/Sales4[[#This Row],[Net Value]]</f>
        <v>#REF!</v>
      </c>
      <c r="X274" s="1" t="str">
        <f>TEXT(Sales4[[#This Row],[Billing Date]],"mmmm-yy")</f>
        <v>September-25</v>
      </c>
      <c r="Y274" s="1">
        <f>Sales4[[#This Row],[Net Value]]/Sales4[[#This Row],[Billed Quantity]]</f>
        <v>8.5</v>
      </c>
      <c r="Z274" s="117">
        <f>Sales4[[#This Row],[Actual delivery qty]]</f>
        <v>1000</v>
      </c>
      <c r="AA274" s="12" t="e">
        <f>SUM(Sales4[[#This Row],[BOM Cost]:[Other Conversion cost pu]])</f>
        <v>#REF!</v>
      </c>
      <c r="AB27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7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74" s="12">
        <f>IFERROR(VLOOKUP(Sales4[[#This Row],[Material]],'COGS Break up'!#REF!,5,0),0)</f>
        <v>0</v>
      </c>
      <c r="AE27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74" s="48" t="e">
        <f>Sales4[[#This Row],[PGI per unit]]-Sales4[[#This Row],[BOM Cost]]-Sales4[[#This Row],[Labour cost per unit]]-Sales4[[#This Row],[Other Conversion cost pu]]</f>
        <v>#REF!</v>
      </c>
      <c r="AG274" s="48" t="e">
        <f>Sales4[[#This Row],[BOM Cost2]]+Sales4[[#This Row],[Labour Cost]]+Sales4[[#This Row],[Other conversion cost]]</f>
        <v>#REF!</v>
      </c>
      <c r="AH274" s="12" t="e">
        <f>Sales4[[#This Row],[Billed Quantity]]*Sales4[[#This Row],[BOM Cost]]</f>
        <v>#REF!</v>
      </c>
      <c r="AI274" s="12" t="e">
        <f>Sales4[[#This Row],[Billed Quantity]]*Sales4[[#This Row],[Labour cost per unit]]</f>
        <v>#REF!</v>
      </c>
      <c r="AJ274" s="12">
        <f>Sales4[[#This Row],[Droppage per unit]]*Sales4[[#This Row],[Billed Quantity]]</f>
        <v>0</v>
      </c>
      <c r="AK274" s="12" t="e">
        <f>Sales4[[#This Row],[Billed Quantity]]*Sales4[[#This Row],[Other Conversion cost pu]]</f>
        <v>#REF!</v>
      </c>
      <c r="AL274" s="48" t="e">
        <f>Sales4[[#This Row],[PGI Amount]]-Sales4[[#This Row],[BOM Cost2]]-Sales4[[#This Row],[Labour Cost]]-Sales4[[#This Row],[Other conversion cost]]</f>
        <v>#REF!</v>
      </c>
      <c r="AM274" s="121" t="e">
        <f>1-Sales4[[#This Row],[PGI COST]]/Sales4[[#This Row],[Net Value]]</f>
        <v>#REF!</v>
      </c>
      <c r="AN274" s="1">
        <f>Sales4[[#This Row],[PGI Amount]]/Sales4[[#This Row],[Billed Quantity]]</f>
        <v>8.5</v>
      </c>
      <c r="AO274" s="72" t="e">
        <f>SUMIFS('COGS Break up'!#REF!,'COGS Break up'!#REF!,Sales4[[#This Row],[Material]],'COGS Break up'!#REF!,'MIS Working'!$AO$1)</f>
        <v>#REF!</v>
      </c>
      <c r="AP274" s="72" t="e">
        <f>SUMIFS('COGS Break up'!#REF!,'COGS Break up'!#REF!,Sales4[[#This Row],[Material]],'COGS Break up'!#REF!,'MIS Working'!$AP$1)</f>
        <v>#REF!</v>
      </c>
      <c r="AQ274" s="72" t="e">
        <f>SUMIFS('COGS Break up'!#REF!,'COGS Break up'!#REF!,Sales4[[#This Row],[Material]],'COGS Break up'!#REF!,'MIS Working'!$AQ$1)</f>
        <v>#REF!</v>
      </c>
      <c r="AR274" s="72">
        <f>Sales4[[#This Row],[Droppage per unit]]</f>
        <v>0</v>
      </c>
      <c r="AS274" s="15" t="e">
        <f>AO274*Sales4[[#This Row],[Billed Quantity]]</f>
        <v>#REF!</v>
      </c>
      <c r="AT274" s="72" t="e">
        <f>AP274*Sales4[[#This Row],[Billed Quantity]]</f>
        <v>#REF!</v>
      </c>
      <c r="AU274" s="72" t="e">
        <f>AQ274*Sales4[[#This Row],[Billed Quantity]]</f>
        <v>#REF!</v>
      </c>
      <c r="AV274" s="72">
        <f>AR274*Sales4[[#This Row],[Billed Quantity]]</f>
        <v>0</v>
      </c>
    </row>
    <row r="275" spans="1:48" x14ac:dyDescent="0.3">
      <c r="A275" s="1" t="s">
        <v>1212</v>
      </c>
      <c r="B275" s="2">
        <v>45910</v>
      </c>
      <c r="C275" s="1">
        <v>3271269012</v>
      </c>
      <c r="D275" s="1" t="s">
        <v>1235</v>
      </c>
      <c r="E275" s="1" t="s">
        <v>1236</v>
      </c>
      <c r="F275" s="1" t="s">
        <v>18</v>
      </c>
      <c r="G275" s="1" t="s">
        <v>48</v>
      </c>
      <c r="H275" s="1" t="s">
        <v>207</v>
      </c>
      <c r="I275" s="3">
        <v>4000</v>
      </c>
      <c r="J275" s="4">
        <v>5800</v>
      </c>
      <c r="K275" s="3">
        <v>4000</v>
      </c>
      <c r="L275" s="3">
        <v>4000</v>
      </c>
      <c r="M275" s="2">
        <v>45910</v>
      </c>
      <c r="N275" s="4">
        <v>5920</v>
      </c>
      <c r="O275" s="1" t="s">
        <v>21</v>
      </c>
      <c r="P275" s="1" t="s">
        <v>22</v>
      </c>
      <c r="Q275" s="1">
        <v>6</v>
      </c>
      <c r="R275" s="1" t="str">
        <f>VLOOKUP(Sales4[[#This Row],[Material type]],Master!$H$3:$I$8,2,0)</f>
        <v>Raw Material</v>
      </c>
      <c r="S275" s="1" t="str">
        <f>VLOOKUP(Sales4[[#This Row],[Material Group]],Master!B:C,2,0)</f>
        <v>RM-Mech. Accessories</v>
      </c>
      <c r="T275" s="1" t="str">
        <f>VLOOKUP(Sales4[[#This Row],[Material Group Descrip]],Master!E:F,2,0)</f>
        <v>Raw Material</v>
      </c>
      <c r="U275" s="9" t="b">
        <f ca="1">(TODAY()-1)=Sales4[[#This Row],[Billing Date]]</f>
        <v>0</v>
      </c>
      <c r="V275" s="10" t="e">
        <f>Sales4[[#This Row],[Net Value]]-Sales4[[#This Row],[PGI COST]]</f>
        <v>#REF!</v>
      </c>
      <c r="W275" s="11" t="e">
        <f>Sales4[[#This Row],[Gross Margin]]/Sales4[[#This Row],[Net Value]]</f>
        <v>#REF!</v>
      </c>
      <c r="X275" s="1" t="str">
        <f>TEXT(Sales4[[#This Row],[Billing Date]],"mmmm-yy")</f>
        <v>September-25</v>
      </c>
      <c r="Y275" s="1">
        <f>Sales4[[#This Row],[Net Value]]/Sales4[[#This Row],[Billed Quantity]]</f>
        <v>1.48</v>
      </c>
      <c r="Z275" s="117">
        <f>Sales4[[#This Row],[Actual delivery qty]]</f>
        <v>4000</v>
      </c>
      <c r="AA275" s="12" t="e">
        <f>SUM(Sales4[[#This Row],[BOM Cost]:[Other Conversion cost pu]])</f>
        <v>#REF!</v>
      </c>
      <c r="AB27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7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75" s="12">
        <f>IFERROR(VLOOKUP(Sales4[[#This Row],[Material]],'COGS Break up'!#REF!,5,0),0)</f>
        <v>0</v>
      </c>
      <c r="AE27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75" s="48" t="e">
        <f>Sales4[[#This Row],[PGI per unit]]-Sales4[[#This Row],[BOM Cost]]-Sales4[[#This Row],[Labour cost per unit]]-Sales4[[#This Row],[Other Conversion cost pu]]</f>
        <v>#REF!</v>
      </c>
      <c r="AG275" s="48" t="e">
        <f>Sales4[[#This Row],[BOM Cost2]]+Sales4[[#This Row],[Labour Cost]]+Sales4[[#This Row],[Other conversion cost]]</f>
        <v>#REF!</v>
      </c>
      <c r="AH275" s="12" t="e">
        <f>Sales4[[#This Row],[Billed Quantity]]*Sales4[[#This Row],[BOM Cost]]</f>
        <v>#REF!</v>
      </c>
      <c r="AI275" s="12" t="e">
        <f>Sales4[[#This Row],[Billed Quantity]]*Sales4[[#This Row],[Labour cost per unit]]</f>
        <v>#REF!</v>
      </c>
      <c r="AJ275" s="12">
        <f>Sales4[[#This Row],[Droppage per unit]]*Sales4[[#This Row],[Billed Quantity]]</f>
        <v>0</v>
      </c>
      <c r="AK275" s="12" t="e">
        <f>Sales4[[#This Row],[Billed Quantity]]*Sales4[[#This Row],[Other Conversion cost pu]]</f>
        <v>#REF!</v>
      </c>
      <c r="AL275" s="48" t="e">
        <f>Sales4[[#This Row],[PGI Amount]]-Sales4[[#This Row],[BOM Cost2]]-Sales4[[#This Row],[Labour Cost]]-Sales4[[#This Row],[Other conversion cost]]</f>
        <v>#REF!</v>
      </c>
      <c r="AM275" s="121" t="e">
        <f>1-Sales4[[#This Row],[PGI COST]]/Sales4[[#This Row],[Net Value]]</f>
        <v>#REF!</v>
      </c>
      <c r="AN275" s="1">
        <f>Sales4[[#This Row],[PGI Amount]]/Sales4[[#This Row],[Billed Quantity]]</f>
        <v>1.45</v>
      </c>
      <c r="AO275" s="72" t="e">
        <f>SUMIFS('COGS Break up'!#REF!,'COGS Break up'!#REF!,Sales4[[#This Row],[Material]],'COGS Break up'!#REF!,'MIS Working'!$AO$1)</f>
        <v>#REF!</v>
      </c>
      <c r="AP275" s="72" t="e">
        <f>SUMIFS('COGS Break up'!#REF!,'COGS Break up'!#REF!,Sales4[[#This Row],[Material]],'COGS Break up'!#REF!,'MIS Working'!$AP$1)</f>
        <v>#REF!</v>
      </c>
      <c r="AQ275" s="72" t="e">
        <f>SUMIFS('COGS Break up'!#REF!,'COGS Break up'!#REF!,Sales4[[#This Row],[Material]],'COGS Break up'!#REF!,'MIS Working'!$AQ$1)</f>
        <v>#REF!</v>
      </c>
      <c r="AR275" s="72">
        <f>Sales4[[#This Row],[Droppage per unit]]</f>
        <v>0</v>
      </c>
      <c r="AS275" s="15" t="e">
        <f>AO275*Sales4[[#This Row],[Billed Quantity]]</f>
        <v>#REF!</v>
      </c>
      <c r="AT275" s="72" t="e">
        <f>AP275*Sales4[[#This Row],[Billed Quantity]]</f>
        <v>#REF!</v>
      </c>
      <c r="AU275" s="72" t="e">
        <f>AQ275*Sales4[[#This Row],[Billed Quantity]]</f>
        <v>#REF!</v>
      </c>
      <c r="AV275" s="72">
        <f>AR275*Sales4[[#This Row],[Billed Quantity]]</f>
        <v>0</v>
      </c>
    </row>
    <row r="276" spans="1:48" x14ac:dyDescent="0.3">
      <c r="A276" s="1" t="s">
        <v>1212</v>
      </c>
      <c r="B276" s="2">
        <v>45910</v>
      </c>
      <c r="C276" s="1">
        <v>3271269012</v>
      </c>
      <c r="D276" s="1" t="s">
        <v>1237</v>
      </c>
      <c r="E276" s="1" t="s">
        <v>1238</v>
      </c>
      <c r="F276" s="1" t="s">
        <v>18</v>
      </c>
      <c r="G276" s="1" t="s">
        <v>48</v>
      </c>
      <c r="H276" s="1" t="s">
        <v>207</v>
      </c>
      <c r="I276" s="3">
        <v>15000</v>
      </c>
      <c r="J276" s="4">
        <v>36478.959999999999</v>
      </c>
      <c r="K276" s="3">
        <v>15000</v>
      </c>
      <c r="L276" s="3">
        <v>15000</v>
      </c>
      <c r="M276" s="2">
        <v>45910</v>
      </c>
      <c r="N276" s="4">
        <v>35550</v>
      </c>
      <c r="O276" s="1" t="s">
        <v>21</v>
      </c>
      <c r="P276" s="1" t="s">
        <v>22</v>
      </c>
      <c r="Q276" s="1">
        <v>6</v>
      </c>
      <c r="R276" s="1" t="str">
        <f>VLOOKUP(Sales4[[#This Row],[Material type]],Master!$H$3:$I$8,2,0)</f>
        <v>Raw Material</v>
      </c>
      <c r="S276" s="1" t="str">
        <f>VLOOKUP(Sales4[[#This Row],[Material Group]],Master!B:C,2,0)</f>
        <v>RM-Mech. Accessories</v>
      </c>
      <c r="T276" s="1" t="str">
        <f>VLOOKUP(Sales4[[#This Row],[Material Group Descrip]],Master!E:F,2,0)</f>
        <v>Raw Material</v>
      </c>
      <c r="U276" s="9" t="b">
        <f ca="1">(TODAY()-1)=Sales4[[#This Row],[Billing Date]]</f>
        <v>0</v>
      </c>
      <c r="V276" s="10" t="e">
        <f>Sales4[[#This Row],[Net Value]]-Sales4[[#This Row],[PGI COST]]</f>
        <v>#REF!</v>
      </c>
      <c r="W276" s="11" t="e">
        <f>Sales4[[#This Row],[Gross Margin]]/Sales4[[#This Row],[Net Value]]</f>
        <v>#REF!</v>
      </c>
      <c r="X276" s="1" t="str">
        <f>TEXT(Sales4[[#This Row],[Billing Date]],"mmmm-yy")</f>
        <v>September-25</v>
      </c>
      <c r="Y276" s="1">
        <f>Sales4[[#This Row],[Net Value]]/Sales4[[#This Row],[Billed Quantity]]</f>
        <v>2.37</v>
      </c>
      <c r="Z276" s="117">
        <f>Sales4[[#This Row],[Actual delivery qty]]</f>
        <v>15000</v>
      </c>
      <c r="AA276" s="12" t="e">
        <f>SUM(Sales4[[#This Row],[BOM Cost]:[Other Conversion cost pu]])</f>
        <v>#REF!</v>
      </c>
      <c r="AB27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7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76" s="12">
        <f>IFERROR(VLOOKUP(Sales4[[#This Row],[Material]],'COGS Break up'!#REF!,5,0),0)</f>
        <v>0</v>
      </c>
      <c r="AE27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76" s="48" t="e">
        <f>Sales4[[#This Row],[PGI per unit]]-Sales4[[#This Row],[BOM Cost]]-Sales4[[#This Row],[Labour cost per unit]]-Sales4[[#This Row],[Other Conversion cost pu]]</f>
        <v>#REF!</v>
      </c>
      <c r="AG276" s="48" t="e">
        <f>Sales4[[#This Row],[BOM Cost2]]+Sales4[[#This Row],[Labour Cost]]+Sales4[[#This Row],[Other conversion cost]]</f>
        <v>#REF!</v>
      </c>
      <c r="AH276" s="12" t="e">
        <f>Sales4[[#This Row],[Billed Quantity]]*Sales4[[#This Row],[BOM Cost]]</f>
        <v>#REF!</v>
      </c>
      <c r="AI276" s="12" t="e">
        <f>Sales4[[#This Row],[Billed Quantity]]*Sales4[[#This Row],[Labour cost per unit]]</f>
        <v>#REF!</v>
      </c>
      <c r="AJ276" s="12">
        <f>Sales4[[#This Row],[Droppage per unit]]*Sales4[[#This Row],[Billed Quantity]]</f>
        <v>0</v>
      </c>
      <c r="AK276" s="12" t="e">
        <f>Sales4[[#This Row],[Billed Quantity]]*Sales4[[#This Row],[Other Conversion cost pu]]</f>
        <v>#REF!</v>
      </c>
      <c r="AL276" s="48" t="e">
        <f>Sales4[[#This Row],[PGI Amount]]-Sales4[[#This Row],[BOM Cost2]]-Sales4[[#This Row],[Labour Cost]]-Sales4[[#This Row],[Other conversion cost]]</f>
        <v>#REF!</v>
      </c>
      <c r="AM276" s="121" t="e">
        <f>1-Sales4[[#This Row],[PGI COST]]/Sales4[[#This Row],[Net Value]]</f>
        <v>#REF!</v>
      </c>
      <c r="AN276" s="1">
        <f>Sales4[[#This Row],[PGI Amount]]/Sales4[[#This Row],[Billed Quantity]]</f>
        <v>2.4319306666666667</v>
      </c>
      <c r="AO276" s="72" t="e">
        <f>SUMIFS('COGS Break up'!#REF!,'COGS Break up'!#REF!,Sales4[[#This Row],[Material]],'COGS Break up'!#REF!,'MIS Working'!$AO$1)</f>
        <v>#REF!</v>
      </c>
      <c r="AP276" s="72" t="e">
        <f>SUMIFS('COGS Break up'!#REF!,'COGS Break up'!#REF!,Sales4[[#This Row],[Material]],'COGS Break up'!#REF!,'MIS Working'!$AP$1)</f>
        <v>#REF!</v>
      </c>
      <c r="AQ276" s="72" t="e">
        <f>SUMIFS('COGS Break up'!#REF!,'COGS Break up'!#REF!,Sales4[[#This Row],[Material]],'COGS Break up'!#REF!,'MIS Working'!$AQ$1)</f>
        <v>#REF!</v>
      </c>
      <c r="AR276" s="72">
        <f>Sales4[[#This Row],[Droppage per unit]]</f>
        <v>0</v>
      </c>
      <c r="AS276" s="15" t="e">
        <f>AO276*Sales4[[#This Row],[Billed Quantity]]</f>
        <v>#REF!</v>
      </c>
      <c r="AT276" s="72" t="e">
        <f>AP276*Sales4[[#This Row],[Billed Quantity]]</f>
        <v>#REF!</v>
      </c>
      <c r="AU276" s="72" t="e">
        <f>AQ276*Sales4[[#This Row],[Billed Quantity]]</f>
        <v>#REF!</v>
      </c>
      <c r="AV276" s="72">
        <f>AR276*Sales4[[#This Row],[Billed Quantity]]</f>
        <v>0</v>
      </c>
    </row>
    <row r="277" spans="1:48" x14ac:dyDescent="0.3">
      <c r="A277" s="1" t="s">
        <v>1212</v>
      </c>
      <c r="B277" s="2">
        <v>45910</v>
      </c>
      <c r="C277" s="1">
        <v>3271269012</v>
      </c>
      <c r="D277" s="1" t="s">
        <v>1239</v>
      </c>
      <c r="E277" s="1" t="s">
        <v>1240</v>
      </c>
      <c r="F277" s="1" t="s">
        <v>18</v>
      </c>
      <c r="G277" s="1" t="s">
        <v>48</v>
      </c>
      <c r="H277" s="1" t="s">
        <v>207</v>
      </c>
      <c r="I277" s="3">
        <v>4000</v>
      </c>
      <c r="J277" s="4">
        <v>2000</v>
      </c>
      <c r="K277" s="3">
        <v>4000</v>
      </c>
      <c r="L277" s="3">
        <v>4000</v>
      </c>
      <c r="M277" s="2">
        <v>45910</v>
      </c>
      <c r="N277" s="4">
        <v>2040</v>
      </c>
      <c r="O277" s="1" t="s">
        <v>21</v>
      </c>
      <c r="P277" s="1" t="s">
        <v>22</v>
      </c>
      <c r="Q277" s="1">
        <v>6</v>
      </c>
      <c r="R277" s="1" t="str">
        <f>VLOOKUP(Sales4[[#This Row],[Material type]],Master!$H$3:$I$8,2,0)</f>
        <v>Raw Material</v>
      </c>
      <c r="S277" s="1" t="str">
        <f>VLOOKUP(Sales4[[#This Row],[Material Group]],Master!B:C,2,0)</f>
        <v>RM-Mech. Accessories</v>
      </c>
      <c r="T277" s="1" t="str">
        <f>VLOOKUP(Sales4[[#This Row],[Material Group Descrip]],Master!E:F,2,0)</f>
        <v>Raw Material</v>
      </c>
      <c r="U277" s="9" t="b">
        <f ca="1">(TODAY()-1)=Sales4[[#This Row],[Billing Date]]</f>
        <v>0</v>
      </c>
      <c r="V277" s="10" t="e">
        <f>Sales4[[#This Row],[Net Value]]-Sales4[[#This Row],[PGI COST]]</f>
        <v>#REF!</v>
      </c>
      <c r="W277" s="11" t="e">
        <f>Sales4[[#This Row],[Gross Margin]]/Sales4[[#This Row],[Net Value]]</f>
        <v>#REF!</v>
      </c>
      <c r="X277" s="1" t="str">
        <f>TEXT(Sales4[[#This Row],[Billing Date]],"mmmm-yy")</f>
        <v>September-25</v>
      </c>
      <c r="Y277" s="1">
        <f>Sales4[[#This Row],[Net Value]]/Sales4[[#This Row],[Billed Quantity]]</f>
        <v>0.51</v>
      </c>
      <c r="Z277" s="117">
        <f>Sales4[[#This Row],[Actual delivery qty]]</f>
        <v>4000</v>
      </c>
      <c r="AA277" s="12" t="e">
        <f>SUM(Sales4[[#This Row],[BOM Cost]:[Other Conversion cost pu]])</f>
        <v>#REF!</v>
      </c>
      <c r="AB27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7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77" s="12">
        <f>IFERROR(VLOOKUP(Sales4[[#This Row],[Material]],'COGS Break up'!#REF!,5,0),0)</f>
        <v>0</v>
      </c>
      <c r="AE27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77" s="48" t="e">
        <f>Sales4[[#This Row],[PGI per unit]]-Sales4[[#This Row],[BOM Cost]]-Sales4[[#This Row],[Labour cost per unit]]-Sales4[[#This Row],[Other Conversion cost pu]]</f>
        <v>#REF!</v>
      </c>
      <c r="AG277" s="48" t="e">
        <f>Sales4[[#This Row],[BOM Cost2]]+Sales4[[#This Row],[Labour Cost]]+Sales4[[#This Row],[Other conversion cost]]</f>
        <v>#REF!</v>
      </c>
      <c r="AH277" s="12" t="e">
        <f>Sales4[[#This Row],[Billed Quantity]]*Sales4[[#This Row],[BOM Cost]]</f>
        <v>#REF!</v>
      </c>
      <c r="AI277" s="12" t="e">
        <f>Sales4[[#This Row],[Billed Quantity]]*Sales4[[#This Row],[Labour cost per unit]]</f>
        <v>#REF!</v>
      </c>
      <c r="AJ277" s="12">
        <f>Sales4[[#This Row],[Droppage per unit]]*Sales4[[#This Row],[Billed Quantity]]</f>
        <v>0</v>
      </c>
      <c r="AK277" s="12" t="e">
        <f>Sales4[[#This Row],[Billed Quantity]]*Sales4[[#This Row],[Other Conversion cost pu]]</f>
        <v>#REF!</v>
      </c>
      <c r="AL277" s="48" t="e">
        <f>Sales4[[#This Row],[PGI Amount]]-Sales4[[#This Row],[BOM Cost2]]-Sales4[[#This Row],[Labour Cost]]-Sales4[[#This Row],[Other conversion cost]]</f>
        <v>#REF!</v>
      </c>
      <c r="AM277" s="121" t="e">
        <f>1-Sales4[[#This Row],[PGI COST]]/Sales4[[#This Row],[Net Value]]</f>
        <v>#REF!</v>
      </c>
      <c r="AN277" s="1">
        <f>Sales4[[#This Row],[PGI Amount]]/Sales4[[#This Row],[Billed Quantity]]</f>
        <v>0.5</v>
      </c>
      <c r="AO277" s="72" t="e">
        <f>SUMIFS('COGS Break up'!#REF!,'COGS Break up'!#REF!,Sales4[[#This Row],[Material]],'COGS Break up'!#REF!,'MIS Working'!$AO$1)</f>
        <v>#REF!</v>
      </c>
      <c r="AP277" s="72" t="e">
        <f>SUMIFS('COGS Break up'!#REF!,'COGS Break up'!#REF!,Sales4[[#This Row],[Material]],'COGS Break up'!#REF!,'MIS Working'!$AP$1)</f>
        <v>#REF!</v>
      </c>
      <c r="AQ277" s="72" t="e">
        <f>SUMIFS('COGS Break up'!#REF!,'COGS Break up'!#REF!,Sales4[[#This Row],[Material]],'COGS Break up'!#REF!,'MIS Working'!$AQ$1)</f>
        <v>#REF!</v>
      </c>
      <c r="AR277" s="72">
        <f>Sales4[[#This Row],[Droppage per unit]]</f>
        <v>0</v>
      </c>
      <c r="AS277" s="15" t="e">
        <f>AO277*Sales4[[#This Row],[Billed Quantity]]</f>
        <v>#REF!</v>
      </c>
      <c r="AT277" s="72" t="e">
        <f>AP277*Sales4[[#This Row],[Billed Quantity]]</f>
        <v>#REF!</v>
      </c>
      <c r="AU277" s="72" t="e">
        <f>AQ277*Sales4[[#This Row],[Billed Quantity]]</f>
        <v>#REF!</v>
      </c>
      <c r="AV277" s="72">
        <f>AR277*Sales4[[#This Row],[Billed Quantity]]</f>
        <v>0</v>
      </c>
    </row>
    <row r="278" spans="1:48" x14ac:dyDescent="0.3">
      <c r="A278" s="1" t="s">
        <v>1212</v>
      </c>
      <c r="B278" s="2">
        <v>45910</v>
      </c>
      <c r="C278" s="1">
        <v>3271269012</v>
      </c>
      <c r="D278" s="1" t="s">
        <v>1251</v>
      </c>
      <c r="E278" s="1" t="s">
        <v>1252</v>
      </c>
      <c r="F278" s="1" t="s">
        <v>18</v>
      </c>
      <c r="G278" s="1" t="s">
        <v>48</v>
      </c>
      <c r="H278" s="1" t="s">
        <v>207</v>
      </c>
      <c r="I278" s="3">
        <v>1500</v>
      </c>
      <c r="J278" s="4">
        <v>19500</v>
      </c>
      <c r="K278" s="3">
        <v>1500</v>
      </c>
      <c r="L278" s="3">
        <v>1500</v>
      </c>
      <c r="M278" s="2">
        <v>45910</v>
      </c>
      <c r="N278" s="4">
        <v>19890</v>
      </c>
      <c r="O278" s="1" t="s">
        <v>21</v>
      </c>
      <c r="P278" s="1" t="s">
        <v>22</v>
      </c>
      <c r="Q278" s="1">
        <v>6</v>
      </c>
      <c r="R278" s="1" t="str">
        <f>VLOOKUP(Sales4[[#This Row],[Material type]],Master!$H$3:$I$8,2,0)</f>
        <v>Raw Material</v>
      </c>
      <c r="S278" s="1" t="str">
        <f>VLOOKUP(Sales4[[#This Row],[Material Group]],Master!B:C,2,0)</f>
        <v>RM-Mech. Accessories</v>
      </c>
      <c r="T278" s="1" t="str">
        <f>VLOOKUP(Sales4[[#This Row],[Material Group Descrip]],Master!E:F,2,0)</f>
        <v>Raw Material</v>
      </c>
      <c r="U278" s="9" t="b">
        <f ca="1">(TODAY()-1)=Sales4[[#This Row],[Billing Date]]</f>
        <v>0</v>
      </c>
      <c r="V278" s="10" t="e">
        <f>Sales4[[#This Row],[Net Value]]-Sales4[[#This Row],[PGI COST]]</f>
        <v>#REF!</v>
      </c>
      <c r="W278" s="11" t="e">
        <f>Sales4[[#This Row],[Gross Margin]]/Sales4[[#This Row],[Net Value]]</f>
        <v>#REF!</v>
      </c>
      <c r="X278" s="1" t="str">
        <f>TEXT(Sales4[[#This Row],[Billing Date]],"mmmm-yy")</f>
        <v>September-25</v>
      </c>
      <c r="Y278" s="1">
        <f>Sales4[[#This Row],[Net Value]]/Sales4[[#This Row],[Billed Quantity]]</f>
        <v>13.26</v>
      </c>
      <c r="Z278" s="117">
        <f>Sales4[[#This Row],[Actual delivery qty]]</f>
        <v>1500</v>
      </c>
      <c r="AA278" s="12" t="e">
        <f>SUM(Sales4[[#This Row],[BOM Cost]:[Other Conversion cost pu]])</f>
        <v>#REF!</v>
      </c>
      <c r="AB27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7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78" s="12">
        <f>IFERROR(VLOOKUP(Sales4[[#This Row],[Material]],'COGS Break up'!#REF!,5,0),0)</f>
        <v>0</v>
      </c>
      <c r="AE27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78" s="48" t="e">
        <f>Sales4[[#This Row],[PGI per unit]]-Sales4[[#This Row],[BOM Cost]]-Sales4[[#This Row],[Labour cost per unit]]-Sales4[[#This Row],[Other Conversion cost pu]]</f>
        <v>#REF!</v>
      </c>
      <c r="AG278" s="48" t="e">
        <f>Sales4[[#This Row],[BOM Cost2]]+Sales4[[#This Row],[Labour Cost]]+Sales4[[#This Row],[Other conversion cost]]</f>
        <v>#REF!</v>
      </c>
      <c r="AH278" s="12" t="e">
        <f>Sales4[[#This Row],[Billed Quantity]]*Sales4[[#This Row],[BOM Cost]]</f>
        <v>#REF!</v>
      </c>
      <c r="AI278" s="12" t="e">
        <f>Sales4[[#This Row],[Billed Quantity]]*Sales4[[#This Row],[Labour cost per unit]]</f>
        <v>#REF!</v>
      </c>
      <c r="AJ278" s="12">
        <f>Sales4[[#This Row],[Droppage per unit]]*Sales4[[#This Row],[Billed Quantity]]</f>
        <v>0</v>
      </c>
      <c r="AK278" s="12" t="e">
        <f>Sales4[[#This Row],[Billed Quantity]]*Sales4[[#This Row],[Other Conversion cost pu]]</f>
        <v>#REF!</v>
      </c>
      <c r="AL278" s="48" t="e">
        <f>Sales4[[#This Row],[PGI Amount]]-Sales4[[#This Row],[BOM Cost2]]-Sales4[[#This Row],[Labour Cost]]-Sales4[[#This Row],[Other conversion cost]]</f>
        <v>#REF!</v>
      </c>
      <c r="AM278" s="121" t="e">
        <f>1-Sales4[[#This Row],[PGI COST]]/Sales4[[#This Row],[Net Value]]</f>
        <v>#REF!</v>
      </c>
      <c r="AN278" s="1">
        <f>Sales4[[#This Row],[PGI Amount]]/Sales4[[#This Row],[Billed Quantity]]</f>
        <v>13</v>
      </c>
      <c r="AO278" s="72" t="e">
        <f>SUMIFS('COGS Break up'!#REF!,'COGS Break up'!#REF!,Sales4[[#This Row],[Material]],'COGS Break up'!#REF!,'MIS Working'!$AO$1)</f>
        <v>#REF!</v>
      </c>
      <c r="AP278" s="72" t="e">
        <f>SUMIFS('COGS Break up'!#REF!,'COGS Break up'!#REF!,Sales4[[#This Row],[Material]],'COGS Break up'!#REF!,'MIS Working'!$AP$1)</f>
        <v>#REF!</v>
      </c>
      <c r="AQ278" s="72" t="e">
        <f>SUMIFS('COGS Break up'!#REF!,'COGS Break up'!#REF!,Sales4[[#This Row],[Material]],'COGS Break up'!#REF!,'MIS Working'!$AQ$1)</f>
        <v>#REF!</v>
      </c>
      <c r="AR278" s="72">
        <f>Sales4[[#This Row],[Droppage per unit]]</f>
        <v>0</v>
      </c>
      <c r="AS278" s="15" t="e">
        <f>AO278*Sales4[[#This Row],[Billed Quantity]]</f>
        <v>#REF!</v>
      </c>
      <c r="AT278" s="72" t="e">
        <f>AP278*Sales4[[#This Row],[Billed Quantity]]</f>
        <v>#REF!</v>
      </c>
      <c r="AU278" s="72" t="e">
        <f>AQ278*Sales4[[#This Row],[Billed Quantity]]</f>
        <v>#REF!</v>
      </c>
      <c r="AV278" s="72">
        <f>AR278*Sales4[[#This Row],[Billed Quantity]]</f>
        <v>0</v>
      </c>
    </row>
    <row r="279" spans="1:48" x14ac:dyDescent="0.3">
      <c r="A279" s="1" t="s">
        <v>1212</v>
      </c>
      <c r="B279" s="2">
        <v>45910</v>
      </c>
      <c r="C279" s="1">
        <v>3271269012</v>
      </c>
      <c r="D279" s="1" t="s">
        <v>1257</v>
      </c>
      <c r="E279" s="1" t="s">
        <v>1258</v>
      </c>
      <c r="F279" s="1" t="s">
        <v>18</v>
      </c>
      <c r="G279" s="1" t="s">
        <v>48</v>
      </c>
      <c r="H279" s="1" t="s">
        <v>207</v>
      </c>
      <c r="I279" s="3">
        <v>1059</v>
      </c>
      <c r="J279" s="4">
        <v>8048.4</v>
      </c>
      <c r="K279" s="3">
        <v>1059</v>
      </c>
      <c r="L279" s="3">
        <v>1059</v>
      </c>
      <c r="M279" s="2">
        <v>45910</v>
      </c>
      <c r="N279" s="4">
        <v>8207.25</v>
      </c>
      <c r="O279" s="1" t="s">
        <v>21</v>
      </c>
      <c r="P279" s="1" t="s">
        <v>22</v>
      </c>
      <c r="Q279" s="1">
        <v>6</v>
      </c>
      <c r="R279" s="1" t="str">
        <f>VLOOKUP(Sales4[[#This Row],[Material type]],Master!$H$3:$I$8,2,0)</f>
        <v>Raw Material</v>
      </c>
      <c r="S279" s="1" t="str">
        <f>VLOOKUP(Sales4[[#This Row],[Material Group]],Master!B:C,2,0)</f>
        <v>RM-Mech. Accessories</v>
      </c>
      <c r="T279" s="1" t="str">
        <f>VLOOKUP(Sales4[[#This Row],[Material Group Descrip]],Master!E:F,2,0)</f>
        <v>Raw Material</v>
      </c>
      <c r="U279" s="9" t="b">
        <f ca="1">(TODAY()-1)=Sales4[[#This Row],[Billing Date]]</f>
        <v>0</v>
      </c>
      <c r="V279" s="10" t="e">
        <f>Sales4[[#This Row],[Net Value]]-Sales4[[#This Row],[PGI COST]]</f>
        <v>#REF!</v>
      </c>
      <c r="W279" s="11" t="e">
        <f>Sales4[[#This Row],[Gross Margin]]/Sales4[[#This Row],[Net Value]]</f>
        <v>#REF!</v>
      </c>
      <c r="X279" s="1" t="str">
        <f>TEXT(Sales4[[#This Row],[Billing Date]],"mmmm-yy")</f>
        <v>September-25</v>
      </c>
      <c r="Y279" s="1">
        <f>Sales4[[#This Row],[Net Value]]/Sales4[[#This Row],[Billed Quantity]]</f>
        <v>7.75</v>
      </c>
      <c r="Z279" s="117">
        <f>Sales4[[#This Row],[Actual delivery qty]]</f>
        <v>1059</v>
      </c>
      <c r="AA279" s="12" t="e">
        <f>SUM(Sales4[[#This Row],[BOM Cost]:[Other Conversion cost pu]])</f>
        <v>#REF!</v>
      </c>
      <c r="AB27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7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79" s="12">
        <f>IFERROR(VLOOKUP(Sales4[[#This Row],[Material]],'COGS Break up'!#REF!,5,0),0)</f>
        <v>0</v>
      </c>
      <c r="AE27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79" s="48" t="e">
        <f>Sales4[[#This Row],[PGI per unit]]-Sales4[[#This Row],[BOM Cost]]-Sales4[[#This Row],[Labour cost per unit]]-Sales4[[#This Row],[Other Conversion cost pu]]</f>
        <v>#REF!</v>
      </c>
      <c r="AG279" s="48" t="e">
        <f>Sales4[[#This Row],[BOM Cost2]]+Sales4[[#This Row],[Labour Cost]]+Sales4[[#This Row],[Other conversion cost]]</f>
        <v>#REF!</v>
      </c>
      <c r="AH279" s="12" t="e">
        <f>Sales4[[#This Row],[Billed Quantity]]*Sales4[[#This Row],[BOM Cost]]</f>
        <v>#REF!</v>
      </c>
      <c r="AI279" s="12" t="e">
        <f>Sales4[[#This Row],[Billed Quantity]]*Sales4[[#This Row],[Labour cost per unit]]</f>
        <v>#REF!</v>
      </c>
      <c r="AJ279" s="12">
        <f>Sales4[[#This Row],[Droppage per unit]]*Sales4[[#This Row],[Billed Quantity]]</f>
        <v>0</v>
      </c>
      <c r="AK279" s="12" t="e">
        <f>Sales4[[#This Row],[Billed Quantity]]*Sales4[[#This Row],[Other Conversion cost pu]]</f>
        <v>#REF!</v>
      </c>
      <c r="AL279" s="48" t="e">
        <f>Sales4[[#This Row],[PGI Amount]]-Sales4[[#This Row],[BOM Cost2]]-Sales4[[#This Row],[Labour Cost]]-Sales4[[#This Row],[Other conversion cost]]</f>
        <v>#REF!</v>
      </c>
      <c r="AM279" s="121" t="e">
        <f>1-Sales4[[#This Row],[PGI COST]]/Sales4[[#This Row],[Net Value]]</f>
        <v>#REF!</v>
      </c>
      <c r="AN279" s="1">
        <f>Sales4[[#This Row],[PGI Amount]]/Sales4[[#This Row],[Billed Quantity]]</f>
        <v>7.6</v>
      </c>
      <c r="AO279" s="72" t="e">
        <f>SUMIFS('COGS Break up'!#REF!,'COGS Break up'!#REF!,Sales4[[#This Row],[Material]],'COGS Break up'!#REF!,'MIS Working'!$AO$1)</f>
        <v>#REF!</v>
      </c>
      <c r="AP279" s="72" t="e">
        <f>SUMIFS('COGS Break up'!#REF!,'COGS Break up'!#REF!,Sales4[[#This Row],[Material]],'COGS Break up'!#REF!,'MIS Working'!$AP$1)</f>
        <v>#REF!</v>
      </c>
      <c r="AQ279" s="72" t="e">
        <f>SUMIFS('COGS Break up'!#REF!,'COGS Break up'!#REF!,Sales4[[#This Row],[Material]],'COGS Break up'!#REF!,'MIS Working'!$AQ$1)</f>
        <v>#REF!</v>
      </c>
      <c r="AR279" s="72">
        <f>Sales4[[#This Row],[Droppage per unit]]</f>
        <v>0</v>
      </c>
      <c r="AS279" s="15" t="e">
        <f>AO279*Sales4[[#This Row],[Billed Quantity]]</f>
        <v>#REF!</v>
      </c>
      <c r="AT279" s="72" t="e">
        <f>AP279*Sales4[[#This Row],[Billed Quantity]]</f>
        <v>#REF!</v>
      </c>
      <c r="AU279" s="72" t="e">
        <f>AQ279*Sales4[[#This Row],[Billed Quantity]]</f>
        <v>#REF!</v>
      </c>
      <c r="AV279" s="72">
        <f>AR279*Sales4[[#This Row],[Billed Quantity]]</f>
        <v>0</v>
      </c>
    </row>
    <row r="280" spans="1:48" x14ac:dyDescent="0.3">
      <c r="A280" s="1" t="s">
        <v>1212</v>
      </c>
      <c r="B280" s="2">
        <v>45910</v>
      </c>
      <c r="C280" s="1">
        <v>3271269012</v>
      </c>
      <c r="D280" s="1" t="s">
        <v>1381</v>
      </c>
      <c r="E280" s="1" t="s">
        <v>1382</v>
      </c>
      <c r="F280" s="1" t="s">
        <v>18</v>
      </c>
      <c r="G280" s="1" t="s">
        <v>48</v>
      </c>
      <c r="H280" s="1" t="s">
        <v>207</v>
      </c>
      <c r="I280" s="3">
        <v>7000</v>
      </c>
      <c r="J280" s="4">
        <v>105000</v>
      </c>
      <c r="K280" s="3">
        <v>7000</v>
      </c>
      <c r="L280" s="3">
        <v>7000</v>
      </c>
      <c r="M280" s="2">
        <v>45910</v>
      </c>
      <c r="N280" s="4">
        <v>107100</v>
      </c>
      <c r="O280" s="1" t="s">
        <v>21</v>
      </c>
      <c r="P280" s="1" t="s">
        <v>22</v>
      </c>
      <c r="Q280" s="1">
        <v>6</v>
      </c>
      <c r="R280" s="1" t="str">
        <f>VLOOKUP(Sales4[[#This Row],[Material type]],Master!$H$3:$I$8,2,0)</f>
        <v>Raw Material</v>
      </c>
      <c r="S280" s="1" t="str">
        <f>VLOOKUP(Sales4[[#This Row],[Material Group]],Master!B:C,2,0)</f>
        <v>RM-Mech. Accessories</v>
      </c>
      <c r="T280" s="1" t="str">
        <f>VLOOKUP(Sales4[[#This Row],[Material Group Descrip]],Master!E:F,2,0)</f>
        <v>Raw Material</v>
      </c>
      <c r="U280" s="9" t="b">
        <f ca="1">(TODAY()-1)=Sales4[[#This Row],[Billing Date]]</f>
        <v>0</v>
      </c>
      <c r="V280" s="10" t="e">
        <f>Sales4[[#This Row],[Net Value]]-Sales4[[#This Row],[PGI COST]]</f>
        <v>#REF!</v>
      </c>
      <c r="W280" s="11" t="e">
        <f>Sales4[[#This Row],[Gross Margin]]/Sales4[[#This Row],[Net Value]]</f>
        <v>#REF!</v>
      </c>
      <c r="X280" s="1" t="str">
        <f>TEXT(Sales4[[#This Row],[Billing Date]],"mmmm-yy")</f>
        <v>September-25</v>
      </c>
      <c r="Y280" s="1">
        <f>Sales4[[#This Row],[Net Value]]/Sales4[[#This Row],[Billed Quantity]]</f>
        <v>15.3</v>
      </c>
      <c r="Z280" s="117">
        <f>Sales4[[#This Row],[Actual delivery qty]]</f>
        <v>7000</v>
      </c>
      <c r="AA280" s="12" t="e">
        <f>SUM(Sales4[[#This Row],[BOM Cost]:[Other Conversion cost pu]])</f>
        <v>#REF!</v>
      </c>
      <c r="AB28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8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80" s="12">
        <f>IFERROR(VLOOKUP(Sales4[[#This Row],[Material]],'COGS Break up'!#REF!,5,0),0)</f>
        <v>0</v>
      </c>
      <c r="AE28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80" s="48" t="e">
        <f>Sales4[[#This Row],[PGI per unit]]-Sales4[[#This Row],[BOM Cost]]-Sales4[[#This Row],[Labour cost per unit]]-Sales4[[#This Row],[Other Conversion cost pu]]</f>
        <v>#REF!</v>
      </c>
      <c r="AG280" s="48" t="e">
        <f>Sales4[[#This Row],[BOM Cost2]]+Sales4[[#This Row],[Labour Cost]]+Sales4[[#This Row],[Other conversion cost]]</f>
        <v>#REF!</v>
      </c>
      <c r="AH280" s="12" t="e">
        <f>Sales4[[#This Row],[Billed Quantity]]*Sales4[[#This Row],[BOM Cost]]</f>
        <v>#REF!</v>
      </c>
      <c r="AI280" s="12" t="e">
        <f>Sales4[[#This Row],[Billed Quantity]]*Sales4[[#This Row],[Labour cost per unit]]</f>
        <v>#REF!</v>
      </c>
      <c r="AJ280" s="12">
        <f>Sales4[[#This Row],[Droppage per unit]]*Sales4[[#This Row],[Billed Quantity]]</f>
        <v>0</v>
      </c>
      <c r="AK280" s="12" t="e">
        <f>Sales4[[#This Row],[Billed Quantity]]*Sales4[[#This Row],[Other Conversion cost pu]]</f>
        <v>#REF!</v>
      </c>
      <c r="AL280" s="48" t="e">
        <f>Sales4[[#This Row],[PGI Amount]]-Sales4[[#This Row],[BOM Cost2]]-Sales4[[#This Row],[Labour Cost]]-Sales4[[#This Row],[Other conversion cost]]</f>
        <v>#REF!</v>
      </c>
      <c r="AM280" s="121" t="e">
        <f>1-Sales4[[#This Row],[PGI COST]]/Sales4[[#This Row],[Net Value]]</f>
        <v>#REF!</v>
      </c>
      <c r="AN280" s="1">
        <f>Sales4[[#This Row],[PGI Amount]]/Sales4[[#This Row],[Billed Quantity]]</f>
        <v>15</v>
      </c>
      <c r="AO280" s="72" t="e">
        <f>SUMIFS('COGS Break up'!#REF!,'COGS Break up'!#REF!,Sales4[[#This Row],[Material]],'COGS Break up'!#REF!,'MIS Working'!$AO$1)</f>
        <v>#REF!</v>
      </c>
      <c r="AP280" s="72" t="e">
        <f>SUMIFS('COGS Break up'!#REF!,'COGS Break up'!#REF!,Sales4[[#This Row],[Material]],'COGS Break up'!#REF!,'MIS Working'!$AP$1)</f>
        <v>#REF!</v>
      </c>
      <c r="AQ280" s="72" t="e">
        <f>SUMIFS('COGS Break up'!#REF!,'COGS Break up'!#REF!,Sales4[[#This Row],[Material]],'COGS Break up'!#REF!,'MIS Working'!$AQ$1)</f>
        <v>#REF!</v>
      </c>
      <c r="AR280" s="72">
        <f>Sales4[[#This Row],[Droppage per unit]]</f>
        <v>0</v>
      </c>
      <c r="AS280" s="15" t="e">
        <f>AO280*Sales4[[#This Row],[Billed Quantity]]</f>
        <v>#REF!</v>
      </c>
      <c r="AT280" s="72" t="e">
        <f>AP280*Sales4[[#This Row],[Billed Quantity]]</f>
        <v>#REF!</v>
      </c>
      <c r="AU280" s="72" t="e">
        <f>AQ280*Sales4[[#This Row],[Billed Quantity]]</f>
        <v>#REF!</v>
      </c>
      <c r="AV280" s="72">
        <f>AR280*Sales4[[#This Row],[Billed Quantity]]</f>
        <v>0</v>
      </c>
    </row>
    <row r="281" spans="1:48" x14ac:dyDescent="0.3">
      <c r="A281" s="1" t="s">
        <v>1212</v>
      </c>
      <c r="B281" s="2">
        <v>45910</v>
      </c>
      <c r="C281" s="1">
        <v>3271269012</v>
      </c>
      <c r="D281" s="1" t="s">
        <v>1383</v>
      </c>
      <c r="E281" s="1" t="s">
        <v>1384</v>
      </c>
      <c r="F281" s="1" t="s">
        <v>18</v>
      </c>
      <c r="G281" s="1" t="s">
        <v>48</v>
      </c>
      <c r="H281" s="1" t="s">
        <v>207</v>
      </c>
      <c r="I281" s="3">
        <v>5200</v>
      </c>
      <c r="J281" s="4">
        <v>769507.96</v>
      </c>
      <c r="K281" s="3">
        <v>5200</v>
      </c>
      <c r="L281" s="3">
        <v>5200</v>
      </c>
      <c r="M281" s="2">
        <v>45910</v>
      </c>
      <c r="N281" s="4">
        <v>844688</v>
      </c>
      <c r="O281" s="1" t="s">
        <v>21</v>
      </c>
      <c r="P281" s="1" t="s">
        <v>22</v>
      </c>
      <c r="Q281" s="1">
        <v>6</v>
      </c>
      <c r="R281" s="1" t="str">
        <f>VLOOKUP(Sales4[[#This Row],[Material type]],Master!$H$3:$I$8,2,0)</f>
        <v>Raw Material</v>
      </c>
      <c r="S281" s="1" t="str">
        <f>VLOOKUP(Sales4[[#This Row],[Material Group]],Master!B:C,2,0)</f>
        <v>RM-Mech. Accessories</v>
      </c>
      <c r="T281" s="1" t="str">
        <f>VLOOKUP(Sales4[[#This Row],[Material Group Descrip]],Master!E:F,2,0)</f>
        <v>Raw Material</v>
      </c>
      <c r="U281" s="9" t="b">
        <f ca="1">(TODAY()-1)=Sales4[[#This Row],[Billing Date]]</f>
        <v>0</v>
      </c>
      <c r="V281" s="10" t="e">
        <f>Sales4[[#This Row],[Net Value]]-Sales4[[#This Row],[PGI COST]]</f>
        <v>#REF!</v>
      </c>
      <c r="W281" s="11" t="e">
        <f>Sales4[[#This Row],[Gross Margin]]/Sales4[[#This Row],[Net Value]]</f>
        <v>#REF!</v>
      </c>
      <c r="X281" s="1" t="str">
        <f>TEXT(Sales4[[#This Row],[Billing Date]],"mmmm-yy")</f>
        <v>September-25</v>
      </c>
      <c r="Y281" s="1">
        <f>Sales4[[#This Row],[Net Value]]/Sales4[[#This Row],[Billed Quantity]]</f>
        <v>162.44</v>
      </c>
      <c r="Z281" s="117">
        <f>Sales4[[#This Row],[Actual delivery qty]]</f>
        <v>5200</v>
      </c>
      <c r="AA281" s="12" t="e">
        <f>SUM(Sales4[[#This Row],[BOM Cost]:[Other Conversion cost pu]])</f>
        <v>#REF!</v>
      </c>
      <c r="AB28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8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81" s="12">
        <f>IFERROR(VLOOKUP(Sales4[[#This Row],[Material]],'COGS Break up'!#REF!,5,0),0)</f>
        <v>0</v>
      </c>
      <c r="AE28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81" s="48" t="e">
        <f>Sales4[[#This Row],[PGI per unit]]-Sales4[[#This Row],[BOM Cost]]-Sales4[[#This Row],[Labour cost per unit]]-Sales4[[#This Row],[Other Conversion cost pu]]</f>
        <v>#REF!</v>
      </c>
      <c r="AG281" s="48" t="e">
        <f>Sales4[[#This Row],[BOM Cost2]]+Sales4[[#This Row],[Labour Cost]]+Sales4[[#This Row],[Other conversion cost]]</f>
        <v>#REF!</v>
      </c>
      <c r="AH281" s="12" t="e">
        <f>Sales4[[#This Row],[Billed Quantity]]*Sales4[[#This Row],[BOM Cost]]</f>
        <v>#REF!</v>
      </c>
      <c r="AI281" s="12" t="e">
        <f>Sales4[[#This Row],[Billed Quantity]]*Sales4[[#This Row],[Labour cost per unit]]</f>
        <v>#REF!</v>
      </c>
      <c r="AJ281" s="12">
        <f>Sales4[[#This Row],[Droppage per unit]]*Sales4[[#This Row],[Billed Quantity]]</f>
        <v>0</v>
      </c>
      <c r="AK281" s="12" t="e">
        <f>Sales4[[#This Row],[Billed Quantity]]*Sales4[[#This Row],[Other Conversion cost pu]]</f>
        <v>#REF!</v>
      </c>
      <c r="AL281" s="48" t="e">
        <f>Sales4[[#This Row],[PGI Amount]]-Sales4[[#This Row],[BOM Cost2]]-Sales4[[#This Row],[Labour Cost]]-Sales4[[#This Row],[Other conversion cost]]</f>
        <v>#REF!</v>
      </c>
      <c r="AM281" s="121" t="e">
        <f>1-Sales4[[#This Row],[PGI COST]]/Sales4[[#This Row],[Net Value]]</f>
        <v>#REF!</v>
      </c>
      <c r="AN281" s="1">
        <f>Sales4[[#This Row],[PGI Amount]]/Sales4[[#This Row],[Billed Quantity]]</f>
        <v>147.98229999999998</v>
      </c>
      <c r="AO281" s="72" t="e">
        <f>SUMIFS('COGS Break up'!#REF!,'COGS Break up'!#REF!,Sales4[[#This Row],[Material]],'COGS Break up'!#REF!,'MIS Working'!$AO$1)</f>
        <v>#REF!</v>
      </c>
      <c r="AP281" s="72" t="e">
        <f>SUMIFS('COGS Break up'!#REF!,'COGS Break up'!#REF!,Sales4[[#This Row],[Material]],'COGS Break up'!#REF!,'MIS Working'!$AP$1)</f>
        <v>#REF!</v>
      </c>
      <c r="AQ281" s="72" t="e">
        <f>SUMIFS('COGS Break up'!#REF!,'COGS Break up'!#REF!,Sales4[[#This Row],[Material]],'COGS Break up'!#REF!,'MIS Working'!$AQ$1)</f>
        <v>#REF!</v>
      </c>
      <c r="AR281" s="72">
        <f>Sales4[[#This Row],[Droppage per unit]]</f>
        <v>0</v>
      </c>
      <c r="AS281" s="15" t="e">
        <f>AO281*Sales4[[#This Row],[Billed Quantity]]</f>
        <v>#REF!</v>
      </c>
      <c r="AT281" s="72" t="e">
        <f>AP281*Sales4[[#This Row],[Billed Quantity]]</f>
        <v>#REF!</v>
      </c>
      <c r="AU281" s="72" t="e">
        <f>AQ281*Sales4[[#This Row],[Billed Quantity]]</f>
        <v>#REF!</v>
      </c>
      <c r="AV281" s="72">
        <f>AR281*Sales4[[#This Row],[Billed Quantity]]</f>
        <v>0</v>
      </c>
    </row>
    <row r="282" spans="1:48" x14ac:dyDescent="0.3">
      <c r="A282" s="1" t="s">
        <v>1212</v>
      </c>
      <c r="B282" s="2">
        <v>45910</v>
      </c>
      <c r="C282" s="1">
        <v>3271269012</v>
      </c>
      <c r="D282" s="1" t="s">
        <v>1283</v>
      </c>
      <c r="E282" s="1" t="s">
        <v>1284</v>
      </c>
      <c r="F282" s="1" t="s">
        <v>18</v>
      </c>
      <c r="G282" s="1" t="s">
        <v>48</v>
      </c>
      <c r="H282" s="1" t="s">
        <v>207</v>
      </c>
      <c r="I282" s="3">
        <v>5000</v>
      </c>
      <c r="J282" s="4">
        <v>19483.32</v>
      </c>
      <c r="K282" s="3">
        <v>5000</v>
      </c>
      <c r="L282" s="3">
        <v>5000</v>
      </c>
      <c r="M282" s="2">
        <v>45910</v>
      </c>
      <c r="N282" s="4">
        <v>25150</v>
      </c>
      <c r="O282" s="1" t="s">
        <v>21</v>
      </c>
      <c r="P282" s="1" t="s">
        <v>22</v>
      </c>
      <c r="Q282" s="1">
        <v>6</v>
      </c>
      <c r="R282" s="1" t="str">
        <f>VLOOKUP(Sales4[[#This Row],[Material type]],Master!$H$3:$I$8,2,0)</f>
        <v>Raw Material</v>
      </c>
      <c r="S282" s="1" t="str">
        <f>VLOOKUP(Sales4[[#This Row],[Material Group]],Master!B:C,2,0)</f>
        <v>RM-Mech. Accessories</v>
      </c>
      <c r="T282" s="1" t="str">
        <f>VLOOKUP(Sales4[[#This Row],[Material Group Descrip]],Master!E:F,2,0)</f>
        <v>Raw Material</v>
      </c>
      <c r="U282" s="9" t="b">
        <f ca="1">(TODAY()-1)=Sales4[[#This Row],[Billing Date]]</f>
        <v>0</v>
      </c>
      <c r="V282" s="10" t="e">
        <f>Sales4[[#This Row],[Net Value]]-Sales4[[#This Row],[PGI COST]]</f>
        <v>#REF!</v>
      </c>
      <c r="W282" s="11" t="e">
        <f>Sales4[[#This Row],[Gross Margin]]/Sales4[[#This Row],[Net Value]]</f>
        <v>#REF!</v>
      </c>
      <c r="X282" s="1" t="str">
        <f>TEXT(Sales4[[#This Row],[Billing Date]],"mmmm-yy")</f>
        <v>September-25</v>
      </c>
      <c r="Y282" s="1">
        <f>Sales4[[#This Row],[Net Value]]/Sales4[[#This Row],[Billed Quantity]]</f>
        <v>5.03</v>
      </c>
      <c r="Z282" s="117">
        <f>Sales4[[#This Row],[Actual delivery qty]]</f>
        <v>5000</v>
      </c>
      <c r="AA282" s="12" t="e">
        <f>SUM(Sales4[[#This Row],[BOM Cost]:[Other Conversion cost pu]])</f>
        <v>#REF!</v>
      </c>
      <c r="AB28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8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82" s="12">
        <f>IFERROR(VLOOKUP(Sales4[[#This Row],[Material]],'COGS Break up'!#REF!,5,0),0)</f>
        <v>0</v>
      </c>
      <c r="AE28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82" s="48" t="e">
        <f>Sales4[[#This Row],[PGI per unit]]-Sales4[[#This Row],[BOM Cost]]-Sales4[[#This Row],[Labour cost per unit]]-Sales4[[#This Row],[Other Conversion cost pu]]</f>
        <v>#REF!</v>
      </c>
      <c r="AG282" s="48" t="e">
        <f>Sales4[[#This Row],[BOM Cost2]]+Sales4[[#This Row],[Labour Cost]]+Sales4[[#This Row],[Other conversion cost]]</f>
        <v>#REF!</v>
      </c>
      <c r="AH282" s="12" t="e">
        <f>Sales4[[#This Row],[Billed Quantity]]*Sales4[[#This Row],[BOM Cost]]</f>
        <v>#REF!</v>
      </c>
      <c r="AI282" s="12" t="e">
        <f>Sales4[[#This Row],[Billed Quantity]]*Sales4[[#This Row],[Labour cost per unit]]</f>
        <v>#REF!</v>
      </c>
      <c r="AJ282" s="12">
        <f>Sales4[[#This Row],[Droppage per unit]]*Sales4[[#This Row],[Billed Quantity]]</f>
        <v>0</v>
      </c>
      <c r="AK282" s="12" t="e">
        <f>Sales4[[#This Row],[Billed Quantity]]*Sales4[[#This Row],[Other Conversion cost pu]]</f>
        <v>#REF!</v>
      </c>
      <c r="AL282" s="48" t="e">
        <f>Sales4[[#This Row],[PGI Amount]]-Sales4[[#This Row],[BOM Cost2]]-Sales4[[#This Row],[Labour Cost]]-Sales4[[#This Row],[Other conversion cost]]</f>
        <v>#REF!</v>
      </c>
      <c r="AM282" s="121" t="e">
        <f>1-Sales4[[#This Row],[PGI COST]]/Sales4[[#This Row],[Net Value]]</f>
        <v>#REF!</v>
      </c>
      <c r="AN282" s="1">
        <f>Sales4[[#This Row],[PGI Amount]]/Sales4[[#This Row],[Billed Quantity]]</f>
        <v>3.8966639999999999</v>
      </c>
      <c r="AO282" s="72" t="e">
        <f>SUMIFS('COGS Break up'!#REF!,'COGS Break up'!#REF!,Sales4[[#This Row],[Material]],'COGS Break up'!#REF!,'MIS Working'!$AO$1)</f>
        <v>#REF!</v>
      </c>
      <c r="AP282" s="72" t="e">
        <f>SUMIFS('COGS Break up'!#REF!,'COGS Break up'!#REF!,Sales4[[#This Row],[Material]],'COGS Break up'!#REF!,'MIS Working'!$AP$1)</f>
        <v>#REF!</v>
      </c>
      <c r="AQ282" s="72" t="e">
        <f>SUMIFS('COGS Break up'!#REF!,'COGS Break up'!#REF!,Sales4[[#This Row],[Material]],'COGS Break up'!#REF!,'MIS Working'!$AQ$1)</f>
        <v>#REF!</v>
      </c>
      <c r="AR282" s="72">
        <f>Sales4[[#This Row],[Droppage per unit]]</f>
        <v>0</v>
      </c>
      <c r="AS282" s="15" t="e">
        <f>AO282*Sales4[[#This Row],[Billed Quantity]]</f>
        <v>#REF!</v>
      </c>
      <c r="AT282" s="72" t="e">
        <f>AP282*Sales4[[#This Row],[Billed Quantity]]</f>
        <v>#REF!</v>
      </c>
      <c r="AU282" s="72" t="e">
        <f>AQ282*Sales4[[#This Row],[Billed Quantity]]</f>
        <v>#REF!</v>
      </c>
      <c r="AV282" s="72">
        <f>AR282*Sales4[[#This Row],[Billed Quantity]]</f>
        <v>0</v>
      </c>
    </row>
    <row r="283" spans="1:48" x14ac:dyDescent="0.3">
      <c r="A283" s="1" t="s">
        <v>1212</v>
      </c>
      <c r="B283" s="2">
        <v>45910</v>
      </c>
      <c r="C283" s="1">
        <v>3271269098</v>
      </c>
      <c r="D283" s="1" t="s">
        <v>1285</v>
      </c>
      <c r="E283" s="1" t="s">
        <v>1286</v>
      </c>
      <c r="F283" s="1" t="s">
        <v>18</v>
      </c>
      <c r="G283" s="1" t="s">
        <v>48</v>
      </c>
      <c r="H283" s="1" t="s">
        <v>207</v>
      </c>
      <c r="I283" s="3">
        <v>3000</v>
      </c>
      <c r="J283" s="4">
        <v>43795.91</v>
      </c>
      <c r="K283" s="3">
        <v>3000</v>
      </c>
      <c r="L283" s="3">
        <v>3000</v>
      </c>
      <c r="M283" s="2">
        <v>45910</v>
      </c>
      <c r="N283" s="4">
        <v>35130</v>
      </c>
      <c r="O283" s="1" t="s">
        <v>21</v>
      </c>
      <c r="P283" s="1" t="s">
        <v>22</v>
      </c>
      <c r="Q283" s="1">
        <v>6</v>
      </c>
      <c r="R283" s="1" t="str">
        <f>VLOOKUP(Sales4[[#This Row],[Material type]],Master!$H$3:$I$8,2,0)</f>
        <v>Raw Material</v>
      </c>
      <c r="S283" s="1" t="str">
        <f>VLOOKUP(Sales4[[#This Row],[Material Group]],Master!B:C,2,0)</f>
        <v>RM-Mech. Accessories</v>
      </c>
      <c r="T283" s="1" t="str">
        <f>VLOOKUP(Sales4[[#This Row],[Material Group Descrip]],Master!E:F,2,0)</f>
        <v>Raw Material</v>
      </c>
      <c r="U283" s="9" t="b">
        <f ca="1">(TODAY()-1)=Sales4[[#This Row],[Billing Date]]</f>
        <v>0</v>
      </c>
      <c r="V283" s="10" t="e">
        <f>Sales4[[#This Row],[Net Value]]-Sales4[[#This Row],[PGI COST]]</f>
        <v>#REF!</v>
      </c>
      <c r="W283" s="11" t="e">
        <f>Sales4[[#This Row],[Gross Margin]]/Sales4[[#This Row],[Net Value]]</f>
        <v>#REF!</v>
      </c>
      <c r="X283" s="1" t="str">
        <f>TEXT(Sales4[[#This Row],[Billing Date]],"mmmm-yy")</f>
        <v>September-25</v>
      </c>
      <c r="Y283" s="1">
        <f>Sales4[[#This Row],[Net Value]]/Sales4[[#This Row],[Billed Quantity]]</f>
        <v>11.71</v>
      </c>
      <c r="Z283" s="117">
        <f>Sales4[[#This Row],[Actual delivery qty]]</f>
        <v>3000</v>
      </c>
      <c r="AA283" s="12" t="e">
        <f>SUM(Sales4[[#This Row],[BOM Cost]:[Other Conversion cost pu]])</f>
        <v>#REF!</v>
      </c>
      <c r="AB28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8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83" s="12">
        <f>IFERROR(VLOOKUP(Sales4[[#This Row],[Material]],'COGS Break up'!#REF!,5,0),0)</f>
        <v>0</v>
      </c>
      <c r="AE28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83" s="48" t="e">
        <f>Sales4[[#This Row],[PGI per unit]]-Sales4[[#This Row],[BOM Cost]]-Sales4[[#This Row],[Labour cost per unit]]-Sales4[[#This Row],[Other Conversion cost pu]]</f>
        <v>#REF!</v>
      </c>
      <c r="AG283" s="48" t="e">
        <f>Sales4[[#This Row],[BOM Cost2]]+Sales4[[#This Row],[Labour Cost]]+Sales4[[#This Row],[Other conversion cost]]</f>
        <v>#REF!</v>
      </c>
      <c r="AH283" s="12" t="e">
        <f>Sales4[[#This Row],[Billed Quantity]]*Sales4[[#This Row],[BOM Cost]]</f>
        <v>#REF!</v>
      </c>
      <c r="AI283" s="12" t="e">
        <f>Sales4[[#This Row],[Billed Quantity]]*Sales4[[#This Row],[Labour cost per unit]]</f>
        <v>#REF!</v>
      </c>
      <c r="AJ283" s="12">
        <f>Sales4[[#This Row],[Droppage per unit]]*Sales4[[#This Row],[Billed Quantity]]</f>
        <v>0</v>
      </c>
      <c r="AK283" s="12" t="e">
        <f>Sales4[[#This Row],[Billed Quantity]]*Sales4[[#This Row],[Other Conversion cost pu]]</f>
        <v>#REF!</v>
      </c>
      <c r="AL283" s="48" t="e">
        <f>Sales4[[#This Row],[PGI Amount]]-Sales4[[#This Row],[BOM Cost2]]-Sales4[[#This Row],[Labour Cost]]-Sales4[[#This Row],[Other conversion cost]]</f>
        <v>#REF!</v>
      </c>
      <c r="AM283" s="121" t="e">
        <f>1-Sales4[[#This Row],[PGI COST]]/Sales4[[#This Row],[Net Value]]</f>
        <v>#REF!</v>
      </c>
      <c r="AN283" s="1">
        <f>Sales4[[#This Row],[PGI Amount]]/Sales4[[#This Row],[Billed Quantity]]</f>
        <v>14.598636666666668</v>
      </c>
      <c r="AO283" s="72" t="e">
        <f>SUMIFS('COGS Break up'!#REF!,'COGS Break up'!#REF!,Sales4[[#This Row],[Material]],'COGS Break up'!#REF!,'MIS Working'!$AO$1)</f>
        <v>#REF!</v>
      </c>
      <c r="AP283" s="72" t="e">
        <f>SUMIFS('COGS Break up'!#REF!,'COGS Break up'!#REF!,Sales4[[#This Row],[Material]],'COGS Break up'!#REF!,'MIS Working'!$AP$1)</f>
        <v>#REF!</v>
      </c>
      <c r="AQ283" s="72" t="e">
        <f>SUMIFS('COGS Break up'!#REF!,'COGS Break up'!#REF!,Sales4[[#This Row],[Material]],'COGS Break up'!#REF!,'MIS Working'!$AQ$1)</f>
        <v>#REF!</v>
      </c>
      <c r="AR283" s="72">
        <f>Sales4[[#This Row],[Droppage per unit]]</f>
        <v>0</v>
      </c>
      <c r="AS283" s="15" t="e">
        <f>AO283*Sales4[[#This Row],[Billed Quantity]]</f>
        <v>#REF!</v>
      </c>
      <c r="AT283" s="72" t="e">
        <f>AP283*Sales4[[#This Row],[Billed Quantity]]</f>
        <v>#REF!</v>
      </c>
      <c r="AU283" s="72" t="e">
        <f>AQ283*Sales4[[#This Row],[Billed Quantity]]</f>
        <v>#REF!</v>
      </c>
      <c r="AV283" s="72">
        <f>AR283*Sales4[[#This Row],[Billed Quantity]]</f>
        <v>0</v>
      </c>
    </row>
    <row r="284" spans="1:48" x14ac:dyDescent="0.3">
      <c r="A284" s="1" t="s">
        <v>1212</v>
      </c>
      <c r="B284" s="2">
        <v>45910</v>
      </c>
      <c r="C284" s="1">
        <v>3271269012</v>
      </c>
      <c r="D284" s="1" t="s">
        <v>1385</v>
      </c>
      <c r="E284" s="1" t="s">
        <v>1386</v>
      </c>
      <c r="F284" s="1" t="s">
        <v>18</v>
      </c>
      <c r="G284" s="1" t="s">
        <v>48</v>
      </c>
      <c r="H284" s="1" t="s">
        <v>207</v>
      </c>
      <c r="I284" s="3">
        <v>5000</v>
      </c>
      <c r="J284" s="4">
        <v>61600</v>
      </c>
      <c r="K284" s="3">
        <v>5000</v>
      </c>
      <c r="L284" s="3">
        <v>5000</v>
      </c>
      <c r="M284" s="2">
        <v>45910</v>
      </c>
      <c r="N284" s="4">
        <v>62850</v>
      </c>
      <c r="O284" s="1" t="s">
        <v>21</v>
      </c>
      <c r="P284" s="1" t="s">
        <v>22</v>
      </c>
      <c r="Q284" s="1">
        <v>6</v>
      </c>
      <c r="R284" s="1" t="str">
        <f>VLOOKUP(Sales4[[#This Row],[Material type]],Master!$H$3:$I$8,2,0)</f>
        <v>Raw Material</v>
      </c>
      <c r="S284" s="1" t="str">
        <f>VLOOKUP(Sales4[[#This Row],[Material Group]],Master!B:C,2,0)</f>
        <v>RM-Mech. Accessories</v>
      </c>
      <c r="T284" s="1" t="str">
        <f>VLOOKUP(Sales4[[#This Row],[Material Group Descrip]],Master!E:F,2,0)</f>
        <v>Raw Material</v>
      </c>
      <c r="U284" s="9" t="b">
        <f ca="1">(TODAY()-1)=Sales4[[#This Row],[Billing Date]]</f>
        <v>0</v>
      </c>
      <c r="V284" s="10" t="e">
        <f>Sales4[[#This Row],[Net Value]]-Sales4[[#This Row],[PGI COST]]</f>
        <v>#REF!</v>
      </c>
      <c r="W284" s="11" t="e">
        <f>Sales4[[#This Row],[Gross Margin]]/Sales4[[#This Row],[Net Value]]</f>
        <v>#REF!</v>
      </c>
      <c r="X284" s="1" t="str">
        <f>TEXT(Sales4[[#This Row],[Billing Date]],"mmmm-yy")</f>
        <v>September-25</v>
      </c>
      <c r="Y284" s="1">
        <f>Sales4[[#This Row],[Net Value]]/Sales4[[#This Row],[Billed Quantity]]</f>
        <v>12.57</v>
      </c>
      <c r="Z284" s="117">
        <f>Sales4[[#This Row],[Actual delivery qty]]</f>
        <v>5000</v>
      </c>
      <c r="AA284" s="12" t="e">
        <f>SUM(Sales4[[#This Row],[BOM Cost]:[Other Conversion cost pu]])</f>
        <v>#REF!</v>
      </c>
      <c r="AB28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8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84" s="12">
        <f>IFERROR(VLOOKUP(Sales4[[#This Row],[Material]],'COGS Break up'!#REF!,5,0),0)</f>
        <v>0</v>
      </c>
      <c r="AE28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84" s="48" t="e">
        <f>Sales4[[#This Row],[PGI per unit]]-Sales4[[#This Row],[BOM Cost]]-Sales4[[#This Row],[Labour cost per unit]]-Sales4[[#This Row],[Other Conversion cost pu]]</f>
        <v>#REF!</v>
      </c>
      <c r="AG284" s="48" t="e">
        <f>Sales4[[#This Row],[BOM Cost2]]+Sales4[[#This Row],[Labour Cost]]+Sales4[[#This Row],[Other conversion cost]]</f>
        <v>#REF!</v>
      </c>
      <c r="AH284" s="12" t="e">
        <f>Sales4[[#This Row],[Billed Quantity]]*Sales4[[#This Row],[BOM Cost]]</f>
        <v>#REF!</v>
      </c>
      <c r="AI284" s="12" t="e">
        <f>Sales4[[#This Row],[Billed Quantity]]*Sales4[[#This Row],[Labour cost per unit]]</f>
        <v>#REF!</v>
      </c>
      <c r="AJ284" s="12">
        <f>Sales4[[#This Row],[Droppage per unit]]*Sales4[[#This Row],[Billed Quantity]]</f>
        <v>0</v>
      </c>
      <c r="AK284" s="12" t="e">
        <f>Sales4[[#This Row],[Billed Quantity]]*Sales4[[#This Row],[Other Conversion cost pu]]</f>
        <v>#REF!</v>
      </c>
      <c r="AL284" s="48" t="e">
        <f>Sales4[[#This Row],[PGI Amount]]-Sales4[[#This Row],[BOM Cost2]]-Sales4[[#This Row],[Labour Cost]]-Sales4[[#This Row],[Other conversion cost]]</f>
        <v>#REF!</v>
      </c>
      <c r="AM284" s="121" t="e">
        <f>1-Sales4[[#This Row],[PGI COST]]/Sales4[[#This Row],[Net Value]]</f>
        <v>#REF!</v>
      </c>
      <c r="AN284" s="1">
        <f>Sales4[[#This Row],[PGI Amount]]/Sales4[[#This Row],[Billed Quantity]]</f>
        <v>12.32</v>
      </c>
      <c r="AO284" s="72" t="e">
        <f>SUMIFS('COGS Break up'!#REF!,'COGS Break up'!#REF!,Sales4[[#This Row],[Material]],'COGS Break up'!#REF!,'MIS Working'!$AO$1)</f>
        <v>#REF!</v>
      </c>
      <c r="AP284" s="72" t="e">
        <f>SUMIFS('COGS Break up'!#REF!,'COGS Break up'!#REF!,Sales4[[#This Row],[Material]],'COGS Break up'!#REF!,'MIS Working'!$AP$1)</f>
        <v>#REF!</v>
      </c>
      <c r="AQ284" s="72" t="e">
        <f>SUMIFS('COGS Break up'!#REF!,'COGS Break up'!#REF!,Sales4[[#This Row],[Material]],'COGS Break up'!#REF!,'MIS Working'!$AQ$1)</f>
        <v>#REF!</v>
      </c>
      <c r="AR284" s="72">
        <f>Sales4[[#This Row],[Droppage per unit]]</f>
        <v>0</v>
      </c>
      <c r="AS284" s="15" t="e">
        <f>AO284*Sales4[[#This Row],[Billed Quantity]]</f>
        <v>#REF!</v>
      </c>
      <c r="AT284" s="72" t="e">
        <f>AP284*Sales4[[#This Row],[Billed Quantity]]</f>
        <v>#REF!</v>
      </c>
      <c r="AU284" s="72" t="e">
        <f>AQ284*Sales4[[#This Row],[Billed Quantity]]</f>
        <v>#REF!</v>
      </c>
      <c r="AV284" s="72">
        <f>AR284*Sales4[[#This Row],[Billed Quantity]]</f>
        <v>0</v>
      </c>
    </row>
    <row r="285" spans="1:48" x14ac:dyDescent="0.3">
      <c r="A285" s="1" t="s">
        <v>1212</v>
      </c>
      <c r="B285" s="2">
        <v>45910</v>
      </c>
      <c r="C285" s="1">
        <v>3271269098</v>
      </c>
      <c r="D285" s="1" t="s">
        <v>1306</v>
      </c>
      <c r="E285" s="1" t="s">
        <v>1307</v>
      </c>
      <c r="F285" s="1" t="s">
        <v>18</v>
      </c>
      <c r="G285" s="1" t="s">
        <v>48</v>
      </c>
      <c r="H285" s="1" t="s">
        <v>207</v>
      </c>
      <c r="I285" s="3">
        <v>2500</v>
      </c>
      <c r="J285" s="4">
        <v>21667.99</v>
      </c>
      <c r="K285" s="3">
        <v>2500</v>
      </c>
      <c r="L285" s="3">
        <v>2500</v>
      </c>
      <c r="M285" s="2">
        <v>45910</v>
      </c>
      <c r="N285" s="4">
        <v>17850</v>
      </c>
      <c r="O285" s="1" t="s">
        <v>21</v>
      </c>
      <c r="P285" s="1" t="s">
        <v>22</v>
      </c>
      <c r="Q285" s="1">
        <v>6</v>
      </c>
      <c r="R285" s="1" t="str">
        <f>VLOOKUP(Sales4[[#This Row],[Material type]],Master!$H$3:$I$8,2,0)</f>
        <v>Raw Material</v>
      </c>
      <c r="S285" s="1" t="str">
        <f>VLOOKUP(Sales4[[#This Row],[Material Group]],Master!B:C,2,0)</f>
        <v>RM-Mech. Accessories</v>
      </c>
      <c r="T285" s="1" t="str">
        <f>VLOOKUP(Sales4[[#This Row],[Material Group Descrip]],Master!E:F,2,0)</f>
        <v>Raw Material</v>
      </c>
      <c r="U285" s="9" t="b">
        <f ca="1">(TODAY()-1)=Sales4[[#This Row],[Billing Date]]</f>
        <v>0</v>
      </c>
      <c r="V285" s="10" t="e">
        <f>Sales4[[#This Row],[Net Value]]-Sales4[[#This Row],[PGI COST]]</f>
        <v>#REF!</v>
      </c>
      <c r="W285" s="11" t="e">
        <f>Sales4[[#This Row],[Gross Margin]]/Sales4[[#This Row],[Net Value]]</f>
        <v>#REF!</v>
      </c>
      <c r="X285" s="1" t="str">
        <f>TEXT(Sales4[[#This Row],[Billing Date]],"mmmm-yy")</f>
        <v>September-25</v>
      </c>
      <c r="Y285" s="1">
        <f>Sales4[[#This Row],[Net Value]]/Sales4[[#This Row],[Billed Quantity]]</f>
        <v>7.14</v>
      </c>
      <c r="Z285" s="117">
        <f>Sales4[[#This Row],[Actual delivery qty]]</f>
        <v>2500</v>
      </c>
      <c r="AA285" s="12" t="e">
        <f>SUM(Sales4[[#This Row],[BOM Cost]:[Other Conversion cost pu]])</f>
        <v>#REF!</v>
      </c>
      <c r="AB28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8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85" s="12">
        <f>IFERROR(VLOOKUP(Sales4[[#This Row],[Material]],'COGS Break up'!#REF!,5,0),0)</f>
        <v>0</v>
      </c>
      <c r="AE28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85" s="48" t="e">
        <f>Sales4[[#This Row],[PGI per unit]]-Sales4[[#This Row],[BOM Cost]]-Sales4[[#This Row],[Labour cost per unit]]-Sales4[[#This Row],[Other Conversion cost pu]]</f>
        <v>#REF!</v>
      </c>
      <c r="AG285" s="48" t="e">
        <f>Sales4[[#This Row],[BOM Cost2]]+Sales4[[#This Row],[Labour Cost]]+Sales4[[#This Row],[Other conversion cost]]</f>
        <v>#REF!</v>
      </c>
      <c r="AH285" s="12" t="e">
        <f>Sales4[[#This Row],[Billed Quantity]]*Sales4[[#This Row],[BOM Cost]]</f>
        <v>#REF!</v>
      </c>
      <c r="AI285" s="12" t="e">
        <f>Sales4[[#This Row],[Billed Quantity]]*Sales4[[#This Row],[Labour cost per unit]]</f>
        <v>#REF!</v>
      </c>
      <c r="AJ285" s="12">
        <f>Sales4[[#This Row],[Droppage per unit]]*Sales4[[#This Row],[Billed Quantity]]</f>
        <v>0</v>
      </c>
      <c r="AK285" s="12" t="e">
        <f>Sales4[[#This Row],[Billed Quantity]]*Sales4[[#This Row],[Other Conversion cost pu]]</f>
        <v>#REF!</v>
      </c>
      <c r="AL285" s="48" t="e">
        <f>Sales4[[#This Row],[PGI Amount]]-Sales4[[#This Row],[BOM Cost2]]-Sales4[[#This Row],[Labour Cost]]-Sales4[[#This Row],[Other conversion cost]]</f>
        <v>#REF!</v>
      </c>
      <c r="AM285" s="121" t="e">
        <f>1-Sales4[[#This Row],[PGI COST]]/Sales4[[#This Row],[Net Value]]</f>
        <v>#REF!</v>
      </c>
      <c r="AN285" s="1">
        <f>Sales4[[#This Row],[PGI Amount]]/Sales4[[#This Row],[Billed Quantity]]</f>
        <v>8.6671960000000006</v>
      </c>
      <c r="AO285" s="72" t="e">
        <f>SUMIFS('COGS Break up'!#REF!,'COGS Break up'!#REF!,Sales4[[#This Row],[Material]],'COGS Break up'!#REF!,'MIS Working'!$AO$1)</f>
        <v>#REF!</v>
      </c>
      <c r="AP285" s="72" t="e">
        <f>SUMIFS('COGS Break up'!#REF!,'COGS Break up'!#REF!,Sales4[[#This Row],[Material]],'COGS Break up'!#REF!,'MIS Working'!$AP$1)</f>
        <v>#REF!</v>
      </c>
      <c r="AQ285" s="72" t="e">
        <f>SUMIFS('COGS Break up'!#REF!,'COGS Break up'!#REF!,Sales4[[#This Row],[Material]],'COGS Break up'!#REF!,'MIS Working'!$AQ$1)</f>
        <v>#REF!</v>
      </c>
      <c r="AR285" s="72">
        <f>Sales4[[#This Row],[Droppage per unit]]</f>
        <v>0</v>
      </c>
      <c r="AS285" s="15" t="e">
        <f>AO285*Sales4[[#This Row],[Billed Quantity]]</f>
        <v>#REF!</v>
      </c>
      <c r="AT285" s="72" t="e">
        <f>AP285*Sales4[[#This Row],[Billed Quantity]]</f>
        <v>#REF!</v>
      </c>
      <c r="AU285" s="72" t="e">
        <f>AQ285*Sales4[[#This Row],[Billed Quantity]]</f>
        <v>#REF!</v>
      </c>
      <c r="AV285" s="72">
        <f>AR285*Sales4[[#This Row],[Billed Quantity]]</f>
        <v>0</v>
      </c>
    </row>
    <row r="286" spans="1:48" x14ac:dyDescent="0.3">
      <c r="A286" s="1" t="s">
        <v>1212</v>
      </c>
      <c r="B286" s="2">
        <v>45910</v>
      </c>
      <c r="C286" s="1">
        <v>3271269012</v>
      </c>
      <c r="D286" s="1" t="s">
        <v>1308</v>
      </c>
      <c r="E286" s="1" t="s">
        <v>1309</v>
      </c>
      <c r="F286" s="1" t="s">
        <v>18</v>
      </c>
      <c r="G286" s="1" t="s">
        <v>48</v>
      </c>
      <c r="H286" s="1" t="s">
        <v>207</v>
      </c>
      <c r="I286" s="3">
        <v>2500</v>
      </c>
      <c r="J286" s="4">
        <v>14118.17</v>
      </c>
      <c r="K286" s="3">
        <v>2500</v>
      </c>
      <c r="L286" s="3">
        <v>2500</v>
      </c>
      <c r="M286" s="2">
        <v>45910</v>
      </c>
      <c r="N286" s="4">
        <v>12575</v>
      </c>
      <c r="O286" s="1" t="s">
        <v>21</v>
      </c>
      <c r="P286" s="1" t="s">
        <v>22</v>
      </c>
      <c r="Q286" s="1">
        <v>6</v>
      </c>
      <c r="R286" s="1" t="str">
        <f>VLOOKUP(Sales4[[#This Row],[Material type]],Master!$H$3:$I$8,2,0)</f>
        <v>Raw Material</v>
      </c>
      <c r="S286" s="1" t="str">
        <f>VLOOKUP(Sales4[[#This Row],[Material Group]],Master!B:C,2,0)</f>
        <v>RM-Mech. Accessories</v>
      </c>
      <c r="T286" s="1" t="str">
        <f>VLOOKUP(Sales4[[#This Row],[Material Group Descrip]],Master!E:F,2,0)</f>
        <v>Raw Material</v>
      </c>
      <c r="U286" s="9" t="b">
        <f ca="1">(TODAY()-1)=Sales4[[#This Row],[Billing Date]]</f>
        <v>0</v>
      </c>
      <c r="V286" s="10" t="e">
        <f>Sales4[[#This Row],[Net Value]]-Sales4[[#This Row],[PGI COST]]</f>
        <v>#REF!</v>
      </c>
      <c r="W286" s="11" t="e">
        <f>Sales4[[#This Row],[Gross Margin]]/Sales4[[#This Row],[Net Value]]</f>
        <v>#REF!</v>
      </c>
      <c r="X286" s="1" t="str">
        <f>TEXT(Sales4[[#This Row],[Billing Date]],"mmmm-yy")</f>
        <v>September-25</v>
      </c>
      <c r="Y286" s="1">
        <f>Sales4[[#This Row],[Net Value]]/Sales4[[#This Row],[Billed Quantity]]</f>
        <v>5.03</v>
      </c>
      <c r="Z286" s="117">
        <f>Sales4[[#This Row],[Actual delivery qty]]</f>
        <v>2500</v>
      </c>
      <c r="AA286" s="12" t="e">
        <f>SUM(Sales4[[#This Row],[BOM Cost]:[Other Conversion cost pu]])</f>
        <v>#REF!</v>
      </c>
      <c r="AB28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8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86" s="12">
        <f>IFERROR(VLOOKUP(Sales4[[#This Row],[Material]],'COGS Break up'!#REF!,5,0),0)</f>
        <v>0</v>
      </c>
      <c r="AE28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86" s="48" t="e">
        <f>Sales4[[#This Row],[PGI per unit]]-Sales4[[#This Row],[BOM Cost]]-Sales4[[#This Row],[Labour cost per unit]]-Sales4[[#This Row],[Other Conversion cost pu]]</f>
        <v>#REF!</v>
      </c>
      <c r="AG286" s="48" t="e">
        <f>Sales4[[#This Row],[BOM Cost2]]+Sales4[[#This Row],[Labour Cost]]+Sales4[[#This Row],[Other conversion cost]]</f>
        <v>#REF!</v>
      </c>
      <c r="AH286" s="12" t="e">
        <f>Sales4[[#This Row],[Billed Quantity]]*Sales4[[#This Row],[BOM Cost]]</f>
        <v>#REF!</v>
      </c>
      <c r="AI286" s="12" t="e">
        <f>Sales4[[#This Row],[Billed Quantity]]*Sales4[[#This Row],[Labour cost per unit]]</f>
        <v>#REF!</v>
      </c>
      <c r="AJ286" s="12">
        <f>Sales4[[#This Row],[Droppage per unit]]*Sales4[[#This Row],[Billed Quantity]]</f>
        <v>0</v>
      </c>
      <c r="AK286" s="12" t="e">
        <f>Sales4[[#This Row],[Billed Quantity]]*Sales4[[#This Row],[Other Conversion cost pu]]</f>
        <v>#REF!</v>
      </c>
      <c r="AL286" s="48" t="e">
        <f>Sales4[[#This Row],[PGI Amount]]-Sales4[[#This Row],[BOM Cost2]]-Sales4[[#This Row],[Labour Cost]]-Sales4[[#This Row],[Other conversion cost]]</f>
        <v>#REF!</v>
      </c>
      <c r="AM286" s="121" t="e">
        <f>1-Sales4[[#This Row],[PGI COST]]/Sales4[[#This Row],[Net Value]]</f>
        <v>#REF!</v>
      </c>
      <c r="AN286" s="1">
        <f>Sales4[[#This Row],[PGI Amount]]/Sales4[[#This Row],[Billed Quantity]]</f>
        <v>5.6472680000000004</v>
      </c>
      <c r="AO286" s="72" t="e">
        <f>SUMIFS('COGS Break up'!#REF!,'COGS Break up'!#REF!,Sales4[[#This Row],[Material]],'COGS Break up'!#REF!,'MIS Working'!$AO$1)</f>
        <v>#REF!</v>
      </c>
      <c r="AP286" s="72" t="e">
        <f>SUMIFS('COGS Break up'!#REF!,'COGS Break up'!#REF!,Sales4[[#This Row],[Material]],'COGS Break up'!#REF!,'MIS Working'!$AP$1)</f>
        <v>#REF!</v>
      </c>
      <c r="AQ286" s="72" t="e">
        <f>SUMIFS('COGS Break up'!#REF!,'COGS Break up'!#REF!,Sales4[[#This Row],[Material]],'COGS Break up'!#REF!,'MIS Working'!$AQ$1)</f>
        <v>#REF!</v>
      </c>
      <c r="AR286" s="72">
        <f>Sales4[[#This Row],[Droppage per unit]]</f>
        <v>0</v>
      </c>
      <c r="AS286" s="15" t="e">
        <f>AO286*Sales4[[#This Row],[Billed Quantity]]</f>
        <v>#REF!</v>
      </c>
      <c r="AT286" s="72" t="e">
        <f>AP286*Sales4[[#This Row],[Billed Quantity]]</f>
        <v>#REF!</v>
      </c>
      <c r="AU286" s="72" t="e">
        <f>AQ286*Sales4[[#This Row],[Billed Quantity]]</f>
        <v>#REF!</v>
      </c>
      <c r="AV286" s="72">
        <f>AR286*Sales4[[#This Row],[Billed Quantity]]</f>
        <v>0</v>
      </c>
    </row>
    <row r="287" spans="1:48" x14ac:dyDescent="0.3">
      <c r="A287" s="1" t="s">
        <v>1212</v>
      </c>
      <c r="B287" s="2">
        <v>45910</v>
      </c>
      <c r="C287" s="1">
        <v>3271269012</v>
      </c>
      <c r="D287" s="1" t="s">
        <v>1387</v>
      </c>
      <c r="E287" s="1" t="s">
        <v>1388</v>
      </c>
      <c r="F287" s="1" t="s">
        <v>18</v>
      </c>
      <c r="G287" s="1" t="s">
        <v>48</v>
      </c>
      <c r="H287" s="1" t="s">
        <v>207</v>
      </c>
      <c r="I287" s="3">
        <v>5000</v>
      </c>
      <c r="J287" s="4">
        <v>69300</v>
      </c>
      <c r="K287" s="3">
        <v>5000</v>
      </c>
      <c r="L287" s="3">
        <v>5000</v>
      </c>
      <c r="M287" s="2">
        <v>45910</v>
      </c>
      <c r="N287" s="4">
        <v>70700</v>
      </c>
      <c r="O287" s="1" t="s">
        <v>21</v>
      </c>
      <c r="P287" s="1" t="s">
        <v>22</v>
      </c>
      <c r="Q287" s="1">
        <v>6</v>
      </c>
      <c r="R287" s="1" t="str">
        <f>VLOOKUP(Sales4[[#This Row],[Material type]],Master!$H$3:$I$8,2,0)</f>
        <v>Raw Material</v>
      </c>
      <c r="S287" s="1" t="str">
        <f>VLOOKUP(Sales4[[#This Row],[Material Group]],Master!B:C,2,0)</f>
        <v>RM-Mech. Accessories</v>
      </c>
      <c r="T287" s="1" t="str">
        <f>VLOOKUP(Sales4[[#This Row],[Material Group Descrip]],Master!E:F,2,0)</f>
        <v>Raw Material</v>
      </c>
      <c r="U287" s="9" t="b">
        <f ca="1">(TODAY()-1)=Sales4[[#This Row],[Billing Date]]</f>
        <v>0</v>
      </c>
      <c r="V287" s="10" t="e">
        <f>Sales4[[#This Row],[Net Value]]-Sales4[[#This Row],[PGI COST]]</f>
        <v>#REF!</v>
      </c>
      <c r="W287" s="11" t="e">
        <f>Sales4[[#This Row],[Gross Margin]]/Sales4[[#This Row],[Net Value]]</f>
        <v>#REF!</v>
      </c>
      <c r="X287" s="1" t="str">
        <f>TEXT(Sales4[[#This Row],[Billing Date]],"mmmm-yy")</f>
        <v>September-25</v>
      </c>
      <c r="Y287" s="1">
        <f>Sales4[[#This Row],[Net Value]]/Sales4[[#This Row],[Billed Quantity]]</f>
        <v>14.14</v>
      </c>
      <c r="Z287" s="117">
        <f>Sales4[[#This Row],[Actual delivery qty]]</f>
        <v>5000</v>
      </c>
      <c r="AA287" s="12" t="e">
        <f>SUM(Sales4[[#This Row],[BOM Cost]:[Other Conversion cost pu]])</f>
        <v>#REF!</v>
      </c>
      <c r="AB28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8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87" s="12">
        <f>IFERROR(VLOOKUP(Sales4[[#This Row],[Material]],'COGS Break up'!#REF!,5,0),0)</f>
        <v>0</v>
      </c>
      <c r="AE28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87" s="48" t="e">
        <f>Sales4[[#This Row],[PGI per unit]]-Sales4[[#This Row],[BOM Cost]]-Sales4[[#This Row],[Labour cost per unit]]-Sales4[[#This Row],[Other Conversion cost pu]]</f>
        <v>#REF!</v>
      </c>
      <c r="AG287" s="48" t="e">
        <f>Sales4[[#This Row],[BOM Cost2]]+Sales4[[#This Row],[Labour Cost]]+Sales4[[#This Row],[Other conversion cost]]</f>
        <v>#REF!</v>
      </c>
      <c r="AH287" s="12" t="e">
        <f>Sales4[[#This Row],[Billed Quantity]]*Sales4[[#This Row],[BOM Cost]]</f>
        <v>#REF!</v>
      </c>
      <c r="AI287" s="12" t="e">
        <f>Sales4[[#This Row],[Billed Quantity]]*Sales4[[#This Row],[Labour cost per unit]]</f>
        <v>#REF!</v>
      </c>
      <c r="AJ287" s="12">
        <f>Sales4[[#This Row],[Droppage per unit]]*Sales4[[#This Row],[Billed Quantity]]</f>
        <v>0</v>
      </c>
      <c r="AK287" s="12" t="e">
        <f>Sales4[[#This Row],[Billed Quantity]]*Sales4[[#This Row],[Other Conversion cost pu]]</f>
        <v>#REF!</v>
      </c>
      <c r="AL287" s="48" t="e">
        <f>Sales4[[#This Row],[PGI Amount]]-Sales4[[#This Row],[BOM Cost2]]-Sales4[[#This Row],[Labour Cost]]-Sales4[[#This Row],[Other conversion cost]]</f>
        <v>#REF!</v>
      </c>
      <c r="AM287" s="121" t="e">
        <f>1-Sales4[[#This Row],[PGI COST]]/Sales4[[#This Row],[Net Value]]</f>
        <v>#REF!</v>
      </c>
      <c r="AN287" s="1">
        <f>Sales4[[#This Row],[PGI Amount]]/Sales4[[#This Row],[Billed Quantity]]</f>
        <v>13.86</v>
      </c>
      <c r="AO287" s="72" t="e">
        <f>SUMIFS('COGS Break up'!#REF!,'COGS Break up'!#REF!,Sales4[[#This Row],[Material]],'COGS Break up'!#REF!,'MIS Working'!$AO$1)</f>
        <v>#REF!</v>
      </c>
      <c r="AP287" s="72" t="e">
        <f>SUMIFS('COGS Break up'!#REF!,'COGS Break up'!#REF!,Sales4[[#This Row],[Material]],'COGS Break up'!#REF!,'MIS Working'!$AP$1)</f>
        <v>#REF!</v>
      </c>
      <c r="AQ287" s="72" t="e">
        <f>SUMIFS('COGS Break up'!#REF!,'COGS Break up'!#REF!,Sales4[[#This Row],[Material]],'COGS Break up'!#REF!,'MIS Working'!$AQ$1)</f>
        <v>#REF!</v>
      </c>
      <c r="AR287" s="72">
        <f>Sales4[[#This Row],[Droppage per unit]]</f>
        <v>0</v>
      </c>
      <c r="AS287" s="15" t="e">
        <f>AO287*Sales4[[#This Row],[Billed Quantity]]</f>
        <v>#REF!</v>
      </c>
      <c r="AT287" s="72" t="e">
        <f>AP287*Sales4[[#This Row],[Billed Quantity]]</f>
        <v>#REF!</v>
      </c>
      <c r="AU287" s="72" t="e">
        <f>AQ287*Sales4[[#This Row],[Billed Quantity]]</f>
        <v>#REF!</v>
      </c>
      <c r="AV287" s="72">
        <f>AR287*Sales4[[#This Row],[Billed Quantity]]</f>
        <v>0</v>
      </c>
    </row>
    <row r="288" spans="1:48" x14ac:dyDescent="0.3">
      <c r="A288" s="1" t="s">
        <v>1212</v>
      </c>
      <c r="B288" s="2">
        <v>45910</v>
      </c>
      <c r="C288" s="1">
        <v>3271269248</v>
      </c>
      <c r="D288" s="1" t="s">
        <v>1389</v>
      </c>
      <c r="E288" s="1" t="s">
        <v>1390</v>
      </c>
      <c r="F288" s="1" t="s">
        <v>18</v>
      </c>
      <c r="G288" s="1" t="s">
        <v>48</v>
      </c>
      <c r="H288" s="1" t="s">
        <v>207</v>
      </c>
      <c r="I288" s="3">
        <v>5000</v>
      </c>
      <c r="J288" s="4">
        <v>48199.199999999997</v>
      </c>
      <c r="K288" s="3">
        <v>5000</v>
      </c>
      <c r="L288" s="3">
        <v>5000</v>
      </c>
      <c r="M288" s="2">
        <v>45910</v>
      </c>
      <c r="N288" s="4">
        <v>62200</v>
      </c>
      <c r="O288" s="1" t="s">
        <v>21</v>
      </c>
      <c r="P288" s="1" t="s">
        <v>22</v>
      </c>
      <c r="Q288" s="1">
        <v>6</v>
      </c>
      <c r="R288" s="1" t="str">
        <f>VLOOKUP(Sales4[[#This Row],[Material type]],Master!$H$3:$I$8,2,0)</f>
        <v>Raw Material</v>
      </c>
      <c r="S288" s="1" t="str">
        <f>VLOOKUP(Sales4[[#This Row],[Material Group]],Master!B:C,2,0)</f>
        <v>RM-Mech. Accessories</v>
      </c>
      <c r="T288" s="1" t="str">
        <f>VLOOKUP(Sales4[[#This Row],[Material Group Descrip]],Master!E:F,2,0)</f>
        <v>Raw Material</v>
      </c>
      <c r="U288" s="9" t="b">
        <f ca="1">(TODAY()-1)=Sales4[[#This Row],[Billing Date]]</f>
        <v>0</v>
      </c>
      <c r="V288" s="10" t="e">
        <f>Sales4[[#This Row],[Net Value]]-Sales4[[#This Row],[PGI COST]]</f>
        <v>#REF!</v>
      </c>
      <c r="W288" s="11" t="e">
        <f>Sales4[[#This Row],[Gross Margin]]/Sales4[[#This Row],[Net Value]]</f>
        <v>#REF!</v>
      </c>
      <c r="X288" s="1" t="str">
        <f>TEXT(Sales4[[#This Row],[Billing Date]],"mmmm-yy")</f>
        <v>September-25</v>
      </c>
      <c r="Y288" s="1">
        <f>Sales4[[#This Row],[Net Value]]/Sales4[[#This Row],[Billed Quantity]]</f>
        <v>12.44</v>
      </c>
      <c r="Z288" s="117">
        <f>Sales4[[#This Row],[Actual delivery qty]]</f>
        <v>5000</v>
      </c>
      <c r="AA288" s="12" t="e">
        <f>SUM(Sales4[[#This Row],[BOM Cost]:[Other Conversion cost pu]])</f>
        <v>#REF!</v>
      </c>
      <c r="AB28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8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88" s="12">
        <f>IFERROR(VLOOKUP(Sales4[[#This Row],[Material]],'COGS Break up'!#REF!,5,0),0)</f>
        <v>0</v>
      </c>
      <c r="AE28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88" s="48" t="e">
        <f>Sales4[[#This Row],[PGI per unit]]-Sales4[[#This Row],[BOM Cost]]-Sales4[[#This Row],[Labour cost per unit]]-Sales4[[#This Row],[Other Conversion cost pu]]</f>
        <v>#REF!</v>
      </c>
      <c r="AG288" s="48" t="e">
        <f>Sales4[[#This Row],[BOM Cost2]]+Sales4[[#This Row],[Labour Cost]]+Sales4[[#This Row],[Other conversion cost]]</f>
        <v>#REF!</v>
      </c>
      <c r="AH288" s="12" t="e">
        <f>Sales4[[#This Row],[Billed Quantity]]*Sales4[[#This Row],[BOM Cost]]</f>
        <v>#REF!</v>
      </c>
      <c r="AI288" s="12" t="e">
        <f>Sales4[[#This Row],[Billed Quantity]]*Sales4[[#This Row],[Labour cost per unit]]</f>
        <v>#REF!</v>
      </c>
      <c r="AJ288" s="12">
        <f>Sales4[[#This Row],[Droppage per unit]]*Sales4[[#This Row],[Billed Quantity]]</f>
        <v>0</v>
      </c>
      <c r="AK288" s="12" t="e">
        <f>Sales4[[#This Row],[Billed Quantity]]*Sales4[[#This Row],[Other Conversion cost pu]]</f>
        <v>#REF!</v>
      </c>
      <c r="AL288" s="48" t="e">
        <f>Sales4[[#This Row],[PGI Amount]]-Sales4[[#This Row],[BOM Cost2]]-Sales4[[#This Row],[Labour Cost]]-Sales4[[#This Row],[Other conversion cost]]</f>
        <v>#REF!</v>
      </c>
      <c r="AM288" s="121" t="e">
        <f>1-Sales4[[#This Row],[PGI COST]]/Sales4[[#This Row],[Net Value]]</f>
        <v>#REF!</v>
      </c>
      <c r="AN288" s="1">
        <f>Sales4[[#This Row],[PGI Amount]]/Sales4[[#This Row],[Billed Quantity]]</f>
        <v>9.6398399999999995</v>
      </c>
      <c r="AO288" s="72" t="e">
        <f>SUMIFS('COGS Break up'!#REF!,'COGS Break up'!#REF!,Sales4[[#This Row],[Material]],'COGS Break up'!#REF!,'MIS Working'!$AO$1)</f>
        <v>#REF!</v>
      </c>
      <c r="AP288" s="72" t="e">
        <f>SUMIFS('COGS Break up'!#REF!,'COGS Break up'!#REF!,Sales4[[#This Row],[Material]],'COGS Break up'!#REF!,'MIS Working'!$AP$1)</f>
        <v>#REF!</v>
      </c>
      <c r="AQ288" s="72" t="e">
        <f>SUMIFS('COGS Break up'!#REF!,'COGS Break up'!#REF!,Sales4[[#This Row],[Material]],'COGS Break up'!#REF!,'MIS Working'!$AQ$1)</f>
        <v>#REF!</v>
      </c>
      <c r="AR288" s="72">
        <f>Sales4[[#This Row],[Droppage per unit]]</f>
        <v>0</v>
      </c>
      <c r="AS288" s="15" t="e">
        <f>AO288*Sales4[[#This Row],[Billed Quantity]]</f>
        <v>#REF!</v>
      </c>
      <c r="AT288" s="72" t="e">
        <f>AP288*Sales4[[#This Row],[Billed Quantity]]</f>
        <v>#REF!</v>
      </c>
      <c r="AU288" s="72" t="e">
        <f>AQ288*Sales4[[#This Row],[Billed Quantity]]</f>
        <v>#REF!</v>
      </c>
      <c r="AV288" s="72">
        <f>AR288*Sales4[[#This Row],[Billed Quantity]]</f>
        <v>0</v>
      </c>
    </row>
    <row r="289" spans="1:48" x14ac:dyDescent="0.3">
      <c r="A289" s="1" t="s">
        <v>1212</v>
      </c>
      <c r="B289" s="2">
        <v>45910</v>
      </c>
      <c r="C289" s="1">
        <v>3271269098</v>
      </c>
      <c r="D289" s="1" t="s">
        <v>1391</v>
      </c>
      <c r="E289" s="1" t="s">
        <v>1360</v>
      </c>
      <c r="F289" s="1" t="s">
        <v>18</v>
      </c>
      <c r="G289" s="1" t="s">
        <v>48</v>
      </c>
      <c r="H289" s="1" t="s">
        <v>207</v>
      </c>
      <c r="I289" s="3">
        <v>2000</v>
      </c>
      <c r="J289" s="4">
        <v>29420.14</v>
      </c>
      <c r="K289" s="3">
        <v>2000</v>
      </c>
      <c r="L289" s="3">
        <v>2000</v>
      </c>
      <c r="M289" s="2">
        <v>45910</v>
      </c>
      <c r="N289" s="4">
        <v>57820</v>
      </c>
      <c r="O289" s="1" t="s">
        <v>21</v>
      </c>
      <c r="P289" s="1" t="s">
        <v>22</v>
      </c>
      <c r="Q289" s="1">
        <v>6</v>
      </c>
      <c r="R289" s="1" t="str">
        <f>VLOOKUP(Sales4[[#This Row],[Material type]],Master!$H$3:$I$8,2,0)</f>
        <v>Raw Material</v>
      </c>
      <c r="S289" s="1" t="str">
        <f>VLOOKUP(Sales4[[#This Row],[Material Group]],Master!B:C,2,0)</f>
        <v>RM-Mech. Accessories</v>
      </c>
      <c r="T289" s="1" t="str">
        <f>VLOOKUP(Sales4[[#This Row],[Material Group Descrip]],Master!E:F,2,0)</f>
        <v>Raw Material</v>
      </c>
      <c r="U289" s="9" t="b">
        <f ca="1">(TODAY()-1)=Sales4[[#This Row],[Billing Date]]</f>
        <v>0</v>
      </c>
      <c r="V289" s="10" t="e">
        <f>Sales4[[#This Row],[Net Value]]-Sales4[[#This Row],[PGI COST]]</f>
        <v>#REF!</v>
      </c>
      <c r="W289" s="11" t="e">
        <f>Sales4[[#This Row],[Gross Margin]]/Sales4[[#This Row],[Net Value]]</f>
        <v>#REF!</v>
      </c>
      <c r="X289" s="1" t="str">
        <f>TEXT(Sales4[[#This Row],[Billing Date]],"mmmm-yy")</f>
        <v>September-25</v>
      </c>
      <c r="Y289" s="1">
        <f>Sales4[[#This Row],[Net Value]]/Sales4[[#This Row],[Billed Quantity]]</f>
        <v>28.91</v>
      </c>
      <c r="Z289" s="117">
        <f>Sales4[[#This Row],[Actual delivery qty]]</f>
        <v>2000</v>
      </c>
      <c r="AA289" s="12" t="e">
        <f>SUM(Sales4[[#This Row],[BOM Cost]:[Other Conversion cost pu]])</f>
        <v>#REF!</v>
      </c>
      <c r="AB28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8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89" s="12">
        <f>IFERROR(VLOOKUP(Sales4[[#This Row],[Material]],'COGS Break up'!#REF!,5,0),0)</f>
        <v>0</v>
      </c>
      <c r="AE28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89" s="48" t="e">
        <f>Sales4[[#This Row],[PGI per unit]]-Sales4[[#This Row],[BOM Cost]]-Sales4[[#This Row],[Labour cost per unit]]-Sales4[[#This Row],[Other Conversion cost pu]]</f>
        <v>#REF!</v>
      </c>
      <c r="AG289" s="48" t="e">
        <f>Sales4[[#This Row],[BOM Cost2]]+Sales4[[#This Row],[Labour Cost]]+Sales4[[#This Row],[Other conversion cost]]</f>
        <v>#REF!</v>
      </c>
      <c r="AH289" s="12" t="e">
        <f>Sales4[[#This Row],[Billed Quantity]]*Sales4[[#This Row],[BOM Cost]]</f>
        <v>#REF!</v>
      </c>
      <c r="AI289" s="12" t="e">
        <f>Sales4[[#This Row],[Billed Quantity]]*Sales4[[#This Row],[Labour cost per unit]]</f>
        <v>#REF!</v>
      </c>
      <c r="AJ289" s="12">
        <f>Sales4[[#This Row],[Droppage per unit]]*Sales4[[#This Row],[Billed Quantity]]</f>
        <v>0</v>
      </c>
      <c r="AK289" s="12" t="e">
        <f>Sales4[[#This Row],[Billed Quantity]]*Sales4[[#This Row],[Other Conversion cost pu]]</f>
        <v>#REF!</v>
      </c>
      <c r="AL289" s="48" t="e">
        <f>Sales4[[#This Row],[PGI Amount]]-Sales4[[#This Row],[BOM Cost2]]-Sales4[[#This Row],[Labour Cost]]-Sales4[[#This Row],[Other conversion cost]]</f>
        <v>#REF!</v>
      </c>
      <c r="AM289" s="121" t="e">
        <f>1-Sales4[[#This Row],[PGI COST]]/Sales4[[#This Row],[Net Value]]</f>
        <v>#REF!</v>
      </c>
      <c r="AN289" s="1">
        <f>Sales4[[#This Row],[PGI Amount]]/Sales4[[#This Row],[Billed Quantity]]</f>
        <v>14.71007</v>
      </c>
      <c r="AO289" s="72" t="e">
        <f>SUMIFS('COGS Break up'!#REF!,'COGS Break up'!#REF!,Sales4[[#This Row],[Material]],'COGS Break up'!#REF!,'MIS Working'!$AO$1)</f>
        <v>#REF!</v>
      </c>
      <c r="AP289" s="72" t="e">
        <f>SUMIFS('COGS Break up'!#REF!,'COGS Break up'!#REF!,Sales4[[#This Row],[Material]],'COGS Break up'!#REF!,'MIS Working'!$AP$1)</f>
        <v>#REF!</v>
      </c>
      <c r="AQ289" s="72" t="e">
        <f>SUMIFS('COGS Break up'!#REF!,'COGS Break up'!#REF!,Sales4[[#This Row],[Material]],'COGS Break up'!#REF!,'MIS Working'!$AQ$1)</f>
        <v>#REF!</v>
      </c>
      <c r="AR289" s="72">
        <f>Sales4[[#This Row],[Droppage per unit]]</f>
        <v>0</v>
      </c>
      <c r="AS289" s="15" t="e">
        <f>AO289*Sales4[[#This Row],[Billed Quantity]]</f>
        <v>#REF!</v>
      </c>
      <c r="AT289" s="72" t="e">
        <f>AP289*Sales4[[#This Row],[Billed Quantity]]</f>
        <v>#REF!</v>
      </c>
      <c r="AU289" s="72" t="e">
        <f>AQ289*Sales4[[#This Row],[Billed Quantity]]</f>
        <v>#REF!</v>
      </c>
      <c r="AV289" s="72">
        <f>AR289*Sales4[[#This Row],[Billed Quantity]]</f>
        <v>0</v>
      </c>
    </row>
    <row r="290" spans="1:48" x14ac:dyDescent="0.3">
      <c r="A290" s="1" t="s">
        <v>1373</v>
      </c>
      <c r="B290" s="2">
        <v>45909</v>
      </c>
      <c r="C290" s="1">
        <v>3271268540</v>
      </c>
      <c r="D290" s="1" t="s">
        <v>641</v>
      </c>
      <c r="E290" s="1" t="s">
        <v>642</v>
      </c>
      <c r="F290" s="1" t="s">
        <v>18</v>
      </c>
      <c r="G290" s="1" t="s">
        <v>19</v>
      </c>
      <c r="H290" s="1" t="s">
        <v>27</v>
      </c>
      <c r="I290" s="3">
        <v>35</v>
      </c>
      <c r="J290" s="4">
        <v>16005.5</v>
      </c>
      <c r="K290" s="3">
        <v>35</v>
      </c>
      <c r="L290" s="3">
        <v>35</v>
      </c>
      <c r="M290" s="2">
        <v>45909</v>
      </c>
      <c r="N290" s="4">
        <v>32337.200000000001</v>
      </c>
      <c r="O290" s="1" t="s">
        <v>21</v>
      </c>
      <c r="P290" s="1" t="s">
        <v>22</v>
      </c>
      <c r="Q290" s="1">
        <v>3</v>
      </c>
      <c r="R290" s="1" t="str">
        <f>VLOOKUP(Sales4[[#This Row],[Material type]],Master!$H$3:$I$8,2,0)</f>
        <v>Finished Goods</v>
      </c>
      <c r="S290" s="1" t="str">
        <f>VLOOKUP(Sales4[[#This Row],[Material Group]],Master!B:C,2,0)</f>
        <v>FG-PCB-CF</v>
      </c>
      <c r="T290" s="1" t="str">
        <f>VLOOKUP(Sales4[[#This Row],[Material Group Descrip]],Master!E:F,2,0)</f>
        <v>FG-PCB-CF</v>
      </c>
      <c r="U290" s="9" t="b">
        <f ca="1">(TODAY()-1)=Sales4[[#This Row],[Billing Date]]</f>
        <v>0</v>
      </c>
      <c r="V290" s="10" t="e">
        <f>Sales4[[#This Row],[Net Value]]-Sales4[[#This Row],[PGI COST]]</f>
        <v>#REF!</v>
      </c>
      <c r="W290" s="11" t="e">
        <f>Sales4[[#This Row],[Gross Margin]]/Sales4[[#This Row],[Net Value]]</f>
        <v>#REF!</v>
      </c>
      <c r="X290" s="1" t="str">
        <f>TEXT(Sales4[[#This Row],[Billing Date]],"mmmm-yy")</f>
        <v>September-25</v>
      </c>
      <c r="Y290" s="1">
        <f>Sales4[[#This Row],[Net Value]]/Sales4[[#This Row],[Billed Quantity]]</f>
        <v>923.92000000000007</v>
      </c>
      <c r="Z290" s="117">
        <f>Sales4[[#This Row],[Actual delivery qty]]</f>
        <v>35</v>
      </c>
      <c r="AA290" s="12" t="e">
        <f>SUM(Sales4[[#This Row],[BOM Cost]:[Other Conversion cost pu]])</f>
        <v>#REF!</v>
      </c>
      <c r="AB29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9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90" s="12">
        <f>IFERROR(VLOOKUP(Sales4[[#This Row],[Material]],'COGS Break up'!#REF!,5,0),0)</f>
        <v>0</v>
      </c>
      <c r="AE29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90" s="48" t="e">
        <f>Sales4[[#This Row],[PGI per unit]]-Sales4[[#This Row],[BOM Cost]]-Sales4[[#This Row],[Labour cost per unit]]-Sales4[[#This Row],[Other Conversion cost pu]]</f>
        <v>#REF!</v>
      </c>
      <c r="AG290" s="48" t="e">
        <f>Sales4[[#This Row],[BOM Cost2]]+Sales4[[#This Row],[Labour Cost]]+Sales4[[#This Row],[Other conversion cost]]</f>
        <v>#REF!</v>
      </c>
      <c r="AH290" s="12" t="e">
        <f>Sales4[[#This Row],[Billed Quantity]]*Sales4[[#This Row],[BOM Cost]]</f>
        <v>#REF!</v>
      </c>
      <c r="AI290" s="12" t="e">
        <f>Sales4[[#This Row],[Billed Quantity]]*Sales4[[#This Row],[Labour cost per unit]]</f>
        <v>#REF!</v>
      </c>
      <c r="AJ290" s="12">
        <f>Sales4[[#This Row],[Droppage per unit]]*Sales4[[#This Row],[Billed Quantity]]</f>
        <v>0</v>
      </c>
      <c r="AK290" s="12" t="e">
        <f>Sales4[[#This Row],[Billed Quantity]]*Sales4[[#This Row],[Other Conversion cost pu]]</f>
        <v>#REF!</v>
      </c>
      <c r="AL290" s="48" t="e">
        <f>Sales4[[#This Row],[PGI Amount]]-Sales4[[#This Row],[BOM Cost2]]-Sales4[[#This Row],[Labour Cost]]-Sales4[[#This Row],[Other conversion cost]]</f>
        <v>#REF!</v>
      </c>
      <c r="AM290" s="121" t="e">
        <f>1-Sales4[[#This Row],[PGI COST]]/Sales4[[#This Row],[Net Value]]</f>
        <v>#REF!</v>
      </c>
      <c r="AN290" s="1">
        <f>Sales4[[#This Row],[PGI Amount]]/Sales4[[#This Row],[Billed Quantity]]</f>
        <v>457.3</v>
      </c>
      <c r="AO290" s="72" t="e">
        <f>SUMIFS('COGS Break up'!#REF!,'COGS Break up'!#REF!,Sales4[[#This Row],[Material]],'COGS Break up'!#REF!,'MIS Working'!$AO$1)</f>
        <v>#REF!</v>
      </c>
      <c r="AP290" s="72" t="e">
        <f>SUMIFS('COGS Break up'!#REF!,'COGS Break up'!#REF!,Sales4[[#This Row],[Material]],'COGS Break up'!#REF!,'MIS Working'!$AP$1)</f>
        <v>#REF!</v>
      </c>
      <c r="AQ290" s="72" t="e">
        <f>SUMIFS('COGS Break up'!#REF!,'COGS Break up'!#REF!,Sales4[[#This Row],[Material]],'COGS Break up'!#REF!,'MIS Working'!$AQ$1)</f>
        <v>#REF!</v>
      </c>
      <c r="AR290" s="72">
        <f>Sales4[[#This Row],[Droppage per unit]]</f>
        <v>0</v>
      </c>
      <c r="AS290" s="15" t="e">
        <f>AO290*Sales4[[#This Row],[Billed Quantity]]</f>
        <v>#REF!</v>
      </c>
      <c r="AT290" s="72" t="e">
        <f>AP290*Sales4[[#This Row],[Billed Quantity]]</f>
        <v>#REF!</v>
      </c>
      <c r="AU290" s="72" t="e">
        <f>AQ290*Sales4[[#This Row],[Billed Quantity]]</f>
        <v>#REF!</v>
      </c>
      <c r="AV290" s="72">
        <f>AR290*Sales4[[#This Row],[Billed Quantity]]</f>
        <v>0</v>
      </c>
    </row>
    <row r="291" spans="1:48" x14ac:dyDescent="0.3">
      <c r="A291" s="1" t="s">
        <v>1295</v>
      </c>
      <c r="B291" s="2">
        <v>45909</v>
      </c>
      <c r="C291" s="1">
        <v>3271268545</v>
      </c>
      <c r="D291" s="1" t="s">
        <v>694</v>
      </c>
      <c r="E291" s="1" t="s">
        <v>695</v>
      </c>
      <c r="F291" s="1" t="s">
        <v>18</v>
      </c>
      <c r="G291" s="1" t="s">
        <v>19</v>
      </c>
      <c r="H291" s="1" t="s">
        <v>20</v>
      </c>
      <c r="I291" s="3">
        <v>400</v>
      </c>
      <c r="J291" s="4">
        <v>189784</v>
      </c>
      <c r="K291" s="3">
        <v>400</v>
      </c>
      <c r="L291" s="3">
        <v>400</v>
      </c>
      <c r="M291" s="2">
        <v>45909</v>
      </c>
      <c r="N291" s="4">
        <v>263720</v>
      </c>
      <c r="O291" s="1" t="s">
        <v>21</v>
      </c>
      <c r="P291" s="1" t="s">
        <v>22</v>
      </c>
      <c r="Q291" s="1">
        <v>1</v>
      </c>
      <c r="R291" s="1" t="str">
        <f>VLOOKUP(Sales4[[#This Row],[Material type]],Master!$H$3:$I$8,2,0)</f>
        <v>Finished Goods</v>
      </c>
      <c r="S291" s="1" t="str">
        <f>VLOOKUP(Sales4[[#This Row],[Material Group]],Master!B:C,2,0)</f>
        <v>FG-PCB-Ref</v>
      </c>
      <c r="T291" s="1" t="str">
        <f>VLOOKUP(Sales4[[#This Row],[Material Group Descrip]],Master!E:F,2,0)</f>
        <v>FG-PCB-Ref</v>
      </c>
      <c r="U291" s="9" t="b">
        <f ca="1">(TODAY()-1)=Sales4[[#This Row],[Billing Date]]</f>
        <v>0</v>
      </c>
      <c r="V291" s="10" t="e">
        <f>Sales4[[#This Row],[Net Value]]-Sales4[[#This Row],[PGI COST]]</f>
        <v>#REF!</v>
      </c>
      <c r="W291" s="11" t="e">
        <f>Sales4[[#This Row],[Gross Margin]]/Sales4[[#This Row],[Net Value]]</f>
        <v>#REF!</v>
      </c>
      <c r="X291" s="1" t="str">
        <f>TEXT(Sales4[[#This Row],[Billing Date]],"mmmm-yy")</f>
        <v>September-25</v>
      </c>
      <c r="Y291" s="1">
        <f>Sales4[[#This Row],[Net Value]]/Sales4[[#This Row],[Billed Quantity]]</f>
        <v>659.3</v>
      </c>
      <c r="Z291" s="117">
        <f>Sales4[[#This Row],[Actual delivery qty]]</f>
        <v>400</v>
      </c>
      <c r="AA291" s="12" t="e">
        <f>SUM(Sales4[[#This Row],[BOM Cost]:[Other Conversion cost pu]])</f>
        <v>#REF!</v>
      </c>
      <c r="AB29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9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91" s="12">
        <f>IFERROR(VLOOKUP(Sales4[[#This Row],[Material]],'COGS Break up'!#REF!,5,0),0)</f>
        <v>0</v>
      </c>
      <c r="AE29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91" s="48" t="e">
        <f>Sales4[[#This Row],[PGI per unit]]-Sales4[[#This Row],[BOM Cost]]-Sales4[[#This Row],[Labour cost per unit]]-Sales4[[#This Row],[Other Conversion cost pu]]</f>
        <v>#REF!</v>
      </c>
      <c r="AG291" s="48" t="e">
        <f>Sales4[[#This Row],[BOM Cost2]]+Sales4[[#This Row],[Labour Cost]]+Sales4[[#This Row],[Other conversion cost]]</f>
        <v>#REF!</v>
      </c>
      <c r="AH291" s="12" t="e">
        <f>Sales4[[#This Row],[Billed Quantity]]*Sales4[[#This Row],[BOM Cost]]</f>
        <v>#REF!</v>
      </c>
      <c r="AI291" s="12" t="e">
        <f>Sales4[[#This Row],[Billed Quantity]]*Sales4[[#This Row],[Labour cost per unit]]</f>
        <v>#REF!</v>
      </c>
      <c r="AJ291" s="12">
        <f>Sales4[[#This Row],[Droppage per unit]]*Sales4[[#This Row],[Billed Quantity]]</f>
        <v>0</v>
      </c>
      <c r="AK291" s="12" t="e">
        <f>Sales4[[#This Row],[Billed Quantity]]*Sales4[[#This Row],[Other Conversion cost pu]]</f>
        <v>#REF!</v>
      </c>
      <c r="AL291" s="48" t="e">
        <f>Sales4[[#This Row],[PGI Amount]]-Sales4[[#This Row],[BOM Cost2]]-Sales4[[#This Row],[Labour Cost]]-Sales4[[#This Row],[Other conversion cost]]</f>
        <v>#REF!</v>
      </c>
      <c r="AM291" s="121" t="e">
        <f>1-Sales4[[#This Row],[PGI COST]]/Sales4[[#This Row],[Net Value]]</f>
        <v>#REF!</v>
      </c>
      <c r="AN291" s="1">
        <f>Sales4[[#This Row],[PGI Amount]]/Sales4[[#This Row],[Billed Quantity]]</f>
        <v>474.46</v>
      </c>
      <c r="AO291" s="72" t="e">
        <f>SUMIFS('COGS Break up'!#REF!,'COGS Break up'!#REF!,Sales4[[#This Row],[Material]],'COGS Break up'!#REF!,'MIS Working'!$AO$1)</f>
        <v>#REF!</v>
      </c>
      <c r="AP291" s="72" t="e">
        <f>SUMIFS('COGS Break up'!#REF!,'COGS Break up'!#REF!,Sales4[[#This Row],[Material]],'COGS Break up'!#REF!,'MIS Working'!$AP$1)</f>
        <v>#REF!</v>
      </c>
      <c r="AQ291" s="72" t="e">
        <f>SUMIFS('COGS Break up'!#REF!,'COGS Break up'!#REF!,Sales4[[#This Row],[Material]],'COGS Break up'!#REF!,'MIS Working'!$AQ$1)</f>
        <v>#REF!</v>
      </c>
      <c r="AR291" s="72">
        <f>Sales4[[#This Row],[Droppage per unit]]</f>
        <v>0</v>
      </c>
      <c r="AS291" s="15" t="e">
        <f>AO291*Sales4[[#This Row],[Billed Quantity]]</f>
        <v>#REF!</v>
      </c>
      <c r="AT291" s="72" t="e">
        <f>AP291*Sales4[[#This Row],[Billed Quantity]]</f>
        <v>#REF!</v>
      </c>
      <c r="AU291" s="72" t="e">
        <f>AQ291*Sales4[[#This Row],[Billed Quantity]]</f>
        <v>#REF!</v>
      </c>
      <c r="AV291" s="72">
        <f>AR291*Sales4[[#This Row],[Billed Quantity]]</f>
        <v>0</v>
      </c>
    </row>
    <row r="292" spans="1:48" x14ac:dyDescent="0.3">
      <c r="A292" s="1" t="s">
        <v>479</v>
      </c>
      <c r="B292" s="2">
        <v>45909</v>
      </c>
      <c r="C292" s="1">
        <v>3271268481</v>
      </c>
      <c r="D292" s="1" t="s">
        <v>38</v>
      </c>
      <c r="E292" s="1" t="s">
        <v>39</v>
      </c>
      <c r="F292" s="1" t="s">
        <v>18</v>
      </c>
      <c r="G292" s="1" t="s">
        <v>19</v>
      </c>
      <c r="H292" s="1" t="s">
        <v>27</v>
      </c>
      <c r="I292" s="3">
        <v>560</v>
      </c>
      <c r="J292" s="4">
        <v>184497.6</v>
      </c>
      <c r="K292" s="3">
        <v>560</v>
      </c>
      <c r="L292" s="3">
        <v>560</v>
      </c>
      <c r="M292" s="2">
        <v>45909</v>
      </c>
      <c r="N292" s="4">
        <v>200642.4</v>
      </c>
      <c r="O292" s="1" t="s">
        <v>21</v>
      </c>
      <c r="P292" s="1" t="s">
        <v>22</v>
      </c>
      <c r="Q292" s="1">
        <v>1</v>
      </c>
      <c r="R292" s="1" t="str">
        <f>VLOOKUP(Sales4[[#This Row],[Material type]],Master!$H$3:$I$8,2,0)</f>
        <v>Finished Goods</v>
      </c>
      <c r="S292" s="1" t="str">
        <f>VLOOKUP(Sales4[[#This Row],[Material Group]],Master!B:C,2,0)</f>
        <v>FG-PCB-CF</v>
      </c>
      <c r="T292" s="1" t="str">
        <f>VLOOKUP(Sales4[[#This Row],[Material Group Descrip]],Master!E:F,2,0)</f>
        <v>FG-PCB-CF</v>
      </c>
      <c r="U292" s="9" t="b">
        <f ca="1">(TODAY()-1)=Sales4[[#This Row],[Billing Date]]</f>
        <v>0</v>
      </c>
      <c r="V292" s="10" t="e">
        <f>Sales4[[#This Row],[Net Value]]-Sales4[[#This Row],[PGI COST]]</f>
        <v>#REF!</v>
      </c>
      <c r="W292" s="11" t="e">
        <f>Sales4[[#This Row],[Gross Margin]]/Sales4[[#This Row],[Net Value]]</f>
        <v>#REF!</v>
      </c>
      <c r="X292" s="1" t="str">
        <f>TEXT(Sales4[[#This Row],[Billing Date]],"mmmm-yy")</f>
        <v>September-25</v>
      </c>
      <c r="Y292" s="1">
        <f>Sales4[[#This Row],[Net Value]]/Sales4[[#This Row],[Billed Quantity]]</f>
        <v>358.28999999999996</v>
      </c>
      <c r="Z292" s="117">
        <f>Sales4[[#This Row],[Actual delivery qty]]</f>
        <v>560</v>
      </c>
      <c r="AA292" s="12" t="e">
        <f>SUM(Sales4[[#This Row],[BOM Cost]:[Other Conversion cost pu]])</f>
        <v>#REF!</v>
      </c>
      <c r="AB29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9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92" s="12">
        <f>IFERROR(VLOOKUP(Sales4[[#This Row],[Material]],'COGS Break up'!#REF!,5,0),0)</f>
        <v>0</v>
      </c>
      <c r="AE29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92" s="48" t="e">
        <f>Sales4[[#This Row],[PGI per unit]]-Sales4[[#This Row],[BOM Cost]]-Sales4[[#This Row],[Labour cost per unit]]-Sales4[[#This Row],[Other Conversion cost pu]]</f>
        <v>#REF!</v>
      </c>
      <c r="AG292" s="48" t="e">
        <f>Sales4[[#This Row],[BOM Cost2]]+Sales4[[#This Row],[Labour Cost]]+Sales4[[#This Row],[Other conversion cost]]</f>
        <v>#REF!</v>
      </c>
      <c r="AH292" s="12" t="e">
        <f>Sales4[[#This Row],[Billed Quantity]]*Sales4[[#This Row],[BOM Cost]]</f>
        <v>#REF!</v>
      </c>
      <c r="AI292" s="12" t="e">
        <f>Sales4[[#This Row],[Billed Quantity]]*Sales4[[#This Row],[Labour cost per unit]]</f>
        <v>#REF!</v>
      </c>
      <c r="AJ292" s="12">
        <f>Sales4[[#This Row],[Droppage per unit]]*Sales4[[#This Row],[Billed Quantity]]</f>
        <v>0</v>
      </c>
      <c r="AK292" s="12" t="e">
        <f>Sales4[[#This Row],[Billed Quantity]]*Sales4[[#This Row],[Other Conversion cost pu]]</f>
        <v>#REF!</v>
      </c>
      <c r="AL292" s="48" t="e">
        <f>Sales4[[#This Row],[PGI Amount]]-Sales4[[#This Row],[BOM Cost2]]-Sales4[[#This Row],[Labour Cost]]-Sales4[[#This Row],[Other conversion cost]]</f>
        <v>#REF!</v>
      </c>
      <c r="AM292" s="121" t="e">
        <f>1-Sales4[[#This Row],[PGI COST]]/Sales4[[#This Row],[Net Value]]</f>
        <v>#REF!</v>
      </c>
      <c r="AN292" s="1">
        <f>Sales4[[#This Row],[PGI Amount]]/Sales4[[#This Row],[Billed Quantity]]</f>
        <v>329.46000000000004</v>
      </c>
      <c r="AO292" s="72" t="e">
        <f>SUMIFS('COGS Break up'!#REF!,'COGS Break up'!#REF!,Sales4[[#This Row],[Material]],'COGS Break up'!#REF!,'MIS Working'!$AO$1)</f>
        <v>#REF!</v>
      </c>
      <c r="AP292" s="72" t="e">
        <f>SUMIFS('COGS Break up'!#REF!,'COGS Break up'!#REF!,Sales4[[#This Row],[Material]],'COGS Break up'!#REF!,'MIS Working'!$AP$1)</f>
        <v>#REF!</v>
      </c>
      <c r="AQ292" s="72" t="e">
        <f>SUMIFS('COGS Break up'!#REF!,'COGS Break up'!#REF!,Sales4[[#This Row],[Material]],'COGS Break up'!#REF!,'MIS Working'!$AQ$1)</f>
        <v>#REF!</v>
      </c>
      <c r="AR292" s="72">
        <f>Sales4[[#This Row],[Droppage per unit]]</f>
        <v>0</v>
      </c>
      <c r="AS292" s="15" t="e">
        <f>AO292*Sales4[[#This Row],[Billed Quantity]]</f>
        <v>#REF!</v>
      </c>
      <c r="AT292" s="72" t="e">
        <f>AP292*Sales4[[#This Row],[Billed Quantity]]</f>
        <v>#REF!</v>
      </c>
      <c r="AU292" s="72" t="e">
        <f>AQ292*Sales4[[#This Row],[Billed Quantity]]</f>
        <v>#REF!</v>
      </c>
      <c r="AV292" s="72">
        <f>AR292*Sales4[[#This Row],[Billed Quantity]]</f>
        <v>0</v>
      </c>
    </row>
    <row r="293" spans="1:48" x14ac:dyDescent="0.3">
      <c r="A293" s="1" t="s">
        <v>479</v>
      </c>
      <c r="B293" s="2">
        <v>45909</v>
      </c>
      <c r="C293" s="1">
        <v>3271268944</v>
      </c>
      <c r="D293" s="1" t="s">
        <v>38</v>
      </c>
      <c r="E293" s="1" t="s">
        <v>39</v>
      </c>
      <c r="F293" s="1" t="s">
        <v>18</v>
      </c>
      <c r="G293" s="1" t="s">
        <v>19</v>
      </c>
      <c r="H293" s="1" t="s">
        <v>27</v>
      </c>
      <c r="I293" s="3">
        <v>1120</v>
      </c>
      <c r="J293" s="4">
        <v>368995.2</v>
      </c>
      <c r="K293" s="3">
        <v>1120</v>
      </c>
      <c r="L293" s="3">
        <v>1120</v>
      </c>
      <c r="M293" s="2">
        <v>45909</v>
      </c>
      <c r="N293" s="4">
        <v>401284.8</v>
      </c>
      <c r="O293" s="1" t="s">
        <v>21</v>
      </c>
      <c r="P293" s="1" t="s">
        <v>22</v>
      </c>
      <c r="Q293" s="1">
        <v>1</v>
      </c>
      <c r="R293" s="1" t="str">
        <f>VLOOKUP(Sales4[[#This Row],[Material type]],Master!$H$3:$I$8,2,0)</f>
        <v>Finished Goods</v>
      </c>
      <c r="S293" s="1" t="str">
        <f>VLOOKUP(Sales4[[#This Row],[Material Group]],Master!B:C,2,0)</f>
        <v>FG-PCB-CF</v>
      </c>
      <c r="T293" s="1" t="str">
        <f>VLOOKUP(Sales4[[#This Row],[Material Group Descrip]],Master!E:F,2,0)</f>
        <v>FG-PCB-CF</v>
      </c>
      <c r="U293" s="9" t="b">
        <f ca="1">(TODAY()-1)=Sales4[[#This Row],[Billing Date]]</f>
        <v>0</v>
      </c>
      <c r="V293" s="10" t="e">
        <f>Sales4[[#This Row],[Net Value]]-Sales4[[#This Row],[PGI COST]]</f>
        <v>#REF!</v>
      </c>
      <c r="W293" s="11" t="e">
        <f>Sales4[[#This Row],[Gross Margin]]/Sales4[[#This Row],[Net Value]]</f>
        <v>#REF!</v>
      </c>
      <c r="X293" s="1" t="str">
        <f>TEXT(Sales4[[#This Row],[Billing Date]],"mmmm-yy")</f>
        <v>September-25</v>
      </c>
      <c r="Y293" s="1">
        <f>Sales4[[#This Row],[Net Value]]/Sales4[[#This Row],[Billed Quantity]]</f>
        <v>358.28999999999996</v>
      </c>
      <c r="Z293" s="117">
        <f>Sales4[[#This Row],[Actual delivery qty]]</f>
        <v>1120</v>
      </c>
      <c r="AA293" s="12" t="e">
        <f>SUM(Sales4[[#This Row],[BOM Cost]:[Other Conversion cost pu]])</f>
        <v>#REF!</v>
      </c>
      <c r="AB29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9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93" s="12">
        <f>IFERROR(VLOOKUP(Sales4[[#This Row],[Material]],'COGS Break up'!#REF!,5,0),0)</f>
        <v>0</v>
      </c>
      <c r="AE29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93" s="48" t="e">
        <f>Sales4[[#This Row],[PGI per unit]]-Sales4[[#This Row],[BOM Cost]]-Sales4[[#This Row],[Labour cost per unit]]-Sales4[[#This Row],[Other Conversion cost pu]]</f>
        <v>#REF!</v>
      </c>
      <c r="AG293" s="48" t="e">
        <f>Sales4[[#This Row],[BOM Cost2]]+Sales4[[#This Row],[Labour Cost]]+Sales4[[#This Row],[Other conversion cost]]</f>
        <v>#REF!</v>
      </c>
      <c r="AH293" s="12" t="e">
        <f>Sales4[[#This Row],[Billed Quantity]]*Sales4[[#This Row],[BOM Cost]]</f>
        <v>#REF!</v>
      </c>
      <c r="AI293" s="12" t="e">
        <f>Sales4[[#This Row],[Billed Quantity]]*Sales4[[#This Row],[Labour cost per unit]]</f>
        <v>#REF!</v>
      </c>
      <c r="AJ293" s="12">
        <f>Sales4[[#This Row],[Droppage per unit]]*Sales4[[#This Row],[Billed Quantity]]</f>
        <v>0</v>
      </c>
      <c r="AK293" s="12" t="e">
        <f>Sales4[[#This Row],[Billed Quantity]]*Sales4[[#This Row],[Other Conversion cost pu]]</f>
        <v>#REF!</v>
      </c>
      <c r="AL293" s="48" t="e">
        <f>Sales4[[#This Row],[PGI Amount]]-Sales4[[#This Row],[BOM Cost2]]-Sales4[[#This Row],[Labour Cost]]-Sales4[[#This Row],[Other conversion cost]]</f>
        <v>#REF!</v>
      </c>
      <c r="AM293" s="121" t="e">
        <f>1-Sales4[[#This Row],[PGI COST]]/Sales4[[#This Row],[Net Value]]</f>
        <v>#REF!</v>
      </c>
      <c r="AN293" s="1">
        <f>Sales4[[#This Row],[PGI Amount]]/Sales4[[#This Row],[Billed Quantity]]</f>
        <v>329.46000000000004</v>
      </c>
      <c r="AO293" s="72" t="e">
        <f>SUMIFS('COGS Break up'!#REF!,'COGS Break up'!#REF!,Sales4[[#This Row],[Material]],'COGS Break up'!#REF!,'MIS Working'!$AO$1)</f>
        <v>#REF!</v>
      </c>
      <c r="AP293" s="72" t="e">
        <f>SUMIFS('COGS Break up'!#REF!,'COGS Break up'!#REF!,Sales4[[#This Row],[Material]],'COGS Break up'!#REF!,'MIS Working'!$AP$1)</f>
        <v>#REF!</v>
      </c>
      <c r="AQ293" s="72" t="e">
        <f>SUMIFS('COGS Break up'!#REF!,'COGS Break up'!#REF!,Sales4[[#This Row],[Material]],'COGS Break up'!#REF!,'MIS Working'!$AQ$1)</f>
        <v>#REF!</v>
      </c>
      <c r="AR293" s="72">
        <f>Sales4[[#This Row],[Droppage per unit]]</f>
        <v>0</v>
      </c>
      <c r="AS293" s="15" t="e">
        <f>AO293*Sales4[[#This Row],[Billed Quantity]]</f>
        <v>#REF!</v>
      </c>
      <c r="AT293" s="72" t="e">
        <f>AP293*Sales4[[#This Row],[Billed Quantity]]</f>
        <v>#REF!</v>
      </c>
      <c r="AU293" s="72" t="e">
        <f>AQ293*Sales4[[#This Row],[Billed Quantity]]</f>
        <v>#REF!</v>
      </c>
      <c r="AV293" s="72">
        <f>AR293*Sales4[[#This Row],[Billed Quantity]]</f>
        <v>0</v>
      </c>
    </row>
    <row r="294" spans="1:48" x14ac:dyDescent="0.3">
      <c r="A294" s="1" t="s">
        <v>479</v>
      </c>
      <c r="B294" s="2">
        <v>45909</v>
      </c>
      <c r="C294" s="1">
        <v>3271268944</v>
      </c>
      <c r="D294" s="1" t="s">
        <v>23</v>
      </c>
      <c r="E294" s="1" t="s">
        <v>24</v>
      </c>
      <c r="F294" s="1" t="s">
        <v>18</v>
      </c>
      <c r="G294" s="1" t="s">
        <v>19</v>
      </c>
      <c r="H294" s="1" t="s">
        <v>27</v>
      </c>
      <c r="I294" s="3">
        <v>2380</v>
      </c>
      <c r="J294" s="4">
        <v>1010143.4</v>
      </c>
      <c r="K294" s="3">
        <v>2380</v>
      </c>
      <c r="L294" s="3">
        <v>2380</v>
      </c>
      <c r="M294" s="2">
        <v>45909</v>
      </c>
      <c r="N294" s="4">
        <v>1149920.8</v>
      </c>
      <c r="O294" s="1" t="s">
        <v>21</v>
      </c>
      <c r="P294" s="1" t="s">
        <v>22</v>
      </c>
      <c r="Q294" s="1">
        <v>1</v>
      </c>
      <c r="R294" s="1" t="str">
        <f>VLOOKUP(Sales4[[#This Row],[Material type]],Master!$H$3:$I$8,2,0)</f>
        <v>Finished Goods</v>
      </c>
      <c r="S294" s="1" t="str">
        <f>VLOOKUP(Sales4[[#This Row],[Material Group]],Master!B:C,2,0)</f>
        <v>FG-PCB-CF</v>
      </c>
      <c r="T294" s="1" t="str">
        <f>VLOOKUP(Sales4[[#This Row],[Material Group Descrip]],Master!E:F,2,0)</f>
        <v>FG-PCB-CF</v>
      </c>
      <c r="U294" s="9" t="b">
        <f ca="1">(TODAY()-1)=Sales4[[#This Row],[Billing Date]]</f>
        <v>0</v>
      </c>
      <c r="V294" s="10" t="e">
        <f>Sales4[[#This Row],[Net Value]]-Sales4[[#This Row],[PGI COST]]</f>
        <v>#REF!</v>
      </c>
      <c r="W294" s="11" t="e">
        <f>Sales4[[#This Row],[Gross Margin]]/Sales4[[#This Row],[Net Value]]</f>
        <v>#REF!</v>
      </c>
      <c r="X294" s="1" t="str">
        <f>TEXT(Sales4[[#This Row],[Billing Date]],"mmmm-yy")</f>
        <v>September-25</v>
      </c>
      <c r="Y294" s="1">
        <f>Sales4[[#This Row],[Net Value]]/Sales4[[#This Row],[Billed Quantity]]</f>
        <v>483.16</v>
      </c>
      <c r="Z294" s="117">
        <f>Sales4[[#This Row],[Actual delivery qty]]</f>
        <v>2380</v>
      </c>
      <c r="AA294" s="12" t="e">
        <f>SUM(Sales4[[#This Row],[BOM Cost]:[Other Conversion cost pu]])</f>
        <v>#REF!</v>
      </c>
      <c r="AB29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9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94" s="12">
        <f>IFERROR(VLOOKUP(Sales4[[#This Row],[Material]],'COGS Break up'!#REF!,5,0),0)</f>
        <v>0</v>
      </c>
      <c r="AE29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94" s="48" t="e">
        <f>Sales4[[#This Row],[PGI per unit]]-Sales4[[#This Row],[BOM Cost]]-Sales4[[#This Row],[Labour cost per unit]]-Sales4[[#This Row],[Other Conversion cost pu]]</f>
        <v>#REF!</v>
      </c>
      <c r="AG294" s="48" t="e">
        <f>Sales4[[#This Row],[BOM Cost2]]+Sales4[[#This Row],[Labour Cost]]+Sales4[[#This Row],[Other conversion cost]]</f>
        <v>#REF!</v>
      </c>
      <c r="AH294" s="12" t="e">
        <f>Sales4[[#This Row],[Billed Quantity]]*Sales4[[#This Row],[BOM Cost]]</f>
        <v>#REF!</v>
      </c>
      <c r="AI294" s="12" t="e">
        <f>Sales4[[#This Row],[Billed Quantity]]*Sales4[[#This Row],[Labour cost per unit]]</f>
        <v>#REF!</v>
      </c>
      <c r="AJ294" s="12">
        <f>Sales4[[#This Row],[Droppage per unit]]*Sales4[[#This Row],[Billed Quantity]]</f>
        <v>0</v>
      </c>
      <c r="AK294" s="12" t="e">
        <f>Sales4[[#This Row],[Billed Quantity]]*Sales4[[#This Row],[Other Conversion cost pu]]</f>
        <v>#REF!</v>
      </c>
      <c r="AL294" s="48" t="e">
        <f>Sales4[[#This Row],[PGI Amount]]-Sales4[[#This Row],[BOM Cost2]]-Sales4[[#This Row],[Labour Cost]]-Sales4[[#This Row],[Other conversion cost]]</f>
        <v>#REF!</v>
      </c>
      <c r="AM294" s="121" t="e">
        <f>1-Sales4[[#This Row],[PGI COST]]/Sales4[[#This Row],[Net Value]]</f>
        <v>#REF!</v>
      </c>
      <c r="AN294" s="1">
        <f>Sales4[[#This Row],[PGI Amount]]/Sales4[[#This Row],[Billed Quantity]]</f>
        <v>424.43</v>
      </c>
      <c r="AO294" s="72" t="e">
        <f>SUMIFS('COGS Break up'!#REF!,'COGS Break up'!#REF!,Sales4[[#This Row],[Material]],'COGS Break up'!#REF!,'MIS Working'!$AO$1)</f>
        <v>#REF!</v>
      </c>
      <c r="AP294" s="72" t="e">
        <f>SUMIFS('COGS Break up'!#REF!,'COGS Break up'!#REF!,Sales4[[#This Row],[Material]],'COGS Break up'!#REF!,'MIS Working'!$AP$1)</f>
        <v>#REF!</v>
      </c>
      <c r="AQ294" s="72" t="e">
        <f>SUMIFS('COGS Break up'!#REF!,'COGS Break up'!#REF!,Sales4[[#This Row],[Material]],'COGS Break up'!#REF!,'MIS Working'!$AQ$1)</f>
        <v>#REF!</v>
      </c>
      <c r="AR294" s="72">
        <f>Sales4[[#This Row],[Droppage per unit]]</f>
        <v>0</v>
      </c>
      <c r="AS294" s="15" t="e">
        <f>AO294*Sales4[[#This Row],[Billed Quantity]]</f>
        <v>#REF!</v>
      </c>
      <c r="AT294" s="72" t="e">
        <f>AP294*Sales4[[#This Row],[Billed Quantity]]</f>
        <v>#REF!</v>
      </c>
      <c r="AU294" s="72" t="e">
        <f>AQ294*Sales4[[#This Row],[Billed Quantity]]</f>
        <v>#REF!</v>
      </c>
      <c r="AV294" s="72">
        <f>AR294*Sales4[[#This Row],[Billed Quantity]]</f>
        <v>0</v>
      </c>
    </row>
    <row r="295" spans="1:48" x14ac:dyDescent="0.3">
      <c r="A295" s="1" t="s">
        <v>479</v>
      </c>
      <c r="B295" s="2">
        <v>45909</v>
      </c>
      <c r="C295" s="1">
        <v>3271268944</v>
      </c>
      <c r="D295" s="1" t="s">
        <v>362</v>
      </c>
      <c r="E295" s="1" t="s">
        <v>363</v>
      </c>
      <c r="F295" s="1" t="s">
        <v>18</v>
      </c>
      <c r="G295" s="1" t="s">
        <v>19</v>
      </c>
      <c r="H295" s="1" t="s">
        <v>483</v>
      </c>
      <c r="I295" s="3">
        <v>175</v>
      </c>
      <c r="J295" s="4">
        <v>128294.25</v>
      </c>
      <c r="K295" s="3">
        <v>175</v>
      </c>
      <c r="L295" s="3">
        <v>175</v>
      </c>
      <c r="M295" s="2">
        <v>45909</v>
      </c>
      <c r="N295" s="4">
        <v>150892</v>
      </c>
      <c r="O295" s="1" t="s">
        <v>21</v>
      </c>
      <c r="P295" s="1" t="s">
        <v>22</v>
      </c>
      <c r="Q295" s="1">
        <v>1</v>
      </c>
      <c r="R295" s="1" t="str">
        <f>VLOOKUP(Sales4[[#This Row],[Material type]],Master!$H$3:$I$8,2,0)</f>
        <v>Finished Goods</v>
      </c>
      <c r="S295" s="1" t="str">
        <f>VLOOKUP(Sales4[[#This Row],[Material Group]],Master!B:C,2,0)</f>
        <v>FG-PCB-MG</v>
      </c>
      <c r="T295" s="1" t="str">
        <f>VLOOKUP(Sales4[[#This Row],[Material Group Descrip]],Master!E:F,2,0)</f>
        <v>FG-PCB-MG</v>
      </c>
      <c r="U295" s="9" t="b">
        <f ca="1">(TODAY()-1)=Sales4[[#This Row],[Billing Date]]</f>
        <v>0</v>
      </c>
      <c r="V295" s="10" t="e">
        <f>Sales4[[#This Row],[Net Value]]-Sales4[[#This Row],[PGI COST]]</f>
        <v>#REF!</v>
      </c>
      <c r="W295" s="11" t="e">
        <f>Sales4[[#This Row],[Gross Margin]]/Sales4[[#This Row],[Net Value]]</f>
        <v>#REF!</v>
      </c>
      <c r="X295" s="1" t="str">
        <f>TEXT(Sales4[[#This Row],[Billing Date]],"mmmm-yy")</f>
        <v>September-25</v>
      </c>
      <c r="Y295" s="1">
        <f>Sales4[[#This Row],[Net Value]]/Sales4[[#This Row],[Billed Quantity]]</f>
        <v>862.24</v>
      </c>
      <c r="Z295" s="117">
        <f>Sales4[[#This Row],[Actual delivery qty]]</f>
        <v>175</v>
      </c>
      <c r="AA295" s="12" t="e">
        <f>SUM(Sales4[[#This Row],[BOM Cost]:[Other Conversion cost pu]])</f>
        <v>#REF!</v>
      </c>
      <c r="AB29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9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95" s="12">
        <f>IFERROR(VLOOKUP(Sales4[[#This Row],[Material]],'COGS Break up'!#REF!,5,0),0)</f>
        <v>0</v>
      </c>
      <c r="AE29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95" s="48" t="e">
        <f>Sales4[[#This Row],[PGI per unit]]-Sales4[[#This Row],[BOM Cost]]-Sales4[[#This Row],[Labour cost per unit]]-Sales4[[#This Row],[Other Conversion cost pu]]</f>
        <v>#REF!</v>
      </c>
      <c r="AG295" s="48" t="e">
        <f>Sales4[[#This Row],[BOM Cost2]]+Sales4[[#This Row],[Labour Cost]]+Sales4[[#This Row],[Other conversion cost]]</f>
        <v>#REF!</v>
      </c>
      <c r="AH295" s="12" t="e">
        <f>Sales4[[#This Row],[Billed Quantity]]*Sales4[[#This Row],[BOM Cost]]</f>
        <v>#REF!</v>
      </c>
      <c r="AI295" s="12" t="e">
        <f>Sales4[[#This Row],[Billed Quantity]]*Sales4[[#This Row],[Labour cost per unit]]</f>
        <v>#REF!</v>
      </c>
      <c r="AJ295" s="12">
        <f>Sales4[[#This Row],[Droppage per unit]]*Sales4[[#This Row],[Billed Quantity]]</f>
        <v>0</v>
      </c>
      <c r="AK295" s="12" t="e">
        <f>Sales4[[#This Row],[Billed Quantity]]*Sales4[[#This Row],[Other Conversion cost pu]]</f>
        <v>#REF!</v>
      </c>
      <c r="AL295" s="48" t="e">
        <f>Sales4[[#This Row],[PGI Amount]]-Sales4[[#This Row],[BOM Cost2]]-Sales4[[#This Row],[Labour Cost]]-Sales4[[#This Row],[Other conversion cost]]</f>
        <v>#REF!</v>
      </c>
      <c r="AM295" s="121" t="e">
        <f>1-Sales4[[#This Row],[PGI COST]]/Sales4[[#This Row],[Net Value]]</f>
        <v>#REF!</v>
      </c>
      <c r="AN295" s="1">
        <f>Sales4[[#This Row],[PGI Amount]]/Sales4[[#This Row],[Billed Quantity]]</f>
        <v>733.11</v>
      </c>
      <c r="AO295" s="72" t="e">
        <f>SUMIFS('COGS Break up'!#REF!,'COGS Break up'!#REF!,Sales4[[#This Row],[Material]],'COGS Break up'!#REF!,'MIS Working'!$AO$1)</f>
        <v>#REF!</v>
      </c>
      <c r="AP295" s="72" t="e">
        <f>SUMIFS('COGS Break up'!#REF!,'COGS Break up'!#REF!,Sales4[[#This Row],[Material]],'COGS Break up'!#REF!,'MIS Working'!$AP$1)</f>
        <v>#REF!</v>
      </c>
      <c r="AQ295" s="72" t="e">
        <f>SUMIFS('COGS Break up'!#REF!,'COGS Break up'!#REF!,Sales4[[#This Row],[Material]],'COGS Break up'!#REF!,'MIS Working'!$AQ$1)</f>
        <v>#REF!</v>
      </c>
      <c r="AR295" s="72">
        <f>Sales4[[#This Row],[Droppage per unit]]</f>
        <v>0</v>
      </c>
      <c r="AS295" s="15" t="e">
        <f>AO295*Sales4[[#This Row],[Billed Quantity]]</f>
        <v>#REF!</v>
      </c>
      <c r="AT295" s="72" t="e">
        <f>AP295*Sales4[[#This Row],[Billed Quantity]]</f>
        <v>#REF!</v>
      </c>
      <c r="AU295" s="72" t="e">
        <f>AQ295*Sales4[[#This Row],[Billed Quantity]]</f>
        <v>#REF!</v>
      </c>
      <c r="AV295" s="72">
        <f>AR295*Sales4[[#This Row],[Billed Quantity]]</f>
        <v>0</v>
      </c>
    </row>
    <row r="296" spans="1:48" x14ac:dyDescent="0.3">
      <c r="A296" s="1" t="s">
        <v>479</v>
      </c>
      <c r="B296" s="2">
        <v>45909</v>
      </c>
      <c r="C296" s="1">
        <v>3271268970</v>
      </c>
      <c r="D296" s="1" t="s">
        <v>362</v>
      </c>
      <c r="E296" s="1" t="s">
        <v>363</v>
      </c>
      <c r="F296" s="1" t="s">
        <v>18</v>
      </c>
      <c r="G296" s="1" t="s">
        <v>19</v>
      </c>
      <c r="H296" s="1" t="s">
        <v>483</v>
      </c>
      <c r="I296" s="3">
        <v>70</v>
      </c>
      <c r="J296" s="4">
        <v>51317.7</v>
      </c>
      <c r="K296" s="3">
        <v>70</v>
      </c>
      <c r="L296" s="3">
        <v>70</v>
      </c>
      <c r="M296" s="2">
        <v>45909</v>
      </c>
      <c r="N296" s="4">
        <v>60356.800000000003</v>
      </c>
      <c r="O296" s="1" t="s">
        <v>21</v>
      </c>
      <c r="P296" s="1" t="s">
        <v>22</v>
      </c>
      <c r="Q296" s="1">
        <v>1</v>
      </c>
      <c r="R296" s="1" t="str">
        <f>VLOOKUP(Sales4[[#This Row],[Material type]],Master!$H$3:$I$8,2,0)</f>
        <v>Finished Goods</v>
      </c>
      <c r="S296" s="1" t="str">
        <f>VLOOKUP(Sales4[[#This Row],[Material Group]],Master!B:C,2,0)</f>
        <v>FG-PCB-MG</v>
      </c>
      <c r="T296" s="1" t="str">
        <f>VLOOKUP(Sales4[[#This Row],[Material Group Descrip]],Master!E:F,2,0)</f>
        <v>FG-PCB-MG</v>
      </c>
      <c r="U296" s="9" t="b">
        <f ca="1">(TODAY()-1)=Sales4[[#This Row],[Billing Date]]</f>
        <v>0</v>
      </c>
      <c r="V296" s="10" t="e">
        <f>Sales4[[#This Row],[Net Value]]-Sales4[[#This Row],[PGI COST]]</f>
        <v>#REF!</v>
      </c>
      <c r="W296" s="11" t="e">
        <f>Sales4[[#This Row],[Gross Margin]]/Sales4[[#This Row],[Net Value]]</f>
        <v>#REF!</v>
      </c>
      <c r="X296" s="1" t="str">
        <f>TEXT(Sales4[[#This Row],[Billing Date]],"mmmm-yy")</f>
        <v>September-25</v>
      </c>
      <c r="Y296" s="1">
        <f>Sales4[[#This Row],[Net Value]]/Sales4[[#This Row],[Billed Quantity]]</f>
        <v>862.24</v>
      </c>
      <c r="Z296" s="117">
        <f>Sales4[[#This Row],[Actual delivery qty]]</f>
        <v>70</v>
      </c>
      <c r="AA296" s="12" t="e">
        <f>SUM(Sales4[[#This Row],[BOM Cost]:[Other Conversion cost pu]])</f>
        <v>#REF!</v>
      </c>
      <c r="AB29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9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96" s="12">
        <f>IFERROR(VLOOKUP(Sales4[[#This Row],[Material]],'COGS Break up'!#REF!,5,0),0)</f>
        <v>0</v>
      </c>
      <c r="AE29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96" s="48" t="e">
        <f>Sales4[[#This Row],[PGI per unit]]-Sales4[[#This Row],[BOM Cost]]-Sales4[[#This Row],[Labour cost per unit]]-Sales4[[#This Row],[Other Conversion cost pu]]</f>
        <v>#REF!</v>
      </c>
      <c r="AG296" s="48" t="e">
        <f>Sales4[[#This Row],[BOM Cost2]]+Sales4[[#This Row],[Labour Cost]]+Sales4[[#This Row],[Other conversion cost]]</f>
        <v>#REF!</v>
      </c>
      <c r="AH296" s="12" t="e">
        <f>Sales4[[#This Row],[Billed Quantity]]*Sales4[[#This Row],[BOM Cost]]</f>
        <v>#REF!</v>
      </c>
      <c r="AI296" s="12" t="e">
        <f>Sales4[[#This Row],[Billed Quantity]]*Sales4[[#This Row],[Labour cost per unit]]</f>
        <v>#REF!</v>
      </c>
      <c r="AJ296" s="12">
        <f>Sales4[[#This Row],[Droppage per unit]]*Sales4[[#This Row],[Billed Quantity]]</f>
        <v>0</v>
      </c>
      <c r="AK296" s="12" t="e">
        <f>Sales4[[#This Row],[Billed Quantity]]*Sales4[[#This Row],[Other Conversion cost pu]]</f>
        <v>#REF!</v>
      </c>
      <c r="AL296" s="48" t="e">
        <f>Sales4[[#This Row],[PGI Amount]]-Sales4[[#This Row],[BOM Cost2]]-Sales4[[#This Row],[Labour Cost]]-Sales4[[#This Row],[Other conversion cost]]</f>
        <v>#REF!</v>
      </c>
      <c r="AM296" s="121" t="e">
        <f>1-Sales4[[#This Row],[PGI COST]]/Sales4[[#This Row],[Net Value]]</f>
        <v>#REF!</v>
      </c>
      <c r="AN296" s="1">
        <f>Sales4[[#This Row],[PGI Amount]]/Sales4[[#This Row],[Billed Quantity]]</f>
        <v>733.11</v>
      </c>
      <c r="AO296" s="72" t="e">
        <f>SUMIFS('COGS Break up'!#REF!,'COGS Break up'!#REF!,Sales4[[#This Row],[Material]],'COGS Break up'!#REF!,'MIS Working'!$AO$1)</f>
        <v>#REF!</v>
      </c>
      <c r="AP296" s="72" t="e">
        <f>SUMIFS('COGS Break up'!#REF!,'COGS Break up'!#REF!,Sales4[[#This Row],[Material]],'COGS Break up'!#REF!,'MIS Working'!$AP$1)</f>
        <v>#REF!</v>
      </c>
      <c r="AQ296" s="72" t="e">
        <f>SUMIFS('COGS Break up'!#REF!,'COGS Break up'!#REF!,Sales4[[#This Row],[Material]],'COGS Break up'!#REF!,'MIS Working'!$AQ$1)</f>
        <v>#REF!</v>
      </c>
      <c r="AR296" s="72">
        <f>Sales4[[#This Row],[Droppage per unit]]</f>
        <v>0</v>
      </c>
      <c r="AS296" s="15" t="e">
        <f>AO296*Sales4[[#This Row],[Billed Quantity]]</f>
        <v>#REF!</v>
      </c>
      <c r="AT296" s="72" t="e">
        <f>AP296*Sales4[[#This Row],[Billed Quantity]]</f>
        <v>#REF!</v>
      </c>
      <c r="AU296" s="72" t="e">
        <f>AQ296*Sales4[[#This Row],[Billed Quantity]]</f>
        <v>#REF!</v>
      </c>
      <c r="AV296" s="72">
        <f>AR296*Sales4[[#This Row],[Billed Quantity]]</f>
        <v>0</v>
      </c>
    </row>
    <row r="297" spans="1:48" x14ac:dyDescent="0.3">
      <c r="A297" s="1" t="s">
        <v>479</v>
      </c>
      <c r="B297" s="2">
        <v>45909</v>
      </c>
      <c r="C297" s="1">
        <v>3271268481</v>
      </c>
      <c r="D297" s="1" t="s">
        <v>362</v>
      </c>
      <c r="E297" s="1" t="s">
        <v>363</v>
      </c>
      <c r="F297" s="1" t="s">
        <v>18</v>
      </c>
      <c r="G297" s="1" t="s">
        <v>19</v>
      </c>
      <c r="H297" s="1" t="s">
        <v>483</v>
      </c>
      <c r="I297" s="3">
        <v>455</v>
      </c>
      <c r="J297" s="4">
        <v>333565.05</v>
      </c>
      <c r="K297" s="3">
        <v>455</v>
      </c>
      <c r="L297" s="3">
        <v>455</v>
      </c>
      <c r="M297" s="2">
        <v>45909</v>
      </c>
      <c r="N297" s="4">
        <v>392319.2</v>
      </c>
      <c r="O297" s="1" t="s">
        <v>21</v>
      </c>
      <c r="P297" s="1" t="s">
        <v>22</v>
      </c>
      <c r="Q297" s="1">
        <v>1</v>
      </c>
      <c r="R297" s="1" t="str">
        <f>VLOOKUP(Sales4[[#This Row],[Material type]],Master!$H$3:$I$8,2,0)</f>
        <v>Finished Goods</v>
      </c>
      <c r="S297" s="1" t="str">
        <f>VLOOKUP(Sales4[[#This Row],[Material Group]],Master!B:C,2,0)</f>
        <v>FG-PCB-MG</v>
      </c>
      <c r="T297" s="1" t="str">
        <f>VLOOKUP(Sales4[[#This Row],[Material Group Descrip]],Master!E:F,2,0)</f>
        <v>FG-PCB-MG</v>
      </c>
      <c r="U297" s="9" t="b">
        <f ca="1">(TODAY()-1)=Sales4[[#This Row],[Billing Date]]</f>
        <v>0</v>
      </c>
      <c r="V297" s="10" t="e">
        <f>Sales4[[#This Row],[Net Value]]-Sales4[[#This Row],[PGI COST]]</f>
        <v>#REF!</v>
      </c>
      <c r="W297" s="11" t="e">
        <f>Sales4[[#This Row],[Gross Margin]]/Sales4[[#This Row],[Net Value]]</f>
        <v>#REF!</v>
      </c>
      <c r="X297" s="1" t="str">
        <f>TEXT(Sales4[[#This Row],[Billing Date]],"mmmm-yy")</f>
        <v>September-25</v>
      </c>
      <c r="Y297" s="1">
        <f>Sales4[[#This Row],[Net Value]]/Sales4[[#This Row],[Billed Quantity]]</f>
        <v>862.24</v>
      </c>
      <c r="Z297" s="117">
        <f>Sales4[[#This Row],[Actual delivery qty]]</f>
        <v>455</v>
      </c>
      <c r="AA297" s="12" t="e">
        <f>SUM(Sales4[[#This Row],[BOM Cost]:[Other Conversion cost pu]])</f>
        <v>#REF!</v>
      </c>
      <c r="AB29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9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97" s="12">
        <f>IFERROR(VLOOKUP(Sales4[[#This Row],[Material]],'COGS Break up'!#REF!,5,0),0)</f>
        <v>0</v>
      </c>
      <c r="AE29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97" s="48" t="e">
        <f>Sales4[[#This Row],[PGI per unit]]-Sales4[[#This Row],[BOM Cost]]-Sales4[[#This Row],[Labour cost per unit]]-Sales4[[#This Row],[Other Conversion cost pu]]</f>
        <v>#REF!</v>
      </c>
      <c r="AG297" s="48" t="e">
        <f>Sales4[[#This Row],[BOM Cost2]]+Sales4[[#This Row],[Labour Cost]]+Sales4[[#This Row],[Other conversion cost]]</f>
        <v>#REF!</v>
      </c>
      <c r="AH297" s="12" t="e">
        <f>Sales4[[#This Row],[Billed Quantity]]*Sales4[[#This Row],[BOM Cost]]</f>
        <v>#REF!</v>
      </c>
      <c r="AI297" s="12" t="e">
        <f>Sales4[[#This Row],[Billed Quantity]]*Sales4[[#This Row],[Labour cost per unit]]</f>
        <v>#REF!</v>
      </c>
      <c r="AJ297" s="12">
        <f>Sales4[[#This Row],[Droppage per unit]]*Sales4[[#This Row],[Billed Quantity]]</f>
        <v>0</v>
      </c>
      <c r="AK297" s="12" t="e">
        <f>Sales4[[#This Row],[Billed Quantity]]*Sales4[[#This Row],[Other Conversion cost pu]]</f>
        <v>#REF!</v>
      </c>
      <c r="AL297" s="48" t="e">
        <f>Sales4[[#This Row],[PGI Amount]]-Sales4[[#This Row],[BOM Cost2]]-Sales4[[#This Row],[Labour Cost]]-Sales4[[#This Row],[Other conversion cost]]</f>
        <v>#REF!</v>
      </c>
      <c r="AM297" s="121" t="e">
        <f>1-Sales4[[#This Row],[PGI COST]]/Sales4[[#This Row],[Net Value]]</f>
        <v>#REF!</v>
      </c>
      <c r="AN297" s="1">
        <f>Sales4[[#This Row],[PGI Amount]]/Sales4[[#This Row],[Billed Quantity]]</f>
        <v>733.11</v>
      </c>
      <c r="AO297" s="72" t="e">
        <f>SUMIFS('COGS Break up'!#REF!,'COGS Break up'!#REF!,Sales4[[#This Row],[Material]],'COGS Break up'!#REF!,'MIS Working'!$AO$1)</f>
        <v>#REF!</v>
      </c>
      <c r="AP297" s="72" t="e">
        <f>SUMIFS('COGS Break up'!#REF!,'COGS Break up'!#REF!,Sales4[[#This Row],[Material]],'COGS Break up'!#REF!,'MIS Working'!$AP$1)</f>
        <v>#REF!</v>
      </c>
      <c r="AQ297" s="72" t="e">
        <f>SUMIFS('COGS Break up'!#REF!,'COGS Break up'!#REF!,Sales4[[#This Row],[Material]],'COGS Break up'!#REF!,'MIS Working'!$AQ$1)</f>
        <v>#REF!</v>
      </c>
      <c r="AR297" s="72">
        <f>Sales4[[#This Row],[Droppage per unit]]</f>
        <v>0</v>
      </c>
      <c r="AS297" s="15" t="e">
        <f>AO297*Sales4[[#This Row],[Billed Quantity]]</f>
        <v>#REF!</v>
      </c>
      <c r="AT297" s="72" t="e">
        <f>AP297*Sales4[[#This Row],[Billed Quantity]]</f>
        <v>#REF!</v>
      </c>
      <c r="AU297" s="72" t="e">
        <f>AQ297*Sales4[[#This Row],[Billed Quantity]]</f>
        <v>#REF!</v>
      </c>
      <c r="AV297" s="72">
        <f>AR297*Sales4[[#This Row],[Billed Quantity]]</f>
        <v>0</v>
      </c>
    </row>
    <row r="298" spans="1:48" x14ac:dyDescent="0.3">
      <c r="A298" s="1" t="s">
        <v>479</v>
      </c>
      <c r="B298" s="2">
        <v>45909</v>
      </c>
      <c r="C298" s="1">
        <v>3271268970</v>
      </c>
      <c r="D298" s="1" t="s">
        <v>364</v>
      </c>
      <c r="E298" s="1" t="s">
        <v>365</v>
      </c>
      <c r="F298" s="1" t="s">
        <v>18</v>
      </c>
      <c r="G298" s="1" t="s">
        <v>19</v>
      </c>
      <c r="H298" s="1" t="s">
        <v>771</v>
      </c>
      <c r="I298" s="3">
        <v>560</v>
      </c>
      <c r="J298" s="4">
        <v>61056.800000000003</v>
      </c>
      <c r="K298" s="3">
        <v>560</v>
      </c>
      <c r="L298" s="3">
        <v>560</v>
      </c>
      <c r="M298" s="2">
        <v>45909</v>
      </c>
      <c r="N298" s="4">
        <v>56694.400000000001</v>
      </c>
      <c r="O298" s="1" t="s">
        <v>21</v>
      </c>
      <c r="P298" s="1" t="s">
        <v>22</v>
      </c>
      <c r="Q298" s="1">
        <v>1</v>
      </c>
      <c r="R298" s="1" t="str">
        <f>VLOOKUP(Sales4[[#This Row],[Material type]],Master!$H$3:$I$8,2,0)</f>
        <v>Finished Goods</v>
      </c>
      <c r="S298" s="1" t="str">
        <f>VLOOKUP(Sales4[[#This Row],[Material Group]],Master!B:C,2,0)</f>
        <v>FG-PCB-MG Interface</v>
      </c>
      <c r="T298" s="1" t="str">
        <f>VLOOKUP(Sales4[[#This Row],[Material Group Descrip]],Master!E:F,2,0)</f>
        <v>FG-PCB-MG</v>
      </c>
      <c r="U298" s="9" t="b">
        <f ca="1">(TODAY()-1)=Sales4[[#This Row],[Billing Date]]</f>
        <v>0</v>
      </c>
      <c r="V298" s="10" t="e">
        <f>Sales4[[#This Row],[Net Value]]-Sales4[[#This Row],[PGI COST]]</f>
        <v>#REF!</v>
      </c>
      <c r="W298" s="11" t="e">
        <f>Sales4[[#This Row],[Gross Margin]]/Sales4[[#This Row],[Net Value]]</f>
        <v>#REF!</v>
      </c>
      <c r="X298" s="1" t="str">
        <f>TEXT(Sales4[[#This Row],[Billing Date]],"mmmm-yy")</f>
        <v>September-25</v>
      </c>
      <c r="Y298" s="1">
        <f>Sales4[[#This Row],[Net Value]]/Sales4[[#This Row],[Billed Quantity]]</f>
        <v>101.24000000000001</v>
      </c>
      <c r="Z298" s="117"/>
      <c r="AA298" s="12" t="e">
        <f>SUM(Sales4[[#This Row],[BOM Cost]:[Other Conversion cost pu]])</f>
        <v>#REF!</v>
      </c>
      <c r="AB29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9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98" s="12">
        <f>IFERROR(VLOOKUP(Sales4[[#This Row],[Material]],'COGS Break up'!#REF!,5,0),0)</f>
        <v>0</v>
      </c>
      <c r="AE29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98" s="48" t="e">
        <f>Sales4[[#This Row],[PGI per unit]]-Sales4[[#This Row],[BOM Cost]]-Sales4[[#This Row],[Labour cost per unit]]-Sales4[[#This Row],[Other Conversion cost pu]]</f>
        <v>#REF!</v>
      </c>
      <c r="AG298" s="48" t="e">
        <f>Sales4[[#This Row],[BOM Cost2]]+Sales4[[#This Row],[Labour Cost]]+Sales4[[#This Row],[Other conversion cost]]</f>
        <v>#REF!</v>
      </c>
      <c r="AH298" s="12" t="e">
        <f>Sales4[[#This Row],[Billed Quantity]]*Sales4[[#This Row],[BOM Cost]]</f>
        <v>#REF!</v>
      </c>
      <c r="AI298" s="12" t="e">
        <f>Sales4[[#This Row],[Billed Quantity]]*Sales4[[#This Row],[Labour cost per unit]]</f>
        <v>#REF!</v>
      </c>
      <c r="AJ298" s="12">
        <f>Sales4[[#This Row],[Droppage per unit]]*Sales4[[#This Row],[Billed Quantity]]</f>
        <v>0</v>
      </c>
      <c r="AK298" s="12" t="e">
        <f>Sales4[[#This Row],[Billed Quantity]]*Sales4[[#This Row],[Other Conversion cost pu]]</f>
        <v>#REF!</v>
      </c>
      <c r="AL298" s="48" t="e">
        <f>Sales4[[#This Row],[PGI Amount]]-Sales4[[#This Row],[BOM Cost2]]-Sales4[[#This Row],[Labour Cost]]-Sales4[[#This Row],[Other conversion cost]]</f>
        <v>#REF!</v>
      </c>
      <c r="AM298" s="121" t="e">
        <f>1-Sales4[[#This Row],[PGI COST]]/Sales4[[#This Row],[Net Value]]</f>
        <v>#REF!</v>
      </c>
      <c r="AN298" s="1">
        <f>Sales4[[#This Row],[PGI Amount]]/Sales4[[#This Row],[Billed Quantity]]</f>
        <v>109.03</v>
      </c>
      <c r="AO298" s="72" t="e">
        <f>SUMIFS('COGS Break up'!#REF!,'COGS Break up'!#REF!,Sales4[[#This Row],[Material]],'COGS Break up'!#REF!,'MIS Working'!$AO$1)</f>
        <v>#REF!</v>
      </c>
      <c r="AP298" s="72" t="e">
        <f>SUMIFS('COGS Break up'!#REF!,'COGS Break up'!#REF!,Sales4[[#This Row],[Material]],'COGS Break up'!#REF!,'MIS Working'!$AP$1)</f>
        <v>#REF!</v>
      </c>
      <c r="AQ298" s="72" t="e">
        <f>SUMIFS('COGS Break up'!#REF!,'COGS Break up'!#REF!,Sales4[[#This Row],[Material]],'COGS Break up'!#REF!,'MIS Working'!$AQ$1)</f>
        <v>#REF!</v>
      </c>
      <c r="AR298" s="72">
        <f>Sales4[[#This Row],[Droppage per unit]]</f>
        <v>0</v>
      </c>
      <c r="AS298" s="15" t="e">
        <f>AO298*Sales4[[#This Row],[Billed Quantity]]</f>
        <v>#REF!</v>
      </c>
      <c r="AT298" s="72" t="e">
        <f>AP298*Sales4[[#This Row],[Billed Quantity]]</f>
        <v>#REF!</v>
      </c>
      <c r="AU298" s="72" t="e">
        <f>AQ298*Sales4[[#This Row],[Billed Quantity]]</f>
        <v>#REF!</v>
      </c>
      <c r="AV298" s="72">
        <f>AR298*Sales4[[#This Row],[Billed Quantity]]</f>
        <v>0</v>
      </c>
    </row>
    <row r="299" spans="1:48" x14ac:dyDescent="0.3">
      <c r="A299" s="1" t="s">
        <v>479</v>
      </c>
      <c r="B299" s="2">
        <v>45909</v>
      </c>
      <c r="C299" s="1">
        <v>3271268944</v>
      </c>
      <c r="D299" s="1" t="s">
        <v>364</v>
      </c>
      <c r="E299" s="1" t="s">
        <v>365</v>
      </c>
      <c r="F299" s="1" t="s">
        <v>18</v>
      </c>
      <c r="G299" s="1" t="s">
        <v>19</v>
      </c>
      <c r="H299" s="1" t="s">
        <v>771</v>
      </c>
      <c r="I299" s="3">
        <v>105</v>
      </c>
      <c r="J299" s="4">
        <v>11448.15</v>
      </c>
      <c r="K299" s="3">
        <v>105</v>
      </c>
      <c r="L299" s="3">
        <v>105</v>
      </c>
      <c r="M299" s="2">
        <v>45909</v>
      </c>
      <c r="N299" s="4">
        <v>10630.2</v>
      </c>
      <c r="O299" s="1" t="s">
        <v>21</v>
      </c>
      <c r="P299" s="1" t="s">
        <v>22</v>
      </c>
      <c r="Q299" s="1">
        <v>1</v>
      </c>
      <c r="R299" s="1" t="str">
        <f>VLOOKUP(Sales4[[#This Row],[Material type]],Master!$H$3:$I$8,2,0)</f>
        <v>Finished Goods</v>
      </c>
      <c r="S299" s="1" t="str">
        <f>VLOOKUP(Sales4[[#This Row],[Material Group]],Master!B:C,2,0)</f>
        <v>FG-PCB-MG Interface</v>
      </c>
      <c r="T299" s="1" t="str">
        <f>VLOOKUP(Sales4[[#This Row],[Material Group Descrip]],Master!E:F,2,0)</f>
        <v>FG-PCB-MG</v>
      </c>
      <c r="U299" s="9" t="b">
        <f ca="1">(TODAY()-1)=Sales4[[#This Row],[Billing Date]]</f>
        <v>0</v>
      </c>
      <c r="V299" s="10" t="e">
        <f>Sales4[[#This Row],[Net Value]]-Sales4[[#This Row],[PGI COST]]</f>
        <v>#REF!</v>
      </c>
      <c r="W299" s="11" t="e">
        <f>Sales4[[#This Row],[Gross Margin]]/Sales4[[#This Row],[Net Value]]</f>
        <v>#REF!</v>
      </c>
      <c r="X299" s="1" t="str">
        <f>TEXT(Sales4[[#This Row],[Billing Date]],"mmmm-yy")</f>
        <v>September-25</v>
      </c>
      <c r="Y299" s="1">
        <f>Sales4[[#This Row],[Net Value]]/Sales4[[#This Row],[Billed Quantity]]</f>
        <v>101.24000000000001</v>
      </c>
      <c r="Z299" s="117"/>
      <c r="AA299" s="12" t="e">
        <f>SUM(Sales4[[#This Row],[BOM Cost]:[Other Conversion cost pu]])</f>
        <v>#REF!</v>
      </c>
      <c r="AB29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29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299" s="12">
        <f>IFERROR(VLOOKUP(Sales4[[#This Row],[Material]],'COGS Break up'!#REF!,5,0),0)</f>
        <v>0</v>
      </c>
      <c r="AE29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299" s="48" t="e">
        <f>Sales4[[#This Row],[PGI per unit]]-Sales4[[#This Row],[BOM Cost]]-Sales4[[#This Row],[Labour cost per unit]]-Sales4[[#This Row],[Other Conversion cost pu]]</f>
        <v>#REF!</v>
      </c>
      <c r="AG299" s="48" t="e">
        <f>Sales4[[#This Row],[BOM Cost2]]+Sales4[[#This Row],[Labour Cost]]+Sales4[[#This Row],[Other conversion cost]]</f>
        <v>#REF!</v>
      </c>
      <c r="AH299" s="12" t="e">
        <f>Sales4[[#This Row],[Billed Quantity]]*Sales4[[#This Row],[BOM Cost]]</f>
        <v>#REF!</v>
      </c>
      <c r="AI299" s="12" t="e">
        <f>Sales4[[#This Row],[Billed Quantity]]*Sales4[[#This Row],[Labour cost per unit]]</f>
        <v>#REF!</v>
      </c>
      <c r="AJ299" s="12">
        <f>Sales4[[#This Row],[Droppage per unit]]*Sales4[[#This Row],[Billed Quantity]]</f>
        <v>0</v>
      </c>
      <c r="AK299" s="12" t="e">
        <f>Sales4[[#This Row],[Billed Quantity]]*Sales4[[#This Row],[Other Conversion cost pu]]</f>
        <v>#REF!</v>
      </c>
      <c r="AL299" s="48" t="e">
        <f>Sales4[[#This Row],[PGI Amount]]-Sales4[[#This Row],[BOM Cost2]]-Sales4[[#This Row],[Labour Cost]]-Sales4[[#This Row],[Other conversion cost]]</f>
        <v>#REF!</v>
      </c>
      <c r="AM299" s="121" t="e">
        <f>1-Sales4[[#This Row],[PGI COST]]/Sales4[[#This Row],[Net Value]]</f>
        <v>#REF!</v>
      </c>
      <c r="AN299" s="1">
        <f>Sales4[[#This Row],[PGI Amount]]/Sales4[[#This Row],[Billed Quantity]]</f>
        <v>109.03</v>
      </c>
      <c r="AO299" s="72" t="e">
        <f>SUMIFS('COGS Break up'!#REF!,'COGS Break up'!#REF!,Sales4[[#This Row],[Material]],'COGS Break up'!#REF!,'MIS Working'!$AO$1)</f>
        <v>#REF!</v>
      </c>
      <c r="AP299" s="72" t="e">
        <f>SUMIFS('COGS Break up'!#REF!,'COGS Break up'!#REF!,Sales4[[#This Row],[Material]],'COGS Break up'!#REF!,'MIS Working'!$AP$1)</f>
        <v>#REF!</v>
      </c>
      <c r="AQ299" s="72" t="e">
        <f>SUMIFS('COGS Break up'!#REF!,'COGS Break up'!#REF!,Sales4[[#This Row],[Material]],'COGS Break up'!#REF!,'MIS Working'!$AQ$1)</f>
        <v>#REF!</v>
      </c>
      <c r="AR299" s="72">
        <f>Sales4[[#This Row],[Droppage per unit]]</f>
        <v>0</v>
      </c>
      <c r="AS299" s="15" t="e">
        <f>AO299*Sales4[[#This Row],[Billed Quantity]]</f>
        <v>#REF!</v>
      </c>
      <c r="AT299" s="72" t="e">
        <f>AP299*Sales4[[#This Row],[Billed Quantity]]</f>
        <v>#REF!</v>
      </c>
      <c r="AU299" s="72" t="e">
        <f>AQ299*Sales4[[#This Row],[Billed Quantity]]</f>
        <v>#REF!</v>
      </c>
      <c r="AV299" s="72">
        <f>AR299*Sales4[[#This Row],[Billed Quantity]]</f>
        <v>0</v>
      </c>
    </row>
    <row r="300" spans="1:48" x14ac:dyDescent="0.3">
      <c r="A300" s="1" t="s">
        <v>479</v>
      </c>
      <c r="B300" s="2">
        <v>45909</v>
      </c>
      <c r="C300" s="1">
        <v>3271268944</v>
      </c>
      <c r="D300" s="1" t="s">
        <v>46</v>
      </c>
      <c r="E300" s="1" t="s">
        <v>47</v>
      </c>
      <c r="F300" s="1" t="s">
        <v>18</v>
      </c>
      <c r="G300" s="1" t="s">
        <v>19</v>
      </c>
      <c r="H300" s="1" t="s">
        <v>27</v>
      </c>
      <c r="I300" s="3">
        <v>1120</v>
      </c>
      <c r="J300" s="4">
        <v>368961.6</v>
      </c>
      <c r="K300" s="3">
        <v>1120</v>
      </c>
      <c r="L300" s="3">
        <v>1120</v>
      </c>
      <c r="M300" s="2">
        <v>45909</v>
      </c>
      <c r="N300" s="4">
        <v>401284.8</v>
      </c>
      <c r="O300" s="1" t="s">
        <v>21</v>
      </c>
      <c r="P300" s="1" t="s">
        <v>22</v>
      </c>
      <c r="Q300" s="1">
        <v>1</v>
      </c>
      <c r="R300" s="1" t="str">
        <f>VLOOKUP(Sales4[[#This Row],[Material type]],Master!$H$3:$I$8,2,0)</f>
        <v>Finished Goods</v>
      </c>
      <c r="S300" s="1" t="str">
        <f>VLOOKUP(Sales4[[#This Row],[Material Group]],Master!B:C,2,0)</f>
        <v>FG-PCB-CF</v>
      </c>
      <c r="T300" s="1" t="str">
        <f>VLOOKUP(Sales4[[#This Row],[Material Group Descrip]],Master!E:F,2,0)</f>
        <v>FG-PCB-CF</v>
      </c>
      <c r="U300" s="9" t="b">
        <f ca="1">(TODAY()-1)=Sales4[[#This Row],[Billing Date]]</f>
        <v>0</v>
      </c>
      <c r="V300" s="10" t="e">
        <f>Sales4[[#This Row],[Net Value]]-Sales4[[#This Row],[PGI COST]]</f>
        <v>#REF!</v>
      </c>
      <c r="W300" s="11" t="e">
        <f>Sales4[[#This Row],[Gross Margin]]/Sales4[[#This Row],[Net Value]]</f>
        <v>#REF!</v>
      </c>
      <c r="X300" s="1" t="str">
        <f>TEXT(Sales4[[#This Row],[Billing Date]],"mmmm-yy")</f>
        <v>September-25</v>
      </c>
      <c r="Y300" s="1">
        <f>Sales4[[#This Row],[Net Value]]/Sales4[[#This Row],[Billed Quantity]]</f>
        <v>358.28999999999996</v>
      </c>
      <c r="Z300" s="117">
        <f>Sales4[[#This Row],[Actual delivery qty]]</f>
        <v>1120</v>
      </c>
      <c r="AA300" s="12" t="e">
        <f>SUM(Sales4[[#This Row],[BOM Cost]:[Other Conversion cost pu]])</f>
        <v>#REF!</v>
      </c>
      <c r="AB30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0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00" s="12">
        <f>IFERROR(VLOOKUP(Sales4[[#This Row],[Material]],'COGS Break up'!#REF!,5,0),0)</f>
        <v>0</v>
      </c>
      <c r="AE30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00" s="48" t="e">
        <f>Sales4[[#This Row],[PGI per unit]]-Sales4[[#This Row],[BOM Cost]]-Sales4[[#This Row],[Labour cost per unit]]-Sales4[[#This Row],[Other Conversion cost pu]]</f>
        <v>#REF!</v>
      </c>
      <c r="AG300" s="48" t="e">
        <f>Sales4[[#This Row],[BOM Cost2]]+Sales4[[#This Row],[Labour Cost]]+Sales4[[#This Row],[Other conversion cost]]</f>
        <v>#REF!</v>
      </c>
      <c r="AH300" s="12" t="e">
        <f>Sales4[[#This Row],[Billed Quantity]]*Sales4[[#This Row],[BOM Cost]]</f>
        <v>#REF!</v>
      </c>
      <c r="AI300" s="12" t="e">
        <f>Sales4[[#This Row],[Billed Quantity]]*Sales4[[#This Row],[Labour cost per unit]]</f>
        <v>#REF!</v>
      </c>
      <c r="AJ300" s="12">
        <f>Sales4[[#This Row],[Droppage per unit]]*Sales4[[#This Row],[Billed Quantity]]</f>
        <v>0</v>
      </c>
      <c r="AK300" s="12" t="e">
        <f>Sales4[[#This Row],[Billed Quantity]]*Sales4[[#This Row],[Other Conversion cost pu]]</f>
        <v>#REF!</v>
      </c>
      <c r="AL300" s="48" t="e">
        <f>Sales4[[#This Row],[PGI Amount]]-Sales4[[#This Row],[BOM Cost2]]-Sales4[[#This Row],[Labour Cost]]-Sales4[[#This Row],[Other conversion cost]]</f>
        <v>#REF!</v>
      </c>
      <c r="AM300" s="121" t="e">
        <f>1-Sales4[[#This Row],[PGI COST]]/Sales4[[#This Row],[Net Value]]</f>
        <v>#REF!</v>
      </c>
      <c r="AN300" s="1">
        <f>Sales4[[#This Row],[PGI Amount]]/Sales4[[#This Row],[Billed Quantity]]</f>
        <v>329.43</v>
      </c>
      <c r="AO300" s="72" t="e">
        <f>SUMIFS('COGS Break up'!#REF!,'COGS Break up'!#REF!,Sales4[[#This Row],[Material]],'COGS Break up'!#REF!,'MIS Working'!$AO$1)</f>
        <v>#REF!</v>
      </c>
      <c r="AP300" s="72" t="e">
        <f>SUMIFS('COGS Break up'!#REF!,'COGS Break up'!#REF!,Sales4[[#This Row],[Material]],'COGS Break up'!#REF!,'MIS Working'!$AP$1)</f>
        <v>#REF!</v>
      </c>
      <c r="AQ300" s="72" t="e">
        <f>SUMIFS('COGS Break up'!#REF!,'COGS Break up'!#REF!,Sales4[[#This Row],[Material]],'COGS Break up'!#REF!,'MIS Working'!$AQ$1)</f>
        <v>#REF!</v>
      </c>
      <c r="AR300" s="72">
        <f>Sales4[[#This Row],[Droppage per unit]]</f>
        <v>0</v>
      </c>
      <c r="AS300" s="15" t="e">
        <f>AO300*Sales4[[#This Row],[Billed Quantity]]</f>
        <v>#REF!</v>
      </c>
      <c r="AT300" s="72" t="e">
        <f>AP300*Sales4[[#This Row],[Billed Quantity]]</f>
        <v>#REF!</v>
      </c>
      <c r="AU300" s="72" t="e">
        <f>AQ300*Sales4[[#This Row],[Billed Quantity]]</f>
        <v>#REF!</v>
      </c>
      <c r="AV300" s="72">
        <f>AR300*Sales4[[#This Row],[Billed Quantity]]</f>
        <v>0</v>
      </c>
    </row>
    <row r="301" spans="1:48" x14ac:dyDescent="0.3">
      <c r="A301" s="1" t="s">
        <v>479</v>
      </c>
      <c r="B301" s="2">
        <v>45909</v>
      </c>
      <c r="C301" s="1">
        <v>3271268970</v>
      </c>
      <c r="D301" s="1" t="s">
        <v>637</v>
      </c>
      <c r="E301" s="1" t="s">
        <v>638</v>
      </c>
      <c r="F301" s="1" t="s">
        <v>18</v>
      </c>
      <c r="G301" s="1" t="s">
        <v>19</v>
      </c>
      <c r="H301" s="1" t="s">
        <v>27</v>
      </c>
      <c r="I301" s="3">
        <v>70</v>
      </c>
      <c r="J301" s="4">
        <v>22401.4</v>
      </c>
      <c r="K301" s="3">
        <v>70</v>
      </c>
      <c r="L301" s="3">
        <v>70</v>
      </c>
      <c r="M301" s="2">
        <v>45909</v>
      </c>
      <c r="N301" s="4">
        <v>25611.599999999999</v>
      </c>
      <c r="O301" s="1" t="s">
        <v>21</v>
      </c>
      <c r="P301" s="1" t="s">
        <v>22</v>
      </c>
      <c r="Q301" s="1">
        <v>1</v>
      </c>
      <c r="R301" s="1" t="str">
        <f>VLOOKUP(Sales4[[#This Row],[Material type]],Master!$H$3:$I$8,2,0)</f>
        <v>Finished Goods</v>
      </c>
      <c r="S301" s="1" t="str">
        <f>VLOOKUP(Sales4[[#This Row],[Material Group]],Master!B:C,2,0)</f>
        <v>FG-PCB-CF</v>
      </c>
      <c r="T301" s="1" t="str">
        <f>VLOOKUP(Sales4[[#This Row],[Material Group Descrip]],Master!E:F,2,0)</f>
        <v>FG-PCB-CF</v>
      </c>
      <c r="U301" s="9" t="b">
        <f ca="1">(TODAY()-1)=Sales4[[#This Row],[Billing Date]]</f>
        <v>0</v>
      </c>
      <c r="V301" s="10" t="e">
        <f>Sales4[[#This Row],[Net Value]]-Sales4[[#This Row],[PGI COST]]</f>
        <v>#REF!</v>
      </c>
      <c r="W301" s="11" t="e">
        <f>Sales4[[#This Row],[Gross Margin]]/Sales4[[#This Row],[Net Value]]</f>
        <v>#REF!</v>
      </c>
      <c r="X301" s="1" t="str">
        <f>TEXT(Sales4[[#This Row],[Billing Date]],"mmmm-yy")</f>
        <v>September-25</v>
      </c>
      <c r="Y301" s="1">
        <f>Sales4[[#This Row],[Net Value]]/Sales4[[#This Row],[Billed Quantity]]</f>
        <v>365.88</v>
      </c>
      <c r="Z301" s="117">
        <f>Sales4[[#This Row],[Actual delivery qty]]</f>
        <v>70</v>
      </c>
      <c r="AA301" s="12" t="e">
        <f>SUM(Sales4[[#This Row],[BOM Cost]:[Other Conversion cost pu]])</f>
        <v>#REF!</v>
      </c>
      <c r="AB30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0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01" s="12">
        <f>IFERROR(VLOOKUP(Sales4[[#This Row],[Material]],'COGS Break up'!#REF!,5,0),0)</f>
        <v>0</v>
      </c>
      <c r="AE30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01" s="48" t="e">
        <f>Sales4[[#This Row],[PGI per unit]]-Sales4[[#This Row],[BOM Cost]]-Sales4[[#This Row],[Labour cost per unit]]-Sales4[[#This Row],[Other Conversion cost pu]]</f>
        <v>#REF!</v>
      </c>
      <c r="AG301" s="48" t="e">
        <f>Sales4[[#This Row],[BOM Cost2]]+Sales4[[#This Row],[Labour Cost]]+Sales4[[#This Row],[Other conversion cost]]</f>
        <v>#REF!</v>
      </c>
      <c r="AH301" s="12" t="e">
        <f>Sales4[[#This Row],[Billed Quantity]]*Sales4[[#This Row],[BOM Cost]]</f>
        <v>#REF!</v>
      </c>
      <c r="AI301" s="12" t="e">
        <f>Sales4[[#This Row],[Billed Quantity]]*Sales4[[#This Row],[Labour cost per unit]]</f>
        <v>#REF!</v>
      </c>
      <c r="AJ301" s="12">
        <f>Sales4[[#This Row],[Droppage per unit]]*Sales4[[#This Row],[Billed Quantity]]</f>
        <v>0</v>
      </c>
      <c r="AK301" s="12" t="e">
        <f>Sales4[[#This Row],[Billed Quantity]]*Sales4[[#This Row],[Other Conversion cost pu]]</f>
        <v>#REF!</v>
      </c>
      <c r="AL301" s="48" t="e">
        <f>Sales4[[#This Row],[PGI Amount]]-Sales4[[#This Row],[BOM Cost2]]-Sales4[[#This Row],[Labour Cost]]-Sales4[[#This Row],[Other conversion cost]]</f>
        <v>#REF!</v>
      </c>
      <c r="AM301" s="121" t="e">
        <f>1-Sales4[[#This Row],[PGI COST]]/Sales4[[#This Row],[Net Value]]</f>
        <v>#REF!</v>
      </c>
      <c r="AN301" s="1">
        <f>Sales4[[#This Row],[PGI Amount]]/Sales4[[#This Row],[Billed Quantity]]</f>
        <v>320.02000000000004</v>
      </c>
      <c r="AO301" s="72" t="e">
        <f>SUMIFS('COGS Break up'!#REF!,'COGS Break up'!#REF!,Sales4[[#This Row],[Material]],'COGS Break up'!#REF!,'MIS Working'!$AO$1)</f>
        <v>#REF!</v>
      </c>
      <c r="AP301" s="72" t="e">
        <f>SUMIFS('COGS Break up'!#REF!,'COGS Break up'!#REF!,Sales4[[#This Row],[Material]],'COGS Break up'!#REF!,'MIS Working'!$AP$1)</f>
        <v>#REF!</v>
      </c>
      <c r="AQ301" s="72" t="e">
        <f>SUMIFS('COGS Break up'!#REF!,'COGS Break up'!#REF!,Sales4[[#This Row],[Material]],'COGS Break up'!#REF!,'MIS Working'!$AQ$1)</f>
        <v>#REF!</v>
      </c>
      <c r="AR301" s="72">
        <f>Sales4[[#This Row],[Droppage per unit]]</f>
        <v>0</v>
      </c>
      <c r="AS301" s="15" t="e">
        <f>AO301*Sales4[[#This Row],[Billed Quantity]]</f>
        <v>#REF!</v>
      </c>
      <c r="AT301" s="72" t="e">
        <f>AP301*Sales4[[#This Row],[Billed Quantity]]</f>
        <v>#REF!</v>
      </c>
      <c r="AU301" s="72" t="e">
        <f>AQ301*Sales4[[#This Row],[Billed Quantity]]</f>
        <v>#REF!</v>
      </c>
      <c r="AV301" s="72">
        <f>AR301*Sales4[[#This Row],[Billed Quantity]]</f>
        <v>0</v>
      </c>
    </row>
    <row r="302" spans="1:48" x14ac:dyDescent="0.3">
      <c r="A302" s="1" t="s">
        <v>479</v>
      </c>
      <c r="B302" s="2">
        <v>45909</v>
      </c>
      <c r="C302" s="1">
        <v>3271268944</v>
      </c>
      <c r="D302" s="1" t="s">
        <v>637</v>
      </c>
      <c r="E302" s="1" t="s">
        <v>638</v>
      </c>
      <c r="F302" s="1" t="s">
        <v>18</v>
      </c>
      <c r="G302" s="1" t="s">
        <v>19</v>
      </c>
      <c r="H302" s="1" t="s">
        <v>27</v>
      </c>
      <c r="I302" s="3">
        <v>350</v>
      </c>
      <c r="J302" s="4">
        <v>112007</v>
      </c>
      <c r="K302" s="3">
        <v>350</v>
      </c>
      <c r="L302" s="3">
        <v>350</v>
      </c>
      <c r="M302" s="2">
        <v>45909</v>
      </c>
      <c r="N302" s="4">
        <v>128058</v>
      </c>
      <c r="O302" s="1" t="s">
        <v>21</v>
      </c>
      <c r="P302" s="1" t="s">
        <v>22</v>
      </c>
      <c r="Q302" s="1">
        <v>1</v>
      </c>
      <c r="R302" s="1" t="str">
        <f>VLOOKUP(Sales4[[#This Row],[Material type]],Master!$H$3:$I$8,2,0)</f>
        <v>Finished Goods</v>
      </c>
      <c r="S302" s="1" t="str">
        <f>VLOOKUP(Sales4[[#This Row],[Material Group]],Master!B:C,2,0)</f>
        <v>FG-PCB-CF</v>
      </c>
      <c r="T302" s="1" t="str">
        <f>VLOOKUP(Sales4[[#This Row],[Material Group Descrip]],Master!E:F,2,0)</f>
        <v>FG-PCB-CF</v>
      </c>
      <c r="U302" s="9" t="b">
        <f ca="1">(TODAY()-1)=Sales4[[#This Row],[Billing Date]]</f>
        <v>0</v>
      </c>
      <c r="V302" s="10" t="e">
        <f>Sales4[[#This Row],[Net Value]]-Sales4[[#This Row],[PGI COST]]</f>
        <v>#REF!</v>
      </c>
      <c r="W302" s="11" t="e">
        <f>Sales4[[#This Row],[Gross Margin]]/Sales4[[#This Row],[Net Value]]</f>
        <v>#REF!</v>
      </c>
      <c r="X302" s="1" t="str">
        <f>TEXT(Sales4[[#This Row],[Billing Date]],"mmmm-yy")</f>
        <v>September-25</v>
      </c>
      <c r="Y302" s="1">
        <f>Sales4[[#This Row],[Net Value]]/Sales4[[#This Row],[Billed Quantity]]</f>
        <v>365.88</v>
      </c>
      <c r="Z302" s="117">
        <f>Sales4[[#This Row],[Actual delivery qty]]</f>
        <v>350</v>
      </c>
      <c r="AA302" s="12" t="e">
        <f>SUM(Sales4[[#This Row],[BOM Cost]:[Other Conversion cost pu]])</f>
        <v>#REF!</v>
      </c>
      <c r="AB30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0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02" s="12">
        <f>IFERROR(VLOOKUP(Sales4[[#This Row],[Material]],'COGS Break up'!#REF!,5,0),0)</f>
        <v>0</v>
      </c>
      <c r="AE30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02" s="48" t="e">
        <f>Sales4[[#This Row],[PGI per unit]]-Sales4[[#This Row],[BOM Cost]]-Sales4[[#This Row],[Labour cost per unit]]-Sales4[[#This Row],[Other Conversion cost pu]]</f>
        <v>#REF!</v>
      </c>
      <c r="AG302" s="48" t="e">
        <f>Sales4[[#This Row],[BOM Cost2]]+Sales4[[#This Row],[Labour Cost]]+Sales4[[#This Row],[Other conversion cost]]</f>
        <v>#REF!</v>
      </c>
      <c r="AH302" s="12" t="e">
        <f>Sales4[[#This Row],[Billed Quantity]]*Sales4[[#This Row],[BOM Cost]]</f>
        <v>#REF!</v>
      </c>
      <c r="AI302" s="12" t="e">
        <f>Sales4[[#This Row],[Billed Quantity]]*Sales4[[#This Row],[Labour cost per unit]]</f>
        <v>#REF!</v>
      </c>
      <c r="AJ302" s="12">
        <f>Sales4[[#This Row],[Droppage per unit]]*Sales4[[#This Row],[Billed Quantity]]</f>
        <v>0</v>
      </c>
      <c r="AK302" s="12" t="e">
        <f>Sales4[[#This Row],[Billed Quantity]]*Sales4[[#This Row],[Other Conversion cost pu]]</f>
        <v>#REF!</v>
      </c>
      <c r="AL302" s="48" t="e">
        <f>Sales4[[#This Row],[PGI Amount]]-Sales4[[#This Row],[BOM Cost2]]-Sales4[[#This Row],[Labour Cost]]-Sales4[[#This Row],[Other conversion cost]]</f>
        <v>#REF!</v>
      </c>
      <c r="AM302" s="121" t="e">
        <f>1-Sales4[[#This Row],[PGI COST]]/Sales4[[#This Row],[Net Value]]</f>
        <v>#REF!</v>
      </c>
      <c r="AN302" s="1">
        <f>Sales4[[#This Row],[PGI Amount]]/Sales4[[#This Row],[Billed Quantity]]</f>
        <v>320.02</v>
      </c>
      <c r="AO302" s="72" t="e">
        <f>SUMIFS('COGS Break up'!#REF!,'COGS Break up'!#REF!,Sales4[[#This Row],[Material]],'COGS Break up'!#REF!,'MIS Working'!$AO$1)</f>
        <v>#REF!</v>
      </c>
      <c r="AP302" s="72" t="e">
        <f>SUMIFS('COGS Break up'!#REF!,'COGS Break up'!#REF!,Sales4[[#This Row],[Material]],'COGS Break up'!#REF!,'MIS Working'!$AP$1)</f>
        <v>#REF!</v>
      </c>
      <c r="AQ302" s="72" t="e">
        <f>SUMIFS('COGS Break up'!#REF!,'COGS Break up'!#REF!,Sales4[[#This Row],[Material]],'COGS Break up'!#REF!,'MIS Working'!$AQ$1)</f>
        <v>#REF!</v>
      </c>
      <c r="AR302" s="72">
        <f>Sales4[[#This Row],[Droppage per unit]]</f>
        <v>0</v>
      </c>
      <c r="AS302" s="15" t="e">
        <f>AO302*Sales4[[#This Row],[Billed Quantity]]</f>
        <v>#REF!</v>
      </c>
      <c r="AT302" s="72" t="e">
        <f>AP302*Sales4[[#This Row],[Billed Quantity]]</f>
        <v>#REF!</v>
      </c>
      <c r="AU302" s="72" t="e">
        <f>AQ302*Sales4[[#This Row],[Billed Quantity]]</f>
        <v>#REF!</v>
      </c>
      <c r="AV302" s="72">
        <f>AR302*Sales4[[#This Row],[Billed Quantity]]</f>
        <v>0</v>
      </c>
    </row>
    <row r="303" spans="1:48" x14ac:dyDescent="0.3">
      <c r="A303" s="1" t="s">
        <v>479</v>
      </c>
      <c r="B303" s="2">
        <v>45909</v>
      </c>
      <c r="C303" s="1">
        <v>3271268944</v>
      </c>
      <c r="D303" s="1" t="s">
        <v>641</v>
      </c>
      <c r="E303" s="1" t="s">
        <v>642</v>
      </c>
      <c r="F303" s="1" t="s">
        <v>18</v>
      </c>
      <c r="G303" s="1" t="s">
        <v>19</v>
      </c>
      <c r="H303" s="1" t="s">
        <v>27</v>
      </c>
      <c r="I303" s="3">
        <v>315</v>
      </c>
      <c r="J303" s="4">
        <v>144049.5</v>
      </c>
      <c r="K303" s="3">
        <v>315</v>
      </c>
      <c r="L303" s="3">
        <v>315</v>
      </c>
      <c r="M303" s="2">
        <v>45909</v>
      </c>
      <c r="N303" s="4">
        <v>155925</v>
      </c>
      <c r="O303" s="1" t="s">
        <v>21</v>
      </c>
      <c r="P303" s="1" t="s">
        <v>22</v>
      </c>
      <c r="Q303" s="1">
        <v>1</v>
      </c>
      <c r="R303" s="1" t="str">
        <f>VLOOKUP(Sales4[[#This Row],[Material type]],Master!$H$3:$I$8,2,0)</f>
        <v>Finished Goods</v>
      </c>
      <c r="S303" s="1" t="str">
        <f>VLOOKUP(Sales4[[#This Row],[Material Group]],Master!B:C,2,0)</f>
        <v>FG-PCB-CF</v>
      </c>
      <c r="T303" s="1" t="str">
        <f>VLOOKUP(Sales4[[#This Row],[Material Group Descrip]],Master!E:F,2,0)</f>
        <v>FG-PCB-CF</v>
      </c>
      <c r="U303" s="9" t="b">
        <f ca="1">(TODAY()-1)=Sales4[[#This Row],[Billing Date]]</f>
        <v>0</v>
      </c>
      <c r="V303" s="10" t="e">
        <f>Sales4[[#This Row],[Net Value]]-Sales4[[#This Row],[PGI COST]]</f>
        <v>#REF!</v>
      </c>
      <c r="W303" s="11" t="e">
        <f>Sales4[[#This Row],[Gross Margin]]/Sales4[[#This Row],[Net Value]]</f>
        <v>#REF!</v>
      </c>
      <c r="X303" s="1" t="str">
        <f>TEXT(Sales4[[#This Row],[Billing Date]],"mmmm-yy")</f>
        <v>September-25</v>
      </c>
      <c r="Y303" s="1">
        <f>Sales4[[#This Row],[Net Value]]/Sales4[[#This Row],[Billed Quantity]]</f>
        <v>495</v>
      </c>
      <c r="Z303" s="117">
        <f>Sales4[[#This Row],[Actual delivery qty]]</f>
        <v>315</v>
      </c>
      <c r="AA303" s="12" t="e">
        <f>SUM(Sales4[[#This Row],[BOM Cost]:[Other Conversion cost pu]])</f>
        <v>#REF!</v>
      </c>
      <c r="AB30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0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03" s="12">
        <f>IFERROR(VLOOKUP(Sales4[[#This Row],[Material]],'COGS Break up'!#REF!,5,0),0)</f>
        <v>0</v>
      </c>
      <c r="AE30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03" s="48" t="e">
        <f>Sales4[[#This Row],[PGI per unit]]-Sales4[[#This Row],[BOM Cost]]-Sales4[[#This Row],[Labour cost per unit]]-Sales4[[#This Row],[Other Conversion cost pu]]</f>
        <v>#REF!</v>
      </c>
      <c r="AG303" s="48" t="e">
        <f>Sales4[[#This Row],[BOM Cost2]]+Sales4[[#This Row],[Labour Cost]]+Sales4[[#This Row],[Other conversion cost]]</f>
        <v>#REF!</v>
      </c>
      <c r="AH303" s="12" t="e">
        <f>Sales4[[#This Row],[Billed Quantity]]*Sales4[[#This Row],[BOM Cost]]</f>
        <v>#REF!</v>
      </c>
      <c r="AI303" s="12" t="e">
        <f>Sales4[[#This Row],[Billed Quantity]]*Sales4[[#This Row],[Labour cost per unit]]</f>
        <v>#REF!</v>
      </c>
      <c r="AJ303" s="12">
        <f>Sales4[[#This Row],[Droppage per unit]]*Sales4[[#This Row],[Billed Quantity]]</f>
        <v>0</v>
      </c>
      <c r="AK303" s="12" t="e">
        <f>Sales4[[#This Row],[Billed Quantity]]*Sales4[[#This Row],[Other Conversion cost pu]]</f>
        <v>#REF!</v>
      </c>
      <c r="AL303" s="48" t="e">
        <f>Sales4[[#This Row],[PGI Amount]]-Sales4[[#This Row],[BOM Cost2]]-Sales4[[#This Row],[Labour Cost]]-Sales4[[#This Row],[Other conversion cost]]</f>
        <v>#REF!</v>
      </c>
      <c r="AM303" s="121" t="e">
        <f>1-Sales4[[#This Row],[PGI COST]]/Sales4[[#This Row],[Net Value]]</f>
        <v>#REF!</v>
      </c>
      <c r="AN303" s="1">
        <f>Sales4[[#This Row],[PGI Amount]]/Sales4[[#This Row],[Billed Quantity]]</f>
        <v>457.3</v>
      </c>
      <c r="AO303" s="72" t="e">
        <f>SUMIFS('COGS Break up'!#REF!,'COGS Break up'!#REF!,Sales4[[#This Row],[Material]],'COGS Break up'!#REF!,'MIS Working'!$AO$1)</f>
        <v>#REF!</v>
      </c>
      <c r="AP303" s="72" t="e">
        <f>SUMIFS('COGS Break up'!#REF!,'COGS Break up'!#REF!,Sales4[[#This Row],[Material]],'COGS Break up'!#REF!,'MIS Working'!$AP$1)</f>
        <v>#REF!</v>
      </c>
      <c r="AQ303" s="72" t="e">
        <f>SUMIFS('COGS Break up'!#REF!,'COGS Break up'!#REF!,Sales4[[#This Row],[Material]],'COGS Break up'!#REF!,'MIS Working'!$AQ$1)</f>
        <v>#REF!</v>
      </c>
      <c r="AR303" s="72">
        <f>Sales4[[#This Row],[Droppage per unit]]</f>
        <v>0</v>
      </c>
      <c r="AS303" s="15" t="e">
        <f>AO303*Sales4[[#This Row],[Billed Quantity]]</f>
        <v>#REF!</v>
      </c>
      <c r="AT303" s="72" t="e">
        <f>AP303*Sales4[[#This Row],[Billed Quantity]]</f>
        <v>#REF!</v>
      </c>
      <c r="AU303" s="72" t="e">
        <f>AQ303*Sales4[[#This Row],[Billed Quantity]]</f>
        <v>#REF!</v>
      </c>
      <c r="AV303" s="72">
        <f>AR303*Sales4[[#This Row],[Billed Quantity]]</f>
        <v>0</v>
      </c>
    </row>
    <row r="304" spans="1:48" x14ac:dyDescent="0.3">
      <c r="A304" s="1" t="s">
        <v>479</v>
      </c>
      <c r="B304" s="2">
        <v>45909</v>
      </c>
      <c r="C304" s="1">
        <v>3271268970</v>
      </c>
      <c r="D304" s="1" t="s">
        <v>42</v>
      </c>
      <c r="E304" s="1" t="s">
        <v>43</v>
      </c>
      <c r="F304" s="1" t="s">
        <v>18</v>
      </c>
      <c r="G304" s="1" t="s">
        <v>19</v>
      </c>
      <c r="H304" s="1" t="s">
        <v>27</v>
      </c>
      <c r="I304" s="3">
        <v>735</v>
      </c>
      <c r="J304" s="4">
        <v>242160.45</v>
      </c>
      <c r="K304" s="3">
        <v>735</v>
      </c>
      <c r="L304" s="3">
        <v>735</v>
      </c>
      <c r="M304" s="2">
        <v>45909</v>
      </c>
      <c r="N304" s="4">
        <v>263343.15000000002</v>
      </c>
      <c r="O304" s="1" t="s">
        <v>21</v>
      </c>
      <c r="P304" s="1" t="s">
        <v>22</v>
      </c>
      <c r="Q304" s="1">
        <v>1</v>
      </c>
      <c r="R304" s="1" t="str">
        <f>VLOOKUP(Sales4[[#This Row],[Material type]],Master!$H$3:$I$8,2,0)</f>
        <v>Finished Goods</v>
      </c>
      <c r="S304" s="1" t="str">
        <f>VLOOKUP(Sales4[[#This Row],[Material Group]],Master!B:C,2,0)</f>
        <v>FG-PCB-CF</v>
      </c>
      <c r="T304" s="1" t="str">
        <f>VLOOKUP(Sales4[[#This Row],[Material Group Descrip]],Master!E:F,2,0)</f>
        <v>FG-PCB-CF</v>
      </c>
      <c r="U304" s="9" t="b">
        <f ca="1">(TODAY()-1)=Sales4[[#This Row],[Billing Date]]</f>
        <v>0</v>
      </c>
      <c r="V304" s="10" t="e">
        <f>Sales4[[#This Row],[Net Value]]-Sales4[[#This Row],[PGI COST]]</f>
        <v>#REF!</v>
      </c>
      <c r="W304" s="11" t="e">
        <f>Sales4[[#This Row],[Gross Margin]]/Sales4[[#This Row],[Net Value]]</f>
        <v>#REF!</v>
      </c>
      <c r="X304" s="1" t="str">
        <f>TEXT(Sales4[[#This Row],[Billing Date]],"mmmm-yy")</f>
        <v>September-25</v>
      </c>
      <c r="Y304" s="1">
        <f>Sales4[[#This Row],[Net Value]]/Sales4[[#This Row],[Billed Quantity]]</f>
        <v>358.29</v>
      </c>
      <c r="Z304" s="117">
        <f>Sales4[[#This Row],[Actual delivery qty]]</f>
        <v>735</v>
      </c>
      <c r="AA304" s="12" t="e">
        <f>SUM(Sales4[[#This Row],[BOM Cost]:[Other Conversion cost pu]])</f>
        <v>#REF!</v>
      </c>
      <c r="AB30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0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04" s="12">
        <f>IFERROR(VLOOKUP(Sales4[[#This Row],[Material]],'COGS Break up'!#REF!,5,0),0)</f>
        <v>0</v>
      </c>
      <c r="AE30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04" s="48" t="e">
        <f>Sales4[[#This Row],[PGI per unit]]-Sales4[[#This Row],[BOM Cost]]-Sales4[[#This Row],[Labour cost per unit]]-Sales4[[#This Row],[Other Conversion cost pu]]</f>
        <v>#REF!</v>
      </c>
      <c r="AG304" s="48" t="e">
        <f>Sales4[[#This Row],[BOM Cost2]]+Sales4[[#This Row],[Labour Cost]]+Sales4[[#This Row],[Other conversion cost]]</f>
        <v>#REF!</v>
      </c>
      <c r="AH304" s="12" t="e">
        <f>Sales4[[#This Row],[Billed Quantity]]*Sales4[[#This Row],[BOM Cost]]</f>
        <v>#REF!</v>
      </c>
      <c r="AI304" s="12" t="e">
        <f>Sales4[[#This Row],[Billed Quantity]]*Sales4[[#This Row],[Labour cost per unit]]</f>
        <v>#REF!</v>
      </c>
      <c r="AJ304" s="12">
        <f>Sales4[[#This Row],[Droppage per unit]]*Sales4[[#This Row],[Billed Quantity]]</f>
        <v>0</v>
      </c>
      <c r="AK304" s="12" t="e">
        <f>Sales4[[#This Row],[Billed Quantity]]*Sales4[[#This Row],[Other Conversion cost pu]]</f>
        <v>#REF!</v>
      </c>
      <c r="AL304" s="48" t="e">
        <f>Sales4[[#This Row],[PGI Amount]]-Sales4[[#This Row],[BOM Cost2]]-Sales4[[#This Row],[Labour Cost]]-Sales4[[#This Row],[Other conversion cost]]</f>
        <v>#REF!</v>
      </c>
      <c r="AM304" s="121" t="e">
        <f>1-Sales4[[#This Row],[PGI COST]]/Sales4[[#This Row],[Net Value]]</f>
        <v>#REF!</v>
      </c>
      <c r="AN304" s="1">
        <f>Sales4[[#This Row],[PGI Amount]]/Sales4[[#This Row],[Billed Quantity]]</f>
        <v>329.47</v>
      </c>
      <c r="AO304" s="72" t="e">
        <f>SUMIFS('COGS Break up'!#REF!,'COGS Break up'!#REF!,Sales4[[#This Row],[Material]],'COGS Break up'!#REF!,'MIS Working'!$AO$1)</f>
        <v>#REF!</v>
      </c>
      <c r="AP304" s="72" t="e">
        <f>SUMIFS('COGS Break up'!#REF!,'COGS Break up'!#REF!,Sales4[[#This Row],[Material]],'COGS Break up'!#REF!,'MIS Working'!$AP$1)</f>
        <v>#REF!</v>
      </c>
      <c r="AQ304" s="72" t="e">
        <f>SUMIFS('COGS Break up'!#REF!,'COGS Break up'!#REF!,Sales4[[#This Row],[Material]],'COGS Break up'!#REF!,'MIS Working'!$AQ$1)</f>
        <v>#REF!</v>
      </c>
      <c r="AR304" s="72">
        <f>Sales4[[#This Row],[Droppage per unit]]</f>
        <v>0</v>
      </c>
      <c r="AS304" s="15" t="e">
        <f>AO304*Sales4[[#This Row],[Billed Quantity]]</f>
        <v>#REF!</v>
      </c>
      <c r="AT304" s="72" t="e">
        <f>AP304*Sales4[[#This Row],[Billed Quantity]]</f>
        <v>#REF!</v>
      </c>
      <c r="AU304" s="72" t="e">
        <f>AQ304*Sales4[[#This Row],[Billed Quantity]]</f>
        <v>#REF!</v>
      </c>
      <c r="AV304" s="72">
        <f>AR304*Sales4[[#This Row],[Billed Quantity]]</f>
        <v>0</v>
      </c>
    </row>
    <row r="305" spans="1:48" x14ac:dyDescent="0.3">
      <c r="A305" s="1" t="s">
        <v>479</v>
      </c>
      <c r="B305" s="2">
        <v>45909</v>
      </c>
      <c r="C305" s="1">
        <v>3271268944</v>
      </c>
      <c r="D305" s="1" t="s">
        <v>30</v>
      </c>
      <c r="E305" s="1" t="s">
        <v>31</v>
      </c>
      <c r="F305" s="1" t="s">
        <v>18</v>
      </c>
      <c r="G305" s="1" t="s">
        <v>19</v>
      </c>
      <c r="H305" s="1" t="s">
        <v>27</v>
      </c>
      <c r="I305" s="3">
        <v>1010</v>
      </c>
      <c r="J305" s="4">
        <v>332724.3</v>
      </c>
      <c r="K305" s="3">
        <v>1010</v>
      </c>
      <c r="L305" s="3">
        <v>1010</v>
      </c>
      <c r="M305" s="2">
        <v>45909</v>
      </c>
      <c r="N305" s="4">
        <v>361872.9</v>
      </c>
      <c r="O305" s="1" t="s">
        <v>21</v>
      </c>
      <c r="P305" s="1" t="s">
        <v>22</v>
      </c>
      <c r="Q305" s="1">
        <v>1</v>
      </c>
      <c r="R305" s="1" t="str">
        <f>VLOOKUP(Sales4[[#This Row],[Material type]],Master!$H$3:$I$8,2,0)</f>
        <v>Finished Goods</v>
      </c>
      <c r="S305" s="1" t="str">
        <f>VLOOKUP(Sales4[[#This Row],[Material Group]],Master!B:C,2,0)</f>
        <v>FG-PCB-CF</v>
      </c>
      <c r="T305" s="1" t="str">
        <f>VLOOKUP(Sales4[[#This Row],[Material Group Descrip]],Master!E:F,2,0)</f>
        <v>FG-PCB-CF</v>
      </c>
      <c r="U305" s="9" t="b">
        <f ca="1">(TODAY()-1)=Sales4[[#This Row],[Billing Date]]</f>
        <v>0</v>
      </c>
      <c r="V305" s="10" t="e">
        <f>Sales4[[#This Row],[Net Value]]-Sales4[[#This Row],[PGI COST]]</f>
        <v>#REF!</v>
      </c>
      <c r="W305" s="11" t="e">
        <f>Sales4[[#This Row],[Gross Margin]]/Sales4[[#This Row],[Net Value]]</f>
        <v>#REF!</v>
      </c>
      <c r="X305" s="1" t="str">
        <f>TEXT(Sales4[[#This Row],[Billing Date]],"mmmm-yy")</f>
        <v>September-25</v>
      </c>
      <c r="Y305" s="1">
        <f>Sales4[[#This Row],[Net Value]]/Sales4[[#This Row],[Billed Quantity]]</f>
        <v>358.29</v>
      </c>
      <c r="Z305" s="117">
        <f>Sales4[[#This Row],[Actual delivery qty]]</f>
        <v>1010</v>
      </c>
      <c r="AA305" s="12" t="e">
        <f>SUM(Sales4[[#This Row],[BOM Cost]:[Other Conversion cost pu]])</f>
        <v>#REF!</v>
      </c>
      <c r="AB30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0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05" s="12">
        <f>IFERROR(VLOOKUP(Sales4[[#This Row],[Material]],'COGS Break up'!#REF!,5,0),0)</f>
        <v>0</v>
      </c>
      <c r="AE30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05" s="48" t="e">
        <f>Sales4[[#This Row],[PGI per unit]]-Sales4[[#This Row],[BOM Cost]]-Sales4[[#This Row],[Labour cost per unit]]-Sales4[[#This Row],[Other Conversion cost pu]]</f>
        <v>#REF!</v>
      </c>
      <c r="AG305" s="48" t="e">
        <f>Sales4[[#This Row],[BOM Cost2]]+Sales4[[#This Row],[Labour Cost]]+Sales4[[#This Row],[Other conversion cost]]</f>
        <v>#REF!</v>
      </c>
      <c r="AH305" s="12" t="e">
        <f>Sales4[[#This Row],[Billed Quantity]]*Sales4[[#This Row],[BOM Cost]]</f>
        <v>#REF!</v>
      </c>
      <c r="AI305" s="12" t="e">
        <f>Sales4[[#This Row],[Billed Quantity]]*Sales4[[#This Row],[Labour cost per unit]]</f>
        <v>#REF!</v>
      </c>
      <c r="AJ305" s="12">
        <f>Sales4[[#This Row],[Droppage per unit]]*Sales4[[#This Row],[Billed Quantity]]</f>
        <v>0</v>
      </c>
      <c r="AK305" s="12" t="e">
        <f>Sales4[[#This Row],[Billed Quantity]]*Sales4[[#This Row],[Other Conversion cost pu]]</f>
        <v>#REF!</v>
      </c>
      <c r="AL305" s="48" t="e">
        <f>Sales4[[#This Row],[PGI Amount]]-Sales4[[#This Row],[BOM Cost2]]-Sales4[[#This Row],[Labour Cost]]-Sales4[[#This Row],[Other conversion cost]]</f>
        <v>#REF!</v>
      </c>
      <c r="AM305" s="121" t="e">
        <f>1-Sales4[[#This Row],[PGI COST]]/Sales4[[#This Row],[Net Value]]</f>
        <v>#REF!</v>
      </c>
      <c r="AN305" s="1">
        <f>Sales4[[#This Row],[PGI Amount]]/Sales4[[#This Row],[Billed Quantity]]</f>
        <v>329.43</v>
      </c>
      <c r="AO305" s="72" t="e">
        <f>SUMIFS('COGS Break up'!#REF!,'COGS Break up'!#REF!,Sales4[[#This Row],[Material]],'COGS Break up'!#REF!,'MIS Working'!$AO$1)</f>
        <v>#REF!</v>
      </c>
      <c r="AP305" s="72" t="e">
        <f>SUMIFS('COGS Break up'!#REF!,'COGS Break up'!#REF!,Sales4[[#This Row],[Material]],'COGS Break up'!#REF!,'MIS Working'!$AP$1)</f>
        <v>#REF!</v>
      </c>
      <c r="AQ305" s="72" t="e">
        <f>SUMIFS('COGS Break up'!#REF!,'COGS Break up'!#REF!,Sales4[[#This Row],[Material]],'COGS Break up'!#REF!,'MIS Working'!$AQ$1)</f>
        <v>#REF!</v>
      </c>
      <c r="AR305" s="72">
        <f>Sales4[[#This Row],[Droppage per unit]]</f>
        <v>0</v>
      </c>
      <c r="AS305" s="15" t="e">
        <f>AO305*Sales4[[#This Row],[Billed Quantity]]</f>
        <v>#REF!</v>
      </c>
      <c r="AT305" s="72" t="e">
        <f>AP305*Sales4[[#This Row],[Billed Quantity]]</f>
        <v>#REF!</v>
      </c>
      <c r="AU305" s="72" t="e">
        <f>AQ305*Sales4[[#This Row],[Billed Quantity]]</f>
        <v>#REF!</v>
      </c>
      <c r="AV305" s="72">
        <f>AR305*Sales4[[#This Row],[Billed Quantity]]</f>
        <v>0</v>
      </c>
    </row>
    <row r="306" spans="1:48" x14ac:dyDescent="0.3">
      <c r="A306" s="1" t="s">
        <v>479</v>
      </c>
      <c r="B306" s="2">
        <v>45909</v>
      </c>
      <c r="C306" s="1">
        <v>3271268970</v>
      </c>
      <c r="D306" s="1" t="s">
        <v>30</v>
      </c>
      <c r="E306" s="1" t="s">
        <v>31</v>
      </c>
      <c r="F306" s="1" t="s">
        <v>18</v>
      </c>
      <c r="G306" s="1" t="s">
        <v>19</v>
      </c>
      <c r="H306" s="1" t="s">
        <v>27</v>
      </c>
      <c r="I306" s="3">
        <v>280</v>
      </c>
      <c r="J306" s="4">
        <v>92240.4</v>
      </c>
      <c r="K306" s="3">
        <v>280</v>
      </c>
      <c r="L306" s="3">
        <v>280</v>
      </c>
      <c r="M306" s="2">
        <v>45909</v>
      </c>
      <c r="N306" s="4">
        <v>100321.2</v>
      </c>
      <c r="O306" s="1" t="s">
        <v>21</v>
      </c>
      <c r="P306" s="1" t="s">
        <v>22</v>
      </c>
      <c r="Q306" s="1">
        <v>1</v>
      </c>
      <c r="R306" s="1" t="str">
        <f>VLOOKUP(Sales4[[#This Row],[Material type]],Master!$H$3:$I$8,2,0)</f>
        <v>Finished Goods</v>
      </c>
      <c r="S306" s="1" t="str">
        <f>VLOOKUP(Sales4[[#This Row],[Material Group]],Master!B:C,2,0)</f>
        <v>FG-PCB-CF</v>
      </c>
      <c r="T306" s="1" t="str">
        <f>VLOOKUP(Sales4[[#This Row],[Material Group Descrip]],Master!E:F,2,0)</f>
        <v>FG-PCB-CF</v>
      </c>
      <c r="U306" s="9" t="b">
        <f ca="1">(TODAY()-1)=Sales4[[#This Row],[Billing Date]]</f>
        <v>0</v>
      </c>
      <c r="V306" s="10" t="e">
        <f>Sales4[[#This Row],[Net Value]]-Sales4[[#This Row],[PGI COST]]</f>
        <v>#REF!</v>
      </c>
      <c r="W306" s="11" t="e">
        <f>Sales4[[#This Row],[Gross Margin]]/Sales4[[#This Row],[Net Value]]</f>
        <v>#REF!</v>
      </c>
      <c r="X306" s="1" t="str">
        <f>TEXT(Sales4[[#This Row],[Billing Date]],"mmmm-yy")</f>
        <v>September-25</v>
      </c>
      <c r="Y306" s="1">
        <f>Sales4[[#This Row],[Net Value]]/Sales4[[#This Row],[Billed Quantity]]</f>
        <v>358.28999999999996</v>
      </c>
      <c r="Z306" s="117">
        <f>Sales4[[#This Row],[Actual delivery qty]]</f>
        <v>280</v>
      </c>
      <c r="AA306" s="12" t="e">
        <f>SUM(Sales4[[#This Row],[BOM Cost]:[Other Conversion cost pu]])</f>
        <v>#REF!</v>
      </c>
      <c r="AB30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0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06" s="12">
        <f>IFERROR(VLOOKUP(Sales4[[#This Row],[Material]],'COGS Break up'!#REF!,5,0),0)</f>
        <v>0</v>
      </c>
      <c r="AE30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06" s="48" t="e">
        <f>Sales4[[#This Row],[PGI per unit]]-Sales4[[#This Row],[BOM Cost]]-Sales4[[#This Row],[Labour cost per unit]]-Sales4[[#This Row],[Other Conversion cost pu]]</f>
        <v>#REF!</v>
      </c>
      <c r="AG306" s="48" t="e">
        <f>Sales4[[#This Row],[BOM Cost2]]+Sales4[[#This Row],[Labour Cost]]+Sales4[[#This Row],[Other conversion cost]]</f>
        <v>#REF!</v>
      </c>
      <c r="AH306" s="12" t="e">
        <f>Sales4[[#This Row],[Billed Quantity]]*Sales4[[#This Row],[BOM Cost]]</f>
        <v>#REF!</v>
      </c>
      <c r="AI306" s="12" t="e">
        <f>Sales4[[#This Row],[Billed Quantity]]*Sales4[[#This Row],[Labour cost per unit]]</f>
        <v>#REF!</v>
      </c>
      <c r="AJ306" s="12">
        <f>Sales4[[#This Row],[Droppage per unit]]*Sales4[[#This Row],[Billed Quantity]]</f>
        <v>0</v>
      </c>
      <c r="AK306" s="12" t="e">
        <f>Sales4[[#This Row],[Billed Quantity]]*Sales4[[#This Row],[Other Conversion cost pu]]</f>
        <v>#REF!</v>
      </c>
      <c r="AL306" s="48" t="e">
        <f>Sales4[[#This Row],[PGI Amount]]-Sales4[[#This Row],[BOM Cost2]]-Sales4[[#This Row],[Labour Cost]]-Sales4[[#This Row],[Other conversion cost]]</f>
        <v>#REF!</v>
      </c>
      <c r="AM306" s="121" t="e">
        <f>1-Sales4[[#This Row],[PGI COST]]/Sales4[[#This Row],[Net Value]]</f>
        <v>#REF!</v>
      </c>
      <c r="AN306" s="1">
        <f>Sales4[[#This Row],[PGI Amount]]/Sales4[[#This Row],[Billed Quantity]]</f>
        <v>329.43</v>
      </c>
      <c r="AO306" s="72" t="e">
        <f>SUMIFS('COGS Break up'!#REF!,'COGS Break up'!#REF!,Sales4[[#This Row],[Material]],'COGS Break up'!#REF!,'MIS Working'!$AO$1)</f>
        <v>#REF!</v>
      </c>
      <c r="AP306" s="72" t="e">
        <f>SUMIFS('COGS Break up'!#REF!,'COGS Break up'!#REF!,Sales4[[#This Row],[Material]],'COGS Break up'!#REF!,'MIS Working'!$AP$1)</f>
        <v>#REF!</v>
      </c>
      <c r="AQ306" s="72" t="e">
        <f>SUMIFS('COGS Break up'!#REF!,'COGS Break up'!#REF!,Sales4[[#This Row],[Material]],'COGS Break up'!#REF!,'MIS Working'!$AQ$1)</f>
        <v>#REF!</v>
      </c>
      <c r="AR306" s="72">
        <f>Sales4[[#This Row],[Droppage per unit]]</f>
        <v>0</v>
      </c>
      <c r="AS306" s="15" t="e">
        <f>AO306*Sales4[[#This Row],[Billed Quantity]]</f>
        <v>#REF!</v>
      </c>
      <c r="AT306" s="72" t="e">
        <f>AP306*Sales4[[#This Row],[Billed Quantity]]</f>
        <v>#REF!</v>
      </c>
      <c r="AU306" s="72" t="e">
        <f>AQ306*Sales4[[#This Row],[Billed Quantity]]</f>
        <v>#REF!</v>
      </c>
      <c r="AV306" s="72">
        <f>AR306*Sales4[[#This Row],[Billed Quantity]]</f>
        <v>0</v>
      </c>
    </row>
    <row r="307" spans="1:48" x14ac:dyDescent="0.3">
      <c r="A307" s="1" t="s">
        <v>479</v>
      </c>
      <c r="B307" s="2">
        <v>45909</v>
      </c>
      <c r="C307" s="1">
        <v>3271268481</v>
      </c>
      <c r="D307" s="1" t="s">
        <v>42</v>
      </c>
      <c r="E307" s="1" t="s">
        <v>43</v>
      </c>
      <c r="F307" s="1" t="s">
        <v>18</v>
      </c>
      <c r="G307" s="1" t="s">
        <v>19</v>
      </c>
      <c r="H307" s="1" t="s">
        <v>27</v>
      </c>
      <c r="I307" s="3">
        <v>1260</v>
      </c>
      <c r="J307" s="4">
        <v>415132.2</v>
      </c>
      <c r="K307" s="3">
        <v>1260</v>
      </c>
      <c r="L307" s="3">
        <v>1260</v>
      </c>
      <c r="M307" s="2">
        <v>45909</v>
      </c>
      <c r="N307" s="4">
        <v>451445.4</v>
      </c>
      <c r="O307" s="1" t="s">
        <v>21</v>
      </c>
      <c r="P307" s="1" t="s">
        <v>22</v>
      </c>
      <c r="Q307" s="1">
        <v>1</v>
      </c>
      <c r="R307" s="1" t="str">
        <f>VLOOKUP(Sales4[[#This Row],[Material type]],Master!$H$3:$I$8,2,0)</f>
        <v>Finished Goods</v>
      </c>
      <c r="S307" s="1" t="str">
        <f>VLOOKUP(Sales4[[#This Row],[Material Group]],Master!B:C,2,0)</f>
        <v>FG-PCB-CF</v>
      </c>
      <c r="T307" s="1" t="str">
        <f>VLOOKUP(Sales4[[#This Row],[Material Group Descrip]],Master!E:F,2,0)</f>
        <v>FG-PCB-CF</v>
      </c>
      <c r="U307" s="9" t="b">
        <f ca="1">(TODAY()-1)=Sales4[[#This Row],[Billing Date]]</f>
        <v>0</v>
      </c>
      <c r="V307" s="10" t="e">
        <f>Sales4[[#This Row],[Net Value]]-Sales4[[#This Row],[PGI COST]]</f>
        <v>#REF!</v>
      </c>
      <c r="W307" s="11" t="e">
        <f>Sales4[[#This Row],[Gross Margin]]/Sales4[[#This Row],[Net Value]]</f>
        <v>#REF!</v>
      </c>
      <c r="X307" s="1" t="str">
        <f>TEXT(Sales4[[#This Row],[Billing Date]],"mmmm-yy")</f>
        <v>September-25</v>
      </c>
      <c r="Y307" s="1">
        <f>Sales4[[#This Row],[Net Value]]/Sales4[[#This Row],[Billed Quantity]]</f>
        <v>358.29</v>
      </c>
      <c r="Z307" s="117">
        <f>Sales4[[#This Row],[Actual delivery qty]]</f>
        <v>1260</v>
      </c>
      <c r="AA307" s="12" t="e">
        <f>SUM(Sales4[[#This Row],[BOM Cost]:[Other Conversion cost pu]])</f>
        <v>#REF!</v>
      </c>
      <c r="AB30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0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07" s="12">
        <f>IFERROR(VLOOKUP(Sales4[[#This Row],[Material]],'COGS Break up'!#REF!,5,0),0)</f>
        <v>0</v>
      </c>
      <c r="AE30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07" s="48" t="e">
        <f>Sales4[[#This Row],[PGI per unit]]-Sales4[[#This Row],[BOM Cost]]-Sales4[[#This Row],[Labour cost per unit]]-Sales4[[#This Row],[Other Conversion cost pu]]</f>
        <v>#REF!</v>
      </c>
      <c r="AG307" s="48" t="e">
        <f>Sales4[[#This Row],[BOM Cost2]]+Sales4[[#This Row],[Labour Cost]]+Sales4[[#This Row],[Other conversion cost]]</f>
        <v>#REF!</v>
      </c>
      <c r="AH307" s="12" t="e">
        <f>Sales4[[#This Row],[Billed Quantity]]*Sales4[[#This Row],[BOM Cost]]</f>
        <v>#REF!</v>
      </c>
      <c r="AI307" s="12" t="e">
        <f>Sales4[[#This Row],[Billed Quantity]]*Sales4[[#This Row],[Labour cost per unit]]</f>
        <v>#REF!</v>
      </c>
      <c r="AJ307" s="12">
        <f>Sales4[[#This Row],[Droppage per unit]]*Sales4[[#This Row],[Billed Quantity]]</f>
        <v>0</v>
      </c>
      <c r="AK307" s="12" t="e">
        <f>Sales4[[#This Row],[Billed Quantity]]*Sales4[[#This Row],[Other Conversion cost pu]]</f>
        <v>#REF!</v>
      </c>
      <c r="AL307" s="48" t="e">
        <f>Sales4[[#This Row],[PGI Amount]]-Sales4[[#This Row],[BOM Cost2]]-Sales4[[#This Row],[Labour Cost]]-Sales4[[#This Row],[Other conversion cost]]</f>
        <v>#REF!</v>
      </c>
      <c r="AM307" s="121" t="e">
        <f>1-Sales4[[#This Row],[PGI COST]]/Sales4[[#This Row],[Net Value]]</f>
        <v>#REF!</v>
      </c>
      <c r="AN307" s="1">
        <f>Sales4[[#This Row],[PGI Amount]]/Sales4[[#This Row],[Billed Quantity]]</f>
        <v>329.47</v>
      </c>
      <c r="AO307" s="72" t="e">
        <f>SUMIFS('COGS Break up'!#REF!,'COGS Break up'!#REF!,Sales4[[#This Row],[Material]],'COGS Break up'!#REF!,'MIS Working'!$AO$1)</f>
        <v>#REF!</v>
      </c>
      <c r="AP307" s="72" t="e">
        <f>SUMIFS('COGS Break up'!#REF!,'COGS Break up'!#REF!,Sales4[[#This Row],[Material]],'COGS Break up'!#REF!,'MIS Working'!$AP$1)</f>
        <v>#REF!</v>
      </c>
      <c r="AQ307" s="72" t="e">
        <f>SUMIFS('COGS Break up'!#REF!,'COGS Break up'!#REF!,Sales4[[#This Row],[Material]],'COGS Break up'!#REF!,'MIS Working'!$AQ$1)</f>
        <v>#REF!</v>
      </c>
      <c r="AR307" s="72">
        <f>Sales4[[#This Row],[Droppage per unit]]</f>
        <v>0</v>
      </c>
      <c r="AS307" s="15" t="e">
        <f>AO307*Sales4[[#This Row],[Billed Quantity]]</f>
        <v>#REF!</v>
      </c>
      <c r="AT307" s="72" t="e">
        <f>AP307*Sales4[[#This Row],[Billed Quantity]]</f>
        <v>#REF!</v>
      </c>
      <c r="AU307" s="72" t="e">
        <f>AQ307*Sales4[[#This Row],[Billed Quantity]]</f>
        <v>#REF!</v>
      </c>
      <c r="AV307" s="72">
        <f>AR307*Sales4[[#This Row],[Billed Quantity]]</f>
        <v>0</v>
      </c>
    </row>
    <row r="308" spans="1:48" x14ac:dyDescent="0.3">
      <c r="A308" s="1" t="s">
        <v>479</v>
      </c>
      <c r="B308" s="2">
        <v>45909</v>
      </c>
      <c r="C308" s="1">
        <v>3271268944</v>
      </c>
      <c r="D308" s="1" t="s">
        <v>42</v>
      </c>
      <c r="E308" s="1" t="s">
        <v>43</v>
      </c>
      <c r="F308" s="1" t="s">
        <v>18</v>
      </c>
      <c r="G308" s="1" t="s">
        <v>19</v>
      </c>
      <c r="H308" s="1" t="s">
        <v>27</v>
      </c>
      <c r="I308" s="3">
        <v>140</v>
      </c>
      <c r="J308" s="4">
        <v>46125.8</v>
      </c>
      <c r="K308" s="3">
        <v>140</v>
      </c>
      <c r="L308" s="3">
        <v>140</v>
      </c>
      <c r="M308" s="2">
        <v>45909</v>
      </c>
      <c r="N308" s="4">
        <v>50160.6</v>
      </c>
      <c r="O308" s="1" t="s">
        <v>21</v>
      </c>
      <c r="P308" s="1" t="s">
        <v>22</v>
      </c>
      <c r="Q308" s="1">
        <v>1</v>
      </c>
      <c r="R308" s="1" t="str">
        <f>VLOOKUP(Sales4[[#This Row],[Material type]],Master!$H$3:$I$8,2,0)</f>
        <v>Finished Goods</v>
      </c>
      <c r="S308" s="1" t="str">
        <f>VLOOKUP(Sales4[[#This Row],[Material Group]],Master!B:C,2,0)</f>
        <v>FG-PCB-CF</v>
      </c>
      <c r="T308" s="1" t="str">
        <f>VLOOKUP(Sales4[[#This Row],[Material Group Descrip]],Master!E:F,2,0)</f>
        <v>FG-PCB-CF</v>
      </c>
      <c r="U308" s="9" t="b">
        <f ca="1">(TODAY()-1)=Sales4[[#This Row],[Billing Date]]</f>
        <v>0</v>
      </c>
      <c r="V308" s="10" t="e">
        <f>Sales4[[#This Row],[Net Value]]-Sales4[[#This Row],[PGI COST]]</f>
        <v>#REF!</v>
      </c>
      <c r="W308" s="11" t="e">
        <f>Sales4[[#This Row],[Gross Margin]]/Sales4[[#This Row],[Net Value]]</f>
        <v>#REF!</v>
      </c>
      <c r="X308" s="1" t="str">
        <f>TEXT(Sales4[[#This Row],[Billing Date]],"mmmm-yy")</f>
        <v>September-25</v>
      </c>
      <c r="Y308" s="1">
        <f>Sales4[[#This Row],[Net Value]]/Sales4[[#This Row],[Billed Quantity]]</f>
        <v>358.28999999999996</v>
      </c>
      <c r="Z308" s="117">
        <f>Sales4[[#This Row],[Actual delivery qty]]</f>
        <v>140</v>
      </c>
      <c r="AA308" s="12" t="e">
        <f>SUM(Sales4[[#This Row],[BOM Cost]:[Other Conversion cost pu]])</f>
        <v>#REF!</v>
      </c>
      <c r="AB30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0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08" s="12">
        <f>IFERROR(VLOOKUP(Sales4[[#This Row],[Material]],'COGS Break up'!#REF!,5,0),0)</f>
        <v>0</v>
      </c>
      <c r="AE30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08" s="48" t="e">
        <f>Sales4[[#This Row],[PGI per unit]]-Sales4[[#This Row],[BOM Cost]]-Sales4[[#This Row],[Labour cost per unit]]-Sales4[[#This Row],[Other Conversion cost pu]]</f>
        <v>#REF!</v>
      </c>
      <c r="AG308" s="48" t="e">
        <f>Sales4[[#This Row],[BOM Cost2]]+Sales4[[#This Row],[Labour Cost]]+Sales4[[#This Row],[Other conversion cost]]</f>
        <v>#REF!</v>
      </c>
      <c r="AH308" s="12" t="e">
        <f>Sales4[[#This Row],[Billed Quantity]]*Sales4[[#This Row],[BOM Cost]]</f>
        <v>#REF!</v>
      </c>
      <c r="AI308" s="12" t="e">
        <f>Sales4[[#This Row],[Billed Quantity]]*Sales4[[#This Row],[Labour cost per unit]]</f>
        <v>#REF!</v>
      </c>
      <c r="AJ308" s="12">
        <f>Sales4[[#This Row],[Droppage per unit]]*Sales4[[#This Row],[Billed Quantity]]</f>
        <v>0</v>
      </c>
      <c r="AK308" s="12" t="e">
        <f>Sales4[[#This Row],[Billed Quantity]]*Sales4[[#This Row],[Other Conversion cost pu]]</f>
        <v>#REF!</v>
      </c>
      <c r="AL308" s="48" t="e">
        <f>Sales4[[#This Row],[PGI Amount]]-Sales4[[#This Row],[BOM Cost2]]-Sales4[[#This Row],[Labour Cost]]-Sales4[[#This Row],[Other conversion cost]]</f>
        <v>#REF!</v>
      </c>
      <c r="AM308" s="121" t="e">
        <f>1-Sales4[[#This Row],[PGI COST]]/Sales4[[#This Row],[Net Value]]</f>
        <v>#REF!</v>
      </c>
      <c r="AN308" s="1">
        <f>Sales4[[#This Row],[PGI Amount]]/Sales4[[#This Row],[Billed Quantity]]</f>
        <v>329.47</v>
      </c>
      <c r="AO308" s="72" t="e">
        <f>SUMIFS('COGS Break up'!#REF!,'COGS Break up'!#REF!,Sales4[[#This Row],[Material]],'COGS Break up'!#REF!,'MIS Working'!$AO$1)</f>
        <v>#REF!</v>
      </c>
      <c r="AP308" s="72" t="e">
        <f>SUMIFS('COGS Break up'!#REF!,'COGS Break up'!#REF!,Sales4[[#This Row],[Material]],'COGS Break up'!#REF!,'MIS Working'!$AP$1)</f>
        <v>#REF!</v>
      </c>
      <c r="AQ308" s="72" t="e">
        <f>SUMIFS('COGS Break up'!#REF!,'COGS Break up'!#REF!,Sales4[[#This Row],[Material]],'COGS Break up'!#REF!,'MIS Working'!$AQ$1)</f>
        <v>#REF!</v>
      </c>
      <c r="AR308" s="72">
        <f>Sales4[[#This Row],[Droppage per unit]]</f>
        <v>0</v>
      </c>
      <c r="AS308" s="15" t="e">
        <f>AO308*Sales4[[#This Row],[Billed Quantity]]</f>
        <v>#REF!</v>
      </c>
      <c r="AT308" s="72" t="e">
        <f>AP308*Sales4[[#This Row],[Billed Quantity]]</f>
        <v>#REF!</v>
      </c>
      <c r="AU308" s="72" t="e">
        <f>AQ308*Sales4[[#This Row],[Billed Quantity]]</f>
        <v>#REF!</v>
      </c>
      <c r="AV308" s="72">
        <f>AR308*Sales4[[#This Row],[Billed Quantity]]</f>
        <v>0</v>
      </c>
    </row>
    <row r="309" spans="1:48" x14ac:dyDescent="0.3">
      <c r="A309" s="1" t="s">
        <v>479</v>
      </c>
      <c r="B309" s="2">
        <v>45909</v>
      </c>
      <c r="C309" s="1">
        <v>3271268970</v>
      </c>
      <c r="D309" s="1" t="s">
        <v>366</v>
      </c>
      <c r="E309" s="1" t="s">
        <v>367</v>
      </c>
      <c r="F309" s="1" t="s">
        <v>18</v>
      </c>
      <c r="G309" s="1" t="s">
        <v>19</v>
      </c>
      <c r="H309" s="1" t="s">
        <v>483</v>
      </c>
      <c r="I309" s="3">
        <v>280</v>
      </c>
      <c r="J309" s="4">
        <v>97036.800000000003</v>
      </c>
      <c r="K309" s="3">
        <v>280</v>
      </c>
      <c r="L309" s="3">
        <v>280</v>
      </c>
      <c r="M309" s="2">
        <v>45909</v>
      </c>
      <c r="N309" s="4">
        <v>87945.2</v>
      </c>
      <c r="O309" s="1" t="s">
        <v>21</v>
      </c>
      <c r="P309" s="1" t="s">
        <v>22</v>
      </c>
      <c r="Q309" s="1">
        <v>1</v>
      </c>
      <c r="R309" s="1" t="str">
        <f>VLOOKUP(Sales4[[#This Row],[Material type]],Master!$H$3:$I$8,2,0)</f>
        <v>Finished Goods</v>
      </c>
      <c r="S309" s="1" t="str">
        <f>VLOOKUP(Sales4[[#This Row],[Material Group]],Master!B:C,2,0)</f>
        <v>FG-PCB-MG</v>
      </c>
      <c r="T309" s="1" t="str">
        <f>VLOOKUP(Sales4[[#This Row],[Material Group Descrip]],Master!E:F,2,0)</f>
        <v>FG-PCB-MG</v>
      </c>
      <c r="U309" s="9" t="b">
        <f ca="1">(TODAY()-1)=Sales4[[#This Row],[Billing Date]]</f>
        <v>0</v>
      </c>
      <c r="V309" s="10" t="e">
        <f>Sales4[[#This Row],[Net Value]]-Sales4[[#This Row],[PGI COST]]</f>
        <v>#REF!</v>
      </c>
      <c r="W309" s="11" t="e">
        <f>Sales4[[#This Row],[Gross Margin]]/Sales4[[#This Row],[Net Value]]</f>
        <v>#REF!</v>
      </c>
      <c r="X309" s="1" t="str">
        <f>TEXT(Sales4[[#This Row],[Billing Date]],"mmmm-yy")</f>
        <v>September-25</v>
      </c>
      <c r="Y309" s="1">
        <f>Sales4[[#This Row],[Net Value]]/Sales4[[#This Row],[Billed Quantity]]</f>
        <v>314.08999999999997</v>
      </c>
      <c r="Z309" s="117">
        <f>Sales4[[#This Row],[Actual delivery qty]]</f>
        <v>280</v>
      </c>
      <c r="AA309" s="12" t="e">
        <f>SUM(Sales4[[#This Row],[BOM Cost]:[Other Conversion cost pu]])</f>
        <v>#REF!</v>
      </c>
      <c r="AB30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0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09" s="12">
        <f>IFERROR(VLOOKUP(Sales4[[#This Row],[Material]],'COGS Break up'!#REF!,5,0),0)</f>
        <v>0</v>
      </c>
      <c r="AE30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09" s="48" t="e">
        <f>Sales4[[#This Row],[PGI per unit]]-Sales4[[#This Row],[BOM Cost]]-Sales4[[#This Row],[Labour cost per unit]]-Sales4[[#This Row],[Other Conversion cost pu]]</f>
        <v>#REF!</v>
      </c>
      <c r="AG309" s="48" t="e">
        <f>Sales4[[#This Row],[BOM Cost2]]+Sales4[[#This Row],[Labour Cost]]+Sales4[[#This Row],[Other conversion cost]]</f>
        <v>#REF!</v>
      </c>
      <c r="AH309" s="12" t="e">
        <f>Sales4[[#This Row],[Billed Quantity]]*Sales4[[#This Row],[BOM Cost]]</f>
        <v>#REF!</v>
      </c>
      <c r="AI309" s="12" t="e">
        <f>Sales4[[#This Row],[Billed Quantity]]*Sales4[[#This Row],[Labour cost per unit]]</f>
        <v>#REF!</v>
      </c>
      <c r="AJ309" s="12">
        <f>Sales4[[#This Row],[Droppage per unit]]*Sales4[[#This Row],[Billed Quantity]]</f>
        <v>0</v>
      </c>
      <c r="AK309" s="12" t="e">
        <f>Sales4[[#This Row],[Billed Quantity]]*Sales4[[#This Row],[Other Conversion cost pu]]</f>
        <v>#REF!</v>
      </c>
      <c r="AL309" s="48" t="e">
        <f>Sales4[[#This Row],[PGI Amount]]-Sales4[[#This Row],[BOM Cost2]]-Sales4[[#This Row],[Labour Cost]]-Sales4[[#This Row],[Other conversion cost]]</f>
        <v>#REF!</v>
      </c>
      <c r="AM309" s="121" t="e">
        <f>1-Sales4[[#This Row],[PGI COST]]/Sales4[[#This Row],[Net Value]]</f>
        <v>#REF!</v>
      </c>
      <c r="AN309" s="1">
        <f>Sales4[[#This Row],[PGI Amount]]/Sales4[[#This Row],[Billed Quantity]]</f>
        <v>346.56</v>
      </c>
      <c r="AO309" s="72" t="e">
        <f>SUMIFS('COGS Break up'!#REF!,'COGS Break up'!#REF!,Sales4[[#This Row],[Material]],'COGS Break up'!#REF!,'MIS Working'!$AO$1)</f>
        <v>#REF!</v>
      </c>
      <c r="AP309" s="72" t="e">
        <f>SUMIFS('COGS Break up'!#REF!,'COGS Break up'!#REF!,Sales4[[#This Row],[Material]],'COGS Break up'!#REF!,'MIS Working'!$AP$1)</f>
        <v>#REF!</v>
      </c>
      <c r="AQ309" s="72" t="e">
        <f>SUMIFS('COGS Break up'!#REF!,'COGS Break up'!#REF!,Sales4[[#This Row],[Material]],'COGS Break up'!#REF!,'MIS Working'!$AQ$1)</f>
        <v>#REF!</v>
      </c>
      <c r="AR309" s="72">
        <f>Sales4[[#This Row],[Droppage per unit]]</f>
        <v>0</v>
      </c>
      <c r="AS309" s="15" t="e">
        <f>AO309*Sales4[[#This Row],[Billed Quantity]]</f>
        <v>#REF!</v>
      </c>
      <c r="AT309" s="72" t="e">
        <f>AP309*Sales4[[#This Row],[Billed Quantity]]</f>
        <v>#REF!</v>
      </c>
      <c r="AU309" s="72" t="e">
        <f>AQ309*Sales4[[#This Row],[Billed Quantity]]</f>
        <v>#REF!</v>
      </c>
      <c r="AV309" s="72">
        <f>AR309*Sales4[[#This Row],[Billed Quantity]]</f>
        <v>0</v>
      </c>
    </row>
    <row r="310" spans="1:48" x14ac:dyDescent="0.3">
      <c r="A310" s="1" t="s">
        <v>1373</v>
      </c>
      <c r="B310" s="2">
        <v>45909</v>
      </c>
      <c r="C310" s="1">
        <v>3271268542</v>
      </c>
      <c r="D310" s="1" t="s">
        <v>362</v>
      </c>
      <c r="E310" s="1" t="s">
        <v>363</v>
      </c>
      <c r="F310" s="1" t="s">
        <v>18</v>
      </c>
      <c r="G310" s="1" t="s">
        <v>19</v>
      </c>
      <c r="H310" s="1" t="s">
        <v>483</v>
      </c>
      <c r="I310" s="3">
        <v>15</v>
      </c>
      <c r="J310" s="4">
        <v>10996.65</v>
      </c>
      <c r="K310" s="3">
        <v>15</v>
      </c>
      <c r="L310" s="3">
        <v>15</v>
      </c>
      <c r="M310" s="2">
        <v>45909</v>
      </c>
      <c r="N310" s="4">
        <v>12933.6</v>
      </c>
      <c r="O310" s="1" t="s">
        <v>21</v>
      </c>
      <c r="P310" s="1" t="s">
        <v>22</v>
      </c>
      <c r="Q310" s="1">
        <v>3</v>
      </c>
      <c r="R310" s="1" t="str">
        <f>VLOOKUP(Sales4[[#This Row],[Material type]],Master!$H$3:$I$8,2,0)</f>
        <v>Finished Goods</v>
      </c>
      <c r="S310" s="1" t="str">
        <f>VLOOKUP(Sales4[[#This Row],[Material Group]],Master!B:C,2,0)</f>
        <v>FG-PCB-MG</v>
      </c>
      <c r="T310" s="1" t="str">
        <f>VLOOKUP(Sales4[[#This Row],[Material Group Descrip]],Master!E:F,2,0)</f>
        <v>FG-PCB-MG</v>
      </c>
      <c r="U310" s="9" t="b">
        <f ca="1">(TODAY()-1)=Sales4[[#This Row],[Billing Date]]</f>
        <v>0</v>
      </c>
      <c r="V310" s="10" t="e">
        <f>Sales4[[#This Row],[Net Value]]-Sales4[[#This Row],[PGI COST]]</f>
        <v>#REF!</v>
      </c>
      <c r="W310" s="11" t="e">
        <f>Sales4[[#This Row],[Gross Margin]]/Sales4[[#This Row],[Net Value]]</f>
        <v>#REF!</v>
      </c>
      <c r="X310" s="1" t="str">
        <f>TEXT(Sales4[[#This Row],[Billing Date]],"mmmm-yy")</f>
        <v>September-25</v>
      </c>
      <c r="Y310" s="1">
        <f>Sales4[[#This Row],[Net Value]]/Sales4[[#This Row],[Billed Quantity]]</f>
        <v>862.24</v>
      </c>
      <c r="Z310" s="117">
        <f>Sales4[[#This Row],[Actual delivery qty]]</f>
        <v>15</v>
      </c>
      <c r="AA310" s="12" t="e">
        <f>SUM(Sales4[[#This Row],[BOM Cost]:[Other Conversion cost pu]])</f>
        <v>#REF!</v>
      </c>
      <c r="AB31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1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10" s="12">
        <f>IFERROR(VLOOKUP(Sales4[[#This Row],[Material]],'COGS Break up'!#REF!,5,0),0)</f>
        <v>0</v>
      </c>
      <c r="AE31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10" s="48" t="e">
        <f>Sales4[[#This Row],[PGI per unit]]-Sales4[[#This Row],[BOM Cost]]-Sales4[[#This Row],[Labour cost per unit]]-Sales4[[#This Row],[Other Conversion cost pu]]</f>
        <v>#REF!</v>
      </c>
      <c r="AG310" s="48" t="e">
        <f>Sales4[[#This Row],[BOM Cost2]]+Sales4[[#This Row],[Labour Cost]]+Sales4[[#This Row],[Other conversion cost]]</f>
        <v>#REF!</v>
      </c>
      <c r="AH310" s="12" t="e">
        <f>Sales4[[#This Row],[Billed Quantity]]*Sales4[[#This Row],[BOM Cost]]</f>
        <v>#REF!</v>
      </c>
      <c r="AI310" s="12" t="e">
        <f>Sales4[[#This Row],[Billed Quantity]]*Sales4[[#This Row],[Labour cost per unit]]</f>
        <v>#REF!</v>
      </c>
      <c r="AJ310" s="12">
        <f>Sales4[[#This Row],[Droppage per unit]]*Sales4[[#This Row],[Billed Quantity]]</f>
        <v>0</v>
      </c>
      <c r="AK310" s="12" t="e">
        <f>Sales4[[#This Row],[Billed Quantity]]*Sales4[[#This Row],[Other Conversion cost pu]]</f>
        <v>#REF!</v>
      </c>
      <c r="AL310" s="48" t="e">
        <f>Sales4[[#This Row],[PGI Amount]]-Sales4[[#This Row],[BOM Cost2]]-Sales4[[#This Row],[Labour Cost]]-Sales4[[#This Row],[Other conversion cost]]</f>
        <v>#REF!</v>
      </c>
      <c r="AM310" s="121" t="e">
        <f>1-Sales4[[#This Row],[PGI COST]]/Sales4[[#This Row],[Net Value]]</f>
        <v>#REF!</v>
      </c>
      <c r="AN310" s="1">
        <f>Sales4[[#This Row],[PGI Amount]]/Sales4[[#This Row],[Billed Quantity]]</f>
        <v>733.11</v>
      </c>
      <c r="AO310" s="72" t="e">
        <f>SUMIFS('COGS Break up'!#REF!,'COGS Break up'!#REF!,Sales4[[#This Row],[Material]],'COGS Break up'!#REF!,'MIS Working'!$AO$1)</f>
        <v>#REF!</v>
      </c>
      <c r="AP310" s="72" t="e">
        <f>SUMIFS('COGS Break up'!#REF!,'COGS Break up'!#REF!,Sales4[[#This Row],[Material]],'COGS Break up'!#REF!,'MIS Working'!$AP$1)</f>
        <v>#REF!</v>
      </c>
      <c r="AQ310" s="72" t="e">
        <f>SUMIFS('COGS Break up'!#REF!,'COGS Break up'!#REF!,Sales4[[#This Row],[Material]],'COGS Break up'!#REF!,'MIS Working'!$AQ$1)</f>
        <v>#REF!</v>
      </c>
      <c r="AR310" s="72">
        <f>Sales4[[#This Row],[Droppage per unit]]</f>
        <v>0</v>
      </c>
      <c r="AS310" s="15" t="e">
        <f>AO310*Sales4[[#This Row],[Billed Quantity]]</f>
        <v>#REF!</v>
      </c>
      <c r="AT310" s="72" t="e">
        <f>AP310*Sales4[[#This Row],[Billed Quantity]]</f>
        <v>#REF!</v>
      </c>
      <c r="AU310" s="72" t="e">
        <f>AQ310*Sales4[[#This Row],[Billed Quantity]]</f>
        <v>#REF!</v>
      </c>
      <c r="AV310" s="72">
        <f>AR310*Sales4[[#This Row],[Billed Quantity]]</f>
        <v>0</v>
      </c>
    </row>
    <row r="311" spans="1:48" x14ac:dyDescent="0.3">
      <c r="A311" s="1" t="s">
        <v>1374</v>
      </c>
      <c r="B311" s="2">
        <v>45909</v>
      </c>
      <c r="C311" s="1">
        <v>3271268749</v>
      </c>
      <c r="D311" s="1" t="s">
        <v>1375</v>
      </c>
      <c r="E311" s="1" t="s">
        <v>1376</v>
      </c>
      <c r="F311" s="1" t="s">
        <v>18</v>
      </c>
      <c r="G311" s="1" t="s">
        <v>48</v>
      </c>
      <c r="H311" s="1" t="s">
        <v>225</v>
      </c>
      <c r="I311" s="3">
        <v>14700</v>
      </c>
      <c r="J311" s="4">
        <v>53225.64</v>
      </c>
      <c r="K311" s="3">
        <v>14700</v>
      </c>
      <c r="L311" s="3">
        <v>14700</v>
      </c>
      <c r="M311" s="2">
        <v>45909</v>
      </c>
      <c r="N311" s="4">
        <v>59437.98</v>
      </c>
      <c r="O311" s="1" t="s">
        <v>21</v>
      </c>
      <c r="P311" s="1" t="s">
        <v>22</v>
      </c>
      <c r="Q311" s="1">
        <v>1</v>
      </c>
      <c r="R311" s="1" t="str">
        <f>VLOOKUP(Sales4[[#This Row],[Material type]],Master!$H$3:$I$8,2,0)</f>
        <v>Raw Material</v>
      </c>
      <c r="S311" s="1" t="str">
        <f>VLOOKUP(Sales4[[#This Row],[Material Group]],Master!B:C,2,0)</f>
        <v>RM-Eletro-PCB</v>
      </c>
      <c r="T311" s="1" t="str">
        <f>VLOOKUP(Sales4[[#This Row],[Material Group Descrip]],Master!E:F,2,0)</f>
        <v>Raw Material</v>
      </c>
      <c r="U311" s="9" t="b">
        <f ca="1">(TODAY()-1)=Sales4[[#This Row],[Billing Date]]</f>
        <v>0</v>
      </c>
      <c r="V311" s="10" t="e">
        <f>Sales4[[#This Row],[Net Value]]-Sales4[[#This Row],[PGI COST]]</f>
        <v>#REF!</v>
      </c>
      <c r="W311" s="11" t="e">
        <f>Sales4[[#This Row],[Gross Margin]]/Sales4[[#This Row],[Net Value]]</f>
        <v>#REF!</v>
      </c>
      <c r="X311" s="1" t="str">
        <f>TEXT(Sales4[[#This Row],[Billing Date]],"mmmm-yy")</f>
        <v>September-25</v>
      </c>
      <c r="Y311" s="1">
        <f>Sales4[[#This Row],[Net Value]]/Sales4[[#This Row],[Billed Quantity]]</f>
        <v>4.0434000000000001</v>
      </c>
      <c r="Z311" s="117">
        <f>Sales4[[#This Row],[Actual delivery qty]]</f>
        <v>14700</v>
      </c>
      <c r="AA311" s="12" t="e">
        <f>SUM(Sales4[[#This Row],[BOM Cost]:[Other Conversion cost pu]])</f>
        <v>#REF!</v>
      </c>
      <c r="AB31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1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11" s="12">
        <f>IFERROR(VLOOKUP(Sales4[[#This Row],[Material]],'COGS Break up'!#REF!,5,0),0)</f>
        <v>0</v>
      </c>
      <c r="AE31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11" s="48" t="e">
        <f>Sales4[[#This Row],[PGI per unit]]-Sales4[[#This Row],[BOM Cost]]-Sales4[[#This Row],[Labour cost per unit]]-Sales4[[#This Row],[Other Conversion cost pu]]</f>
        <v>#REF!</v>
      </c>
      <c r="AG311" s="48" t="e">
        <f>Sales4[[#This Row],[BOM Cost2]]+Sales4[[#This Row],[Labour Cost]]+Sales4[[#This Row],[Other conversion cost]]</f>
        <v>#REF!</v>
      </c>
      <c r="AH311" s="12" t="e">
        <f>Sales4[[#This Row],[Billed Quantity]]*Sales4[[#This Row],[BOM Cost]]</f>
        <v>#REF!</v>
      </c>
      <c r="AI311" s="12" t="e">
        <f>Sales4[[#This Row],[Billed Quantity]]*Sales4[[#This Row],[Labour cost per unit]]</f>
        <v>#REF!</v>
      </c>
      <c r="AJ311" s="12">
        <f>Sales4[[#This Row],[Droppage per unit]]*Sales4[[#This Row],[Billed Quantity]]</f>
        <v>0</v>
      </c>
      <c r="AK311" s="12" t="e">
        <f>Sales4[[#This Row],[Billed Quantity]]*Sales4[[#This Row],[Other Conversion cost pu]]</f>
        <v>#REF!</v>
      </c>
      <c r="AL311" s="48" t="e">
        <f>Sales4[[#This Row],[PGI Amount]]-Sales4[[#This Row],[BOM Cost2]]-Sales4[[#This Row],[Labour Cost]]-Sales4[[#This Row],[Other conversion cost]]</f>
        <v>#REF!</v>
      </c>
      <c r="AM311" s="121" t="e">
        <f>1-Sales4[[#This Row],[PGI COST]]/Sales4[[#This Row],[Net Value]]</f>
        <v>#REF!</v>
      </c>
      <c r="AN311" s="1">
        <f>Sales4[[#This Row],[PGI Amount]]/Sales4[[#This Row],[Billed Quantity]]</f>
        <v>3.6207918367346936</v>
      </c>
      <c r="AO311" s="72" t="e">
        <f>SUMIFS('COGS Break up'!#REF!,'COGS Break up'!#REF!,Sales4[[#This Row],[Material]],'COGS Break up'!#REF!,'MIS Working'!$AO$1)</f>
        <v>#REF!</v>
      </c>
      <c r="AP311" s="72" t="e">
        <f>SUMIFS('COGS Break up'!#REF!,'COGS Break up'!#REF!,Sales4[[#This Row],[Material]],'COGS Break up'!#REF!,'MIS Working'!$AP$1)</f>
        <v>#REF!</v>
      </c>
      <c r="AQ311" s="72" t="e">
        <f>SUMIFS('COGS Break up'!#REF!,'COGS Break up'!#REF!,Sales4[[#This Row],[Material]],'COGS Break up'!#REF!,'MIS Working'!$AQ$1)</f>
        <v>#REF!</v>
      </c>
      <c r="AR311" s="72">
        <f>Sales4[[#This Row],[Droppage per unit]]</f>
        <v>0</v>
      </c>
      <c r="AS311" s="15" t="e">
        <f>AO311*Sales4[[#This Row],[Billed Quantity]]</f>
        <v>#REF!</v>
      </c>
      <c r="AT311" s="72" t="e">
        <f>AP311*Sales4[[#This Row],[Billed Quantity]]</f>
        <v>#REF!</v>
      </c>
      <c r="AU311" s="72" t="e">
        <f>AQ311*Sales4[[#This Row],[Billed Quantity]]</f>
        <v>#REF!</v>
      </c>
      <c r="AV311" s="72">
        <f>AR311*Sales4[[#This Row],[Billed Quantity]]</f>
        <v>0</v>
      </c>
    </row>
    <row r="312" spans="1:48" x14ac:dyDescent="0.3">
      <c r="A312" s="1" t="s">
        <v>1374</v>
      </c>
      <c r="B312" s="2">
        <v>45909</v>
      </c>
      <c r="C312" s="1">
        <v>3271268749</v>
      </c>
      <c r="D312" s="1" t="s">
        <v>1377</v>
      </c>
      <c r="E312" s="1" t="s">
        <v>1378</v>
      </c>
      <c r="F312" s="1" t="s">
        <v>18</v>
      </c>
      <c r="G312" s="1" t="s">
        <v>48</v>
      </c>
      <c r="H312" s="1" t="s">
        <v>207</v>
      </c>
      <c r="I312" s="3">
        <v>15000</v>
      </c>
      <c r="J312" s="4">
        <v>412902.02</v>
      </c>
      <c r="K312" s="3">
        <v>15000</v>
      </c>
      <c r="L312" s="3">
        <v>15000</v>
      </c>
      <c r="M312" s="2">
        <v>45909</v>
      </c>
      <c r="N312" s="4">
        <v>421920</v>
      </c>
      <c r="O312" s="1" t="s">
        <v>21</v>
      </c>
      <c r="P312" s="1" t="s">
        <v>22</v>
      </c>
      <c r="Q312" s="1">
        <v>1</v>
      </c>
      <c r="R312" s="1" t="str">
        <f>VLOOKUP(Sales4[[#This Row],[Material type]],Master!$H$3:$I$8,2,0)</f>
        <v>Raw Material</v>
      </c>
      <c r="S312" s="1" t="str">
        <f>VLOOKUP(Sales4[[#This Row],[Material Group]],Master!B:C,2,0)</f>
        <v>RM-Mech. Accessories</v>
      </c>
      <c r="T312" s="1" t="str">
        <f>VLOOKUP(Sales4[[#This Row],[Material Group Descrip]],Master!E:F,2,0)</f>
        <v>Raw Material</v>
      </c>
      <c r="U312" s="9" t="b">
        <f ca="1">(TODAY()-1)=Sales4[[#This Row],[Billing Date]]</f>
        <v>0</v>
      </c>
      <c r="V312" s="10" t="e">
        <f>Sales4[[#This Row],[Net Value]]-Sales4[[#This Row],[PGI COST]]</f>
        <v>#REF!</v>
      </c>
      <c r="W312" s="11" t="e">
        <f>Sales4[[#This Row],[Gross Margin]]/Sales4[[#This Row],[Net Value]]</f>
        <v>#REF!</v>
      </c>
      <c r="X312" s="1" t="str">
        <f>TEXT(Sales4[[#This Row],[Billing Date]],"mmmm-yy")</f>
        <v>September-25</v>
      </c>
      <c r="Y312" s="1">
        <f>Sales4[[#This Row],[Net Value]]/Sales4[[#This Row],[Billed Quantity]]</f>
        <v>28.128</v>
      </c>
      <c r="Z312" s="117">
        <f>Sales4[[#This Row],[Actual delivery qty]]</f>
        <v>15000</v>
      </c>
      <c r="AA312" s="12" t="e">
        <f>SUM(Sales4[[#This Row],[BOM Cost]:[Other Conversion cost pu]])</f>
        <v>#REF!</v>
      </c>
      <c r="AB31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1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12" s="12">
        <f>IFERROR(VLOOKUP(Sales4[[#This Row],[Material]],'COGS Break up'!#REF!,5,0),0)</f>
        <v>0</v>
      </c>
      <c r="AE31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12" s="48" t="e">
        <f>Sales4[[#This Row],[PGI per unit]]-Sales4[[#This Row],[BOM Cost]]-Sales4[[#This Row],[Labour cost per unit]]-Sales4[[#This Row],[Other Conversion cost pu]]</f>
        <v>#REF!</v>
      </c>
      <c r="AG312" s="48" t="e">
        <f>Sales4[[#This Row],[BOM Cost2]]+Sales4[[#This Row],[Labour Cost]]+Sales4[[#This Row],[Other conversion cost]]</f>
        <v>#REF!</v>
      </c>
      <c r="AH312" s="12" t="e">
        <f>Sales4[[#This Row],[Billed Quantity]]*Sales4[[#This Row],[BOM Cost]]</f>
        <v>#REF!</v>
      </c>
      <c r="AI312" s="12" t="e">
        <f>Sales4[[#This Row],[Billed Quantity]]*Sales4[[#This Row],[Labour cost per unit]]</f>
        <v>#REF!</v>
      </c>
      <c r="AJ312" s="12">
        <f>Sales4[[#This Row],[Droppage per unit]]*Sales4[[#This Row],[Billed Quantity]]</f>
        <v>0</v>
      </c>
      <c r="AK312" s="12" t="e">
        <f>Sales4[[#This Row],[Billed Quantity]]*Sales4[[#This Row],[Other Conversion cost pu]]</f>
        <v>#REF!</v>
      </c>
      <c r="AL312" s="48" t="e">
        <f>Sales4[[#This Row],[PGI Amount]]-Sales4[[#This Row],[BOM Cost2]]-Sales4[[#This Row],[Labour Cost]]-Sales4[[#This Row],[Other conversion cost]]</f>
        <v>#REF!</v>
      </c>
      <c r="AM312" s="121" t="e">
        <f>1-Sales4[[#This Row],[PGI COST]]/Sales4[[#This Row],[Net Value]]</f>
        <v>#REF!</v>
      </c>
      <c r="AN312" s="1">
        <f>Sales4[[#This Row],[PGI Amount]]/Sales4[[#This Row],[Billed Quantity]]</f>
        <v>27.526801333333335</v>
      </c>
      <c r="AO312" s="72" t="e">
        <f>SUMIFS('COGS Break up'!#REF!,'COGS Break up'!#REF!,Sales4[[#This Row],[Material]],'COGS Break up'!#REF!,'MIS Working'!$AO$1)</f>
        <v>#REF!</v>
      </c>
      <c r="AP312" s="72" t="e">
        <f>SUMIFS('COGS Break up'!#REF!,'COGS Break up'!#REF!,Sales4[[#This Row],[Material]],'COGS Break up'!#REF!,'MIS Working'!$AP$1)</f>
        <v>#REF!</v>
      </c>
      <c r="AQ312" s="72" t="e">
        <f>SUMIFS('COGS Break up'!#REF!,'COGS Break up'!#REF!,Sales4[[#This Row],[Material]],'COGS Break up'!#REF!,'MIS Working'!$AQ$1)</f>
        <v>#REF!</v>
      </c>
      <c r="AR312" s="72">
        <f>Sales4[[#This Row],[Droppage per unit]]</f>
        <v>0</v>
      </c>
      <c r="AS312" s="15" t="e">
        <f>AO312*Sales4[[#This Row],[Billed Quantity]]</f>
        <v>#REF!</v>
      </c>
      <c r="AT312" s="72" t="e">
        <f>AP312*Sales4[[#This Row],[Billed Quantity]]</f>
        <v>#REF!</v>
      </c>
      <c r="AU312" s="72" t="e">
        <f>AQ312*Sales4[[#This Row],[Billed Quantity]]</f>
        <v>#REF!</v>
      </c>
      <c r="AV312" s="72">
        <f>AR312*Sales4[[#This Row],[Billed Quantity]]</f>
        <v>0</v>
      </c>
    </row>
    <row r="313" spans="1:48" x14ac:dyDescent="0.3">
      <c r="A313" s="1" t="s">
        <v>1374</v>
      </c>
      <c r="B313" s="2">
        <v>45909</v>
      </c>
      <c r="C313" s="1">
        <v>3271268749</v>
      </c>
      <c r="D313" s="1" t="s">
        <v>437</v>
      </c>
      <c r="E313" s="1" t="s">
        <v>438</v>
      </c>
      <c r="F313" s="1" t="s">
        <v>18</v>
      </c>
      <c r="G313" s="1" t="s">
        <v>48</v>
      </c>
      <c r="H313" s="1" t="s">
        <v>207</v>
      </c>
      <c r="I313" s="3">
        <v>15000</v>
      </c>
      <c r="J313" s="4">
        <v>494080.01</v>
      </c>
      <c r="K313" s="3">
        <v>15000</v>
      </c>
      <c r="L313" s="3">
        <v>15000</v>
      </c>
      <c r="M313" s="2">
        <v>45909</v>
      </c>
      <c r="N313" s="4">
        <v>478615.5</v>
      </c>
      <c r="O313" s="1" t="s">
        <v>21</v>
      </c>
      <c r="P313" s="1" t="s">
        <v>22</v>
      </c>
      <c r="Q313" s="1">
        <v>1</v>
      </c>
      <c r="R313" s="1" t="str">
        <f>VLOOKUP(Sales4[[#This Row],[Material type]],Master!$H$3:$I$8,2,0)</f>
        <v>Raw Material</v>
      </c>
      <c r="S313" s="1" t="str">
        <f>VLOOKUP(Sales4[[#This Row],[Material Group]],Master!B:C,2,0)</f>
        <v>RM-Mech. Accessories</v>
      </c>
      <c r="T313" s="1" t="str">
        <f>VLOOKUP(Sales4[[#This Row],[Material Group Descrip]],Master!E:F,2,0)</f>
        <v>Raw Material</v>
      </c>
      <c r="U313" s="9" t="b">
        <f ca="1">(TODAY()-1)=Sales4[[#This Row],[Billing Date]]</f>
        <v>0</v>
      </c>
      <c r="V313" s="10" t="e">
        <f>Sales4[[#This Row],[Net Value]]-Sales4[[#This Row],[PGI COST]]</f>
        <v>#REF!</v>
      </c>
      <c r="W313" s="11" t="e">
        <f>Sales4[[#This Row],[Gross Margin]]/Sales4[[#This Row],[Net Value]]</f>
        <v>#REF!</v>
      </c>
      <c r="X313" s="1" t="str">
        <f>TEXT(Sales4[[#This Row],[Billing Date]],"mmmm-yy")</f>
        <v>September-25</v>
      </c>
      <c r="Y313" s="1">
        <f>Sales4[[#This Row],[Net Value]]/Sales4[[#This Row],[Billed Quantity]]</f>
        <v>31.907699999999998</v>
      </c>
      <c r="Z313" s="117">
        <f>Sales4[[#This Row],[Actual delivery qty]]</f>
        <v>15000</v>
      </c>
      <c r="AA313" s="12" t="e">
        <f>SUM(Sales4[[#This Row],[BOM Cost]:[Other Conversion cost pu]])</f>
        <v>#REF!</v>
      </c>
      <c r="AB31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1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13" s="12">
        <f>IFERROR(VLOOKUP(Sales4[[#This Row],[Material]],'COGS Break up'!#REF!,5,0),0)</f>
        <v>0</v>
      </c>
      <c r="AE31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13" s="48" t="e">
        <f>Sales4[[#This Row],[PGI per unit]]-Sales4[[#This Row],[BOM Cost]]-Sales4[[#This Row],[Labour cost per unit]]-Sales4[[#This Row],[Other Conversion cost pu]]</f>
        <v>#REF!</v>
      </c>
      <c r="AG313" s="48" t="e">
        <f>Sales4[[#This Row],[BOM Cost2]]+Sales4[[#This Row],[Labour Cost]]+Sales4[[#This Row],[Other conversion cost]]</f>
        <v>#REF!</v>
      </c>
      <c r="AH313" s="12" t="e">
        <f>Sales4[[#This Row],[Billed Quantity]]*Sales4[[#This Row],[BOM Cost]]</f>
        <v>#REF!</v>
      </c>
      <c r="AI313" s="12" t="e">
        <f>Sales4[[#This Row],[Billed Quantity]]*Sales4[[#This Row],[Labour cost per unit]]</f>
        <v>#REF!</v>
      </c>
      <c r="AJ313" s="12">
        <f>Sales4[[#This Row],[Droppage per unit]]*Sales4[[#This Row],[Billed Quantity]]</f>
        <v>0</v>
      </c>
      <c r="AK313" s="12" t="e">
        <f>Sales4[[#This Row],[Billed Quantity]]*Sales4[[#This Row],[Other Conversion cost pu]]</f>
        <v>#REF!</v>
      </c>
      <c r="AL313" s="48" t="e">
        <f>Sales4[[#This Row],[PGI Amount]]-Sales4[[#This Row],[BOM Cost2]]-Sales4[[#This Row],[Labour Cost]]-Sales4[[#This Row],[Other conversion cost]]</f>
        <v>#REF!</v>
      </c>
      <c r="AM313" s="121" t="e">
        <f>1-Sales4[[#This Row],[PGI COST]]/Sales4[[#This Row],[Net Value]]</f>
        <v>#REF!</v>
      </c>
      <c r="AN313" s="1">
        <f>Sales4[[#This Row],[PGI Amount]]/Sales4[[#This Row],[Billed Quantity]]</f>
        <v>32.938667333333335</v>
      </c>
      <c r="AO313" s="72" t="e">
        <f>SUMIFS('COGS Break up'!#REF!,'COGS Break up'!#REF!,Sales4[[#This Row],[Material]],'COGS Break up'!#REF!,'MIS Working'!$AO$1)</f>
        <v>#REF!</v>
      </c>
      <c r="AP313" s="72" t="e">
        <f>SUMIFS('COGS Break up'!#REF!,'COGS Break up'!#REF!,Sales4[[#This Row],[Material]],'COGS Break up'!#REF!,'MIS Working'!$AP$1)</f>
        <v>#REF!</v>
      </c>
      <c r="AQ313" s="72" t="e">
        <f>SUMIFS('COGS Break up'!#REF!,'COGS Break up'!#REF!,Sales4[[#This Row],[Material]],'COGS Break up'!#REF!,'MIS Working'!$AQ$1)</f>
        <v>#REF!</v>
      </c>
      <c r="AR313" s="72">
        <f>Sales4[[#This Row],[Droppage per unit]]</f>
        <v>0</v>
      </c>
      <c r="AS313" s="15" t="e">
        <f>AO313*Sales4[[#This Row],[Billed Quantity]]</f>
        <v>#REF!</v>
      </c>
      <c r="AT313" s="72" t="e">
        <f>AP313*Sales4[[#This Row],[Billed Quantity]]</f>
        <v>#REF!</v>
      </c>
      <c r="AU313" s="72" t="e">
        <f>AQ313*Sales4[[#This Row],[Billed Quantity]]</f>
        <v>#REF!</v>
      </c>
      <c r="AV313" s="72">
        <f>AR313*Sales4[[#This Row],[Billed Quantity]]</f>
        <v>0</v>
      </c>
    </row>
    <row r="314" spans="1:48" x14ac:dyDescent="0.3">
      <c r="A314" s="1" t="s">
        <v>1295</v>
      </c>
      <c r="B314" s="2">
        <v>45908</v>
      </c>
      <c r="C314" s="1">
        <v>3271267966</v>
      </c>
      <c r="D314" s="1" t="s">
        <v>694</v>
      </c>
      <c r="E314" s="1" t="s">
        <v>695</v>
      </c>
      <c r="F314" s="1" t="s">
        <v>18</v>
      </c>
      <c r="G314" s="1" t="s">
        <v>19</v>
      </c>
      <c r="H314" s="1" t="s">
        <v>20</v>
      </c>
      <c r="I314" s="3">
        <v>1100</v>
      </c>
      <c r="J314" s="4">
        <v>521906</v>
      </c>
      <c r="K314" s="3">
        <v>1100</v>
      </c>
      <c r="L314" s="3">
        <v>1100</v>
      </c>
      <c r="M314" s="2">
        <v>45908</v>
      </c>
      <c r="N314" s="4">
        <v>725230</v>
      </c>
      <c r="O314" s="1" t="s">
        <v>21</v>
      </c>
      <c r="P314" s="1" t="s">
        <v>22</v>
      </c>
      <c r="Q314" s="1">
        <v>1</v>
      </c>
      <c r="R314" s="1" t="str">
        <f>VLOOKUP(Sales4[[#This Row],[Material type]],Master!$H$3:$I$8,2,0)</f>
        <v>Finished Goods</v>
      </c>
      <c r="S314" s="1" t="str">
        <f>VLOOKUP(Sales4[[#This Row],[Material Group]],Master!B:C,2,0)</f>
        <v>FG-PCB-Ref</v>
      </c>
      <c r="T314" s="1" t="str">
        <f>VLOOKUP(Sales4[[#This Row],[Material Group Descrip]],Master!E:F,2,0)</f>
        <v>FG-PCB-Ref</v>
      </c>
      <c r="U314" s="9" t="b">
        <f ca="1">(TODAY()-1)=Sales4[[#This Row],[Billing Date]]</f>
        <v>0</v>
      </c>
      <c r="V314" s="10" t="e">
        <f>Sales4[[#This Row],[Net Value]]-Sales4[[#This Row],[PGI COST]]</f>
        <v>#REF!</v>
      </c>
      <c r="W314" s="11" t="e">
        <f>Sales4[[#This Row],[Gross Margin]]/Sales4[[#This Row],[Net Value]]</f>
        <v>#REF!</v>
      </c>
      <c r="X314" s="1" t="str">
        <f>TEXT(Sales4[[#This Row],[Billing Date]],"mmmm-yy")</f>
        <v>September-25</v>
      </c>
      <c r="Y314" s="1">
        <f>Sales4[[#This Row],[Net Value]]/Sales4[[#This Row],[Billed Quantity]]</f>
        <v>659.3</v>
      </c>
      <c r="Z314" s="117">
        <f>Sales4[[#This Row],[Actual delivery qty]]</f>
        <v>1100</v>
      </c>
      <c r="AA314" s="12" t="e">
        <f>SUM(Sales4[[#This Row],[BOM Cost]:[Other Conversion cost pu]])</f>
        <v>#REF!</v>
      </c>
      <c r="AB31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1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14" s="12">
        <f>IFERROR(VLOOKUP(Sales4[[#This Row],[Material]],'COGS Break up'!#REF!,5,0),0)</f>
        <v>0</v>
      </c>
      <c r="AE31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14" s="48" t="e">
        <f>Sales4[[#This Row],[PGI per unit]]-Sales4[[#This Row],[BOM Cost]]-Sales4[[#This Row],[Labour cost per unit]]-Sales4[[#This Row],[Other Conversion cost pu]]</f>
        <v>#REF!</v>
      </c>
      <c r="AG314" s="48" t="e">
        <f>Sales4[[#This Row],[BOM Cost2]]+Sales4[[#This Row],[Labour Cost]]+Sales4[[#This Row],[Other conversion cost]]</f>
        <v>#REF!</v>
      </c>
      <c r="AH314" s="12" t="e">
        <f>Sales4[[#This Row],[Billed Quantity]]*Sales4[[#This Row],[BOM Cost]]</f>
        <v>#REF!</v>
      </c>
      <c r="AI314" s="12" t="e">
        <f>Sales4[[#This Row],[Billed Quantity]]*Sales4[[#This Row],[Labour cost per unit]]</f>
        <v>#REF!</v>
      </c>
      <c r="AJ314" s="12">
        <f>Sales4[[#This Row],[Droppage per unit]]*Sales4[[#This Row],[Billed Quantity]]</f>
        <v>0</v>
      </c>
      <c r="AK314" s="12" t="e">
        <f>Sales4[[#This Row],[Billed Quantity]]*Sales4[[#This Row],[Other Conversion cost pu]]</f>
        <v>#REF!</v>
      </c>
      <c r="AL314" s="48" t="e">
        <f>Sales4[[#This Row],[PGI Amount]]-Sales4[[#This Row],[BOM Cost2]]-Sales4[[#This Row],[Labour Cost]]-Sales4[[#This Row],[Other conversion cost]]</f>
        <v>#REF!</v>
      </c>
      <c r="AM314" s="121" t="e">
        <f>1-Sales4[[#This Row],[PGI COST]]/Sales4[[#This Row],[Net Value]]</f>
        <v>#REF!</v>
      </c>
      <c r="AN314" s="1">
        <f>Sales4[[#This Row],[PGI Amount]]/Sales4[[#This Row],[Billed Quantity]]</f>
        <v>474.46</v>
      </c>
      <c r="AO314" s="72" t="e">
        <f>SUMIFS('COGS Break up'!#REF!,'COGS Break up'!#REF!,Sales4[[#This Row],[Material]],'COGS Break up'!#REF!,'MIS Working'!$AO$1)</f>
        <v>#REF!</v>
      </c>
      <c r="AP314" s="72" t="e">
        <f>SUMIFS('COGS Break up'!#REF!,'COGS Break up'!#REF!,Sales4[[#This Row],[Material]],'COGS Break up'!#REF!,'MIS Working'!$AP$1)</f>
        <v>#REF!</v>
      </c>
      <c r="AQ314" s="72" t="e">
        <f>SUMIFS('COGS Break up'!#REF!,'COGS Break up'!#REF!,Sales4[[#This Row],[Material]],'COGS Break up'!#REF!,'MIS Working'!$AQ$1)</f>
        <v>#REF!</v>
      </c>
      <c r="AR314" s="72">
        <f>Sales4[[#This Row],[Droppage per unit]]</f>
        <v>0</v>
      </c>
      <c r="AS314" s="15" t="e">
        <f>AO314*Sales4[[#This Row],[Billed Quantity]]</f>
        <v>#REF!</v>
      </c>
      <c r="AT314" s="72" t="e">
        <f>AP314*Sales4[[#This Row],[Billed Quantity]]</f>
        <v>#REF!</v>
      </c>
      <c r="AU314" s="72" t="e">
        <f>AQ314*Sales4[[#This Row],[Billed Quantity]]</f>
        <v>#REF!</v>
      </c>
      <c r="AV314" s="72">
        <f>AR314*Sales4[[#This Row],[Billed Quantity]]</f>
        <v>0</v>
      </c>
    </row>
    <row r="315" spans="1:48" x14ac:dyDescent="0.3">
      <c r="A315" s="1" t="s">
        <v>1212</v>
      </c>
      <c r="B315" s="2">
        <v>45908</v>
      </c>
      <c r="C315" s="1">
        <v>3271267987</v>
      </c>
      <c r="D315" s="1" t="s">
        <v>1296</v>
      </c>
      <c r="E315" s="1" t="s">
        <v>1297</v>
      </c>
      <c r="F315" s="1" t="s">
        <v>18</v>
      </c>
      <c r="G315" s="1" t="s">
        <v>48</v>
      </c>
      <c r="H315" s="1" t="s">
        <v>198</v>
      </c>
      <c r="I315" s="3">
        <v>6000</v>
      </c>
      <c r="J315" s="4">
        <v>2100</v>
      </c>
      <c r="K315" s="3">
        <v>6000</v>
      </c>
      <c r="L315" s="3">
        <v>6000</v>
      </c>
      <c r="M315" s="2">
        <v>45908</v>
      </c>
      <c r="N315" s="4">
        <v>2460</v>
      </c>
      <c r="O315" s="1" t="s">
        <v>21</v>
      </c>
      <c r="P315" s="1" t="s">
        <v>22</v>
      </c>
      <c r="Q315" s="1">
        <v>6</v>
      </c>
      <c r="R315" s="1" t="str">
        <f>VLOOKUP(Sales4[[#This Row],[Material type]],Master!$H$3:$I$8,2,0)</f>
        <v>Raw Material</v>
      </c>
      <c r="S315" s="1" t="str">
        <f>VLOOKUP(Sales4[[#This Row],[Material Group]],Master!B:C,2,0)</f>
        <v>RM-Eletro-Capacitor</v>
      </c>
      <c r="T315" s="1" t="str">
        <f>VLOOKUP(Sales4[[#This Row],[Material Group Descrip]],Master!E:F,2,0)</f>
        <v>Raw Material</v>
      </c>
      <c r="U315" s="9" t="b">
        <f ca="1">(TODAY()-1)=Sales4[[#This Row],[Billing Date]]</f>
        <v>0</v>
      </c>
      <c r="V315" s="10" t="e">
        <f>Sales4[[#This Row],[Net Value]]-Sales4[[#This Row],[PGI COST]]</f>
        <v>#REF!</v>
      </c>
      <c r="W315" s="11" t="e">
        <f>Sales4[[#This Row],[Gross Margin]]/Sales4[[#This Row],[Net Value]]</f>
        <v>#REF!</v>
      </c>
      <c r="X315" s="1" t="str">
        <f>TEXT(Sales4[[#This Row],[Billing Date]],"mmmm-yy")</f>
        <v>September-25</v>
      </c>
      <c r="Y315" s="1">
        <f>Sales4[[#This Row],[Net Value]]/Sales4[[#This Row],[Billed Quantity]]</f>
        <v>0.41</v>
      </c>
      <c r="Z315" s="117">
        <f>Sales4[[#This Row],[Actual delivery qty]]</f>
        <v>6000</v>
      </c>
      <c r="AA315" s="12" t="e">
        <f>SUM(Sales4[[#This Row],[BOM Cost]:[Other Conversion cost pu]])</f>
        <v>#REF!</v>
      </c>
      <c r="AB31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1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15" s="12">
        <f>IFERROR(VLOOKUP(Sales4[[#This Row],[Material]],'COGS Break up'!#REF!,5,0),0)</f>
        <v>0</v>
      </c>
      <c r="AE31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15" s="48" t="e">
        <f>Sales4[[#This Row],[PGI per unit]]-Sales4[[#This Row],[BOM Cost]]-Sales4[[#This Row],[Labour cost per unit]]-Sales4[[#This Row],[Other Conversion cost pu]]</f>
        <v>#REF!</v>
      </c>
      <c r="AG315" s="48" t="e">
        <f>Sales4[[#This Row],[BOM Cost2]]+Sales4[[#This Row],[Labour Cost]]+Sales4[[#This Row],[Other conversion cost]]</f>
        <v>#REF!</v>
      </c>
      <c r="AH315" s="12" t="e">
        <f>Sales4[[#This Row],[Billed Quantity]]*Sales4[[#This Row],[BOM Cost]]</f>
        <v>#REF!</v>
      </c>
      <c r="AI315" s="12" t="e">
        <f>Sales4[[#This Row],[Billed Quantity]]*Sales4[[#This Row],[Labour cost per unit]]</f>
        <v>#REF!</v>
      </c>
      <c r="AJ315" s="12">
        <f>Sales4[[#This Row],[Droppage per unit]]*Sales4[[#This Row],[Billed Quantity]]</f>
        <v>0</v>
      </c>
      <c r="AK315" s="12" t="e">
        <f>Sales4[[#This Row],[Billed Quantity]]*Sales4[[#This Row],[Other Conversion cost pu]]</f>
        <v>#REF!</v>
      </c>
      <c r="AL315" s="48" t="e">
        <f>Sales4[[#This Row],[PGI Amount]]-Sales4[[#This Row],[BOM Cost2]]-Sales4[[#This Row],[Labour Cost]]-Sales4[[#This Row],[Other conversion cost]]</f>
        <v>#REF!</v>
      </c>
      <c r="AM315" s="121" t="e">
        <f>1-Sales4[[#This Row],[PGI COST]]/Sales4[[#This Row],[Net Value]]</f>
        <v>#REF!</v>
      </c>
      <c r="AN315" s="1">
        <f>Sales4[[#This Row],[PGI Amount]]/Sales4[[#This Row],[Billed Quantity]]</f>
        <v>0.35</v>
      </c>
      <c r="AO315" s="72" t="e">
        <f>SUMIFS('COGS Break up'!#REF!,'COGS Break up'!#REF!,Sales4[[#This Row],[Material]],'COGS Break up'!#REF!,'MIS Working'!$AO$1)</f>
        <v>#REF!</v>
      </c>
      <c r="AP315" s="72" t="e">
        <f>SUMIFS('COGS Break up'!#REF!,'COGS Break up'!#REF!,Sales4[[#This Row],[Material]],'COGS Break up'!#REF!,'MIS Working'!$AP$1)</f>
        <v>#REF!</v>
      </c>
      <c r="AQ315" s="72" t="e">
        <f>SUMIFS('COGS Break up'!#REF!,'COGS Break up'!#REF!,Sales4[[#This Row],[Material]],'COGS Break up'!#REF!,'MIS Working'!$AQ$1)</f>
        <v>#REF!</v>
      </c>
      <c r="AR315" s="72">
        <f>Sales4[[#This Row],[Droppage per unit]]</f>
        <v>0</v>
      </c>
      <c r="AS315" s="15" t="e">
        <f>AO315*Sales4[[#This Row],[Billed Quantity]]</f>
        <v>#REF!</v>
      </c>
      <c r="AT315" s="72" t="e">
        <f>AP315*Sales4[[#This Row],[Billed Quantity]]</f>
        <v>#REF!</v>
      </c>
      <c r="AU315" s="72" t="e">
        <f>AQ315*Sales4[[#This Row],[Billed Quantity]]</f>
        <v>#REF!</v>
      </c>
      <c r="AV315" s="72">
        <f>AR315*Sales4[[#This Row],[Billed Quantity]]</f>
        <v>0</v>
      </c>
    </row>
    <row r="316" spans="1:48" x14ac:dyDescent="0.3">
      <c r="A316" s="1" t="s">
        <v>1212</v>
      </c>
      <c r="B316" s="2">
        <v>45908</v>
      </c>
      <c r="C316" s="1">
        <v>3271267987</v>
      </c>
      <c r="D316" s="1" t="s">
        <v>1298</v>
      </c>
      <c r="E316" s="1" t="s">
        <v>1299</v>
      </c>
      <c r="F316" s="1" t="s">
        <v>18</v>
      </c>
      <c r="G316" s="1" t="s">
        <v>48</v>
      </c>
      <c r="H316" s="1" t="s">
        <v>207</v>
      </c>
      <c r="I316" s="3">
        <v>6500</v>
      </c>
      <c r="J316" s="4">
        <v>39325</v>
      </c>
      <c r="K316" s="3">
        <v>6500</v>
      </c>
      <c r="L316" s="3">
        <v>6500</v>
      </c>
      <c r="M316" s="2">
        <v>45908</v>
      </c>
      <c r="N316" s="4">
        <v>40105</v>
      </c>
      <c r="O316" s="1" t="s">
        <v>21</v>
      </c>
      <c r="P316" s="1" t="s">
        <v>22</v>
      </c>
      <c r="Q316" s="1">
        <v>6</v>
      </c>
      <c r="R316" s="1" t="str">
        <f>VLOOKUP(Sales4[[#This Row],[Material type]],Master!$H$3:$I$8,2,0)</f>
        <v>Raw Material</v>
      </c>
      <c r="S316" s="1" t="str">
        <f>VLOOKUP(Sales4[[#This Row],[Material Group]],Master!B:C,2,0)</f>
        <v>RM-Mech. Accessories</v>
      </c>
      <c r="T316" s="1" t="str">
        <f>VLOOKUP(Sales4[[#This Row],[Material Group Descrip]],Master!E:F,2,0)</f>
        <v>Raw Material</v>
      </c>
      <c r="U316" s="9" t="b">
        <f ca="1">(TODAY()-1)=Sales4[[#This Row],[Billing Date]]</f>
        <v>0</v>
      </c>
      <c r="V316" s="10" t="e">
        <f>Sales4[[#This Row],[Net Value]]-Sales4[[#This Row],[PGI COST]]</f>
        <v>#REF!</v>
      </c>
      <c r="W316" s="11" t="e">
        <f>Sales4[[#This Row],[Gross Margin]]/Sales4[[#This Row],[Net Value]]</f>
        <v>#REF!</v>
      </c>
      <c r="X316" s="1" t="str">
        <f>TEXT(Sales4[[#This Row],[Billing Date]],"mmmm-yy")</f>
        <v>September-25</v>
      </c>
      <c r="Y316" s="1">
        <f>Sales4[[#This Row],[Net Value]]/Sales4[[#This Row],[Billed Quantity]]</f>
        <v>6.17</v>
      </c>
      <c r="Z316" s="117">
        <f>Sales4[[#This Row],[Actual delivery qty]]</f>
        <v>6500</v>
      </c>
      <c r="AA316" s="12" t="e">
        <f>SUM(Sales4[[#This Row],[BOM Cost]:[Other Conversion cost pu]])</f>
        <v>#REF!</v>
      </c>
      <c r="AB31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1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16" s="12">
        <f>IFERROR(VLOOKUP(Sales4[[#This Row],[Material]],'COGS Break up'!#REF!,5,0),0)</f>
        <v>0</v>
      </c>
      <c r="AE31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16" s="48" t="e">
        <f>Sales4[[#This Row],[PGI per unit]]-Sales4[[#This Row],[BOM Cost]]-Sales4[[#This Row],[Labour cost per unit]]-Sales4[[#This Row],[Other Conversion cost pu]]</f>
        <v>#REF!</v>
      </c>
      <c r="AG316" s="48" t="e">
        <f>Sales4[[#This Row],[BOM Cost2]]+Sales4[[#This Row],[Labour Cost]]+Sales4[[#This Row],[Other conversion cost]]</f>
        <v>#REF!</v>
      </c>
      <c r="AH316" s="12" t="e">
        <f>Sales4[[#This Row],[Billed Quantity]]*Sales4[[#This Row],[BOM Cost]]</f>
        <v>#REF!</v>
      </c>
      <c r="AI316" s="12" t="e">
        <f>Sales4[[#This Row],[Billed Quantity]]*Sales4[[#This Row],[Labour cost per unit]]</f>
        <v>#REF!</v>
      </c>
      <c r="AJ316" s="12">
        <f>Sales4[[#This Row],[Droppage per unit]]*Sales4[[#This Row],[Billed Quantity]]</f>
        <v>0</v>
      </c>
      <c r="AK316" s="12" t="e">
        <f>Sales4[[#This Row],[Billed Quantity]]*Sales4[[#This Row],[Other Conversion cost pu]]</f>
        <v>#REF!</v>
      </c>
      <c r="AL316" s="48" t="e">
        <f>Sales4[[#This Row],[PGI Amount]]-Sales4[[#This Row],[BOM Cost2]]-Sales4[[#This Row],[Labour Cost]]-Sales4[[#This Row],[Other conversion cost]]</f>
        <v>#REF!</v>
      </c>
      <c r="AM316" s="121" t="e">
        <f>1-Sales4[[#This Row],[PGI COST]]/Sales4[[#This Row],[Net Value]]</f>
        <v>#REF!</v>
      </c>
      <c r="AN316" s="1">
        <f>Sales4[[#This Row],[PGI Amount]]/Sales4[[#This Row],[Billed Quantity]]</f>
        <v>6.05</v>
      </c>
      <c r="AO316" s="72" t="e">
        <f>SUMIFS('COGS Break up'!#REF!,'COGS Break up'!#REF!,Sales4[[#This Row],[Material]],'COGS Break up'!#REF!,'MIS Working'!$AO$1)</f>
        <v>#REF!</v>
      </c>
      <c r="AP316" s="72" t="e">
        <f>SUMIFS('COGS Break up'!#REF!,'COGS Break up'!#REF!,Sales4[[#This Row],[Material]],'COGS Break up'!#REF!,'MIS Working'!$AP$1)</f>
        <v>#REF!</v>
      </c>
      <c r="AQ316" s="72" t="e">
        <f>SUMIFS('COGS Break up'!#REF!,'COGS Break up'!#REF!,Sales4[[#This Row],[Material]],'COGS Break up'!#REF!,'MIS Working'!$AQ$1)</f>
        <v>#REF!</v>
      </c>
      <c r="AR316" s="72">
        <f>Sales4[[#This Row],[Droppage per unit]]</f>
        <v>0</v>
      </c>
      <c r="AS316" s="15" t="e">
        <f>AO316*Sales4[[#This Row],[Billed Quantity]]</f>
        <v>#REF!</v>
      </c>
      <c r="AT316" s="72" t="e">
        <f>AP316*Sales4[[#This Row],[Billed Quantity]]</f>
        <v>#REF!</v>
      </c>
      <c r="AU316" s="72" t="e">
        <f>AQ316*Sales4[[#This Row],[Billed Quantity]]</f>
        <v>#REF!</v>
      </c>
      <c r="AV316" s="72">
        <f>AR316*Sales4[[#This Row],[Billed Quantity]]</f>
        <v>0</v>
      </c>
    </row>
    <row r="317" spans="1:48" x14ac:dyDescent="0.3">
      <c r="A317" s="1" t="s">
        <v>1212</v>
      </c>
      <c r="B317" s="2">
        <v>45908</v>
      </c>
      <c r="C317" s="1">
        <v>3271267987</v>
      </c>
      <c r="D317" s="1" t="s">
        <v>1300</v>
      </c>
      <c r="E317" s="1" t="s">
        <v>1301</v>
      </c>
      <c r="F317" s="1" t="s">
        <v>18</v>
      </c>
      <c r="G317" s="1" t="s">
        <v>48</v>
      </c>
      <c r="H317" s="1" t="s">
        <v>207</v>
      </c>
      <c r="I317" s="3">
        <v>6000</v>
      </c>
      <c r="J317" s="4">
        <v>178500</v>
      </c>
      <c r="K317" s="3">
        <v>6000</v>
      </c>
      <c r="L317" s="3">
        <v>6000</v>
      </c>
      <c r="M317" s="2">
        <v>45908</v>
      </c>
      <c r="N317" s="4">
        <v>182100</v>
      </c>
      <c r="O317" s="1" t="s">
        <v>21</v>
      </c>
      <c r="P317" s="1" t="s">
        <v>22</v>
      </c>
      <c r="Q317" s="1">
        <v>6</v>
      </c>
      <c r="R317" s="1" t="str">
        <f>VLOOKUP(Sales4[[#This Row],[Material type]],Master!$H$3:$I$8,2,0)</f>
        <v>Raw Material</v>
      </c>
      <c r="S317" s="1" t="str">
        <f>VLOOKUP(Sales4[[#This Row],[Material Group]],Master!B:C,2,0)</f>
        <v>RM-Mech. Accessories</v>
      </c>
      <c r="T317" s="1" t="str">
        <f>VLOOKUP(Sales4[[#This Row],[Material Group Descrip]],Master!E:F,2,0)</f>
        <v>Raw Material</v>
      </c>
      <c r="U317" s="9" t="b">
        <f ca="1">(TODAY()-1)=Sales4[[#This Row],[Billing Date]]</f>
        <v>0</v>
      </c>
      <c r="V317" s="10" t="e">
        <f>Sales4[[#This Row],[Net Value]]-Sales4[[#This Row],[PGI COST]]</f>
        <v>#REF!</v>
      </c>
      <c r="W317" s="11" t="e">
        <f>Sales4[[#This Row],[Gross Margin]]/Sales4[[#This Row],[Net Value]]</f>
        <v>#REF!</v>
      </c>
      <c r="X317" s="1" t="str">
        <f>TEXT(Sales4[[#This Row],[Billing Date]],"mmmm-yy")</f>
        <v>September-25</v>
      </c>
      <c r="Y317" s="1">
        <f>Sales4[[#This Row],[Net Value]]/Sales4[[#This Row],[Billed Quantity]]</f>
        <v>30.35</v>
      </c>
      <c r="Z317" s="117">
        <f>Sales4[[#This Row],[Actual delivery qty]]</f>
        <v>6000</v>
      </c>
      <c r="AA317" s="12" t="e">
        <f>SUM(Sales4[[#This Row],[BOM Cost]:[Other Conversion cost pu]])</f>
        <v>#REF!</v>
      </c>
      <c r="AB31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1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17" s="12">
        <f>IFERROR(VLOOKUP(Sales4[[#This Row],[Material]],'COGS Break up'!#REF!,5,0),0)</f>
        <v>0</v>
      </c>
      <c r="AE31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17" s="48" t="e">
        <f>Sales4[[#This Row],[PGI per unit]]-Sales4[[#This Row],[BOM Cost]]-Sales4[[#This Row],[Labour cost per unit]]-Sales4[[#This Row],[Other Conversion cost pu]]</f>
        <v>#REF!</v>
      </c>
      <c r="AG317" s="48" t="e">
        <f>Sales4[[#This Row],[BOM Cost2]]+Sales4[[#This Row],[Labour Cost]]+Sales4[[#This Row],[Other conversion cost]]</f>
        <v>#REF!</v>
      </c>
      <c r="AH317" s="12" t="e">
        <f>Sales4[[#This Row],[Billed Quantity]]*Sales4[[#This Row],[BOM Cost]]</f>
        <v>#REF!</v>
      </c>
      <c r="AI317" s="12" t="e">
        <f>Sales4[[#This Row],[Billed Quantity]]*Sales4[[#This Row],[Labour cost per unit]]</f>
        <v>#REF!</v>
      </c>
      <c r="AJ317" s="12">
        <f>Sales4[[#This Row],[Droppage per unit]]*Sales4[[#This Row],[Billed Quantity]]</f>
        <v>0</v>
      </c>
      <c r="AK317" s="12" t="e">
        <f>Sales4[[#This Row],[Billed Quantity]]*Sales4[[#This Row],[Other Conversion cost pu]]</f>
        <v>#REF!</v>
      </c>
      <c r="AL317" s="48" t="e">
        <f>Sales4[[#This Row],[PGI Amount]]-Sales4[[#This Row],[BOM Cost2]]-Sales4[[#This Row],[Labour Cost]]-Sales4[[#This Row],[Other conversion cost]]</f>
        <v>#REF!</v>
      </c>
      <c r="AM317" s="121" t="e">
        <f>1-Sales4[[#This Row],[PGI COST]]/Sales4[[#This Row],[Net Value]]</f>
        <v>#REF!</v>
      </c>
      <c r="AN317" s="1">
        <f>Sales4[[#This Row],[PGI Amount]]/Sales4[[#This Row],[Billed Quantity]]</f>
        <v>29.75</v>
      </c>
      <c r="AO317" s="72" t="e">
        <f>SUMIFS('COGS Break up'!#REF!,'COGS Break up'!#REF!,Sales4[[#This Row],[Material]],'COGS Break up'!#REF!,'MIS Working'!$AO$1)</f>
        <v>#REF!</v>
      </c>
      <c r="AP317" s="72" t="e">
        <f>SUMIFS('COGS Break up'!#REF!,'COGS Break up'!#REF!,Sales4[[#This Row],[Material]],'COGS Break up'!#REF!,'MIS Working'!$AP$1)</f>
        <v>#REF!</v>
      </c>
      <c r="AQ317" s="72" t="e">
        <f>SUMIFS('COGS Break up'!#REF!,'COGS Break up'!#REF!,Sales4[[#This Row],[Material]],'COGS Break up'!#REF!,'MIS Working'!$AQ$1)</f>
        <v>#REF!</v>
      </c>
      <c r="AR317" s="72">
        <f>Sales4[[#This Row],[Droppage per unit]]</f>
        <v>0</v>
      </c>
      <c r="AS317" s="15" t="e">
        <f>AO317*Sales4[[#This Row],[Billed Quantity]]</f>
        <v>#REF!</v>
      </c>
      <c r="AT317" s="72" t="e">
        <f>AP317*Sales4[[#This Row],[Billed Quantity]]</f>
        <v>#REF!</v>
      </c>
      <c r="AU317" s="72" t="e">
        <f>AQ317*Sales4[[#This Row],[Billed Quantity]]</f>
        <v>#REF!</v>
      </c>
      <c r="AV317" s="72">
        <f>AR317*Sales4[[#This Row],[Billed Quantity]]</f>
        <v>0</v>
      </c>
    </row>
    <row r="318" spans="1:48" x14ac:dyDescent="0.3">
      <c r="A318" s="1" t="s">
        <v>1212</v>
      </c>
      <c r="B318" s="2">
        <v>45908</v>
      </c>
      <c r="C318" s="1">
        <v>3271267987</v>
      </c>
      <c r="D318" s="1" t="s">
        <v>1302</v>
      </c>
      <c r="E318" s="1" t="s">
        <v>1303</v>
      </c>
      <c r="F318" s="1" t="s">
        <v>18</v>
      </c>
      <c r="G318" s="1" t="s">
        <v>48</v>
      </c>
      <c r="H318" s="1" t="s">
        <v>204</v>
      </c>
      <c r="I318" s="3">
        <v>6000</v>
      </c>
      <c r="J318" s="4">
        <v>6600</v>
      </c>
      <c r="K318" s="3">
        <v>6000</v>
      </c>
      <c r="L318" s="3">
        <v>6000</v>
      </c>
      <c r="M318" s="2">
        <v>45908</v>
      </c>
      <c r="N318" s="4">
        <v>6720</v>
      </c>
      <c r="O318" s="1" t="s">
        <v>21</v>
      </c>
      <c r="P318" s="1" t="s">
        <v>22</v>
      </c>
      <c r="Q318" s="1">
        <v>6</v>
      </c>
      <c r="R318" s="1" t="str">
        <f>VLOOKUP(Sales4[[#This Row],[Material type]],Master!$H$3:$I$8,2,0)</f>
        <v>Raw Material</v>
      </c>
      <c r="S318" s="1" t="str">
        <f>VLOOKUP(Sales4[[#This Row],[Material Group]],Master!B:C,2,0)</f>
        <v>RM-Eletro-Resistor</v>
      </c>
      <c r="T318" s="1" t="str">
        <f>VLOOKUP(Sales4[[#This Row],[Material Group Descrip]],Master!E:F,2,0)</f>
        <v>Raw Material</v>
      </c>
      <c r="U318" s="9" t="b">
        <f ca="1">(TODAY()-1)=Sales4[[#This Row],[Billing Date]]</f>
        <v>0</v>
      </c>
      <c r="V318" s="10" t="e">
        <f>Sales4[[#This Row],[Net Value]]-Sales4[[#This Row],[PGI COST]]</f>
        <v>#REF!</v>
      </c>
      <c r="W318" s="11" t="e">
        <f>Sales4[[#This Row],[Gross Margin]]/Sales4[[#This Row],[Net Value]]</f>
        <v>#REF!</v>
      </c>
      <c r="X318" s="1" t="str">
        <f>TEXT(Sales4[[#This Row],[Billing Date]],"mmmm-yy")</f>
        <v>September-25</v>
      </c>
      <c r="Y318" s="1">
        <f>Sales4[[#This Row],[Net Value]]/Sales4[[#This Row],[Billed Quantity]]</f>
        <v>1.1200000000000001</v>
      </c>
      <c r="Z318" s="117">
        <f>Sales4[[#This Row],[Actual delivery qty]]</f>
        <v>6000</v>
      </c>
      <c r="AA318" s="12" t="e">
        <f>SUM(Sales4[[#This Row],[BOM Cost]:[Other Conversion cost pu]])</f>
        <v>#REF!</v>
      </c>
      <c r="AB31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1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18" s="12">
        <f>IFERROR(VLOOKUP(Sales4[[#This Row],[Material]],'COGS Break up'!#REF!,5,0),0)</f>
        <v>0</v>
      </c>
      <c r="AE31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18" s="48" t="e">
        <f>Sales4[[#This Row],[PGI per unit]]-Sales4[[#This Row],[BOM Cost]]-Sales4[[#This Row],[Labour cost per unit]]-Sales4[[#This Row],[Other Conversion cost pu]]</f>
        <v>#REF!</v>
      </c>
      <c r="AG318" s="48" t="e">
        <f>Sales4[[#This Row],[BOM Cost2]]+Sales4[[#This Row],[Labour Cost]]+Sales4[[#This Row],[Other conversion cost]]</f>
        <v>#REF!</v>
      </c>
      <c r="AH318" s="12" t="e">
        <f>Sales4[[#This Row],[Billed Quantity]]*Sales4[[#This Row],[BOM Cost]]</f>
        <v>#REF!</v>
      </c>
      <c r="AI318" s="12" t="e">
        <f>Sales4[[#This Row],[Billed Quantity]]*Sales4[[#This Row],[Labour cost per unit]]</f>
        <v>#REF!</v>
      </c>
      <c r="AJ318" s="12">
        <f>Sales4[[#This Row],[Droppage per unit]]*Sales4[[#This Row],[Billed Quantity]]</f>
        <v>0</v>
      </c>
      <c r="AK318" s="12" t="e">
        <f>Sales4[[#This Row],[Billed Quantity]]*Sales4[[#This Row],[Other Conversion cost pu]]</f>
        <v>#REF!</v>
      </c>
      <c r="AL318" s="48" t="e">
        <f>Sales4[[#This Row],[PGI Amount]]-Sales4[[#This Row],[BOM Cost2]]-Sales4[[#This Row],[Labour Cost]]-Sales4[[#This Row],[Other conversion cost]]</f>
        <v>#REF!</v>
      </c>
      <c r="AM318" s="121" t="e">
        <f>1-Sales4[[#This Row],[PGI COST]]/Sales4[[#This Row],[Net Value]]</f>
        <v>#REF!</v>
      </c>
      <c r="AN318" s="1">
        <f>Sales4[[#This Row],[PGI Amount]]/Sales4[[#This Row],[Billed Quantity]]</f>
        <v>1.1000000000000001</v>
      </c>
      <c r="AO318" s="72" t="e">
        <f>SUMIFS('COGS Break up'!#REF!,'COGS Break up'!#REF!,Sales4[[#This Row],[Material]],'COGS Break up'!#REF!,'MIS Working'!$AO$1)</f>
        <v>#REF!</v>
      </c>
      <c r="AP318" s="72" t="e">
        <f>SUMIFS('COGS Break up'!#REF!,'COGS Break up'!#REF!,Sales4[[#This Row],[Material]],'COGS Break up'!#REF!,'MIS Working'!$AP$1)</f>
        <v>#REF!</v>
      </c>
      <c r="AQ318" s="72" t="e">
        <f>SUMIFS('COGS Break up'!#REF!,'COGS Break up'!#REF!,Sales4[[#This Row],[Material]],'COGS Break up'!#REF!,'MIS Working'!$AQ$1)</f>
        <v>#REF!</v>
      </c>
      <c r="AR318" s="72">
        <f>Sales4[[#This Row],[Droppage per unit]]</f>
        <v>0</v>
      </c>
      <c r="AS318" s="15" t="e">
        <f>AO318*Sales4[[#This Row],[Billed Quantity]]</f>
        <v>#REF!</v>
      </c>
      <c r="AT318" s="72" t="e">
        <f>AP318*Sales4[[#This Row],[Billed Quantity]]</f>
        <v>#REF!</v>
      </c>
      <c r="AU318" s="72" t="e">
        <f>AQ318*Sales4[[#This Row],[Billed Quantity]]</f>
        <v>#REF!</v>
      </c>
      <c r="AV318" s="72">
        <f>AR318*Sales4[[#This Row],[Billed Quantity]]</f>
        <v>0</v>
      </c>
    </row>
    <row r="319" spans="1:48" x14ac:dyDescent="0.3">
      <c r="A319" s="1" t="s">
        <v>1212</v>
      </c>
      <c r="B319" s="2">
        <v>45908</v>
      </c>
      <c r="C319" s="1">
        <v>3271267987</v>
      </c>
      <c r="D319" s="1" t="s">
        <v>1304</v>
      </c>
      <c r="E319" s="1" t="s">
        <v>1305</v>
      </c>
      <c r="F319" s="1" t="s">
        <v>18</v>
      </c>
      <c r="G319" s="1" t="s">
        <v>48</v>
      </c>
      <c r="H319" s="1" t="s">
        <v>207</v>
      </c>
      <c r="I319" s="3">
        <v>6000</v>
      </c>
      <c r="J319" s="4">
        <v>60694.63</v>
      </c>
      <c r="K319" s="3">
        <v>6000</v>
      </c>
      <c r="L319" s="3">
        <v>6000</v>
      </c>
      <c r="M319" s="2">
        <v>45908</v>
      </c>
      <c r="N319" s="4">
        <v>57660</v>
      </c>
      <c r="O319" s="1" t="s">
        <v>21</v>
      </c>
      <c r="P319" s="1" t="s">
        <v>22</v>
      </c>
      <c r="Q319" s="1">
        <v>6</v>
      </c>
      <c r="R319" s="1" t="str">
        <f>VLOOKUP(Sales4[[#This Row],[Material type]],Master!$H$3:$I$8,2,0)</f>
        <v>Raw Material</v>
      </c>
      <c r="S319" s="1" t="str">
        <f>VLOOKUP(Sales4[[#This Row],[Material Group]],Master!B:C,2,0)</f>
        <v>RM-Mech. Accessories</v>
      </c>
      <c r="T319" s="1" t="str">
        <f>VLOOKUP(Sales4[[#This Row],[Material Group Descrip]],Master!E:F,2,0)</f>
        <v>Raw Material</v>
      </c>
      <c r="U319" s="9" t="b">
        <f ca="1">(TODAY()-1)=Sales4[[#This Row],[Billing Date]]</f>
        <v>0</v>
      </c>
      <c r="V319" s="10" t="e">
        <f>Sales4[[#This Row],[Net Value]]-Sales4[[#This Row],[PGI COST]]</f>
        <v>#REF!</v>
      </c>
      <c r="W319" s="11" t="e">
        <f>Sales4[[#This Row],[Gross Margin]]/Sales4[[#This Row],[Net Value]]</f>
        <v>#REF!</v>
      </c>
      <c r="X319" s="1" t="str">
        <f>TEXT(Sales4[[#This Row],[Billing Date]],"mmmm-yy")</f>
        <v>September-25</v>
      </c>
      <c r="Y319" s="1">
        <f>Sales4[[#This Row],[Net Value]]/Sales4[[#This Row],[Billed Quantity]]</f>
        <v>9.61</v>
      </c>
      <c r="Z319" s="117">
        <f>Sales4[[#This Row],[Actual delivery qty]]</f>
        <v>6000</v>
      </c>
      <c r="AA319" s="12" t="e">
        <f>SUM(Sales4[[#This Row],[BOM Cost]:[Other Conversion cost pu]])</f>
        <v>#REF!</v>
      </c>
      <c r="AB31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1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19" s="12">
        <f>IFERROR(VLOOKUP(Sales4[[#This Row],[Material]],'COGS Break up'!#REF!,5,0),0)</f>
        <v>0</v>
      </c>
      <c r="AE31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19" s="48" t="e">
        <f>Sales4[[#This Row],[PGI per unit]]-Sales4[[#This Row],[BOM Cost]]-Sales4[[#This Row],[Labour cost per unit]]-Sales4[[#This Row],[Other Conversion cost pu]]</f>
        <v>#REF!</v>
      </c>
      <c r="AG319" s="48" t="e">
        <f>Sales4[[#This Row],[BOM Cost2]]+Sales4[[#This Row],[Labour Cost]]+Sales4[[#This Row],[Other conversion cost]]</f>
        <v>#REF!</v>
      </c>
      <c r="AH319" s="12" t="e">
        <f>Sales4[[#This Row],[Billed Quantity]]*Sales4[[#This Row],[BOM Cost]]</f>
        <v>#REF!</v>
      </c>
      <c r="AI319" s="12" t="e">
        <f>Sales4[[#This Row],[Billed Quantity]]*Sales4[[#This Row],[Labour cost per unit]]</f>
        <v>#REF!</v>
      </c>
      <c r="AJ319" s="12">
        <f>Sales4[[#This Row],[Droppage per unit]]*Sales4[[#This Row],[Billed Quantity]]</f>
        <v>0</v>
      </c>
      <c r="AK319" s="12" t="e">
        <f>Sales4[[#This Row],[Billed Quantity]]*Sales4[[#This Row],[Other Conversion cost pu]]</f>
        <v>#REF!</v>
      </c>
      <c r="AL319" s="48" t="e">
        <f>Sales4[[#This Row],[PGI Amount]]-Sales4[[#This Row],[BOM Cost2]]-Sales4[[#This Row],[Labour Cost]]-Sales4[[#This Row],[Other conversion cost]]</f>
        <v>#REF!</v>
      </c>
      <c r="AM319" s="121" t="e">
        <f>1-Sales4[[#This Row],[PGI COST]]/Sales4[[#This Row],[Net Value]]</f>
        <v>#REF!</v>
      </c>
      <c r="AN319" s="1">
        <f>Sales4[[#This Row],[PGI Amount]]/Sales4[[#This Row],[Billed Quantity]]</f>
        <v>10.115771666666665</v>
      </c>
      <c r="AO319" s="72" t="e">
        <f>SUMIFS('COGS Break up'!#REF!,'COGS Break up'!#REF!,Sales4[[#This Row],[Material]],'COGS Break up'!#REF!,'MIS Working'!$AO$1)</f>
        <v>#REF!</v>
      </c>
      <c r="AP319" s="72" t="e">
        <f>SUMIFS('COGS Break up'!#REF!,'COGS Break up'!#REF!,Sales4[[#This Row],[Material]],'COGS Break up'!#REF!,'MIS Working'!$AP$1)</f>
        <v>#REF!</v>
      </c>
      <c r="AQ319" s="72" t="e">
        <f>SUMIFS('COGS Break up'!#REF!,'COGS Break up'!#REF!,Sales4[[#This Row],[Material]],'COGS Break up'!#REF!,'MIS Working'!$AQ$1)</f>
        <v>#REF!</v>
      </c>
      <c r="AR319" s="72">
        <f>Sales4[[#This Row],[Droppage per unit]]</f>
        <v>0</v>
      </c>
      <c r="AS319" s="15" t="e">
        <f>AO319*Sales4[[#This Row],[Billed Quantity]]</f>
        <v>#REF!</v>
      </c>
      <c r="AT319" s="72" t="e">
        <f>AP319*Sales4[[#This Row],[Billed Quantity]]</f>
        <v>#REF!</v>
      </c>
      <c r="AU319" s="72" t="e">
        <f>AQ319*Sales4[[#This Row],[Billed Quantity]]</f>
        <v>#REF!</v>
      </c>
      <c r="AV319" s="72">
        <f>AR319*Sales4[[#This Row],[Billed Quantity]]</f>
        <v>0</v>
      </c>
    </row>
    <row r="320" spans="1:48" x14ac:dyDescent="0.3">
      <c r="A320" s="1" t="s">
        <v>1212</v>
      </c>
      <c r="B320" s="2">
        <v>45908</v>
      </c>
      <c r="C320" s="1">
        <v>3271267987</v>
      </c>
      <c r="D320" s="1" t="s">
        <v>1306</v>
      </c>
      <c r="E320" s="1" t="s">
        <v>1307</v>
      </c>
      <c r="F320" s="1" t="s">
        <v>18</v>
      </c>
      <c r="G320" s="1" t="s">
        <v>48</v>
      </c>
      <c r="H320" s="1" t="s">
        <v>207</v>
      </c>
      <c r="I320" s="3">
        <v>2500</v>
      </c>
      <c r="J320" s="4">
        <v>21743.89</v>
      </c>
      <c r="K320" s="3">
        <v>2500</v>
      </c>
      <c r="L320" s="3">
        <v>2500</v>
      </c>
      <c r="M320" s="2">
        <v>45908</v>
      </c>
      <c r="N320" s="4">
        <v>17850</v>
      </c>
      <c r="O320" s="1" t="s">
        <v>21</v>
      </c>
      <c r="P320" s="1" t="s">
        <v>22</v>
      </c>
      <c r="Q320" s="1">
        <v>6</v>
      </c>
      <c r="R320" s="1" t="str">
        <f>VLOOKUP(Sales4[[#This Row],[Material type]],Master!$H$3:$I$8,2,0)</f>
        <v>Raw Material</v>
      </c>
      <c r="S320" s="1" t="str">
        <f>VLOOKUP(Sales4[[#This Row],[Material Group]],Master!B:C,2,0)</f>
        <v>RM-Mech. Accessories</v>
      </c>
      <c r="T320" s="1" t="str">
        <f>VLOOKUP(Sales4[[#This Row],[Material Group Descrip]],Master!E:F,2,0)</f>
        <v>Raw Material</v>
      </c>
      <c r="U320" s="9" t="b">
        <f ca="1">(TODAY()-1)=Sales4[[#This Row],[Billing Date]]</f>
        <v>0</v>
      </c>
      <c r="V320" s="10" t="e">
        <f>Sales4[[#This Row],[Net Value]]-Sales4[[#This Row],[PGI COST]]</f>
        <v>#REF!</v>
      </c>
      <c r="W320" s="11" t="e">
        <f>Sales4[[#This Row],[Gross Margin]]/Sales4[[#This Row],[Net Value]]</f>
        <v>#REF!</v>
      </c>
      <c r="X320" s="1" t="str">
        <f>TEXT(Sales4[[#This Row],[Billing Date]],"mmmm-yy")</f>
        <v>September-25</v>
      </c>
      <c r="Y320" s="1">
        <f>Sales4[[#This Row],[Net Value]]/Sales4[[#This Row],[Billed Quantity]]</f>
        <v>7.14</v>
      </c>
      <c r="Z320" s="117">
        <f>Sales4[[#This Row],[Actual delivery qty]]</f>
        <v>2500</v>
      </c>
      <c r="AA320" s="12" t="e">
        <f>SUM(Sales4[[#This Row],[BOM Cost]:[Other Conversion cost pu]])</f>
        <v>#REF!</v>
      </c>
      <c r="AB32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2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20" s="12">
        <f>IFERROR(VLOOKUP(Sales4[[#This Row],[Material]],'COGS Break up'!#REF!,5,0),0)</f>
        <v>0</v>
      </c>
      <c r="AE32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20" s="48" t="e">
        <f>Sales4[[#This Row],[PGI per unit]]-Sales4[[#This Row],[BOM Cost]]-Sales4[[#This Row],[Labour cost per unit]]-Sales4[[#This Row],[Other Conversion cost pu]]</f>
        <v>#REF!</v>
      </c>
      <c r="AG320" s="48" t="e">
        <f>Sales4[[#This Row],[BOM Cost2]]+Sales4[[#This Row],[Labour Cost]]+Sales4[[#This Row],[Other conversion cost]]</f>
        <v>#REF!</v>
      </c>
      <c r="AH320" s="12" t="e">
        <f>Sales4[[#This Row],[Billed Quantity]]*Sales4[[#This Row],[BOM Cost]]</f>
        <v>#REF!</v>
      </c>
      <c r="AI320" s="12" t="e">
        <f>Sales4[[#This Row],[Billed Quantity]]*Sales4[[#This Row],[Labour cost per unit]]</f>
        <v>#REF!</v>
      </c>
      <c r="AJ320" s="12">
        <f>Sales4[[#This Row],[Droppage per unit]]*Sales4[[#This Row],[Billed Quantity]]</f>
        <v>0</v>
      </c>
      <c r="AK320" s="12" t="e">
        <f>Sales4[[#This Row],[Billed Quantity]]*Sales4[[#This Row],[Other Conversion cost pu]]</f>
        <v>#REF!</v>
      </c>
      <c r="AL320" s="48" t="e">
        <f>Sales4[[#This Row],[PGI Amount]]-Sales4[[#This Row],[BOM Cost2]]-Sales4[[#This Row],[Labour Cost]]-Sales4[[#This Row],[Other conversion cost]]</f>
        <v>#REF!</v>
      </c>
      <c r="AM320" s="121" t="e">
        <f>1-Sales4[[#This Row],[PGI COST]]/Sales4[[#This Row],[Net Value]]</f>
        <v>#REF!</v>
      </c>
      <c r="AN320" s="1">
        <f>Sales4[[#This Row],[PGI Amount]]/Sales4[[#This Row],[Billed Quantity]]</f>
        <v>8.6975560000000005</v>
      </c>
      <c r="AO320" s="72" t="e">
        <f>SUMIFS('COGS Break up'!#REF!,'COGS Break up'!#REF!,Sales4[[#This Row],[Material]],'COGS Break up'!#REF!,'MIS Working'!$AO$1)</f>
        <v>#REF!</v>
      </c>
      <c r="AP320" s="72" t="e">
        <f>SUMIFS('COGS Break up'!#REF!,'COGS Break up'!#REF!,Sales4[[#This Row],[Material]],'COGS Break up'!#REF!,'MIS Working'!$AP$1)</f>
        <v>#REF!</v>
      </c>
      <c r="AQ320" s="72" t="e">
        <f>SUMIFS('COGS Break up'!#REF!,'COGS Break up'!#REF!,Sales4[[#This Row],[Material]],'COGS Break up'!#REF!,'MIS Working'!$AQ$1)</f>
        <v>#REF!</v>
      </c>
      <c r="AR320" s="72">
        <f>Sales4[[#This Row],[Droppage per unit]]</f>
        <v>0</v>
      </c>
      <c r="AS320" s="15" t="e">
        <f>AO320*Sales4[[#This Row],[Billed Quantity]]</f>
        <v>#REF!</v>
      </c>
      <c r="AT320" s="72" t="e">
        <f>AP320*Sales4[[#This Row],[Billed Quantity]]</f>
        <v>#REF!</v>
      </c>
      <c r="AU320" s="72" t="e">
        <f>AQ320*Sales4[[#This Row],[Billed Quantity]]</f>
        <v>#REF!</v>
      </c>
      <c r="AV320" s="72">
        <f>AR320*Sales4[[#This Row],[Billed Quantity]]</f>
        <v>0</v>
      </c>
    </row>
    <row r="321" spans="1:48" x14ac:dyDescent="0.3">
      <c r="A321" s="1" t="s">
        <v>1212</v>
      </c>
      <c r="B321" s="2">
        <v>45908</v>
      </c>
      <c r="C321" s="1">
        <v>3271267987</v>
      </c>
      <c r="D321" s="1" t="s">
        <v>1308</v>
      </c>
      <c r="E321" s="1" t="s">
        <v>1309</v>
      </c>
      <c r="F321" s="1" t="s">
        <v>18</v>
      </c>
      <c r="G321" s="1" t="s">
        <v>48</v>
      </c>
      <c r="H321" s="1" t="s">
        <v>207</v>
      </c>
      <c r="I321" s="3">
        <v>7500</v>
      </c>
      <c r="J321" s="4">
        <v>42354.5</v>
      </c>
      <c r="K321" s="3">
        <v>7500</v>
      </c>
      <c r="L321" s="3">
        <v>7500</v>
      </c>
      <c r="M321" s="2">
        <v>45908</v>
      </c>
      <c r="N321" s="4">
        <v>37725</v>
      </c>
      <c r="O321" s="1" t="s">
        <v>21</v>
      </c>
      <c r="P321" s="1" t="s">
        <v>22</v>
      </c>
      <c r="Q321" s="1">
        <v>6</v>
      </c>
      <c r="R321" s="1" t="str">
        <f>VLOOKUP(Sales4[[#This Row],[Material type]],Master!$H$3:$I$8,2,0)</f>
        <v>Raw Material</v>
      </c>
      <c r="S321" s="1" t="str">
        <f>VLOOKUP(Sales4[[#This Row],[Material Group]],Master!B:C,2,0)</f>
        <v>RM-Mech. Accessories</v>
      </c>
      <c r="T321" s="1" t="str">
        <f>VLOOKUP(Sales4[[#This Row],[Material Group Descrip]],Master!E:F,2,0)</f>
        <v>Raw Material</v>
      </c>
      <c r="U321" s="9" t="b">
        <f ca="1">(TODAY()-1)=Sales4[[#This Row],[Billing Date]]</f>
        <v>0</v>
      </c>
      <c r="V321" s="10" t="e">
        <f>Sales4[[#This Row],[Net Value]]-Sales4[[#This Row],[PGI COST]]</f>
        <v>#REF!</v>
      </c>
      <c r="W321" s="11" t="e">
        <f>Sales4[[#This Row],[Gross Margin]]/Sales4[[#This Row],[Net Value]]</f>
        <v>#REF!</v>
      </c>
      <c r="X321" s="1" t="str">
        <f>TEXT(Sales4[[#This Row],[Billing Date]],"mmmm-yy")</f>
        <v>September-25</v>
      </c>
      <c r="Y321" s="1">
        <f>Sales4[[#This Row],[Net Value]]/Sales4[[#This Row],[Billed Quantity]]</f>
        <v>5.03</v>
      </c>
      <c r="Z321" s="117">
        <f>Sales4[[#This Row],[Actual delivery qty]]</f>
        <v>7500</v>
      </c>
      <c r="AA321" s="12" t="e">
        <f>SUM(Sales4[[#This Row],[BOM Cost]:[Other Conversion cost pu]])</f>
        <v>#REF!</v>
      </c>
      <c r="AB32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2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21" s="12">
        <f>IFERROR(VLOOKUP(Sales4[[#This Row],[Material]],'COGS Break up'!#REF!,5,0),0)</f>
        <v>0</v>
      </c>
      <c r="AE32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21" s="48" t="e">
        <f>Sales4[[#This Row],[PGI per unit]]-Sales4[[#This Row],[BOM Cost]]-Sales4[[#This Row],[Labour cost per unit]]-Sales4[[#This Row],[Other Conversion cost pu]]</f>
        <v>#REF!</v>
      </c>
      <c r="AG321" s="48" t="e">
        <f>Sales4[[#This Row],[BOM Cost2]]+Sales4[[#This Row],[Labour Cost]]+Sales4[[#This Row],[Other conversion cost]]</f>
        <v>#REF!</v>
      </c>
      <c r="AH321" s="12" t="e">
        <f>Sales4[[#This Row],[Billed Quantity]]*Sales4[[#This Row],[BOM Cost]]</f>
        <v>#REF!</v>
      </c>
      <c r="AI321" s="12" t="e">
        <f>Sales4[[#This Row],[Billed Quantity]]*Sales4[[#This Row],[Labour cost per unit]]</f>
        <v>#REF!</v>
      </c>
      <c r="AJ321" s="12">
        <f>Sales4[[#This Row],[Droppage per unit]]*Sales4[[#This Row],[Billed Quantity]]</f>
        <v>0</v>
      </c>
      <c r="AK321" s="12" t="e">
        <f>Sales4[[#This Row],[Billed Quantity]]*Sales4[[#This Row],[Other Conversion cost pu]]</f>
        <v>#REF!</v>
      </c>
      <c r="AL321" s="48" t="e">
        <f>Sales4[[#This Row],[PGI Amount]]-Sales4[[#This Row],[BOM Cost2]]-Sales4[[#This Row],[Labour Cost]]-Sales4[[#This Row],[Other conversion cost]]</f>
        <v>#REF!</v>
      </c>
      <c r="AM321" s="121" t="e">
        <f>1-Sales4[[#This Row],[PGI COST]]/Sales4[[#This Row],[Net Value]]</f>
        <v>#REF!</v>
      </c>
      <c r="AN321" s="1">
        <f>Sales4[[#This Row],[PGI Amount]]/Sales4[[#This Row],[Billed Quantity]]</f>
        <v>5.6472666666666669</v>
      </c>
      <c r="AO321" s="72" t="e">
        <f>SUMIFS('COGS Break up'!#REF!,'COGS Break up'!#REF!,Sales4[[#This Row],[Material]],'COGS Break up'!#REF!,'MIS Working'!$AO$1)</f>
        <v>#REF!</v>
      </c>
      <c r="AP321" s="72" t="e">
        <f>SUMIFS('COGS Break up'!#REF!,'COGS Break up'!#REF!,Sales4[[#This Row],[Material]],'COGS Break up'!#REF!,'MIS Working'!$AP$1)</f>
        <v>#REF!</v>
      </c>
      <c r="AQ321" s="72" t="e">
        <f>SUMIFS('COGS Break up'!#REF!,'COGS Break up'!#REF!,Sales4[[#This Row],[Material]],'COGS Break up'!#REF!,'MIS Working'!$AQ$1)</f>
        <v>#REF!</v>
      </c>
      <c r="AR321" s="72">
        <f>Sales4[[#This Row],[Droppage per unit]]</f>
        <v>0</v>
      </c>
      <c r="AS321" s="15" t="e">
        <f>AO321*Sales4[[#This Row],[Billed Quantity]]</f>
        <v>#REF!</v>
      </c>
      <c r="AT321" s="72" t="e">
        <f>AP321*Sales4[[#This Row],[Billed Quantity]]</f>
        <v>#REF!</v>
      </c>
      <c r="AU321" s="72" t="e">
        <f>AQ321*Sales4[[#This Row],[Billed Quantity]]</f>
        <v>#REF!</v>
      </c>
      <c r="AV321" s="72">
        <f>AR321*Sales4[[#This Row],[Billed Quantity]]</f>
        <v>0</v>
      </c>
    </row>
    <row r="322" spans="1:48" x14ac:dyDescent="0.3">
      <c r="A322" s="1" t="s">
        <v>1212</v>
      </c>
      <c r="B322" s="2">
        <v>45908</v>
      </c>
      <c r="C322" s="1">
        <v>3271267987</v>
      </c>
      <c r="D322" s="1" t="s">
        <v>1310</v>
      </c>
      <c r="E322" s="1" t="s">
        <v>1311</v>
      </c>
      <c r="F322" s="1" t="s">
        <v>18</v>
      </c>
      <c r="G322" s="1" t="s">
        <v>48</v>
      </c>
      <c r="H322" s="1" t="s">
        <v>198</v>
      </c>
      <c r="I322" s="3">
        <v>5000</v>
      </c>
      <c r="J322" s="4">
        <v>35976.58</v>
      </c>
      <c r="K322" s="3">
        <v>5000</v>
      </c>
      <c r="L322" s="3">
        <v>5000</v>
      </c>
      <c r="M322" s="2">
        <v>45908</v>
      </c>
      <c r="N322" s="4">
        <v>43450</v>
      </c>
      <c r="O322" s="1" t="s">
        <v>21</v>
      </c>
      <c r="P322" s="1" t="s">
        <v>22</v>
      </c>
      <c r="Q322" s="1">
        <v>6</v>
      </c>
      <c r="R322" s="1" t="str">
        <f>VLOOKUP(Sales4[[#This Row],[Material type]],Master!$H$3:$I$8,2,0)</f>
        <v>Raw Material</v>
      </c>
      <c r="S322" s="1" t="str">
        <f>VLOOKUP(Sales4[[#This Row],[Material Group]],Master!B:C,2,0)</f>
        <v>RM-Eletro-Capacitor</v>
      </c>
      <c r="T322" s="1" t="str">
        <f>VLOOKUP(Sales4[[#This Row],[Material Group Descrip]],Master!E:F,2,0)</f>
        <v>Raw Material</v>
      </c>
      <c r="U322" s="9" t="b">
        <f ca="1">(TODAY()-1)=Sales4[[#This Row],[Billing Date]]</f>
        <v>0</v>
      </c>
      <c r="V322" s="10" t="e">
        <f>Sales4[[#This Row],[Net Value]]-Sales4[[#This Row],[PGI COST]]</f>
        <v>#REF!</v>
      </c>
      <c r="W322" s="11" t="e">
        <f>Sales4[[#This Row],[Gross Margin]]/Sales4[[#This Row],[Net Value]]</f>
        <v>#REF!</v>
      </c>
      <c r="X322" s="1" t="str">
        <f>TEXT(Sales4[[#This Row],[Billing Date]],"mmmm-yy")</f>
        <v>September-25</v>
      </c>
      <c r="Y322" s="1">
        <f>Sales4[[#This Row],[Net Value]]/Sales4[[#This Row],[Billed Quantity]]</f>
        <v>8.69</v>
      </c>
      <c r="Z322" s="117">
        <f>Sales4[[#This Row],[Actual delivery qty]]</f>
        <v>5000</v>
      </c>
      <c r="AA322" s="12" t="e">
        <f>SUM(Sales4[[#This Row],[BOM Cost]:[Other Conversion cost pu]])</f>
        <v>#REF!</v>
      </c>
      <c r="AB32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2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22" s="12">
        <f>IFERROR(VLOOKUP(Sales4[[#This Row],[Material]],'COGS Break up'!#REF!,5,0),0)</f>
        <v>0</v>
      </c>
      <c r="AE32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22" s="48" t="e">
        <f>Sales4[[#This Row],[PGI per unit]]-Sales4[[#This Row],[BOM Cost]]-Sales4[[#This Row],[Labour cost per unit]]-Sales4[[#This Row],[Other Conversion cost pu]]</f>
        <v>#REF!</v>
      </c>
      <c r="AG322" s="48" t="e">
        <f>Sales4[[#This Row],[BOM Cost2]]+Sales4[[#This Row],[Labour Cost]]+Sales4[[#This Row],[Other conversion cost]]</f>
        <v>#REF!</v>
      </c>
      <c r="AH322" s="12" t="e">
        <f>Sales4[[#This Row],[Billed Quantity]]*Sales4[[#This Row],[BOM Cost]]</f>
        <v>#REF!</v>
      </c>
      <c r="AI322" s="12" t="e">
        <f>Sales4[[#This Row],[Billed Quantity]]*Sales4[[#This Row],[Labour cost per unit]]</f>
        <v>#REF!</v>
      </c>
      <c r="AJ322" s="12">
        <f>Sales4[[#This Row],[Droppage per unit]]*Sales4[[#This Row],[Billed Quantity]]</f>
        <v>0</v>
      </c>
      <c r="AK322" s="12" t="e">
        <f>Sales4[[#This Row],[Billed Quantity]]*Sales4[[#This Row],[Other Conversion cost pu]]</f>
        <v>#REF!</v>
      </c>
      <c r="AL322" s="48" t="e">
        <f>Sales4[[#This Row],[PGI Amount]]-Sales4[[#This Row],[BOM Cost2]]-Sales4[[#This Row],[Labour Cost]]-Sales4[[#This Row],[Other conversion cost]]</f>
        <v>#REF!</v>
      </c>
      <c r="AM322" s="121" t="e">
        <f>1-Sales4[[#This Row],[PGI COST]]/Sales4[[#This Row],[Net Value]]</f>
        <v>#REF!</v>
      </c>
      <c r="AN322" s="1">
        <f>Sales4[[#This Row],[PGI Amount]]/Sales4[[#This Row],[Billed Quantity]]</f>
        <v>7.195316</v>
      </c>
      <c r="AO322" s="72" t="e">
        <f>SUMIFS('COGS Break up'!#REF!,'COGS Break up'!#REF!,Sales4[[#This Row],[Material]],'COGS Break up'!#REF!,'MIS Working'!$AO$1)</f>
        <v>#REF!</v>
      </c>
      <c r="AP322" s="72" t="e">
        <f>SUMIFS('COGS Break up'!#REF!,'COGS Break up'!#REF!,Sales4[[#This Row],[Material]],'COGS Break up'!#REF!,'MIS Working'!$AP$1)</f>
        <v>#REF!</v>
      </c>
      <c r="AQ322" s="72" t="e">
        <f>SUMIFS('COGS Break up'!#REF!,'COGS Break up'!#REF!,Sales4[[#This Row],[Material]],'COGS Break up'!#REF!,'MIS Working'!$AQ$1)</f>
        <v>#REF!</v>
      </c>
      <c r="AR322" s="72">
        <f>Sales4[[#This Row],[Droppage per unit]]</f>
        <v>0</v>
      </c>
      <c r="AS322" s="15" t="e">
        <f>AO322*Sales4[[#This Row],[Billed Quantity]]</f>
        <v>#REF!</v>
      </c>
      <c r="AT322" s="72" t="e">
        <f>AP322*Sales4[[#This Row],[Billed Quantity]]</f>
        <v>#REF!</v>
      </c>
      <c r="AU322" s="72" t="e">
        <f>AQ322*Sales4[[#This Row],[Billed Quantity]]</f>
        <v>#REF!</v>
      </c>
      <c r="AV322" s="72">
        <f>AR322*Sales4[[#This Row],[Billed Quantity]]</f>
        <v>0</v>
      </c>
    </row>
    <row r="323" spans="1:48" x14ac:dyDescent="0.3">
      <c r="A323" s="1" t="s">
        <v>1212</v>
      </c>
      <c r="B323" s="2">
        <v>45908</v>
      </c>
      <c r="C323" s="1">
        <v>3271267987</v>
      </c>
      <c r="D323" s="1" t="s">
        <v>1312</v>
      </c>
      <c r="E323" s="1" t="s">
        <v>1313</v>
      </c>
      <c r="F323" s="1" t="s">
        <v>18</v>
      </c>
      <c r="G323" s="1" t="s">
        <v>48</v>
      </c>
      <c r="H323" s="1" t="s">
        <v>207</v>
      </c>
      <c r="I323" s="3">
        <v>204000</v>
      </c>
      <c r="J323" s="4">
        <v>16582.919999999998</v>
      </c>
      <c r="K323" s="3">
        <v>204000</v>
      </c>
      <c r="L323" s="3">
        <v>204000</v>
      </c>
      <c r="M323" s="2">
        <v>45908</v>
      </c>
      <c r="N323" s="4">
        <v>22440</v>
      </c>
      <c r="O323" s="1" t="s">
        <v>21</v>
      </c>
      <c r="P323" s="1" t="s">
        <v>22</v>
      </c>
      <c r="Q323" s="1">
        <v>6</v>
      </c>
      <c r="R323" s="1" t="str">
        <f>VLOOKUP(Sales4[[#This Row],[Material type]],Master!$H$3:$I$8,2,0)</f>
        <v>Raw Material</v>
      </c>
      <c r="S323" s="1" t="str">
        <f>VLOOKUP(Sales4[[#This Row],[Material Group]],Master!B:C,2,0)</f>
        <v>RM-Mech. Accessories</v>
      </c>
      <c r="T323" s="1" t="str">
        <f>VLOOKUP(Sales4[[#This Row],[Material Group Descrip]],Master!E:F,2,0)</f>
        <v>Raw Material</v>
      </c>
      <c r="U323" s="9" t="b">
        <f ca="1">(TODAY()-1)=Sales4[[#This Row],[Billing Date]]</f>
        <v>0</v>
      </c>
      <c r="V323" s="10" t="e">
        <f>Sales4[[#This Row],[Net Value]]-Sales4[[#This Row],[PGI COST]]</f>
        <v>#REF!</v>
      </c>
      <c r="W323" s="11" t="e">
        <f>Sales4[[#This Row],[Gross Margin]]/Sales4[[#This Row],[Net Value]]</f>
        <v>#REF!</v>
      </c>
      <c r="X323" s="1" t="str">
        <f>TEXT(Sales4[[#This Row],[Billing Date]],"mmmm-yy")</f>
        <v>September-25</v>
      </c>
      <c r="Y323" s="1">
        <f>Sales4[[#This Row],[Net Value]]/Sales4[[#This Row],[Billed Quantity]]</f>
        <v>0.11</v>
      </c>
      <c r="Z323" s="117">
        <f>Sales4[[#This Row],[Actual delivery qty]]</f>
        <v>204000</v>
      </c>
      <c r="AA323" s="12" t="e">
        <f>SUM(Sales4[[#This Row],[BOM Cost]:[Other Conversion cost pu]])</f>
        <v>#REF!</v>
      </c>
      <c r="AB32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2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23" s="12">
        <f>IFERROR(VLOOKUP(Sales4[[#This Row],[Material]],'COGS Break up'!#REF!,5,0),0)</f>
        <v>0</v>
      </c>
      <c r="AE32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23" s="48" t="e">
        <f>Sales4[[#This Row],[PGI per unit]]-Sales4[[#This Row],[BOM Cost]]-Sales4[[#This Row],[Labour cost per unit]]-Sales4[[#This Row],[Other Conversion cost pu]]</f>
        <v>#REF!</v>
      </c>
      <c r="AG323" s="48" t="e">
        <f>Sales4[[#This Row],[BOM Cost2]]+Sales4[[#This Row],[Labour Cost]]+Sales4[[#This Row],[Other conversion cost]]</f>
        <v>#REF!</v>
      </c>
      <c r="AH323" s="12" t="e">
        <f>Sales4[[#This Row],[Billed Quantity]]*Sales4[[#This Row],[BOM Cost]]</f>
        <v>#REF!</v>
      </c>
      <c r="AI323" s="12" t="e">
        <f>Sales4[[#This Row],[Billed Quantity]]*Sales4[[#This Row],[Labour cost per unit]]</f>
        <v>#REF!</v>
      </c>
      <c r="AJ323" s="12">
        <f>Sales4[[#This Row],[Droppage per unit]]*Sales4[[#This Row],[Billed Quantity]]</f>
        <v>0</v>
      </c>
      <c r="AK323" s="12" t="e">
        <f>Sales4[[#This Row],[Billed Quantity]]*Sales4[[#This Row],[Other Conversion cost pu]]</f>
        <v>#REF!</v>
      </c>
      <c r="AL323" s="48" t="e">
        <f>Sales4[[#This Row],[PGI Amount]]-Sales4[[#This Row],[BOM Cost2]]-Sales4[[#This Row],[Labour Cost]]-Sales4[[#This Row],[Other conversion cost]]</f>
        <v>#REF!</v>
      </c>
      <c r="AM323" s="121" t="e">
        <f>1-Sales4[[#This Row],[PGI COST]]/Sales4[[#This Row],[Net Value]]</f>
        <v>#REF!</v>
      </c>
      <c r="AN323" s="1">
        <f>Sales4[[#This Row],[PGI Amount]]/Sales4[[#This Row],[Billed Quantity]]</f>
        <v>8.1288823529411761E-2</v>
      </c>
      <c r="AO323" s="72" t="e">
        <f>SUMIFS('COGS Break up'!#REF!,'COGS Break up'!#REF!,Sales4[[#This Row],[Material]],'COGS Break up'!#REF!,'MIS Working'!$AO$1)</f>
        <v>#REF!</v>
      </c>
      <c r="AP323" s="72" t="e">
        <f>SUMIFS('COGS Break up'!#REF!,'COGS Break up'!#REF!,Sales4[[#This Row],[Material]],'COGS Break up'!#REF!,'MIS Working'!$AP$1)</f>
        <v>#REF!</v>
      </c>
      <c r="AQ323" s="72" t="e">
        <f>SUMIFS('COGS Break up'!#REF!,'COGS Break up'!#REF!,Sales4[[#This Row],[Material]],'COGS Break up'!#REF!,'MIS Working'!$AQ$1)</f>
        <v>#REF!</v>
      </c>
      <c r="AR323" s="72">
        <f>Sales4[[#This Row],[Droppage per unit]]</f>
        <v>0</v>
      </c>
      <c r="AS323" s="15" t="e">
        <f>AO323*Sales4[[#This Row],[Billed Quantity]]</f>
        <v>#REF!</v>
      </c>
      <c r="AT323" s="72" t="e">
        <f>AP323*Sales4[[#This Row],[Billed Quantity]]</f>
        <v>#REF!</v>
      </c>
      <c r="AU323" s="72" t="e">
        <f>AQ323*Sales4[[#This Row],[Billed Quantity]]</f>
        <v>#REF!</v>
      </c>
      <c r="AV323" s="72">
        <f>AR323*Sales4[[#This Row],[Billed Quantity]]</f>
        <v>0</v>
      </c>
    </row>
    <row r="324" spans="1:48" x14ac:dyDescent="0.3">
      <c r="A324" s="1" t="s">
        <v>1212</v>
      </c>
      <c r="B324" s="2">
        <v>45908</v>
      </c>
      <c r="C324" s="1">
        <v>3271267987</v>
      </c>
      <c r="D324" s="1" t="s">
        <v>1314</v>
      </c>
      <c r="E324" s="1" t="s">
        <v>1315</v>
      </c>
      <c r="F324" s="1" t="s">
        <v>18</v>
      </c>
      <c r="G324" s="1" t="s">
        <v>48</v>
      </c>
      <c r="H324" s="1" t="s">
        <v>207</v>
      </c>
      <c r="I324" s="3">
        <v>7500</v>
      </c>
      <c r="J324" s="4">
        <v>25294.240000000002</v>
      </c>
      <c r="K324" s="3">
        <v>7500</v>
      </c>
      <c r="L324" s="3">
        <v>7500</v>
      </c>
      <c r="M324" s="2">
        <v>45908</v>
      </c>
      <c r="N324" s="4">
        <v>30000</v>
      </c>
      <c r="O324" s="1" t="s">
        <v>21</v>
      </c>
      <c r="P324" s="1" t="s">
        <v>22</v>
      </c>
      <c r="Q324" s="1">
        <v>6</v>
      </c>
      <c r="R324" s="1" t="str">
        <f>VLOOKUP(Sales4[[#This Row],[Material type]],Master!$H$3:$I$8,2,0)</f>
        <v>Raw Material</v>
      </c>
      <c r="S324" s="1" t="str">
        <f>VLOOKUP(Sales4[[#This Row],[Material Group]],Master!B:C,2,0)</f>
        <v>RM-Mech. Accessories</v>
      </c>
      <c r="T324" s="1" t="str">
        <f>VLOOKUP(Sales4[[#This Row],[Material Group Descrip]],Master!E:F,2,0)</f>
        <v>Raw Material</v>
      </c>
      <c r="U324" s="9" t="b">
        <f ca="1">(TODAY()-1)=Sales4[[#This Row],[Billing Date]]</f>
        <v>0</v>
      </c>
      <c r="V324" s="10" t="e">
        <f>Sales4[[#This Row],[Net Value]]-Sales4[[#This Row],[PGI COST]]</f>
        <v>#REF!</v>
      </c>
      <c r="W324" s="11" t="e">
        <f>Sales4[[#This Row],[Gross Margin]]/Sales4[[#This Row],[Net Value]]</f>
        <v>#REF!</v>
      </c>
      <c r="X324" s="1" t="str">
        <f>TEXT(Sales4[[#This Row],[Billing Date]],"mmmm-yy")</f>
        <v>September-25</v>
      </c>
      <c r="Y324" s="1">
        <f>Sales4[[#This Row],[Net Value]]/Sales4[[#This Row],[Billed Quantity]]</f>
        <v>4</v>
      </c>
      <c r="Z324" s="117">
        <f>Sales4[[#This Row],[Actual delivery qty]]</f>
        <v>7500</v>
      </c>
      <c r="AA324" s="12" t="e">
        <f>SUM(Sales4[[#This Row],[BOM Cost]:[Other Conversion cost pu]])</f>
        <v>#REF!</v>
      </c>
      <c r="AB32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2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24" s="12">
        <f>IFERROR(VLOOKUP(Sales4[[#This Row],[Material]],'COGS Break up'!#REF!,5,0),0)</f>
        <v>0</v>
      </c>
      <c r="AE32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24" s="48" t="e">
        <f>Sales4[[#This Row],[PGI per unit]]-Sales4[[#This Row],[BOM Cost]]-Sales4[[#This Row],[Labour cost per unit]]-Sales4[[#This Row],[Other Conversion cost pu]]</f>
        <v>#REF!</v>
      </c>
      <c r="AG324" s="48" t="e">
        <f>Sales4[[#This Row],[BOM Cost2]]+Sales4[[#This Row],[Labour Cost]]+Sales4[[#This Row],[Other conversion cost]]</f>
        <v>#REF!</v>
      </c>
      <c r="AH324" s="12" t="e">
        <f>Sales4[[#This Row],[Billed Quantity]]*Sales4[[#This Row],[BOM Cost]]</f>
        <v>#REF!</v>
      </c>
      <c r="AI324" s="12" t="e">
        <f>Sales4[[#This Row],[Billed Quantity]]*Sales4[[#This Row],[Labour cost per unit]]</f>
        <v>#REF!</v>
      </c>
      <c r="AJ324" s="12">
        <f>Sales4[[#This Row],[Droppage per unit]]*Sales4[[#This Row],[Billed Quantity]]</f>
        <v>0</v>
      </c>
      <c r="AK324" s="12" t="e">
        <f>Sales4[[#This Row],[Billed Quantity]]*Sales4[[#This Row],[Other Conversion cost pu]]</f>
        <v>#REF!</v>
      </c>
      <c r="AL324" s="48" t="e">
        <f>Sales4[[#This Row],[PGI Amount]]-Sales4[[#This Row],[BOM Cost2]]-Sales4[[#This Row],[Labour Cost]]-Sales4[[#This Row],[Other conversion cost]]</f>
        <v>#REF!</v>
      </c>
      <c r="AM324" s="121" t="e">
        <f>1-Sales4[[#This Row],[PGI COST]]/Sales4[[#This Row],[Net Value]]</f>
        <v>#REF!</v>
      </c>
      <c r="AN324" s="1">
        <f>Sales4[[#This Row],[PGI Amount]]/Sales4[[#This Row],[Billed Quantity]]</f>
        <v>3.3725653333333336</v>
      </c>
      <c r="AO324" s="72" t="e">
        <f>SUMIFS('COGS Break up'!#REF!,'COGS Break up'!#REF!,Sales4[[#This Row],[Material]],'COGS Break up'!#REF!,'MIS Working'!$AO$1)</f>
        <v>#REF!</v>
      </c>
      <c r="AP324" s="72" t="e">
        <f>SUMIFS('COGS Break up'!#REF!,'COGS Break up'!#REF!,Sales4[[#This Row],[Material]],'COGS Break up'!#REF!,'MIS Working'!$AP$1)</f>
        <v>#REF!</v>
      </c>
      <c r="AQ324" s="72" t="e">
        <f>SUMIFS('COGS Break up'!#REF!,'COGS Break up'!#REF!,Sales4[[#This Row],[Material]],'COGS Break up'!#REF!,'MIS Working'!$AQ$1)</f>
        <v>#REF!</v>
      </c>
      <c r="AR324" s="72">
        <f>Sales4[[#This Row],[Droppage per unit]]</f>
        <v>0</v>
      </c>
      <c r="AS324" s="15" t="e">
        <f>AO324*Sales4[[#This Row],[Billed Quantity]]</f>
        <v>#REF!</v>
      </c>
      <c r="AT324" s="72" t="e">
        <f>AP324*Sales4[[#This Row],[Billed Quantity]]</f>
        <v>#REF!</v>
      </c>
      <c r="AU324" s="72" t="e">
        <f>AQ324*Sales4[[#This Row],[Billed Quantity]]</f>
        <v>#REF!</v>
      </c>
      <c r="AV324" s="72">
        <f>AR324*Sales4[[#This Row],[Billed Quantity]]</f>
        <v>0</v>
      </c>
    </row>
    <row r="325" spans="1:48" x14ac:dyDescent="0.3">
      <c r="A325" s="1" t="s">
        <v>1212</v>
      </c>
      <c r="B325" s="2">
        <v>45908</v>
      </c>
      <c r="C325" s="1">
        <v>3271267987</v>
      </c>
      <c r="D325" s="1" t="s">
        <v>1316</v>
      </c>
      <c r="E325" s="1" t="s">
        <v>1317</v>
      </c>
      <c r="F325" s="1" t="s">
        <v>18</v>
      </c>
      <c r="G325" s="1" t="s">
        <v>48</v>
      </c>
      <c r="H325" s="1" t="s">
        <v>207</v>
      </c>
      <c r="I325" s="3">
        <v>8000</v>
      </c>
      <c r="J325" s="4">
        <v>2080</v>
      </c>
      <c r="K325" s="3">
        <v>8000</v>
      </c>
      <c r="L325" s="3">
        <v>8000</v>
      </c>
      <c r="M325" s="2">
        <v>45908</v>
      </c>
      <c r="N325" s="4">
        <v>2400</v>
      </c>
      <c r="O325" s="1" t="s">
        <v>21</v>
      </c>
      <c r="P325" s="1" t="s">
        <v>22</v>
      </c>
      <c r="Q325" s="1">
        <v>6</v>
      </c>
      <c r="R325" s="1" t="str">
        <f>VLOOKUP(Sales4[[#This Row],[Material type]],Master!$H$3:$I$8,2,0)</f>
        <v>Raw Material</v>
      </c>
      <c r="S325" s="1" t="str">
        <f>VLOOKUP(Sales4[[#This Row],[Material Group]],Master!B:C,2,0)</f>
        <v>RM-Mech. Accessories</v>
      </c>
      <c r="T325" s="1" t="str">
        <f>VLOOKUP(Sales4[[#This Row],[Material Group Descrip]],Master!E:F,2,0)</f>
        <v>Raw Material</v>
      </c>
      <c r="U325" s="9" t="b">
        <f ca="1">(TODAY()-1)=Sales4[[#This Row],[Billing Date]]</f>
        <v>0</v>
      </c>
      <c r="V325" s="10" t="e">
        <f>Sales4[[#This Row],[Net Value]]-Sales4[[#This Row],[PGI COST]]</f>
        <v>#REF!</v>
      </c>
      <c r="W325" s="11" t="e">
        <f>Sales4[[#This Row],[Gross Margin]]/Sales4[[#This Row],[Net Value]]</f>
        <v>#REF!</v>
      </c>
      <c r="X325" s="1" t="str">
        <f>TEXT(Sales4[[#This Row],[Billing Date]],"mmmm-yy")</f>
        <v>September-25</v>
      </c>
      <c r="Y325" s="1">
        <f>Sales4[[#This Row],[Net Value]]/Sales4[[#This Row],[Billed Quantity]]</f>
        <v>0.3</v>
      </c>
      <c r="Z325" s="117">
        <f>Sales4[[#This Row],[Actual delivery qty]]</f>
        <v>8000</v>
      </c>
      <c r="AA325" s="12" t="e">
        <f>SUM(Sales4[[#This Row],[BOM Cost]:[Other Conversion cost pu]])</f>
        <v>#REF!</v>
      </c>
      <c r="AB32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2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25" s="12">
        <f>IFERROR(VLOOKUP(Sales4[[#This Row],[Material]],'COGS Break up'!#REF!,5,0),0)</f>
        <v>0</v>
      </c>
      <c r="AE32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25" s="48" t="e">
        <f>Sales4[[#This Row],[PGI per unit]]-Sales4[[#This Row],[BOM Cost]]-Sales4[[#This Row],[Labour cost per unit]]-Sales4[[#This Row],[Other Conversion cost pu]]</f>
        <v>#REF!</v>
      </c>
      <c r="AG325" s="48" t="e">
        <f>Sales4[[#This Row],[BOM Cost2]]+Sales4[[#This Row],[Labour Cost]]+Sales4[[#This Row],[Other conversion cost]]</f>
        <v>#REF!</v>
      </c>
      <c r="AH325" s="12" t="e">
        <f>Sales4[[#This Row],[Billed Quantity]]*Sales4[[#This Row],[BOM Cost]]</f>
        <v>#REF!</v>
      </c>
      <c r="AI325" s="12" t="e">
        <f>Sales4[[#This Row],[Billed Quantity]]*Sales4[[#This Row],[Labour cost per unit]]</f>
        <v>#REF!</v>
      </c>
      <c r="AJ325" s="12">
        <f>Sales4[[#This Row],[Droppage per unit]]*Sales4[[#This Row],[Billed Quantity]]</f>
        <v>0</v>
      </c>
      <c r="AK325" s="12" t="e">
        <f>Sales4[[#This Row],[Billed Quantity]]*Sales4[[#This Row],[Other Conversion cost pu]]</f>
        <v>#REF!</v>
      </c>
      <c r="AL325" s="48" t="e">
        <f>Sales4[[#This Row],[PGI Amount]]-Sales4[[#This Row],[BOM Cost2]]-Sales4[[#This Row],[Labour Cost]]-Sales4[[#This Row],[Other conversion cost]]</f>
        <v>#REF!</v>
      </c>
      <c r="AM325" s="121" t="e">
        <f>1-Sales4[[#This Row],[PGI COST]]/Sales4[[#This Row],[Net Value]]</f>
        <v>#REF!</v>
      </c>
      <c r="AN325" s="1">
        <f>Sales4[[#This Row],[PGI Amount]]/Sales4[[#This Row],[Billed Quantity]]</f>
        <v>0.26</v>
      </c>
      <c r="AO325" s="72" t="e">
        <f>SUMIFS('COGS Break up'!#REF!,'COGS Break up'!#REF!,Sales4[[#This Row],[Material]],'COGS Break up'!#REF!,'MIS Working'!$AO$1)</f>
        <v>#REF!</v>
      </c>
      <c r="AP325" s="72" t="e">
        <f>SUMIFS('COGS Break up'!#REF!,'COGS Break up'!#REF!,Sales4[[#This Row],[Material]],'COGS Break up'!#REF!,'MIS Working'!$AP$1)</f>
        <v>#REF!</v>
      </c>
      <c r="AQ325" s="72" t="e">
        <f>SUMIFS('COGS Break up'!#REF!,'COGS Break up'!#REF!,Sales4[[#This Row],[Material]],'COGS Break up'!#REF!,'MIS Working'!$AQ$1)</f>
        <v>#REF!</v>
      </c>
      <c r="AR325" s="72">
        <f>Sales4[[#This Row],[Droppage per unit]]</f>
        <v>0</v>
      </c>
      <c r="AS325" s="15" t="e">
        <f>AO325*Sales4[[#This Row],[Billed Quantity]]</f>
        <v>#REF!</v>
      </c>
      <c r="AT325" s="72" t="e">
        <f>AP325*Sales4[[#This Row],[Billed Quantity]]</f>
        <v>#REF!</v>
      </c>
      <c r="AU325" s="72" t="e">
        <f>AQ325*Sales4[[#This Row],[Billed Quantity]]</f>
        <v>#REF!</v>
      </c>
      <c r="AV325" s="72">
        <f>AR325*Sales4[[#This Row],[Billed Quantity]]</f>
        <v>0</v>
      </c>
    </row>
    <row r="326" spans="1:48" x14ac:dyDescent="0.3">
      <c r="A326" s="1" t="s">
        <v>1212</v>
      </c>
      <c r="B326" s="2">
        <v>45908</v>
      </c>
      <c r="C326" s="1">
        <v>3271267987</v>
      </c>
      <c r="D326" s="1" t="s">
        <v>1318</v>
      </c>
      <c r="E326" s="1" t="s">
        <v>1319</v>
      </c>
      <c r="F326" s="1" t="s">
        <v>18</v>
      </c>
      <c r="G326" s="1" t="s">
        <v>48</v>
      </c>
      <c r="H326" s="1" t="s">
        <v>204</v>
      </c>
      <c r="I326" s="3">
        <v>15000</v>
      </c>
      <c r="J326" s="4">
        <v>579.70000000000005</v>
      </c>
      <c r="K326" s="3">
        <v>15000</v>
      </c>
      <c r="L326" s="3">
        <v>15000</v>
      </c>
      <c r="M326" s="2">
        <v>45908</v>
      </c>
      <c r="N326" s="4">
        <v>450</v>
      </c>
      <c r="O326" s="1" t="s">
        <v>21</v>
      </c>
      <c r="P326" s="1" t="s">
        <v>22</v>
      </c>
      <c r="Q326" s="1">
        <v>6</v>
      </c>
      <c r="R326" s="1" t="str">
        <f>VLOOKUP(Sales4[[#This Row],[Material type]],Master!$H$3:$I$8,2,0)</f>
        <v>Raw Material</v>
      </c>
      <c r="S326" s="1" t="str">
        <f>VLOOKUP(Sales4[[#This Row],[Material Group]],Master!B:C,2,0)</f>
        <v>RM-Eletro-Resistor</v>
      </c>
      <c r="T326" s="1" t="str">
        <f>VLOOKUP(Sales4[[#This Row],[Material Group Descrip]],Master!E:F,2,0)</f>
        <v>Raw Material</v>
      </c>
      <c r="U326" s="9" t="b">
        <f ca="1">(TODAY()-1)=Sales4[[#This Row],[Billing Date]]</f>
        <v>0</v>
      </c>
      <c r="V326" s="10" t="e">
        <f>Sales4[[#This Row],[Net Value]]-Sales4[[#This Row],[PGI COST]]</f>
        <v>#REF!</v>
      </c>
      <c r="W326" s="11" t="e">
        <f>Sales4[[#This Row],[Gross Margin]]/Sales4[[#This Row],[Net Value]]</f>
        <v>#REF!</v>
      </c>
      <c r="X326" s="1" t="str">
        <f>TEXT(Sales4[[#This Row],[Billing Date]],"mmmm-yy")</f>
        <v>September-25</v>
      </c>
      <c r="Y326" s="1">
        <f>Sales4[[#This Row],[Net Value]]/Sales4[[#This Row],[Billed Quantity]]</f>
        <v>0.03</v>
      </c>
      <c r="Z326" s="117">
        <f>Sales4[[#This Row],[Actual delivery qty]]</f>
        <v>15000</v>
      </c>
      <c r="AA326" s="12" t="e">
        <f>SUM(Sales4[[#This Row],[BOM Cost]:[Other Conversion cost pu]])</f>
        <v>#REF!</v>
      </c>
      <c r="AB32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2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26" s="12">
        <f>IFERROR(VLOOKUP(Sales4[[#This Row],[Material]],'COGS Break up'!#REF!,5,0),0)</f>
        <v>0</v>
      </c>
      <c r="AE32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26" s="48" t="e">
        <f>Sales4[[#This Row],[PGI per unit]]-Sales4[[#This Row],[BOM Cost]]-Sales4[[#This Row],[Labour cost per unit]]-Sales4[[#This Row],[Other Conversion cost pu]]</f>
        <v>#REF!</v>
      </c>
      <c r="AG326" s="48" t="e">
        <f>Sales4[[#This Row],[BOM Cost2]]+Sales4[[#This Row],[Labour Cost]]+Sales4[[#This Row],[Other conversion cost]]</f>
        <v>#REF!</v>
      </c>
      <c r="AH326" s="12" t="e">
        <f>Sales4[[#This Row],[Billed Quantity]]*Sales4[[#This Row],[BOM Cost]]</f>
        <v>#REF!</v>
      </c>
      <c r="AI326" s="12" t="e">
        <f>Sales4[[#This Row],[Billed Quantity]]*Sales4[[#This Row],[Labour cost per unit]]</f>
        <v>#REF!</v>
      </c>
      <c r="AJ326" s="12">
        <f>Sales4[[#This Row],[Droppage per unit]]*Sales4[[#This Row],[Billed Quantity]]</f>
        <v>0</v>
      </c>
      <c r="AK326" s="12" t="e">
        <f>Sales4[[#This Row],[Billed Quantity]]*Sales4[[#This Row],[Other Conversion cost pu]]</f>
        <v>#REF!</v>
      </c>
      <c r="AL326" s="48" t="e">
        <f>Sales4[[#This Row],[PGI Amount]]-Sales4[[#This Row],[BOM Cost2]]-Sales4[[#This Row],[Labour Cost]]-Sales4[[#This Row],[Other conversion cost]]</f>
        <v>#REF!</v>
      </c>
      <c r="AM326" s="121" t="e">
        <f>1-Sales4[[#This Row],[PGI COST]]/Sales4[[#This Row],[Net Value]]</f>
        <v>#REF!</v>
      </c>
      <c r="AN326" s="1">
        <f>Sales4[[#This Row],[PGI Amount]]/Sales4[[#This Row],[Billed Quantity]]</f>
        <v>3.8646666666666669E-2</v>
      </c>
      <c r="AO326" s="72" t="e">
        <f>SUMIFS('COGS Break up'!#REF!,'COGS Break up'!#REF!,Sales4[[#This Row],[Material]],'COGS Break up'!#REF!,'MIS Working'!$AO$1)</f>
        <v>#REF!</v>
      </c>
      <c r="AP326" s="72" t="e">
        <f>SUMIFS('COGS Break up'!#REF!,'COGS Break up'!#REF!,Sales4[[#This Row],[Material]],'COGS Break up'!#REF!,'MIS Working'!$AP$1)</f>
        <v>#REF!</v>
      </c>
      <c r="AQ326" s="72" t="e">
        <f>SUMIFS('COGS Break up'!#REF!,'COGS Break up'!#REF!,Sales4[[#This Row],[Material]],'COGS Break up'!#REF!,'MIS Working'!$AQ$1)</f>
        <v>#REF!</v>
      </c>
      <c r="AR326" s="72">
        <f>Sales4[[#This Row],[Droppage per unit]]</f>
        <v>0</v>
      </c>
      <c r="AS326" s="15" t="e">
        <f>AO326*Sales4[[#This Row],[Billed Quantity]]</f>
        <v>#REF!</v>
      </c>
      <c r="AT326" s="72" t="e">
        <f>AP326*Sales4[[#This Row],[Billed Quantity]]</f>
        <v>#REF!</v>
      </c>
      <c r="AU326" s="72" t="e">
        <f>AQ326*Sales4[[#This Row],[Billed Quantity]]</f>
        <v>#REF!</v>
      </c>
      <c r="AV326" s="72">
        <f>AR326*Sales4[[#This Row],[Billed Quantity]]</f>
        <v>0</v>
      </c>
    </row>
    <row r="327" spans="1:48" x14ac:dyDescent="0.3">
      <c r="A327" s="1" t="s">
        <v>1212</v>
      </c>
      <c r="B327" s="2">
        <v>45908</v>
      </c>
      <c r="C327" s="1">
        <v>3271267987</v>
      </c>
      <c r="D327" s="1" t="s">
        <v>1320</v>
      </c>
      <c r="E327" s="1" t="s">
        <v>1321</v>
      </c>
      <c r="F327" s="1" t="s">
        <v>18</v>
      </c>
      <c r="G327" s="1" t="s">
        <v>48</v>
      </c>
      <c r="H327" s="1" t="s">
        <v>207</v>
      </c>
      <c r="I327" s="3">
        <v>9870</v>
      </c>
      <c r="J327" s="4">
        <v>38177.040000000001</v>
      </c>
      <c r="K327" s="3">
        <v>9870</v>
      </c>
      <c r="L327" s="3">
        <v>9870</v>
      </c>
      <c r="M327" s="2">
        <v>45908</v>
      </c>
      <c r="N327" s="4">
        <v>34347.599999999999</v>
      </c>
      <c r="O327" s="1" t="s">
        <v>21</v>
      </c>
      <c r="P327" s="1" t="s">
        <v>22</v>
      </c>
      <c r="Q327" s="1">
        <v>6</v>
      </c>
      <c r="R327" s="1" t="str">
        <f>VLOOKUP(Sales4[[#This Row],[Material type]],Master!$H$3:$I$8,2,0)</f>
        <v>Raw Material</v>
      </c>
      <c r="S327" s="1" t="str">
        <f>VLOOKUP(Sales4[[#This Row],[Material Group]],Master!B:C,2,0)</f>
        <v>RM-Mech. Accessories</v>
      </c>
      <c r="T327" s="1" t="str">
        <f>VLOOKUP(Sales4[[#This Row],[Material Group Descrip]],Master!E:F,2,0)</f>
        <v>Raw Material</v>
      </c>
      <c r="U327" s="9" t="b">
        <f ca="1">(TODAY()-1)=Sales4[[#This Row],[Billing Date]]</f>
        <v>0</v>
      </c>
      <c r="V327" s="10" t="e">
        <f>Sales4[[#This Row],[Net Value]]-Sales4[[#This Row],[PGI COST]]</f>
        <v>#REF!</v>
      </c>
      <c r="W327" s="11" t="e">
        <f>Sales4[[#This Row],[Gross Margin]]/Sales4[[#This Row],[Net Value]]</f>
        <v>#REF!</v>
      </c>
      <c r="X327" s="1" t="str">
        <f>TEXT(Sales4[[#This Row],[Billing Date]],"mmmm-yy")</f>
        <v>September-25</v>
      </c>
      <c r="Y327" s="1">
        <f>Sales4[[#This Row],[Net Value]]/Sales4[[#This Row],[Billed Quantity]]</f>
        <v>3.48</v>
      </c>
      <c r="Z327" s="117">
        <f>Sales4[[#This Row],[Actual delivery qty]]</f>
        <v>9870</v>
      </c>
      <c r="AA327" s="12" t="e">
        <f>SUM(Sales4[[#This Row],[BOM Cost]:[Other Conversion cost pu]])</f>
        <v>#REF!</v>
      </c>
      <c r="AB32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2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27" s="12">
        <f>IFERROR(VLOOKUP(Sales4[[#This Row],[Material]],'COGS Break up'!#REF!,5,0),0)</f>
        <v>0</v>
      </c>
      <c r="AE32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27" s="48" t="e">
        <f>Sales4[[#This Row],[PGI per unit]]-Sales4[[#This Row],[BOM Cost]]-Sales4[[#This Row],[Labour cost per unit]]-Sales4[[#This Row],[Other Conversion cost pu]]</f>
        <v>#REF!</v>
      </c>
      <c r="AG327" s="48" t="e">
        <f>Sales4[[#This Row],[BOM Cost2]]+Sales4[[#This Row],[Labour Cost]]+Sales4[[#This Row],[Other conversion cost]]</f>
        <v>#REF!</v>
      </c>
      <c r="AH327" s="12" t="e">
        <f>Sales4[[#This Row],[Billed Quantity]]*Sales4[[#This Row],[BOM Cost]]</f>
        <v>#REF!</v>
      </c>
      <c r="AI327" s="12" t="e">
        <f>Sales4[[#This Row],[Billed Quantity]]*Sales4[[#This Row],[Labour cost per unit]]</f>
        <v>#REF!</v>
      </c>
      <c r="AJ327" s="12">
        <f>Sales4[[#This Row],[Droppage per unit]]*Sales4[[#This Row],[Billed Quantity]]</f>
        <v>0</v>
      </c>
      <c r="AK327" s="12" t="e">
        <f>Sales4[[#This Row],[Billed Quantity]]*Sales4[[#This Row],[Other Conversion cost pu]]</f>
        <v>#REF!</v>
      </c>
      <c r="AL327" s="48" t="e">
        <f>Sales4[[#This Row],[PGI Amount]]-Sales4[[#This Row],[BOM Cost2]]-Sales4[[#This Row],[Labour Cost]]-Sales4[[#This Row],[Other conversion cost]]</f>
        <v>#REF!</v>
      </c>
      <c r="AM327" s="121" t="e">
        <f>1-Sales4[[#This Row],[PGI COST]]/Sales4[[#This Row],[Net Value]]</f>
        <v>#REF!</v>
      </c>
      <c r="AN327" s="1">
        <f>Sales4[[#This Row],[PGI Amount]]/Sales4[[#This Row],[Billed Quantity]]</f>
        <v>3.8679878419452889</v>
      </c>
      <c r="AO327" s="72" t="e">
        <f>SUMIFS('COGS Break up'!#REF!,'COGS Break up'!#REF!,Sales4[[#This Row],[Material]],'COGS Break up'!#REF!,'MIS Working'!$AO$1)</f>
        <v>#REF!</v>
      </c>
      <c r="AP327" s="72" t="e">
        <f>SUMIFS('COGS Break up'!#REF!,'COGS Break up'!#REF!,Sales4[[#This Row],[Material]],'COGS Break up'!#REF!,'MIS Working'!$AP$1)</f>
        <v>#REF!</v>
      </c>
      <c r="AQ327" s="72" t="e">
        <f>SUMIFS('COGS Break up'!#REF!,'COGS Break up'!#REF!,Sales4[[#This Row],[Material]],'COGS Break up'!#REF!,'MIS Working'!$AQ$1)</f>
        <v>#REF!</v>
      </c>
      <c r="AR327" s="72">
        <f>Sales4[[#This Row],[Droppage per unit]]</f>
        <v>0</v>
      </c>
      <c r="AS327" s="15" t="e">
        <f>AO327*Sales4[[#This Row],[Billed Quantity]]</f>
        <v>#REF!</v>
      </c>
      <c r="AT327" s="72" t="e">
        <f>AP327*Sales4[[#This Row],[Billed Quantity]]</f>
        <v>#REF!</v>
      </c>
      <c r="AU327" s="72" t="e">
        <f>AQ327*Sales4[[#This Row],[Billed Quantity]]</f>
        <v>#REF!</v>
      </c>
      <c r="AV327" s="72">
        <f>AR327*Sales4[[#This Row],[Billed Quantity]]</f>
        <v>0</v>
      </c>
    </row>
    <row r="328" spans="1:48" x14ac:dyDescent="0.3">
      <c r="A328" s="1" t="s">
        <v>1212</v>
      </c>
      <c r="B328" s="2">
        <v>45908</v>
      </c>
      <c r="C328" s="1">
        <v>3271267987</v>
      </c>
      <c r="D328" s="1" t="s">
        <v>1322</v>
      </c>
      <c r="E328" s="1" t="s">
        <v>1323</v>
      </c>
      <c r="F328" s="1" t="s">
        <v>18</v>
      </c>
      <c r="G328" s="1" t="s">
        <v>48</v>
      </c>
      <c r="H328" s="1" t="s">
        <v>207</v>
      </c>
      <c r="I328" s="3">
        <v>10000</v>
      </c>
      <c r="J328" s="4">
        <v>174169.61</v>
      </c>
      <c r="K328" s="3">
        <v>10000</v>
      </c>
      <c r="L328" s="3">
        <v>10000</v>
      </c>
      <c r="M328" s="2">
        <v>45908</v>
      </c>
      <c r="N328" s="4">
        <v>136300</v>
      </c>
      <c r="O328" s="1" t="s">
        <v>21</v>
      </c>
      <c r="P328" s="1" t="s">
        <v>22</v>
      </c>
      <c r="Q328" s="1">
        <v>6</v>
      </c>
      <c r="R328" s="1" t="str">
        <f>VLOOKUP(Sales4[[#This Row],[Material type]],Master!$H$3:$I$8,2,0)</f>
        <v>Raw Material</v>
      </c>
      <c r="S328" s="1" t="str">
        <f>VLOOKUP(Sales4[[#This Row],[Material Group]],Master!B:C,2,0)</f>
        <v>RM-Mech. Accessories</v>
      </c>
      <c r="T328" s="1" t="str">
        <f>VLOOKUP(Sales4[[#This Row],[Material Group Descrip]],Master!E:F,2,0)</f>
        <v>Raw Material</v>
      </c>
      <c r="U328" s="9" t="b">
        <f ca="1">(TODAY()-1)=Sales4[[#This Row],[Billing Date]]</f>
        <v>0</v>
      </c>
      <c r="V328" s="10" t="e">
        <f>Sales4[[#This Row],[Net Value]]-Sales4[[#This Row],[PGI COST]]</f>
        <v>#REF!</v>
      </c>
      <c r="W328" s="11" t="e">
        <f>Sales4[[#This Row],[Gross Margin]]/Sales4[[#This Row],[Net Value]]</f>
        <v>#REF!</v>
      </c>
      <c r="X328" s="1" t="str">
        <f>TEXT(Sales4[[#This Row],[Billing Date]],"mmmm-yy")</f>
        <v>September-25</v>
      </c>
      <c r="Y328" s="1">
        <f>Sales4[[#This Row],[Net Value]]/Sales4[[#This Row],[Billed Quantity]]</f>
        <v>13.63</v>
      </c>
      <c r="Z328" s="117">
        <f>Sales4[[#This Row],[Actual delivery qty]]</f>
        <v>10000</v>
      </c>
      <c r="AA328" s="12" t="e">
        <f>SUM(Sales4[[#This Row],[BOM Cost]:[Other Conversion cost pu]])</f>
        <v>#REF!</v>
      </c>
      <c r="AB32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2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28" s="12">
        <f>IFERROR(VLOOKUP(Sales4[[#This Row],[Material]],'COGS Break up'!#REF!,5,0),0)</f>
        <v>0</v>
      </c>
      <c r="AE32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28" s="48" t="e">
        <f>Sales4[[#This Row],[PGI per unit]]-Sales4[[#This Row],[BOM Cost]]-Sales4[[#This Row],[Labour cost per unit]]-Sales4[[#This Row],[Other Conversion cost pu]]</f>
        <v>#REF!</v>
      </c>
      <c r="AG328" s="48" t="e">
        <f>Sales4[[#This Row],[BOM Cost2]]+Sales4[[#This Row],[Labour Cost]]+Sales4[[#This Row],[Other conversion cost]]</f>
        <v>#REF!</v>
      </c>
      <c r="AH328" s="12" t="e">
        <f>Sales4[[#This Row],[Billed Quantity]]*Sales4[[#This Row],[BOM Cost]]</f>
        <v>#REF!</v>
      </c>
      <c r="AI328" s="12" t="e">
        <f>Sales4[[#This Row],[Billed Quantity]]*Sales4[[#This Row],[Labour cost per unit]]</f>
        <v>#REF!</v>
      </c>
      <c r="AJ328" s="12">
        <f>Sales4[[#This Row],[Droppage per unit]]*Sales4[[#This Row],[Billed Quantity]]</f>
        <v>0</v>
      </c>
      <c r="AK328" s="12" t="e">
        <f>Sales4[[#This Row],[Billed Quantity]]*Sales4[[#This Row],[Other Conversion cost pu]]</f>
        <v>#REF!</v>
      </c>
      <c r="AL328" s="48" t="e">
        <f>Sales4[[#This Row],[PGI Amount]]-Sales4[[#This Row],[BOM Cost2]]-Sales4[[#This Row],[Labour Cost]]-Sales4[[#This Row],[Other conversion cost]]</f>
        <v>#REF!</v>
      </c>
      <c r="AM328" s="121" t="e">
        <f>1-Sales4[[#This Row],[PGI COST]]/Sales4[[#This Row],[Net Value]]</f>
        <v>#REF!</v>
      </c>
      <c r="AN328" s="1">
        <f>Sales4[[#This Row],[PGI Amount]]/Sales4[[#This Row],[Billed Quantity]]</f>
        <v>17.416960999999997</v>
      </c>
      <c r="AO328" s="72" t="e">
        <f>SUMIFS('COGS Break up'!#REF!,'COGS Break up'!#REF!,Sales4[[#This Row],[Material]],'COGS Break up'!#REF!,'MIS Working'!$AO$1)</f>
        <v>#REF!</v>
      </c>
      <c r="AP328" s="72" t="e">
        <f>SUMIFS('COGS Break up'!#REF!,'COGS Break up'!#REF!,Sales4[[#This Row],[Material]],'COGS Break up'!#REF!,'MIS Working'!$AP$1)</f>
        <v>#REF!</v>
      </c>
      <c r="AQ328" s="72" t="e">
        <f>SUMIFS('COGS Break up'!#REF!,'COGS Break up'!#REF!,Sales4[[#This Row],[Material]],'COGS Break up'!#REF!,'MIS Working'!$AQ$1)</f>
        <v>#REF!</v>
      </c>
      <c r="AR328" s="72">
        <f>Sales4[[#This Row],[Droppage per unit]]</f>
        <v>0</v>
      </c>
      <c r="AS328" s="15" t="e">
        <f>AO328*Sales4[[#This Row],[Billed Quantity]]</f>
        <v>#REF!</v>
      </c>
      <c r="AT328" s="72" t="e">
        <f>AP328*Sales4[[#This Row],[Billed Quantity]]</f>
        <v>#REF!</v>
      </c>
      <c r="AU328" s="72" t="e">
        <f>AQ328*Sales4[[#This Row],[Billed Quantity]]</f>
        <v>#REF!</v>
      </c>
      <c r="AV328" s="72">
        <f>AR328*Sales4[[#This Row],[Billed Quantity]]</f>
        <v>0</v>
      </c>
    </row>
    <row r="329" spans="1:48" x14ac:dyDescent="0.3">
      <c r="A329" s="1" t="s">
        <v>1212</v>
      </c>
      <c r="B329" s="2">
        <v>45908</v>
      </c>
      <c r="C329" s="1">
        <v>3271267987</v>
      </c>
      <c r="D329" s="1" t="s">
        <v>1324</v>
      </c>
      <c r="E329" s="1" t="s">
        <v>1325</v>
      </c>
      <c r="F329" s="1" t="s">
        <v>18</v>
      </c>
      <c r="G329" s="1" t="s">
        <v>48</v>
      </c>
      <c r="H329" s="1" t="s">
        <v>207</v>
      </c>
      <c r="I329" s="3">
        <v>4000</v>
      </c>
      <c r="J329" s="4">
        <v>5863.71</v>
      </c>
      <c r="K329" s="3">
        <v>4000</v>
      </c>
      <c r="L329" s="3">
        <v>4000</v>
      </c>
      <c r="M329" s="2">
        <v>45908</v>
      </c>
      <c r="N329" s="4">
        <v>8720</v>
      </c>
      <c r="O329" s="1" t="s">
        <v>21</v>
      </c>
      <c r="P329" s="1" t="s">
        <v>22</v>
      </c>
      <c r="Q329" s="1">
        <v>6</v>
      </c>
      <c r="R329" s="1" t="str">
        <f>VLOOKUP(Sales4[[#This Row],[Material type]],Master!$H$3:$I$8,2,0)</f>
        <v>Raw Material</v>
      </c>
      <c r="S329" s="1" t="str">
        <f>VLOOKUP(Sales4[[#This Row],[Material Group]],Master!B:C,2,0)</f>
        <v>RM-Mech. Accessories</v>
      </c>
      <c r="T329" s="1" t="str">
        <f>VLOOKUP(Sales4[[#This Row],[Material Group Descrip]],Master!E:F,2,0)</f>
        <v>Raw Material</v>
      </c>
      <c r="U329" s="9" t="b">
        <f ca="1">(TODAY()-1)=Sales4[[#This Row],[Billing Date]]</f>
        <v>0</v>
      </c>
      <c r="V329" s="10" t="e">
        <f>Sales4[[#This Row],[Net Value]]-Sales4[[#This Row],[PGI COST]]</f>
        <v>#REF!</v>
      </c>
      <c r="W329" s="11" t="e">
        <f>Sales4[[#This Row],[Gross Margin]]/Sales4[[#This Row],[Net Value]]</f>
        <v>#REF!</v>
      </c>
      <c r="X329" s="1" t="str">
        <f>TEXT(Sales4[[#This Row],[Billing Date]],"mmmm-yy")</f>
        <v>September-25</v>
      </c>
      <c r="Y329" s="1">
        <f>Sales4[[#This Row],[Net Value]]/Sales4[[#This Row],[Billed Quantity]]</f>
        <v>2.1800000000000002</v>
      </c>
      <c r="Z329" s="117">
        <f>Sales4[[#This Row],[Actual delivery qty]]</f>
        <v>4000</v>
      </c>
      <c r="AA329" s="12" t="e">
        <f>SUM(Sales4[[#This Row],[BOM Cost]:[Other Conversion cost pu]])</f>
        <v>#REF!</v>
      </c>
      <c r="AB32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2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29" s="12">
        <f>IFERROR(VLOOKUP(Sales4[[#This Row],[Material]],'COGS Break up'!#REF!,5,0),0)</f>
        <v>0</v>
      </c>
      <c r="AE32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29" s="48" t="e">
        <f>Sales4[[#This Row],[PGI per unit]]-Sales4[[#This Row],[BOM Cost]]-Sales4[[#This Row],[Labour cost per unit]]-Sales4[[#This Row],[Other Conversion cost pu]]</f>
        <v>#REF!</v>
      </c>
      <c r="AG329" s="48" t="e">
        <f>Sales4[[#This Row],[BOM Cost2]]+Sales4[[#This Row],[Labour Cost]]+Sales4[[#This Row],[Other conversion cost]]</f>
        <v>#REF!</v>
      </c>
      <c r="AH329" s="12" t="e">
        <f>Sales4[[#This Row],[Billed Quantity]]*Sales4[[#This Row],[BOM Cost]]</f>
        <v>#REF!</v>
      </c>
      <c r="AI329" s="12" t="e">
        <f>Sales4[[#This Row],[Billed Quantity]]*Sales4[[#This Row],[Labour cost per unit]]</f>
        <v>#REF!</v>
      </c>
      <c r="AJ329" s="12">
        <f>Sales4[[#This Row],[Droppage per unit]]*Sales4[[#This Row],[Billed Quantity]]</f>
        <v>0</v>
      </c>
      <c r="AK329" s="12" t="e">
        <f>Sales4[[#This Row],[Billed Quantity]]*Sales4[[#This Row],[Other Conversion cost pu]]</f>
        <v>#REF!</v>
      </c>
      <c r="AL329" s="48" t="e">
        <f>Sales4[[#This Row],[PGI Amount]]-Sales4[[#This Row],[BOM Cost2]]-Sales4[[#This Row],[Labour Cost]]-Sales4[[#This Row],[Other conversion cost]]</f>
        <v>#REF!</v>
      </c>
      <c r="AM329" s="121" t="e">
        <f>1-Sales4[[#This Row],[PGI COST]]/Sales4[[#This Row],[Net Value]]</f>
        <v>#REF!</v>
      </c>
      <c r="AN329" s="1">
        <f>Sales4[[#This Row],[PGI Amount]]/Sales4[[#This Row],[Billed Quantity]]</f>
        <v>1.4659275</v>
      </c>
      <c r="AO329" s="72" t="e">
        <f>SUMIFS('COGS Break up'!#REF!,'COGS Break up'!#REF!,Sales4[[#This Row],[Material]],'COGS Break up'!#REF!,'MIS Working'!$AO$1)</f>
        <v>#REF!</v>
      </c>
      <c r="AP329" s="72" t="e">
        <f>SUMIFS('COGS Break up'!#REF!,'COGS Break up'!#REF!,Sales4[[#This Row],[Material]],'COGS Break up'!#REF!,'MIS Working'!$AP$1)</f>
        <v>#REF!</v>
      </c>
      <c r="AQ329" s="72" t="e">
        <f>SUMIFS('COGS Break up'!#REF!,'COGS Break up'!#REF!,Sales4[[#This Row],[Material]],'COGS Break up'!#REF!,'MIS Working'!$AQ$1)</f>
        <v>#REF!</v>
      </c>
      <c r="AR329" s="72">
        <f>Sales4[[#This Row],[Droppage per unit]]</f>
        <v>0</v>
      </c>
      <c r="AS329" s="15" t="e">
        <f>AO329*Sales4[[#This Row],[Billed Quantity]]</f>
        <v>#REF!</v>
      </c>
      <c r="AT329" s="72" t="e">
        <f>AP329*Sales4[[#This Row],[Billed Quantity]]</f>
        <v>#REF!</v>
      </c>
      <c r="AU329" s="72" t="e">
        <f>AQ329*Sales4[[#This Row],[Billed Quantity]]</f>
        <v>#REF!</v>
      </c>
      <c r="AV329" s="72">
        <f>AR329*Sales4[[#This Row],[Billed Quantity]]</f>
        <v>0</v>
      </c>
    </row>
    <row r="330" spans="1:48" x14ac:dyDescent="0.3">
      <c r="A330" s="1" t="s">
        <v>1212</v>
      </c>
      <c r="B330" s="2">
        <v>45908</v>
      </c>
      <c r="C330" s="1">
        <v>3271267987</v>
      </c>
      <c r="D330" s="1" t="s">
        <v>1326</v>
      </c>
      <c r="E330" s="1" t="s">
        <v>1327</v>
      </c>
      <c r="F330" s="1" t="s">
        <v>18</v>
      </c>
      <c r="G330" s="1" t="s">
        <v>48</v>
      </c>
      <c r="H330" s="1" t="s">
        <v>207</v>
      </c>
      <c r="I330" s="3">
        <v>10000</v>
      </c>
      <c r="J330" s="4">
        <v>330</v>
      </c>
      <c r="K330" s="3">
        <v>10000</v>
      </c>
      <c r="L330" s="3">
        <v>10000</v>
      </c>
      <c r="M330" s="2">
        <v>45908</v>
      </c>
      <c r="N330" s="4">
        <v>300</v>
      </c>
      <c r="O330" s="1" t="s">
        <v>21</v>
      </c>
      <c r="P330" s="1" t="s">
        <v>22</v>
      </c>
      <c r="Q330" s="1">
        <v>6</v>
      </c>
      <c r="R330" s="1" t="str">
        <f>VLOOKUP(Sales4[[#This Row],[Material type]],Master!$H$3:$I$8,2,0)</f>
        <v>Raw Material</v>
      </c>
      <c r="S330" s="1" t="str">
        <f>VLOOKUP(Sales4[[#This Row],[Material Group]],Master!B:C,2,0)</f>
        <v>RM-Mech. Accessories</v>
      </c>
      <c r="T330" s="1" t="str">
        <f>VLOOKUP(Sales4[[#This Row],[Material Group Descrip]],Master!E:F,2,0)</f>
        <v>Raw Material</v>
      </c>
      <c r="U330" s="9" t="b">
        <f ca="1">(TODAY()-1)=Sales4[[#This Row],[Billing Date]]</f>
        <v>0</v>
      </c>
      <c r="V330" s="10" t="e">
        <f>Sales4[[#This Row],[Net Value]]-Sales4[[#This Row],[PGI COST]]</f>
        <v>#REF!</v>
      </c>
      <c r="W330" s="11" t="e">
        <f>Sales4[[#This Row],[Gross Margin]]/Sales4[[#This Row],[Net Value]]</f>
        <v>#REF!</v>
      </c>
      <c r="X330" s="1" t="str">
        <f>TEXT(Sales4[[#This Row],[Billing Date]],"mmmm-yy")</f>
        <v>September-25</v>
      </c>
      <c r="Y330" s="1">
        <f>Sales4[[#This Row],[Net Value]]/Sales4[[#This Row],[Billed Quantity]]</f>
        <v>0.03</v>
      </c>
      <c r="Z330" s="117">
        <f>Sales4[[#This Row],[Actual delivery qty]]</f>
        <v>10000</v>
      </c>
      <c r="AA330" s="12" t="e">
        <f>SUM(Sales4[[#This Row],[BOM Cost]:[Other Conversion cost pu]])</f>
        <v>#REF!</v>
      </c>
      <c r="AB33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3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30" s="12">
        <f>IFERROR(VLOOKUP(Sales4[[#This Row],[Material]],'COGS Break up'!#REF!,5,0),0)</f>
        <v>0</v>
      </c>
      <c r="AE33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30" s="48" t="e">
        <f>Sales4[[#This Row],[PGI per unit]]-Sales4[[#This Row],[BOM Cost]]-Sales4[[#This Row],[Labour cost per unit]]-Sales4[[#This Row],[Other Conversion cost pu]]</f>
        <v>#REF!</v>
      </c>
      <c r="AG330" s="48" t="e">
        <f>Sales4[[#This Row],[BOM Cost2]]+Sales4[[#This Row],[Labour Cost]]+Sales4[[#This Row],[Other conversion cost]]</f>
        <v>#REF!</v>
      </c>
      <c r="AH330" s="12" t="e">
        <f>Sales4[[#This Row],[Billed Quantity]]*Sales4[[#This Row],[BOM Cost]]</f>
        <v>#REF!</v>
      </c>
      <c r="AI330" s="12" t="e">
        <f>Sales4[[#This Row],[Billed Quantity]]*Sales4[[#This Row],[Labour cost per unit]]</f>
        <v>#REF!</v>
      </c>
      <c r="AJ330" s="12">
        <f>Sales4[[#This Row],[Droppage per unit]]*Sales4[[#This Row],[Billed Quantity]]</f>
        <v>0</v>
      </c>
      <c r="AK330" s="12" t="e">
        <f>Sales4[[#This Row],[Billed Quantity]]*Sales4[[#This Row],[Other Conversion cost pu]]</f>
        <v>#REF!</v>
      </c>
      <c r="AL330" s="48" t="e">
        <f>Sales4[[#This Row],[PGI Amount]]-Sales4[[#This Row],[BOM Cost2]]-Sales4[[#This Row],[Labour Cost]]-Sales4[[#This Row],[Other conversion cost]]</f>
        <v>#REF!</v>
      </c>
      <c r="AM330" s="121" t="e">
        <f>1-Sales4[[#This Row],[PGI COST]]/Sales4[[#This Row],[Net Value]]</f>
        <v>#REF!</v>
      </c>
      <c r="AN330" s="1">
        <f>Sales4[[#This Row],[PGI Amount]]/Sales4[[#This Row],[Billed Quantity]]</f>
        <v>3.3000000000000002E-2</v>
      </c>
      <c r="AO330" s="72" t="e">
        <f>SUMIFS('COGS Break up'!#REF!,'COGS Break up'!#REF!,Sales4[[#This Row],[Material]],'COGS Break up'!#REF!,'MIS Working'!$AO$1)</f>
        <v>#REF!</v>
      </c>
      <c r="AP330" s="72" t="e">
        <f>SUMIFS('COGS Break up'!#REF!,'COGS Break up'!#REF!,Sales4[[#This Row],[Material]],'COGS Break up'!#REF!,'MIS Working'!$AP$1)</f>
        <v>#REF!</v>
      </c>
      <c r="AQ330" s="72" t="e">
        <f>SUMIFS('COGS Break up'!#REF!,'COGS Break up'!#REF!,Sales4[[#This Row],[Material]],'COGS Break up'!#REF!,'MIS Working'!$AQ$1)</f>
        <v>#REF!</v>
      </c>
      <c r="AR330" s="72">
        <f>Sales4[[#This Row],[Droppage per unit]]</f>
        <v>0</v>
      </c>
      <c r="AS330" s="15" t="e">
        <f>AO330*Sales4[[#This Row],[Billed Quantity]]</f>
        <v>#REF!</v>
      </c>
      <c r="AT330" s="72" t="e">
        <f>AP330*Sales4[[#This Row],[Billed Quantity]]</f>
        <v>#REF!</v>
      </c>
      <c r="AU330" s="72" t="e">
        <f>AQ330*Sales4[[#This Row],[Billed Quantity]]</f>
        <v>#REF!</v>
      </c>
      <c r="AV330" s="72">
        <f>AR330*Sales4[[#This Row],[Billed Quantity]]</f>
        <v>0</v>
      </c>
    </row>
    <row r="331" spans="1:48" x14ac:dyDescent="0.3">
      <c r="A331" s="1" t="s">
        <v>1212</v>
      </c>
      <c r="B331" s="2">
        <v>45908</v>
      </c>
      <c r="C331" s="1">
        <v>3271267987</v>
      </c>
      <c r="D331" s="1" t="s">
        <v>1328</v>
      </c>
      <c r="E331" s="1" t="s">
        <v>1329</v>
      </c>
      <c r="F331" s="1" t="s">
        <v>18</v>
      </c>
      <c r="G331" s="1" t="s">
        <v>48</v>
      </c>
      <c r="H331" s="1" t="s">
        <v>207</v>
      </c>
      <c r="I331" s="3">
        <v>4000</v>
      </c>
      <c r="J331" s="4">
        <v>16566.7</v>
      </c>
      <c r="K331" s="3">
        <v>4000</v>
      </c>
      <c r="L331" s="3">
        <v>4000</v>
      </c>
      <c r="M331" s="2">
        <v>45908</v>
      </c>
      <c r="N331" s="4">
        <v>16480</v>
      </c>
      <c r="O331" s="1" t="s">
        <v>21</v>
      </c>
      <c r="P331" s="1" t="s">
        <v>22</v>
      </c>
      <c r="Q331" s="1">
        <v>6</v>
      </c>
      <c r="R331" s="1" t="str">
        <f>VLOOKUP(Sales4[[#This Row],[Material type]],Master!$H$3:$I$8,2,0)</f>
        <v>Raw Material</v>
      </c>
      <c r="S331" s="1" t="str">
        <f>VLOOKUP(Sales4[[#This Row],[Material Group]],Master!B:C,2,0)</f>
        <v>RM-Mech. Accessories</v>
      </c>
      <c r="T331" s="1" t="str">
        <f>VLOOKUP(Sales4[[#This Row],[Material Group Descrip]],Master!E:F,2,0)</f>
        <v>Raw Material</v>
      </c>
      <c r="U331" s="9" t="b">
        <f ca="1">(TODAY()-1)=Sales4[[#This Row],[Billing Date]]</f>
        <v>0</v>
      </c>
      <c r="V331" s="10" t="e">
        <f>Sales4[[#This Row],[Net Value]]-Sales4[[#This Row],[PGI COST]]</f>
        <v>#REF!</v>
      </c>
      <c r="W331" s="11" t="e">
        <f>Sales4[[#This Row],[Gross Margin]]/Sales4[[#This Row],[Net Value]]</f>
        <v>#REF!</v>
      </c>
      <c r="X331" s="1" t="str">
        <f>TEXT(Sales4[[#This Row],[Billing Date]],"mmmm-yy")</f>
        <v>September-25</v>
      </c>
      <c r="Y331" s="1">
        <f>Sales4[[#This Row],[Net Value]]/Sales4[[#This Row],[Billed Quantity]]</f>
        <v>4.12</v>
      </c>
      <c r="Z331" s="117">
        <f>Sales4[[#This Row],[Actual delivery qty]]</f>
        <v>4000</v>
      </c>
      <c r="AA331" s="12" t="e">
        <f>SUM(Sales4[[#This Row],[BOM Cost]:[Other Conversion cost pu]])</f>
        <v>#REF!</v>
      </c>
      <c r="AB33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3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31" s="12">
        <f>IFERROR(VLOOKUP(Sales4[[#This Row],[Material]],'COGS Break up'!#REF!,5,0),0)</f>
        <v>0</v>
      </c>
      <c r="AE33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31" s="48" t="e">
        <f>Sales4[[#This Row],[PGI per unit]]-Sales4[[#This Row],[BOM Cost]]-Sales4[[#This Row],[Labour cost per unit]]-Sales4[[#This Row],[Other Conversion cost pu]]</f>
        <v>#REF!</v>
      </c>
      <c r="AG331" s="48" t="e">
        <f>Sales4[[#This Row],[BOM Cost2]]+Sales4[[#This Row],[Labour Cost]]+Sales4[[#This Row],[Other conversion cost]]</f>
        <v>#REF!</v>
      </c>
      <c r="AH331" s="12" t="e">
        <f>Sales4[[#This Row],[Billed Quantity]]*Sales4[[#This Row],[BOM Cost]]</f>
        <v>#REF!</v>
      </c>
      <c r="AI331" s="12" t="e">
        <f>Sales4[[#This Row],[Billed Quantity]]*Sales4[[#This Row],[Labour cost per unit]]</f>
        <v>#REF!</v>
      </c>
      <c r="AJ331" s="12">
        <f>Sales4[[#This Row],[Droppage per unit]]*Sales4[[#This Row],[Billed Quantity]]</f>
        <v>0</v>
      </c>
      <c r="AK331" s="12" t="e">
        <f>Sales4[[#This Row],[Billed Quantity]]*Sales4[[#This Row],[Other Conversion cost pu]]</f>
        <v>#REF!</v>
      </c>
      <c r="AL331" s="48" t="e">
        <f>Sales4[[#This Row],[PGI Amount]]-Sales4[[#This Row],[BOM Cost2]]-Sales4[[#This Row],[Labour Cost]]-Sales4[[#This Row],[Other conversion cost]]</f>
        <v>#REF!</v>
      </c>
      <c r="AM331" s="121" t="e">
        <f>1-Sales4[[#This Row],[PGI COST]]/Sales4[[#This Row],[Net Value]]</f>
        <v>#REF!</v>
      </c>
      <c r="AN331" s="1">
        <f>Sales4[[#This Row],[PGI Amount]]/Sales4[[#This Row],[Billed Quantity]]</f>
        <v>4.1416750000000002</v>
      </c>
      <c r="AO331" s="72" t="e">
        <f>SUMIFS('COGS Break up'!#REF!,'COGS Break up'!#REF!,Sales4[[#This Row],[Material]],'COGS Break up'!#REF!,'MIS Working'!$AO$1)</f>
        <v>#REF!</v>
      </c>
      <c r="AP331" s="72" t="e">
        <f>SUMIFS('COGS Break up'!#REF!,'COGS Break up'!#REF!,Sales4[[#This Row],[Material]],'COGS Break up'!#REF!,'MIS Working'!$AP$1)</f>
        <v>#REF!</v>
      </c>
      <c r="AQ331" s="72" t="e">
        <f>SUMIFS('COGS Break up'!#REF!,'COGS Break up'!#REF!,Sales4[[#This Row],[Material]],'COGS Break up'!#REF!,'MIS Working'!$AQ$1)</f>
        <v>#REF!</v>
      </c>
      <c r="AR331" s="72">
        <f>Sales4[[#This Row],[Droppage per unit]]</f>
        <v>0</v>
      </c>
      <c r="AS331" s="15" t="e">
        <f>AO331*Sales4[[#This Row],[Billed Quantity]]</f>
        <v>#REF!</v>
      </c>
      <c r="AT331" s="72" t="e">
        <f>AP331*Sales4[[#This Row],[Billed Quantity]]</f>
        <v>#REF!</v>
      </c>
      <c r="AU331" s="72" t="e">
        <f>AQ331*Sales4[[#This Row],[Billed Quantity]]</f>
        <v>#REF!</v>
      </c>
      <c r="AV331" s="72">
        <f>AR331*Sales4[[#This Row],[Billed Quantity]]</f>
        <v>0</v>
      </c>
    </row>
    <row r="332" spans="1:48" x14ac:dyDescent="0.3">
      <c r="A332" s="1" t="s">
        <v>1212</v>
      </c>
      <c r="B332" s="2">
        <v>45908</v>
      </c>
      <c r="C332" s="1">
        <v>3271267987</v>
      </c>
      <c r="D332" s="1" t="s">
        <v>1330</v>
      </c>
      <c r="E332" s="1" t="s">
        <v>1331</v>
      </c>
      <c r="F332" s="1" t="s">
        <v>18</v>
      </c>
      <c r="G332" s="1" t="s">
        <v>48</v>
      </c>
      <c r="H332" s="1" t="s">
        <v>207</v>
      </c>
      <c r="I332" s="3">
        <v>4000</v>
      </c>
      <c r="J332" s="4">
        <v>945.84</v>
      </c>
      <c r="K332" s="3">
        <v>4000</v>
      </c>
      <c r="L332" s="3">
        <v>4000</v>
      </c>
      <c r="M332" s="2">
        <v>45908</v>
      </c>
      <c r="N332" s="4">
        <v>1040</v>
      </c>
      <c r="O332" s="1" t="s">
        <v>21</v>
      </c>
      <c r="P332" s="1" t="s">
        <v>22</v>
      </c>
      <c r="Q332" s="1">
        <v>6</v>
      </c>
      <c r="R332" s="1" t="str">
        <f>VLOOKUP(Sales4[[#This Row],[Material type]],Master!$H$3:$I$8,2,0)</f>
        <v>Raw Material</v>
      </c>
      <c r="S332" s="1" t="str">
        <f>VLOOKUP(Sales4[[#This Row],[Material Group]],Master!B:C,2,0)</f>
        <v>RM-Mech. Accessories</v>
      </c>
      <c r="T332" s="1" t="str">
        <f>VLOOKUP(Sales4[[#This Row],[Material Group Descrip]],Master!E:F,2,0)</f>
        <v>Raw Material</v>
      </c>
      <c r="U332" s="9" t="b">
        <f ca="1">(TODAY()-1)=Sales4[[#This Row],[Billing Date]]</f>
        <v>0</v>
      </c>
      <c r="V332" s="10" t="e">
        <f>Sales4[[#This Row],[Net Value]]-Sales4[[#This Row],[PGI COST]]</f>
        <v>#REF!</v>
      </c>
      <c r="W332" s="11" t="e">
        <f>Sales4[[#This Row],[Gross Margin]]/Sales4[[#This Row],[Net Value]]</f>
        <v>#REF!</v>
      </c>
      <c r="X332" s="1" t="str">
        <f>TEXT(Sales4[[#This Row],[Billing Date]],"mmmm-yy")</f>
        <v>September-25</v>
      </c>
      <c r="Y332" s="1">
        <f>Sales4[[#This Row],[Net Value]]/Sales4[[#This Row],[Billed Quantity]]</f>
        <v>0.26</v>
      </c>
      <c r="Z332" s="117">
        <f>Sales4[[#This Row],[Actual delivery qty]]</f>
        <v>4000</v>
      </c>
      <c r="AA332" s="12" t="e">
        <f>SUM(Sales4[[#This Row],[BOM Cost]:[Other Conversion cost pu]])</f>
        <v>#REF!</v>
      </c>
      <c r="AB33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3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32" s="12">
        <f>IFERROR(VLOOKUP(Sales4[[#This Row],[Material]],'COGS Break up'!#REF!,5,0),0)</f>
        <v>0</v>
      </c>
      <c r="AE33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32" s="48" t="e">
        <f>Sales4[[#This Row],[PGI per unit]]-Sales4[[#This Row],[BOM Cost]]-Sales4[[#This Row],[Labour cost per unit]]-Sales4[[#This Row],[Other Conversion cost pu]]</f>
        <v>#REF!</v>
      </c>
      <c r="AG332" s="48" t="e">
        <f>Sales4[[#This Row],[BOM Cost2]]+Sales4[[#This Row],[Labour Cost]]+Sales4[[#This Row],[Other conversion cost]]</f>
        <v>#REF!</v>
      </c>
      <c r="AH332" s="12" t="e">
        <f>Sales4[[#This Row],[Billed Quantity]]*Sales4[[#This Row],[BOM Cost]]</f>
        <v>#REF!</v>
      </c>
      <c r="AI332" s="12" t="e">
        <f>Sales4[[#This Row],[Billed Quantity]]*Sales4[[#This Row],[Labour cost per unit]]</f>
        <v>#REF!</v>
      </c>
      <c r="AJ332" s="12">
        <f>Sales4[[#This Row],[Droppage per unit]]*Sales4[[#This Row],[Billed Quantity]]</f>
        <v>0</v>
      </c>
      <c r="AK332" s="12" t="e">
        <f>Sales4[[#This Row],[Billed Quantity]]*Sales4[[#This Row],[Other Conversion cost pu]]</f>
        <v>#REF!</v>
      </c>
      <c r="AL332" s="48" t="e">
        <f>Sales4[[#This Row],[PGI Amount]]-Sales4[[#This Row],[BOM Cost2]]-Sales4[[#This Row],[Labour Cost]]-Sales4[[#This Row],[Other conversion cost]]</f>
        <v>#REF!</v>
      </c>
      <c r="AM332" s="121" t="e">
        <f>1-Sales4[[#This Row],[PGI COST]]/Sales4[[#This Row],[Net Value]]</f>
        <v>#REF!</v>
      </c>
      <c r="AN332" s="1">
        <f>Sales4[[#This Row],[PGI Amount]]/Sales4[[#This Row],[Billed Quantity]]</f>
        <v>0.23646</v>
      </c>
      <c r="AO332" s="72" t="e">
        <f>SUMIFS('COGS Break up'!#REF!,'COGS Break up'!#REF!,Sales4[[#This Row],[Material]],'COGS Break up'!#REF!,'MIS Working'!$AO$1)</f>
        <v>#REF!</v>
      </c>
      <c r="AP332" s="72" t="e">
        <f>SUMIFS('COGS Break up'!#REF!,'COGS Break up'!#REF!,Sales4[[#This Row],[Material]],'COGS Break up'!#REF!,'MIS Working'!$AP$1)</f>
        <v>#REF!</v>
      </c>
      <c r="AQ332" s="72" t="e">
        <f>SUMIFS('COGS Break up'!#REF!,'COGS Break up'!#REF!,Sales4[[#This Row],[Material]],'COGS Break up'!#REF!,'MIS Working'!$AQ$1)</f>
        <v>#REF!</v>
      </c>
      <c r="AR332" s="72">
        <f>Sales4[[#This Row],[Droppage per unit]]</f>
        <v>0</v>
      </c>
      <c r="AS332" s="15" t="e">
        <f>AO332*Sales4[[#This Row],[Billed Quantity]]</f>
        <v>#REF!</v>
      </c>
      <c r="AT332" s="72" t="e">
        <f>AP332*Sales4[[#This Row],[Billed Quantity]]</f>
        <v>#REF!</v>
      </c>
      <c r="AU332" s="72" t="e">
        <f>AQ332*Sales4[[#This Row],[Billed Quantity]]</f>
        <v>#REF!</v>
      </c>
      <c r="AV332" s="72">
        <f>AR332*Sales4[[#This Row],[Billed Quantity]]</f>
        <v>0</v>
      </c>
    </row>
    <row r="333" spans="1:48" x14ac:dyDescent="0.3">
      <c r="A333" s="1" t="s">
        <v>1212</v>
      </c>
      <c r="B333" s="2">
        <v>45908</v>
      </c>
      <c r="C333" s="1">
        <v>3271267987</v>
      </c>
      <c r="D333" s="1" t="s">
        <v>1332</v>
      </c>
      <c r="E333" s="1" t="s">
        <v>1333</v>
      </c>
      <c r="F333" s="1" t="s">
        <v>18</v>
      </c>
      <c r="G333" s="1" t="s">
        <v>48</v>
      </c>
      <c r="H333" s="1" t="s">
        <v>204</v>
      </c>
      <c r="I333" s="3">
        <v>5000</v>
      </c>
      <c r="J333" s="4">
        <v>163.57</v>
      </c>
      <c r="K333" s="3">
        <v>5000</v>
      </c>
      <c r="L333" s="3">
        <v>5000</v>
      </c>
      <c r="M333" s="2">
        <v>45908</v>
      </c>
      <c r="N333" s="4">
        <v>150</v>
      </c>
      <c r="O333" s="1" t="s">
        <v>21</v>
      </c>
      <c r="P333" s="1" t="s">
        <v>22</v>
      </c>
      <c r="Q333" s="1">
        <v>6</v>
      </c>
      <c r="R333" s="1" t="str">
        <f>VLOOKUP(Sales4[[#This Row],[Material type]],Master!$H$3:$I$8,2,0)</f>
        <v>Raw Material</v>
      </c>
      <c r="S333" s="1" t="str">
        <f>VLOOKUP(Sales4[[#This Row],[Material Group]],Master!B:C,2,0)</f>
        <v>RM-Eletro-Resistor</v>
      </c>
      <c r="T333" s="1" t="str">
        <f>VLOOKUP(Sales4[[#This Row],[Material Group Descrip]],Master!E:F,2,0)</f>
        <v>Raw Material</v>
      </c>
      <c r="U333" s="9" t="b">
        <f ca="1">(TODAY()-1)=Sales4[[#This Row],[Billing Date]]</f>
        <v>0</v>
      </c>
      <c r="V333" s="10" t="e">
        <f>Sales4[[#This Row],[Net Value]]-Sales4[[#This Row],[PGI COST]]</f>
        <v>#REF!</v>
      </c>
      <c r="W333" s="11" t="e">
        <f>Sales4[[#This Row],[Gross Margin]]/Sales4[[#This Row],[Net Value]]</f>
        <v>#REF!</v>
      </c>
      <c r="X333" s="1" t="str">
        <f>TEXT(Sales4[[#This Row],[Billing Date]],"mmmm-yy")</f>
        <v>September-25</v>
      </c>
      <c r="Y333" s="1">
        <f>Sales4[[#This Row],[Net Value]]/Sales4[[#This Row],[Billed Quantity]]</f>
        <v>0.03</v>
      </c>
      <c r="Z333" s="117">
        <f>Sales4[[#This Row],[Actual delivery qty]]</f>
        <v>5000</v>
      </c>
      <c r="AA333" s="12" t="e">
        <f>SUM(Sales4[[#This Row],[BOM Cost]:[Other Conversion cost pu]])</f>
        <v>#REF!</v>
      </c>
      <c r="AB33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3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33" s="12">
        <f>IFERROR(VLOOKUP(Sales4[[#This Row],[Material]],'COGS Break up'!#REF!,5,0),0)</f>
        <v>0</v>
      </c>
      <c r="AE33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33" s="48" t="e">
        <f>Sales4[[#This Row],[PGI per unit]]-Sales4[[#This Row],[BOM Cost]]-Sales4[[#This Row],[Labour cost per unit]]-Sales4[[#This Row],[Other Conversion cost pu]]</f>
        <v>#REF!</v>
      </c>
      <c r="AG333" s="48" t="e">
        <f>Sales4[[#This Row],[BOM Cost2]]+Sales4[[#This Row],[Labour Cost]]+Sales4[[#This Row],[Other conversion cost]]</f>
        <v>#REF!</v>
      </c>
      <c r="AH333" s="12" t="e">
        <f>Sales4[[#This Row],[Billed Quantity]]*Sales4[[#This Row],[BOM Cost]]</f>
        <v>#REF!</v>
      </c>
      <c r="AI333" s="12" t="e">
        <f>Sales4[[#This Row],[Billed Quantity]]*Sales4[[#This Row],[Labour cost per unit]]</f>
        <v>#REF!</v>
      </c>
      <c r="AJ333" s="12">
        <f>Sales4[[#This Row],[Droppage per unit]]*Sales4[[#This Row],[Billed Quantity]]</f>
        <v>0</v>
      </c>
      <c r="AK333" s="12" t="e">
        <f>Sales4[[#This Row],[Billed Quantity]]*Sales4[[#This Row],[Other Conversion cost pu]]</f>
        <v>#REF!</v>
      </c>
      <c r="AL333" s="48" t="e">
        <f>Sales4[[#This Row],[PGI Amount]]-Sales4[[#This Row],[BOM Cost2]]-Sales4[[#This Row],[Labour Cost]]-Sales4[[#This Row],[Other conversion cost]]</f>
        <v>#REF!</v>
      </c>
      <c r="AM333" s="121" t="e">
        <f>1-Sales4[[#This Row],[PGI COST]]/Sales4[[#This Row],[Net Value]]</f>
        <v>#REF!</v>
      </c>
      <c r="AN333" s="1">
        <f>Sales4[[#This Row],[PGI Amount]]/Sales4[[#This Row],[Billed Quantity]]</f>
        <v>3.2714E-2</v>
      </c>
      <c r="AO333" s="72" t="e">
        <f>SUMIFS('COGS Break up'!#REF!,'COGS Break up'!#REF!,Sales4[[#This Row],[Material]],'COGS Break up'!#REF!,'MIS Working'!$AO$1)</f>
        <v>#REF!</v>
      </c>
      <c r="AP333" s="72" t="e">
        <f>SUMIFS('COGS Break up'!#REF!,'COGS Break up'!#REF!,Sales4[[#This Row],[Material]],'COGS Break up'!#REF!,'MIS Working'!$AP$1)</f>
        <v>#REF!</v>
      </c>
      <c r="AQ333" s="72" t="e">
        <f>SUMIFS('COGS Break up'!#REF!,'COGS Break up'!#REF!,Sales4[[#This Row],[Material]],'COGS Break up'!#REF!,'MIS Working'!$AQ$1)</f>
        <v>#REF!</v>
      </c>
      <c r="AR333" s="72">
        <f>Sales4[[#This Row],[Droppage per unit]]</f>
        <v>0</v>
      </c>
      <c r="AS333" s="15" t="e">
        <f>AO333*Sales4[[#This Row],[Billed Quantity]]</f>
        <v>#REF!</v>
      </c>
      <c r="AT333" s="72" t="e">
        <f>AP333*Sales4[[#This Row],[Billed Quantity]]</f>
        <v>#REF!</v>
      </c>
      <c r="AU333" s="72" t="e">
        <f>AQ333*Sales4[[#This Row],[Billed Quantity]]</f>
        <v>#REF!</v>
      </c>
      <c r="AV333" s="72">
        <f>AR333*Sales4[[#This Row],[Billed Quantity]]</f>
        <v>0</v>
      </c>
    </row>
    <row r="334" spans="1:48" x14ac:dyDescent="0.3">
      <c r="A334" s="1" t="s">
        <v>1212</v>
      </c>
      <c r="B334" s="2">
        <v>45908</v>
      </c>
      <c r="C334" s="1">
        <v>3271267987</v>
      </c>
      <c r="D334" s="1" t="s">
        <v>1334</v>
      </c>
      <c r="E334" s="1" t="s">
        <v>1335</v>
      </c>
      <c r="F334" s="1" t="s">
        <v>18</v>
      </c>
      <c r="G334" s="1" t="s">
        <v>48</v>
      </c>
      <c r="H334" s="1" t="s">
        <v>204</v>
      </c>
      <c r="I334" s="3">
        <v>5000</v>
      </c>
      <c r="J334" s="4">
        <v>243.72</v>
      </c>
      <c r="K334" s="3">
        <v>5000</v>
      </c>
      <c r="L334" s="3">
        <v>5000</v>
      </c>
      <c r="M334" s="2">
        <v>45908</v>
      </c>
      <c r="N334" s="4">
        <v>500</v>
      </c>
      <c r="O334" s="1" t="s">
        <v>21</v>
      </c>
      <c r="P334" s="1" t="s">
        <v>22</v>
      </c>
      <c r="Q334" s="1">
        <v>6</v>
      </c>
      <c r="R334" s="1" t="str">
        <f>VLOOKUP(Sales4[[#This Row],[Material type]],Master!$H$3:$I$8,2,0)</f>
        <v>Raw Material</v>
      </c>
      <c r="S334" s="1" t="str">
        <f>VLOOKUP(Sales4[[#This Row],[Material Group]],Master!B:C,2,0)</f>
        <v>RM-Eletro-Resistor</v>
      </c>
      <c r="T334" s="1" t="str">
        <f>VLOOKUP(Sales4[[#This Row],[Material Group Descrip]],Master!E:F,2,0)</f>
        <v>Raw Material</v>
      </c>
      <c r="U334" s="9" t="b">
        <f ca="1">(TODAY()-1)=Sales4[[#This Row],[Billing Date]]</f>
        <v>0</v>
      </c>
      <c r="V334" s="10" t="e">
        <f>Sales4[[#This Row],[Net Value]]-Sales4[[#This Row],[PGI COST]]</f>
        <v>#REF!</v>
      </c>
      <c r="W334" s="11" t="e">
        <f>Sales4[[#This Row],[Gross Margin]]/Sales4[[#This Row],[Net Value]]</f>
        <v>#REF!</v>
      </c>
      <c r="X334" s="1" t="str">
        <f>TEXT(Sales4[[#This Row],[Billing Date]],"mmmm-yy")</f>
        <v>September-25</v>
      </c>
      <c r="Y334" s="1">
        <f>Sales4[[#This Row],[Net Value]]/Sales4[[#This Row],[Billed Quantity]]</f>
        <v>0.1</v>
      </c>
      <c r="Z334" s="117">
        <f>Sales4[[#This Row],[Actual delivery qty]]</f>
        <v>5000</v>
      </c>
      <c r="AA334" s="12" t="e">
        <f>SUM(Sales4[[#This Row],[BOM Cost]:[Other Conversion cost pu]])</f>
        <v>#REF!</v>
      </c>
      <c r="AB33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3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34" s="12">
        <f>IFERROR(VLOOKUP(Sales4[[#This Row],[Material]],'COGS Break up'!#REF!,5,0),0)</f>
        <v>0</v>
      </c>
      <c r="AE33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34" s="48" t="e">
        <f>Sales4[[#This Row],[PGI per unit]]-Sales4[[#This Row],[BOM Cost]]-Sales4[[#This Row],[Labour cost per unit]]-Sales4[[#This Row],[Other Conversion cost pu]]</f>
        <v>#REF!</v>
      </c>
      <c r="AG334" s="48" t="e">
        <f>Sales4[[#This Row],[BOM Cost2]]+Sales4[[#This Row],[Labour Cost]]+Sales4[[#This Row],[Other conversion cost]]</f>
        <v>#REF!</v>
      </c>
      <c r="AH334" s="12" t="e">
        <f>Sales4[[#This Row],[Billed Quantity]]*Sales4[[#This Row],[BOM Cost]]</f>
        <v>#REF!</v>
      </c>
      <c r="AI334" s="12" t="e">
        <f>Sales4[[#This Row],[Billed Quantity]]*Sales4[[#This Row],[Labour cost per unit]]</f>
        <v>#REF!</v>
      </c>
      <c r="AJ334" s="12">
        <f>Sales4[[#This Row],[Droppage per unit]]*Sales4[[#This Row],[Billed Quantity]]</f>
        <v>0</v>
      </c>
      <c r="AK334" s="12" t="e">
        <f>Sales4[[#This Row],[Billed Quantity]]*Sales4[[#This Row],[Other Conversion cost pu]]</f>
        <v>#REF!</v>
      </c>
      <c r="AL334" s="48" t="e">
        <f>Sales4[[#This Row],[PGI Amount]]-Sales4[[#This Row],[BOM Cost2]]-Sales4[[#This Row],[Labour Cost]]-Sales4[[#This Row],[Other conversion cost]]</f>
        <v>#REF!</v>
      </c>
      <c r="AM334" s="121" t="e">
        <f>1-Sales4[[#This Row],[PGI COST]]/Sales4[[#This Row],[Net Value]]</f>
        <v>#REF!</v>
      </c>
      <c r="AN334" s="1">
        <f>Sales4[[#This Row],[PGI Amount]]/Sales4[[#This Row],[Billed Quantity]]</f>
        <v>4.8744000000000003E-2</v>
      </c>
      <c r="AO334" s="72" t="e">
        <f>SUMIFS('COGS Break up'!#REF!,'COGS Break up'!#REF!,Sales4[[#This Row],[Material]],'COGS Break up'!#REF!,'MIS Working'!$AO$1)</f>
        <v>#REF!</v>
      </c>
      <c r="AP334" s="72" t="e">
        <f>SUMIFS('COGS Break up'!#REF!,'COGS Break up'!#REF!,Sales4[[#This Row],[Material]],'COGS Break up'!#REF!,'MIS Working'!$AP$1)</f>
        <v>#REF!</v>
      </c>
      <c r="AQ334" s="72" t="e">
        <f>SUMIFS('COGS Break up'!#REF!,'COGS Break up'!#REF!,Sales4[[#This Row],[Material]],'COGS Break up'!#REF!,'MIS Working'!$AQ$1)</f>
        <v>#REF!</v>
      </c>
      <c r="AR334" s="72">
        <f>Sales4[[#This Row],[Droppage per unit]]</f>
        <v>0</v>
      </c>
      <c r="AS334" s="15" t="e">
        <f>AO334*Sales4[[#This Row],[Billed Quantity]]</f>
        <v>#REF!</v>
      </c>
      <c r="AT334" s="72" t="e">
        <f>AP334*Sales4[[#This Row],[Billed Quantity]]</f>
        <v>#REF!</v>
      </c>
      <c r="AU334" s="72" t="e">
        <f>AQ334*Sales4[[#This Row],[Billed Quantity]]</f>
        <v>#REF!</v>
      </c>
      <c r="AV334" s="72">
        <f>AR334*Sales4[[#This Row],[Billed Quantity]]</f>
        <v>0</v>
      </c>
    </row>
    <row r="335" spans="1:48" x14ac:dyDescent="0.3">
      <c r="A335" s="1" t="s">
        <v>1212</v>
      </c>
      <c r="B335" s="2">
        <v>45908</v>
      </c>
      <c r="C335" s="1">
        <v>3271267987</v>
      </c>
      <c r="D335" s="1" t="s">
        <v>1336</v>
      </c>
      <c r="E335" s="1" t="s">
        <v>1337</v>
      </c>
      <c r="F335" s="1" t="s">
        <v>18</v>
      </c>
      <c r="G335" s="1" t="s">
        <v>48</v>
      </c>
      <c r="H335" s="1" t="s">
        <v>207</v>
      </c>
      <c r="I335" s="3">
        <v>5000</v>
      </c>
      <c r="J335" s="4">
        <v>450</v>
      </c>
      <c r="K335" s="3">
        <v>5000</v>
      </c>
      <c r="L335" s="3">
        <v>5000</v>
      </c>
      <c r="M335" s="2">
        <v>45908</v>
      </c>
      <c r="N335" s="4">
        <v>500</v>
      </c>
      <c r="O335" s="1" t="s">
        <v>21</v>
      </c>
      <c r="P335" s="1" t="s">
        <v>22</v>
      </c>
      <c r="Q335" s="1">
        <v>6</v>
      </c>
      <c r="R335" s="1" t="str">
        <f>VLOOKUP(Sales4[[#This Row],[Material type]],Master!$H$3:$I$8,2,0)</f>
        <v>Raw Material</v>
      </c>
      <c r="S335" s="1" t="str">
        <f>VLOOKUP(Sales4[[#This Row],[Material Group]],Master!B:C,2,0)</f>
        <v>RM-Mech. Accessories</v>
      </c>
      <c r="T335" s="1" t="str">
        <f>VLOOKUP(Sales4[[#This Row],[Material Group Descrip]],Master!E:F,2,0)</f>
        <v>Raw Material</v>
      </c>
      <c r="U335" s="9" t="b">
        <f ca="1">(TODAY()-1)=Sales4[[#This Row],[Billing Date]]</f>
        <v>0</v>
      </c>
      <c r="V335" s="10" t="e">
        <f>Sales4[[#This Row],[Net Value]]-Sales4[[#This Row],[PGI COST]]</f>
        <v>#REF!</v>
      </c>
      <c r="W335" s="11" t="e">
        <f>Sales4[[#This Row],[Gross Margin]]/Sales4[[#This Row],[Net Value]]</f>
        <v>#REF!</v>
      </c>
      <c r="X335" s="1" t="str">
        <f>TEXT(Sales4[[#This Row],[Billing Date]],"mmmm-yy")</f>
        <v>September-25</v>
      </c>
      <c r="Y335" s="1">
        <f>Sales4[[#This Row],[Net Value]]/Sales4[[#This Row],[Billed Quantity]]</f>
        <v>0.1</v>
      </c>
      <c r="Z335" s="117">
        <f>Sales4[[#This Row],[Actual delivery qty]]</f>
        <v>5000</v>
      </c>
      <c r="AA335" s="12" t="e">
        <f>SUM(Sales4[[#This Row],[BOM Cost]:[Other Conversion cost pu]])</f>
        <v>#REF!</v>
      </c>
      <c r="AB33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3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35" s="12">
        <f>IFERROR(VLOOKUP(Sales4[[#This Row],[Material]],'COGS Break up'!#REF!,5,0),0)</f>
        <v>0</v>
      </c>
      <c r="AE33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35" s="48" t="e">
        <f>Sales4[[#This Row],[PGI per unit]]-Sales4[[#This Row],[BOM Cost]]-Sales4[[#This Row],[Labour cost per unit]]-Sales4[[#This Row],[Other Conversion cost pu]]</f>
        <v>#REF!</v>
      </c>
      <c r="AG335" s="48" t="e">
        <f>Sales4[[#This Row],[BOM Cost2]]+Sales4[[#This Row],[Labour Cost]]+Sales4[[#This Row],[Other conversion cost]]</f>
        <v>#REF!</v>
      </c>
      <c r="AH335" s="12" t="e">
        <f>Sales4[[#This Row],[Billed Quantity]]*Sales4[[#This Row],[BOM Cost]]</f>
        <v>#REF!</v>
      </c>
      <c r="AI335" s="12" t="e">
        <f>Sales4[[#This Row],[Billed Quantity]]*Sales4[[#This Row],[Labour cost per unit]]</f>
        <v>#REF!</v>
      </c>
      <c r="AJ335" s="12">
        <f>Sales4[[#This Row],[Droppage per unit]]*Sales4[[#This Row],[Billed Quantity]]</f>
        <v>0</v>
      </c>
      <c r="AK335" s="12" t="e">
        <f>Sales4[[#This Row],[Billed Quantity]]*Sales4[[#This Row],[Other Conversion cost pu]]</f>
        <v>#REF!</v>
      </c>
      <c r="AL335" s="48" t="e">
        <f>Sales4[[#This Row],[PGI Amount]]-Sales4[[#This Row],[BOM Cost2]]-Sales4[[#This Row],[Labour Cost]]-Sales4[[#This Row],[Other conversion cost]]</f>
        <v>#REF!</v>
      </c>
      <c r="AM335" s="121" t="e">
        <f>1-Sales4[[#This Row],[PGI COST]]/Sales4[[#This Row],[Net Value]]</f>
        <v>#REF!</v>
      </c>
      <c r="AN335" s="1">
        <f>Sales4[[#This Row],[PGI Amount]]/Sales4[[#This Row],[Billed Quantity]]</f>
        <v>0.09</v>
      </c>
      <c r="AO335" s="72" t="e">
        <f>SUMIFS('COGS Break up'!#REF!,'COGS Break up'!#REF!,Sales4[[#This Row],[Material]],'COGS Break up'!#REF!,'MIS Working'!$AO$1)</f>
        <v>#REF!</v>
      </c>
      <c r="AP335" s="72" t="e">
        <f>SUMIFS('COGS Break up'!#REF!,'COGS Break up'!#REF!,Sales4[[#This Row],[Material]],'COGS Break up'!#REF!,'MIS Working'!$AP$1)</f>
        <v>#REF!</v>
      </c>
      <c r="AQ335" s="72" t="e">
        <f>SUMIFS('COGS Break up'!#REF!,'COGS Break up'!#REF!,Sales4[[#This Row],[Material]],'COGS Break up'!#REF!,'MIS Working'!$AQ$1)</f>
        <v>#REF!</v>
      </c>
      <c r="AR335" s="72">
        <f>Sales4[[#This Row],[Droppage per unit]]</f>
        <v>0</v>
      </c>
      <c r="AS335" s="15" t="e">
        <f>AO335*Sales4[[#This Row],[Billed Quantity]]</f>
        <v>#REF!</v>
      </c>
      <c r="AT335" s="72" t="e">
        <f>AP335*Sales4[[#This Row],[Billed Quantity]]</f>
        <v>#REF!</v>
      </c>
      <c r="AU335" s="72" t="e">
        <f>AQ335*Sales4[[#This Row],[Billed Quantity]]</f>
        <v>#REF!</v>
      </c>
      <c r="AV335" s="72">
        <f>AR335*Sales4[[#This Row],[Billed Quantity]]</f>
        <v>0</v>
      </c>
    </row>
    <row r="336" spans="1:48" x14ac:dyDescent="0.3">
      <c r="A336" s="1" t="s">
        <v>1212</v>
      </c>
      <c r="B336" s="2">
        <v>45908</v>
      </c>
      <c r="C336" s="1">
        <v>3271267987</v>
      </c>
      <c r="D336" s="1" t="s">
        <v>1338</v>
      </c>
      <c r="E336" s="1" t="s">
        <v>1339</v>
      </c>
      <c r="F336" s="1" t="s">
        <v>18</v>
      </c>
      <c r="G336" s="1" t="s">
        <v>48</v>
      </c>
      <c r="H336" s="1" t="s">
        <v>204</v>
      </c>
      <c r="I336" s="3">
        <v>4000</v>
      </c>
      <c r="J336" s="4">
        <v>3200</v>
      </c>
      <c r="K336" s="3">
        <v>4000</v>
      </c>
      <c r="L336" s="3">
        <v>4000</v>
      </c>
      <c r="M336" s="2">
        <v>45908</v>
      </c>
      <c r="N336" s="4">
        <v>3680</v>
      </c>
      <c r="O336" s="1" t="s">
        <v>21</v>
      </c>
      <c r="P336" s="1" t="s">
        <v>22</v>
      </c>
      <c r="Q336" s="1">
        <v>6</v>
      </c>
      <c r="R336" s="1" t="str">
        <f>VLOOKUP(Sales4[[#This Row],[Material type]],Master!$H$3:$I$8,2,0)</f>
        <v>Raw Material</v>
      </c>
      <c r="S336" s="1" t="str">
        <f>VLOOKUP(Sales4[[#This Row],[Material Group]],Master!B:C,2,0)</f>
        <v>RM-Eletro-Resistor</v>
      </c>
      <c r="T336" s="1" t="str">
        <f>VLOOKUP(Sales4[[#This Row],[Material Group Descrip]],Master!E:F,2,0)</f>
        <v>Raw Material</v>
      </c>
      <c r="U336" s="9" t="b">
        <f ca="1">(TODAY()-1)=Sales4[[#This Row],[Billing Date]]</f>
        <v>0</v>
      </c>
      <c r="V336" s="10" t="e">
        <f>Sales4[[#This Row],[Net Value]]-Sales4[[#This Row],[PGI COST]]</f>
        <v>#REF!</v>
      </c>
      <c r="W336" s="11" t="e">
        <f>Sales4[[#This Row],[Gross Margin]]/Sales4[[#This Row],[Net Value]]</f>
        <v>#REF!</v>
      </c>
      <c r="X336" s="1" t="str">
        <f>TEXT(Sales4[[#This Row],[Billing Date]],"mmmm-yy")</f>
        <v>September-25</v>
      </c>
      <c r="Y336" s="1">
        <f>Sales4[[#This Row],[Net Value]]/Sales4[[#This Row],[Billed Quantity]]</f>
        <v>0.92</v>
      </c>
      <c r="Z336" s="117">
        <f>Sales4[[#This Row],[Actual delivery qty]]</f>
        <v>4000</v>
      </c>
      <c r="AA336" s="12" t="e">
        <f>SUM(Sales4[[#This Row],[BOM Cost]:[Other Conversion cost pu]])</f>
        <v>#REF!</v>
      </c>
      <c r="AB33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3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36" s="12">
        <f>IFERROR(VLOOKUP(Sales4[[#This Row],[Material]],'COGS Break up'!#REF!,5,0),0)</f>
        <v>0</v>
      </c>
      <c r="AE33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36" s="48" t="e">
        <f>Sales4[[#This Row],[PGI per unit]]-Sales4[[#This Row],[BOM Cost]]-Sales4[[#This Row],[Labour cost per unit]]-Sales4[[#This Row],[Other Conversion cost pu]]</f>
        <v>#REF!</v>
      </c>
      <c r="AG336" s="48" t="e">
        <f>Sales4[[#This Row],[BOM Cost2]]+Sales4[[#This Row],[Labour Cost]]+Sales4[[#This Row],[Other conversion cost]]</f>
        <v>#REF!</v>
      </c>
      <c r="AH336" s="12" t="e">
        <f>Sales4[[#This Row],[Billed Quantity]]*Sales4[[#This Row],[BOM Cost]]</f>
        <v>#REF!</v>
      </c>
      <c r="AI336" s="12" t="e">
        <f>Sales4[[#This Row],[Billed Quantity]]*Sales4[[#This Row],[Labour cost per unit]]</f>
        <v>#REF!</v>
      </c>
      <c r="AJ336" s="12">
        <f>Sales4[[#This Row],[Droppage per unit]]*Sales4[[#This Row],[Billed Quantity]]</f>
        <v>0</v>
      </c>
      <c r="AK336" s="12" t="e">
        <f>Sales4[[#This Row],[Billed Quantity]]*Sales4[[#This Row],[Other Conversion cost pu]]</f>
        <v>#REF!</v>
      </c>
      <c r="AL336" s="48" t="e">
        <f>Sales4[[#This Row],[PGI Amount]]-Sales4[[#This Row],[BOM Cost2]]-Sales4[[#This Row],[Labour Cost]]-Sales4[[#This Row],[Other conversion cost]]</f>
        <v>#REF!</v>
      </c>
      <c r="AM336" s="121" t="e">
        <f>1-Sales4[[#This Row],[PGI COST]]/Sales4[[#This Row],[Net Value]]</f>
        <v>#REF!</v>
      </c>
      <c r="AN336" s="1">
        <f>Sales4[[#This Row],[PGI Amount]]/Sales4[[#This Row],[Billed Quantity]]</f>
        <v>0.8</v>
      </c>
      <c r="AO336" s="72" t="e">
        <f>SUMIFS('COGS Break up'!#REF!,'COGS Break up'!#REF!,Sales4[[#This Row],[Material]],'COGS Break up'!#REF!,'MIS Working'!$AO$1)</f>
        <v>#REF!</v>
      </c>
      <c r="AP336" s="72" t="e">
        <f>SUMIFS('COGS Break up'!#REF!,'COGS Break up'!#REF!,Sales4[[#This Row],[Material]],'COGS Break up'!#REF!,'MIS Working'!$AP$1)</f>
        <v>#REF!</v>
      </c>
      <c r="AQ336" s="72" t="e">
        <f>SUMIFS('COGS Break up'!#REF!,'COGS Break up'!#REF!,Sales4[[#This Row],[Material]],'COGS Break up'!#REF!,'MIS Working'!$AQ$1)</f>
        <v>#REF!</v>
      </c>
      <c r="AR336" s="72">
        <f>Sales4[[#This Row],[Droppage per unit]]</f>
        <v>0</v>
      </c>
      <c r="AS336" s="15" t="e">
        <f>AO336*Sales4[[#This Row],[Billed Quantity]]</f>
        <v>#REF!</v>
      </c>
      <c r="AT336" s="72" t="e">
        <f>AP336*Sales4[[#This Row],[Billed Quantity]]</f>
        <v>#REF!</v>
      </c>
      <c r="AU336" s="72" t="e">
        <f>AQ336*Sales4[[#This Row],[Billed Quantity]]</f>
        <v>#REF!</v>
      </c>
      <c r="AV336" s="72">
        <f>AR336*Sales4[[#This Row],[Billed Quantity]]</f>
        <v>0</v>
      </c>
    </row>
    <row r="337" spans="1:48" x14ac:dyDescent="0.3">
      <c r="A337" s="1" t="s">
        <v>1212</v>
      </c>
      <c r="B337" s="2">
        <v>45908</v>
      </c>
      <c r="C337" s="1">
        <v>3271267987</v>
      </c>
      <c r="D337" s="1" t="s">
        <v>1340</v>
      </c>
      <c r="E337" s="1" t="s">
        <v>1341</v>
      </c>
      <c r="F337" s="1" t="s">
        <v>18</v>
      </c>
      <c r="G337" s="1" t="s">
        <v>48</v>
      </c>
      <c r="H337" s="1" t="s">
        <v>207</v>
      </c>
      <c r="I337" s="3">
        <v>3000</v>
      </c>
      <c r="J337" s="4">
        <v>7617.06</v>
      </c>
      <c r="K337" s="3">
        <v>3000</v>
      </c>
      <c r="L337" s="3">
        <v>3000</v>
      </c>
      <c r="M337" s="2">
        <v>45908</v>
      </c>
      <c r="N337" s="4">
        <v>7350</v>
      </c>
      <c r="O337" s="1" t="s">
        <v>21</v>
      </c>
      <c r="P337" s="1" t="s">
        <v>22</v>
      </c>
      <c r="Q337" s="1">
        <v>6</v>
      </c>
      <c r="R337" s="1" t="str">
        <f>VLOOKUP(Sales4[[#This Row],[Material type]],Master!$H$3:$I$8,2,0)</f>
        <v>Raw Material</v>
      </c>
      <c r="S337" s="1" t="str">
        <f>VLOOKUP(Sales4[[#This Row],[Material Group]],Master!B:C,2,0)</f>
        <v>RM-Mech. Accessories</v>
      </c>
      <c r="T337" s="1" t="str">
        <f>VLOOKUP(Sales4[[#This Row],[Material Group Descrip]],Master!E:F,2,0)</f>
        <v>Raw Material</v>
      </c>
      <c r="U337" s="9" t="b">
        <f ca="1">(TODAY()-1)=Sales4[[#This Row],[Billing Date]]</f>
        <v>0</v>
      </c>
      <c r="V337" s="10" t="e">
        <f>Sales4[[#This Row],[Net Value]]-Sales4[[#This Row],[PGI COST]]</f>
        <v>#REF!</v>
      </c>
      <c r="W337" s="11" t="e">
        <f>Sales4[[#This Row],[Gross Margin]]/Sales4[[#This Row],[Net Value]]</f>
        <v>#REF!</v>
      </c>
      <c r="X337" s="1" t="str">
        <f>TEXT(Sales4[[#This Row],[Billing Date]],"mmmm-yy")</f>
        <v>September-25</v>
      </c>
      <c r="Y337" s="1">
        <f>Sales4[[#This Row],[Net Value]]/Sales4[[#This Row],[Billed Quantity]]</f>
        <v>2.4500000000000002</v>
      </c>
      <c r="Z337" s="117">
        <f>Sales4[[#This Row],[Actual delivery qty]]</f>
        <v>3000</v>
      </c>
      <c r="AA337" s="12" t="e">
        <f>SUM(Sales4[[#This Row],[BOM Cost]:[Other Conversion cost pu]])</f>
        <v>#REF!</v>
      </c>
      <c r="AB33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3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37" s="12">
        <f>IFERROR(VLOOKUP(Sales4[[#This Row],[Material]],'COGS Break up'!#REF!,5,0),0)</f>
        <v>0</v>
      </c>
      <c r="AE33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37" s="48" t="e">
        <f>Sales4[[#This Row],[PGI per unit]]-Sales4[[#This Row],[BOM Cost]]-Sales4[[#This Row],[Labour cost per unit]]-Sales4[[#This Row],[Other Conversion cost pu]]</f>
        <v>#REF!</v>
      </c>
      <c r="AG337" s="48" t="e">
        <f>Sales4[[#This Row],[BOM Cost2]]+Sales4[[#This Row],[Labour Cost]]+Sales4[[#This Row],[Other conversion cost]]</f>
        <v>#REF!</v>
      </c>
      <c r="AH337" s="12" t="e">
        <f>Sales4[[#This Row],[Billed Quantity]]*Sales4[[#This Row],[BOM Cost]]</f>
        <v>#REF!</v>
      </c>
      <c r="AI337" s="12" t="e">
        <f>Sales4[[#This Row],[Billed Quantity]]*Sales4[[#This Row],[Labour cost per unit]]</f>
        <v>#REF!</v>
      </c>
      <c r="AJ337" s="12">
        <f>Sales4[[#This Row],[Droppage per unit]]*Sales4[[#This Row],[Billed Quantity]]</f>
        <v>0</v>
      </c>
      <c r="AK337" s="12" t="e">
        <f>Sales4[[#This Row],[Billed Quantity]]*Sales4[[#This Row],[Other Conversion cost pu]]</f>
        <v>#REF!</v>
      </c>
      <c r="AL337" s="48" t="e">
        <f>Sales4[[#This Row],[PGI Amount]]-Sales4[[#This Row],[BOM Cost2]]-Sales4[[#This Row],[Labour Cost]]-Sales4[[#This Row],[Other conversion cost]]</f>
        <v>#REF!</v>
      </c>
      <c r="AM337" s="121" t="e">
        <f>1-Sales4[[#This Row],[PGI COST]]/Sales4[[#This Row],[Net Value]]</f>
        <v>#REF!</v>
      </c>
      <c r="AN337" s="1">
        <f>Sales4[[#This Row],[PGI Amount]]/Sales4[[#This Row],[Billed Quantity]]</f>
        <v>2.5390200000000003</v>
      </c>
      <c r="AO337" s="72" t="e">
        <f>SUMIFS('COGS Break up'!#REF!,'COGS Break up'!#REF!,Sales4[[#This Row],[Material]],'COGS Break up'!#REF!,'MIS Working'!$AO$1)</f>
        <v>#REF!</v>
      </c>
      <c r="AP337" s="72" t="e">
        <f>SUMIFS('COGS Break up'!#REF!,'COGS Break up'!#REF!,Sales4[[#This Row],[Material]],'COGS Break up'!#REF!,'MIS Working'!$AP$1)</f>
        <v>#REF!</v>
      </c>
      <c r="AQ337" s="72" t="e">
        <f>SUMIFS('COGS Break up'!#REF!,'COGS Break up'!#REF!,Sales4[[#This Row],[Material]],'COGS Break up'!#REF!,'MIS Working'!$AQ$1)</f>
        <v>#REF!</v>
      </c>
      <c r="AR337" s="72">
        <f>Sales4[[#This Row],[Droppage per unit]]</f>
        <v>0</v>
      </c>
      <c r="AS337" s="15" t="e">
        <f>AO337*Sales4[[#This Row],[Billed Quantity]]</f>
        <v>#REF!</v>
      </c>
      <c r="AT337" s="72" t="e">
        <f>AP337*Sales4[[#This Row],[Billed Quantity]]</f>
        <v>#REF!</v>
      </c>
      <c r="AU337" s="72" t="e">
        <f>AQ337*Sales4[[#This Row],[Billed Quantity]]</f>
        <v>#REF!</v>
      </c>
      <c r="AV337" s="72">
        <f>AR337*Sales4[[#This Row],[Billed Quantity]]</f>
        <v>0</v>
      </c>
    </row>
    <row r="338" spans="1:48" x14ac:dyDescent="0.3">
      <c r="A338" s="1" t="s">
        <v>1212</v>
      </c>
      <c r="B338" s="2">
        <v>45908</v>
      </c>
      <c r="C338" s="1">
        <v>3271267987</v>
      </c>
      <c r="D338" s="1" t="s">
        <v>1342</v>
      </c>
      <c r="E338" s="1" t="s">
        <v>1343</v>
      </c>
      <c r="F338" s="1" t="s">
        <v>18</v>
      </c>
      <c r="G338" s="1" t="s">
        <v>48</v>
      </c>
      <c r="H338" s="1" t="s">
        <v>204</v>
      </c>
      <c r="I338" s="3">
        <v>145000</v>
      </c>
      <c r="J338" s="4">
        <v>4785.82</v>
      </c>
      <c r="K338" s="3">
        <v>145000</v>
      </c>
      <c r="L338" s="3">
        <v>145000</v>
      </c>
      <c r="M338" s="2">
        <v>45908</v>
      </c>
      <c r="N338" s="4">
        <v>4350</v>
      </c>
      <c r="O338" s="1" t="s">
        <v>21</v>
      </c>
      <c r="P338" s="1" t="s">
        <v>22</v>
      </c>
      <c r="Q338" s="1">
        <v>6</v>
      </c>
      <c r="R338" s="1" t="str">
        <f>VLOOKUP(Sales4[[#This Row],[Material type]],Master!$H$3:$I$8,2,0)</f>
        <v>Raw Material</v>
      </c>
      <c r="S338" s="1" t="str">
        <f>VLOOKUP(Sales4[[#This Row],[Material Group]],Master!B:C,2,0)</f>
        <v>RM-Eletro-Resistor</v>
      </c>
      <c r="T338" s="1" t="str">
        <f>VLOOKUP(Sales4[[#This Row],[Material Group Descrip]],Master!E:F,2,0)</f>
        <v>Raw Material</v>
      </c>
      <c r="U338" s="9" t="b">
        <f ca="1">(TODAY()-1)=Sales4[[#This Row],[Billing Date]]</f>
        <v>0</v>
      </c>
      <c r="V338" s="10" t="e">
        <f>Sales4[[#This Row],[Net Value]]-Sales4[[#This Row],[PGI COST]]</f>
        <v>#REF!</v>
      </c>
      <c r="W338" s="11" t="e">
        <f>Sales4[[#This Row],[Gross Margin]]/Sales4[[#This Row],[Net Value]]</f>
        <v>#REF!</v>
      </c>
      <c r="X338" s="1" t="str">
        <f>TEXT(Sales4[[#This Row],[Billing Date]],"mmmm-yy")</f>
        <v>September-25</v>
      </c>
      <c r="Y338" s="1">
        <f>Sales4[[#This Row],[Net Value]]/Sales4[[#This Row],[Billed Quantity]]</f>
        <v>0.03</v>
      </c>
      <c r="Z338" s="117">
        <f>Sales4[[#This Row],[Actual delivery qty]]</f>
        <v>145000</v>
      </c>
      <c r="AA338" s="12" t="e">
        <f>SUM(Sales4[[#This Row],[BOM Cost]:[Other Conversion cost pu]])</f>
        <v>#REF!</v>
      </c>
      <c r="AB33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3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38" s="12">
        <f>IFERROR(VLOOKUP(Sales4[[#This Row],[Material]],'COGS Break up'!#REF!,5,0),0)</f>
        <v>0</v>
      </c>
      <c r="AE33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38" s="48" t="e">
        <f>Sales4[[#This Row],[PGI per unit]]-Sales4[[#This Row],[BOM Cost]]-Sales4[[#This Row],[Labour cost per unit]]-Sales4[[#This Row],[Other Conversion cost pu]]</f>
        <v>#REF!</v>
      </c>
      <c r="AG338" s="48" t="e">
        <f>Sales4[[#This Row],[BOM Cost2]]+Sales4[[#This Row],[Labour Cost]]+Sales4[[#This Row],[Other conversion cost]]</f>
        <v>#REF!</v>
      </c>
      <c r="AH338" s="12" t="e">
        <f>Sales4[[#This Row],[Billed Quantity]]*Sales4[[#This Row],[BOM Cost]]</f>
        <v>#REF!</v>
      </c>
      <c r="AI338" s="12" t="e">
        <f>Sales4[[#This Row],[Billed Quantity]]*Sales4[[#This Row],[Labour cost per unit]]</f>
        <v>#REF!</v>
      </c>
      <c r="AJ338" s="12">
        <f>Sales4[[#This Row],[Droppage per unit]]*Sales4[[#This Row],[Billed Quantity]]</f>
        <v>0</v>
      </c>
      <c r="AK338" s="12" t="e">
        <f>Sales4[[#This Row],[Billed Quantity]]*Sales4[[#This Row],[Other Conversion cost pu]]</f>
        <v>#REF!</v>
      </c>
      <c r="AL338" s="48" t="e">
        <f>Sales4[[#This Row],[PGI Amount]]-Sales4[[#This Row],[BOM Cost2]]-Sales4[[#This Row],[Labour Cost]]-Sales4[[#This Row],[Other conversion cost]]</f>
        <v>#REF!</v>
      </c>
      <c r="AM338" s="121" t="e">
        <f>1-Sales4[[#This Row],[PGI COST]]/Sales4[[#This Row],[Net Value]]</f>
        <v>#REF!</v>
      </c>
      <c r="AN338" s="1">
        <f>Sales4[[#This Row],[PGI Amount]]/Sales4[[#This Row],[Billed Quantity]]</f>
        <v>3.3005655172413793E-2</v>
      </c>
      <c r="AO338" s="72" t="e">
        <f>SUMIFS('COGS Break up'!#REF!,'COGS Break up'!#REF!,Sales4[[#This Row],[Material]],'COGS Break up'!#REF!,'MIS Working'!$AO$1)</f>
        <v>#REF!</v>
      </c>
      <c r="AP338" s="72" t="e">
        <f>SUMIFS('COGS Break up'!#REF!,'COGS Break up'!#REF!,Sales4[[#This Row],[Material]],'COGS Break up'!#REF!,'MIS Working'!$AP$1)</f>
        <v>#REF!</v>
      </c>
      <c r="AQ338" s="72" t="e">
        <f>SUMIFS('COGS Break up'!#REF!,'COGS Break up'!#REF!,Sales4[[#This Row],[Material]],'COGS Break up'!#REF!,'MIS Working'!$AQ$1)</f>
        <v>#REF!</v>
      </c>
      <c r="AR338" s="72">
        <f>Sales4[[#This Row],[Droppage per unit]]</f>
        <v>0</v>
      </c>
      <c r="AS338" s="15" t="e">
        <f>AO338*Sales4[[#This Row],[Billed Quantity]]</f>
        <v>#REF!</v>
      </c>
      <c r="AT338" s="72" t="e">
        <f>AP338*Sales4[[#This Row],[Billed Quantity]]</f>
        <v>#REF!</v>
      </c>
      <c r="AU338" s="72" t="e">
        <f>AQ338*Sales4[[#This Row],[Billed Quantity]]</f>
        <v>#REF!</v>
      </c>
      <c r="AV338" s="72">
        <f>AR338*Sales4[[#This Row],[Billed Quantity]]</f>
        <v>0</v>
      </c>
    </row>
    <row r="339" spans="1:48" x14ac:dyDescent="0.3">
      <c r="A339" s="1" t="s">
        <v>1212</v>
      </c>
      <c r="B339" s="2">
        <v>45908</v>
      </c>
      <c r="C339" s="1">
        <v>3271267987</v>
      </c>
      <c r="D339" s="1" t="s">
        <v>1344</v>
      </c>
      <c r="E339" s="1" t="s">
        <v>1345</v>
      </c>
      <c r="F339" s="1" t="s">
        <v>18</v>
      </c>
      <c r="G339" s="1" t="s">
        <v>48</v>
      </c>
      <c r="H339" s="1" t="s">
        <v>198</v>
      </c>
      <c r="I339" s="3">
        <v>44000</v>
      </c>
      <c r="J339" s="4">
        <v>7969.83</v>
      </c>
      <c r="K339" s="3">
        <v>44000</v>
      </c>
      <c r="L339" s="3">
        <v>44000</v>
      </c>
      <c r="M339" s="2">
        <v>45908</v>
      </c>
      <c r="N339" s="4">
        <v>13640</v>
      </c>
      <c r="O339" s="1" t="s">
        <v>21</v>
      </c>
      <c r="P339" s="1" t="s">
        <v>22</v>
      </c>
      <c r="Q339" s="1">
        <v>6</v>
      </c>
      <c r="R339" s="1" t="str">
        <f>VLOOKUP(Sales4[[#This Row],[Material type]],Master!$H$3:$I$8,2,0)</f>
        <v>Raw Material</v>
      </c>
      <c r="S339" s="1" t="str">
        <f>VLOOKUP(Sales4[[#This Row],[Material Group]],Master!B:C,2,0)</f>
        <v>RM-Eletro-Capacitor</v>
      </c>
      <c r="T339" s="1" t="str">
        <f>VLOOKUP(Sales4[[#This Row],[Material Group Descrip]],Master!E:F,2,0)</f>
        <v>Raw Material</v>
      </c>
      <c r="U339" s="9" t="b">
        <f ca="1">(TODAY()-1)=Sales4[[#This Row],[Billing Date]]</f>
        <v>0</v>
      </c>
      <c r="V339" s="10" t="e">
        <f>Sales4[[#This Row],[Net Value]]-Sales4[[#This Row],[PGI COST]]</f>
        <v>#REF!</v>
      </c>
      <c r="W339" s="11" t="e">
        <f>Sales4[[#This Row],[Gross Margin]]/Sales4[[#This Row],[Net Value]]</f>
        <v>#REF!</v>
      </c>
      <c r="X339" s="1" t="str">
        <f>TEXT(Sales4[[#This Row],[Billing Date]],"mmmm-yy")</f>
        <v>September-25</v>
      </c>
      <c r="Y339" s="1">
        <f>Sales4[[#This Row],[Net Value]]/Sales4[[#This Row],[Billed Quantity]]</f>
        <v>0.31</v>
      </c>
      <c r="Z339" s="117">
        <f>Sales4[[#This Row],[Actual delivery qty]]</f>
        <v>44000</v>
      </c>
      <c r="AA339" s="12" t="e">
        <f>SUM(Sales4[[#This Row],[BOM Cost]:[Other Conversion cost pu]])</f>
        <v>#REF!</v>
      </c>
      <c r="AB33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3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39" s="12">
        <f>IFERROR(VLOOKUP(Sales4[[#This Row],[Material]],'COGS Break up'!#REF!,5,0),0)</f>
        <v>0</v>
      </c>
      <c r="AE33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39" s="48" t="e">
        <f>Sales4[[#This Row],[PGI per unit]]-Sales4[[#This Row],[BOM Cost]]-Sales4[[#This Row],[Labour cost per unit]]-Sales4[[#This Row],[Other Conversion cost pu]]</f>
        <v>#REF!</v>
      </c>
      <c r="AG339" s="48" t="e">
        <f>Sales4[[#This Row],[BOM Cost2]]+Sales4[[#This Row],[Labour Cost]]+Sales4[[#This Row],[Other conversion cost]]</f>
        <v>#REF!</v>
      </c>
      <c r="AH339" s="12" t="e">
        <f>Sales4[[#This Row],[Billed Quantity]]*Sales4[[#This Row],[BOM Cost]]</f>
        <v>#REF!</v>
      </c>
      <c r="AI339" s="12" t="e">
        <f>Sales4[[#This Row],[Billed Quantity]]*Sales4[[#This Row],[Labour cost per unit]]</f>
        <v>#REF!</v>
      </c>
      <c r="AJ339" s="12">
        <f>Sales4[[#This Row],[Droppage per unit]]*Sales4[[#This Row],[Billed Quantity]]</f>
        <v>0</v>
      </c>
      <c r="AK339" s="12" t="e">
        <f>Sales4[[#This Row],[Billed Quantity]]*Sales4[[#This Row],[Other Conversion cost pu]]</f>
        <v>#REF!</v>
      </c>
      <c r="AL339" s="48" t="e">
        <f>Sales4[[#This Row],[PGI Amount]]-Sales4[[#This Row],[BOM Cost2]]-Sales4[[#This Row],[Labour Cost]]-Sales4[[#This Row],[Other conversion cost]]</f>
        <v>#REF!</v>
      </c>
      <c r="AM339" s="121" t="e">
        <f>1-Sales4[[#This Row],[PGI COST]]/Sales4[[#This Row],[Net Value]]</f>
        <v>#REF!</v>
      </c>
      <c r="AN339" s="1">
        <f>Sales4[[#This Row],[PGI Amount]]/Sales4[[#This Row],[Billed Quantity]]</f>
        <v>0.1811325</v>
      </c>
      <c r="AO339" s="72" t="e">
        <f>SUMIFS('COGS Break up'!#REF!,'COGS Break up'!#REF!,Sales4[[#This Row],[Material]],'COGS Break up'!#REF!,'MIS Working'!$AO$1)</f>
        <v>#REF!</v>
      </c>
      <c r="AP339" s="72" t="e">
        <f>SUMIFS('COGS Break up'!#REF!,'COGS Break up'!#REF!,Sales4[[#This Row],[Material]],'COGS Break up'!#REF!,'MIS Working'!$AP$1)</f>
        <v>#REF!</v>
      </c>
      <c r="AQ339" s="72" t="e">
        <f>SUMIFS('COGS Break up'!#REF!,'COGS Break up'!#REF!,Sales4[[#This Row],[Material]],'COGS Break up'!#REF!,'MIS Working'!$AQ$1)</f>
        <v>#REF!</v>
      </c>
      <c r="AR339" s="72">
        <f>Sales4[[#This Row],[Droppage per unit]]</f>
        <v>0</v>
      </c>
      <c r="AS339" s="15" t="e">
        <f>AO339*Sales4[[#This Row],[Billed Quantity]]</f>
        <v>#REF!</v>
      </c>
      <c r="AT339" s="72" t="e">
        <f>AP339*Sales4[[#This Row],[Billed Quantity]]</f>
        <v>#REF!</v>
      </c>
      <c r="AU339" s="72" t="e">
        <f>AQ339*Sales4[[#This Row],[Billed Quantity]]</f>
        <v>#REF!</v>
      </c>
      <c r="AV339" s="72">
        <f>AR339*Sales4[[#This Row],[Billed Quantity]]</f>
        <v>0</v>
      </c>
    </row>
    <row r="340" spans="1:48" x14ac:dyDescent="0.3">
      <c r="A340" s="1" t="s">
        <v>1212</v>
      </c>
      <c r="B340" s="2">
        <v>45908</v>
      </c>
      <c r="C340" s="1">
        <v>3271267987</v>
      </c>
      <c r="D340" s="1" t="s">
        <v>1346</v>
      </c>
      <c r="E340" s="1" t="s">
        <v>1347</v>
      </c>
      <c r="F340" s="1" t="s">
        <v>18</v>
      </c>
      <c r="G340" s="1" t="s">
        <v>48</v>
      </c>
      <c r="H340" s="1" t="s">
        <v>204</v>
      </c>
      <c r="I340" s="3">
        <v>35000</v>
      </c>
      <c r="J340" s="4">
        <v>1960</v>
      </c>
      <c r="K340" s="3">
        <v>35000</v>
      </c>
      <c r="L340" s="3">
        <v>35000</v>
      </c>
      <c r="M340" s="2">
        <v>45908</v>
      </c>
      <c r="N340" s="4">
        <v>2100</v>
      </c>
      <c r="O340" s="1" t="s">
        <v>21</v>
      </c>
      <c r="P340" s="1" t="s">
        <v>22</v>
      </c>
      <c r="Q340" s="1">
        <v>6</v>
      </c>
      <c r="R340" s="1" t="str">
        <f>VLOOKUP(Sales4[[#This Row],[Material type]],Master!$H$3:$I$8,2,0)</f>
        <v>Raw Material</v>
      </c>
      <c r="S340" s="1" t="str">
        <f>VLOOKUP(Sales4[[#This Row],[Material Group]],Master!B:C,2,0)</f>
        <v>RM-Eletro-Resistor</v>
      </c>
      <c r="T340" s="1" t="str">
        <f>VLOOKUP(Sales4[[#This Row],[Material Group Descrip]],Master!E:F,2,0)</f>
        <v>Raw Material</v>
      </c>
      <c r="U340" s="9" t="b">
        <f ca="1">(TODAY()-1)=Sales4[[#This Row],[Billing Date]]</f>
        <v>0</v>
      </c>
      <c r="V340" s="10" t="e">
        <f>Sales4[[#This Row],[Net Value]]-Sales4[[#This Row],[PGI COST]]</f>
        <v>#REF!</v>
      </c>
      <c r="W340" s="11" t="e">
        <f>Sales4[[#This Row],[Gross Margin]]/Sales4[[#This Row],[Net Value]]</f>
        <v>#REF!</v>
      </c>
      <c r="X340" s="1" t="str">
        <f>TEXT(Sales4[[#This Row],[Billing Date]],"mmmm-yy")</f>
        <v>September-25</v>
      </c>
      <c r="Y340" s="1">
        <f>Sales4[[#This Row],[Net Value]]/Sales4[[#This Row],[Billed Quantity]]</f>
        <v>0.06</v>
      </c>
      <c r="Z340" s="117">
        <f>Sales4[[#This Row],[Actual delivery qty]]</f>
        <v>35000</v>
      </c>
      <c r="AA340" s="12" t="e">
        <f>SUM(Sales4[[#This Row],[BOM Cost]:[Other Conversion cost pu]])</f>
        <v>#REF!</v>
      </c>
      <c r="AB34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4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40" s="12">
        <f>IFERROR(VLOOKUP(Sales4[[#This Row],[Material]],'COGS Break up'!#REF!,5,0),0)</f>
        <v>0</v>
      </c>
      <c r="AE34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40" s="48" t="e">
        <f>Sales4[[#This Row],[PGI per unit]]-Sales4[[#This Row],[BOM Cost]]-Sales4[[#This Row],[Labour cost per unit]]-Sales4[[#This Row],[Other Conversion cost pu]]</f>
        <v>#REF!</v>
      </c>
      <c r="AG340" s="48" t="e">
        <f>Sales4[[#This Row],[BOM Cost2]]+Sales4[[#This Row],[Labour Cost]]+Sales4[[#This Row],[Other conversion cost]]</f>
        <v>#REF!</v>
      </c>
      <c r="AH340" s="12" t="e">
        <f>Sales4[[#This Row],[Billed Quantity]]*Sales4[[#This Row],[BOM Cost]]</f>
        <v>#REF!</v>
      </c>
      <c r="AI340" s="12" t="e">
        <f>Sales4[[#This Row],[Billed Quantity]]*Sales4[[#This Row],[Labour cost per unit]]</f>
        <v>#REF!</v>
      </c>
      <c r="AJ340" s="12">
        <f>Sales4[[#This Row],[Droppage per unit]]*Sales4[[#This Row],[Billed Quantity]]</f>
        <v>0</v>
      </c>
      <c r="AK340" s="12" t="e">
        <f>Sales4[[#This Row],[Billed Quantity]]*Sales4[[#This Row],[Other Conversion cost pu]]</f>
        <v>#REF!</v>
      </c>
      <c r="AL340" s="48" t="e">
        <f>Sales4[[#This Row],[PGI Amount]]-Sales4[[#This Row],[BOM Cost2]]-Sales4[[#This Row],[Labour Cost]]-Sales4[[#This Row],[Other conversion cost]]</f>
        <v>#REF!</v>
      </c>
      <c r="AM340" s="121" t="e">
        <f>1-Sales4[[#This Row],[PGI COST]]/Sales4[[#This Row],[Net Value]]</f>
        <v>#REF!</v>
      </c>
      <c r="AN340" s="1">
        <f>Sales4[[#This Row],[PGI Amount]]/Sales4[[#This Row],[Billed Quantity]]</f>
        <v>5.6000000000000001E-2</v>
      </c>
      <c r="AO340" s="72" t="e">
        <f>SUMIFS('COGS Break up'!#REF!,'COGS Break up'!#REF!,Sales4[[#This Row],[Material]],'COGS Break up'!#REF!,'MIS Working'!$AO$1)</f>
        <v>#REF!</v>
      </c>
      <c r="AP340" s="72" t="e">
        <f>SUMIFS('COGS Break up'!#REF!,'COGS Break up'!#REF!,Sales4[[#This Row],[Material]],'COGS Break up'!#REF!,'MIS Working'!$AP$1)</f>
        <v>#REF!</v>
      </c>
      <c r="AQ340" s="72" t="e">
        <f>SUMIFS('COGS Break up'!#REF!,'COGS Break up'!#REF!,Sales4[[#This Row],[Material]],'COGS Break up'!#REF!,'MIS Working'!$AQ$1)</f>
        <v>#REF!</v>
      </c>
      <c r="AR340" s="72">
        <f>Sales4[[#This Row],[Droppage per unit]]</f>
        <v>0</v>
      </c>
      <c r="AS340" s="15" t="e">
        <f>AO340*Sales4[[#This Row],[Billed Quantity]]</f>
        <v>#REF!</v>
      </c>
      <c r="AT340" s="72" t="e">
        <f>AP340*Sales4[[#This Row],[Billed Quantity]]</f>
        <v>#REF!</v>
      </c>
      <c r="AU340" s="72" t="e">
        <f>AQ340*Sales4[[#This Row],[Billed Quantity]]</f>
        <v>#REF!</v>
      </c>
      <c r="AV340" s="72">
        <f>AR340*Sales4[[#This Row],[Billed Quantity]]</f>
        <v>0</v>
      </c>
    </row>
    <row r="341" spans="1:48" x14ac:dyDescent="0.3">
      <c r="A341" s="1" t="s">
        <v>1212</v>
      </c>
      <c r="B341" s="2">
        <v>45908</v>
      </c>
      <c r="C341" s="1">
        <v>3271267987</v>
      </c>
      <c r="D341" s="1" t="s">
        <v>1348</v>
      </c>
      <c r="E341" s="1" t="s">
        <v>1349</v>
      </c>
      <c r="F341" s="1" t="s">
        <v>18</v>
      </c>
      <c r="G341" s="1" t="s">
        <v>48</v>
      </c>
      <c r="H341" s="1" t="s">
        <v>207</v>
      </c>
      <c r="I341" s="3">
        <v>35000</v>
      </c>
      <c r="J341" s="4">
        <v>1960</v>
      </c>
      <c r="K341" s="3">
        <v>35000</v>
      </c>
      <c r="L341" s="3">
        <v>35000</v>
      </c>
      <c r="M341" s="2">
        <v>45908</v>
      </c>
      <c r="N341" s="4">
        <v>2100</v>
      </c>
      <c r="O341" s="1" t="s">
        <v>21</v>
      </c>
      <c r="P341" s="1" t="s">
        <v>22</v>
      </c>
      <c r="Q341" s="1">
        <v>6</v>
      </c>
      <c r="R341" s="1" t="str">
        <f>VLOOKUP(Sales4[[#This Row],[Material type]],Master!$H$3:$I$8,2,0)</f>
        <v>Raw Material</v>
      </c>
      <c r="S341" s="1" t="str">
        <f>VLOOKUP(Sales4[[#This Row],[Material Group]],Master!B:C,2,0)</f>
        <v>RM-Mech. Accessories</v>
      </c>
      <c r="T341" s="1" t="str">
        <f>VLOOKUP(Sales4[[#This Row],[Material Group Descrip]],Master!E:F,2,0)</f>
        <v>Raw Material</v>
      </c>
      <c r="U341" s="9" t="b">
        <f ca="1">(TODAY()-1)=Sales4[[#This Row],[Billing Date]]</f>
        <v>0</v>
      </c>
      <c r="V341" s="10" t="e">
        <f>Sales4[[#This Row],[Net Value]]-Sales4[[#This Row],[PGI COST]]</f>
        <v>#REF!</v>
      </c>
      <c r="W341" s="11" t="e">
        <f>Sales4[[#This Row],[Gross Margin]]/Sales4[[#This Row],[Net Value]]</f>
        <v>#REF!</v>
      </c>
      <c r="X341" s="1" t="str">
        <f>TEXT(Sales4[[#This Row],[Billing Date]],"mmmm-yy")</f>
        <v>September-25</v>
      </c>
      <c r="Y341" s="1">
        <f>Sales4[[#This Row],[Net Value]]/Sales4[[#This Row],[Billed Quantity]]</f>
        <v>0.06</v>
      </c>
      <c r="Z341" s="117">
        <f>Sales4[[#This Row],[Actual delivery qty]]</f>
        <v>35000</v>
      </c>
      <c r="AA341" s="12" t="e">
        <f>SUM(Sales4[[#This Row],[BOM Cost]:[Other Conversion cost pu]])</f>
        <v>#REF!</v>
      </c>
      <c r="AB34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4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41" s="12">
        <f>IFERROR(VLOOKUP(Sales4[[#This Row],[Material]],'COGS Break up'!#REF!,5,0),0)</f>
        <v>0</v>
      </c>
      <c r="AE34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41" s="48" t="e">
        <f>Sales4[[#This Row],[PGI per unit]]-Sales4[[#This Row],[BOM Cost]]-Sales4[[#This Row],[Labour cost per unit]]-Sales4[[#This Row],[Other Conversion cost pu]]</f>
        <v>#REF!</v>
      </c>
      <c r="AG341" s="48" t="e">
        <f>Sales4[[#This Row],[BOM Cost2]]+Sales4[[#This Row],[Labour Cost]]+Sales4[[#This Row],[Other conversion cost]]</f>
        <v>#REF!</v>
      </c>
      <c r="AH341" s="12" t="e">
        <f>Sales4[[#This Row],[Billed Quantity]]*Sales4[[#This Row],[BOM Cost]]</f>
        <v>#REF!</v>
      </c>
      <c r="AI341" s="12" t="e">
        <f>Sales4[[#This Row],[Billed Quantity]]*Sales4[[#This Row],[Labour cost per unit]]</f>
        <v>#REF!</v>
      </c>
      <c r="AJ341" s="12">
        <f>Sales4[[#This Row],[Droppage per unit]]*Sales4[[#This Row],[Billed Quantity]]</f>
        <v>0</v>
      </c>
      <c r="AK341" s="12" t="e">
        <f>Sales4[[#This Row],[Billed Quantity]]*Sales4[[#This Row],[Other Conversion cost pu]]</f>
        <v>#REF!</v>
      </c>
      <c r="AL341" s="48" t="e">
        <f>Sales4[[#This Row],[PGI Amount]]-Sales4[[#This Row],[BOM Cost2]]-Sales4[[#This Row],[Labour Cost]]-Sales4[[#This Row],[Other conversion cost]]</f>
        <v>#REF!</v>
      </c>
      <c r="AM341" s="121" t="e">
        <f>1-Sales4[[#This Row],[PGI COST]]/Sales4[[#This Row],[Net Value]]</f>
        <v>#REF!</v>
      </c>
      <c r="AN341" s="1">
        <f>Sales4[[#This Row],[PGI Amount]]/Sales4[[#This Row],[Billed Quantity]]</f>
        <v>5.6000000000000001E-2</v>
      </c>
      <c r="AO341" s="72" t="e">
        <f>SUMIFS('COGS Break up'!#REF!,'COGS Break up'!#REF!,Sales4[[#This Row],[Material]],'COGS Break up'!#REF!,'MIS Working'!$AO$1)</f>
        <v>#REF!</v>
      </c>
      <c r="AP341" s="72" t="e">
        <f>SUMIFS('COGS Break up'!#REF!,'COGS Break up'!#REF!,Sales4[[#This Row],[Material]],'COGS Break up'!#REF!,'MIS Working'!$AP$1)</f>
        <v>#REF!</v>
      </c>
      <c r="AQ341" s="72" t="e">
        <f>SUMIFS('COGS Break up'!#REF!,'COGS Break up'!#REF!,Sales4[[#This Row],[Material]],'COGS Break up'!#REF!,'MIS Working'!$AQ$1)</f>
        <v>#REF!</v>
      </c>
      <c r="AR341" s="72">
        <f>Sales4[[#This Row],[Droppage per unit]]</f>
        <v>0</v>
      </c>
      <c r="AS341" s="15" t="e">
        <f>AO341*Sales4[[#This Row],[Billed Quantity]]</f>
        <v>#REF!</v>
      </c>
      <c r="AT341" s="72" t="e">
        <f>AP341*Sales4[[#This Row],[Billed Quantity]]</f>
        <v>#REF!</v>
      </c>
      <c r="AU341" s="72" t="e">
        <f>AQ341*Sales4[[#This Row],[Billed Quantity]]</f>
        <v>#REF!</v>
      </c>
      <c r="AV341" s="72">
        <f>AR341*Sales4[[#This Row],[Billed Quantity]]</f>
        <v>0</v>
      </c>
    </row>
    <row r="342" spans="1:48" x14ac:dyDescent="0.3">
      <c r="A342" s="1" t="s">
        <v>1212</v>
      </c>
      <c r="B342" s="2">
        <v>45908</v>
      </c>
      <c r="C342" s="1">
        <v>3271267987</v>
      </c>
      <c r="D342" s="1" t="s">
        <v>1350</v>
      </c>
      <c r="E342" s="1" t="s">
        <v>1351</v>
      </c>
      <c r="F342" s="1" t="s">
        <v>18</v>
      </c>
      <c r="G342" s="1" t="s">
        <v>48</v>
      </c>
      <c r="H342" s="1" t="s">
        <v>204</v>
      </c>
      <c r="I342" s="3">
        <v>35000</v>
      </c>
      <c r="J342" s="4">
        <v>2100</v>
      </c>
      <c r="K342" s="3">
        <v>35000</v>
      </c>
      <c r="L342" s="3">
        <v>35000</v>
      </c>
      <c r="M342" s="2">
        <v>45908</v>
      </c>
      <c r="N342" s="4">
        <v>2100</v>
      </c>
      <c r="O342" s="1" t="s">
        <v>21</v>
      </c>
      <c r="P342" s="1" t="s">
        <v>22</v>
      </c>
      <c r="Q342" s="1">
        <v>6</v>
      </c>
      <c r="R342" s="1" t="str">
        <f>VLOOKUP(Sales4[[#This Row],[Material type]],Master!$H$3:$I$8,2,0)</f>
        <v>Raw Material</v>
      </c>
      <c r="S342" s="1" t="str">
        <f>VLOOKUP(Sales4[[#This Row],[Material Group]],Master!B:C,2,0)</f>
        <v>RM-Eletro-Resistor</v>
      </c>
      <c r="T342" s="1" t="str">
        <f>VLOOKUP(Sales4[[#This Row],[Material Group Descrip]],Master!E:F,2,0)</f>
        <v>Raw Material</v>
      </c>
      <c r="U342" s="9" t="b">
        <f ca="1">(TODAY()-1)=Sales4[[#This Row],[Billing Date]]</f>
        <v>0</v>
      </c>
      <c r="V342" s="10" t="e">
        <f>Sales4[[#This Row],[Net Value]]-Sales4[[#This Row],[PGI COST]]</f>
        <v>#REF!</v>
      </c>
      <c r="W342" s="11" t="e">
        <f>Sales4[[#This Row],[Gross Margin]]/Sales4[[#This Row],[Net Value]]</f>
        <v>#REF!</v>
      </c>
      <c r="X342" s="1" t="str">
        <f>TEXT(Sales4[[#This Row],[Billing Date]],"mmmm-yy")</f>
        <v>September-25</v>
      </c>
      <c r="Y342" s="1">
        <f>Sales4[[#This Row],[Net Value]]/Sales4[[#This Row],[Billed Quantity]]</f>
        <v>0.06</v>
      </c>
      <c r="Z342" s="117">
        <f>Sales4[[#This Row],[Actual delivery qty]]</f>
        <v>35000</v>
      </c>
      <c r="AA342" s="12" t="e">
        <f>SUM(Sales4[[#This Row],[BOM Cost]:[Other Conversion cost pu]])</f>
        <v>#REF!</v>
      </c>
      <c r="AB34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4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42" s="12">
        <f>IFERROR(VLOOKUP(Sales4[[#This Row],[Material]],'COGS Break up'!#REF!,5,0),0)</f>
        <v>0</v>
      </c>
      <c r="AE34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42" s="48" t="e">
        <f>Sales4[[#This Row],[PGI per unit]]-Sales4[[#This Row],[BOM Cost]]-Sales4[[#This Row],[Labour cost per unit]]-Sales4[[#This Row],[Other Conversion cost pu]]</f>
        <v>#REF!</v>
      </c>
      <c r="AG342" s="48" t="e">
        <f>Sales4[[#This Row],[BOM Cost2]]+Sales4[[#This Row],[Labour Cost]]+Sales4[[#This Row],[Other conversion cost]]</f>
        <v>#REF!</v>
      </c>
      <c r="AH342" s="12" t="e">
        <f>Sales4[[#This Row],[Billed Quantity]]*Sales4[[#This Row],[BOM Cost]]</f>
        <v>#REF!</v>
      </c>
      <c r="AI342" s="12" t="e">
        <f>Sales4[[#This Row],[Billed Quantity]]*Sales4[[#This Row],[Labour cost per unit]]</f>
        <v>#REF!</v>
      </c>
      <c r="AJ342" s="12">
        <f>Sales4[[#This Row],[Droppage per unit]]*Sales4[[#This Row],[Billed Quantity]]</f>
        <v>0</v>
      </c>
      <c r="AK342" s="12" t="e">
        <f>Sales4[[#This Row],[Billed Quantity]]*Sales4[[#This Row],[Other Conversion cost pu]]</f>
        <v>#REF!</v>
      </c>
      <c r="AL342" s="48" t="e">
        <f>Sales4[[#This Row],[PGI Amount]]-Sales4[[#This Row],[BOM Cost2]]-Sales4[[#This Row],[Labour Cost]]-Sales4[[#This Row],[Other conversion cost]]</f>
        <v>#REF!</v>
      </c>
      <c r="AM342" s="121" t="e">
        <f>1-Sales4[[#This Row],[PGI COST]]/Sales4[[#This Row],[Net Value]]</f>
        <v>#REF!</v>
      </c>
      <c r="AN342" s="1">
        <f>Sales4[[#This Row],[PGI Amount]]/Sales4[[#This Row],[Billed Quantity]]</f>
        <v>0.06</v>
      </c>
      <c r="AO342" s="72" t="e">
        <f>SUMIFS('COGS Break up'!#REF!,'COGS Break up'!#REF!,Sales4[[#This Row],[Material]],'COGS Break up'!#REF!,'MIS Working'!$AO$1)</f>
        <v>#REF!</v>
      </c>
      <c r="AP342" s="72" t="e">
        <f>SUMIFS('COGS Break up'!#REF!,'COGS Break up'!#REF!,Sales4[[#This Row],[Material]],'COGS Break up'!#REF!,'MIS Working'!$AP$1)</f>
        <v>#REF!</v>
      </c>
      <c r="AQ342" s="72" t="e">
        <f>SUMIFS('COGS Break up'!#REF!,'COGS Break up'!#REF!,Sales4[[#This Row],[Material]],'COGS Break up'!#REF!,'MIS Working'!$AQ$1)</f>
        <v>#REF!</v>
      </c>
      <c r="AR342" s="72">
        <f>Sales4[[#This Row],[Droppage per unit]]</f>
        <v>0</v>
      </c>
      <c r="AS342" s="15" t="e">
        <f>AO342*Sales4[[#This Row],[Billed Quantity]]</f>
        <v>#REF!</v>
      </c>
      <c r="AT342" s="72" t="e">
        <f>AP342*Sales4[[#This Row],[Billed Quantity]]</f>
        <v>#REF!</v>
      </c>
      <c r="AU342" s="72" t="e">
        <f>AQ342*Sales4[[#This Row],[Billed Quantity]]</f>
        <v>#REF!</v>
      </c>
      <c r="AV342" s="72">
        <f>AR342*Sales4[[#This Row],[Billed Quantity]]</f>
        <v>0</v>
      </c>
    </row>
    <row r="343" spans="1:48" x14ac:dyDescent="0.3">
      <c r="A343" s="1" t="s">
        <v>1212</v>
      </c>
      <c r="B343" s="2">
        <v>45908</v>
      </c>
      <c r="C343" s="1">
        <v>3271267987</v>
      </c>
      <c r="D343" s="1" t="s">
        <v>1352</v>
      </c>
      <c r="E343" s="1" t="s">
        <v>1353</v>
      </c>
      <c r="F343" s="1" t="s">
        <v>18</v>
      </c>
      <c r="G343" s="1" t="s">
        <v>48</v>
      </c>
      <c r="H343" s="1" t="s">
        <v>204</v>
      </c>
      <c r="I343" s="3">
        <v>15000</v>
      </c>
      <c r="J343" s="4">
        <v>840</v>
      </c>
      <c r="K343" s="3">
        <v>15000</v>
      </c>
      <c r="L343" s="3">
        <v>15000</v>
      </c>
      <c r="M343" s="2">
        <v>45908</v>
      </c>
      <c r="N343" s="4">
        <v>900</v>
      </c>
      <c r="O343" s="1" t="s">
        <v>21</v>
      </c>
      <c r="P343" s="1" t="s">
        <v>22</v>
      </c>
      <c r="Q343" s="1">
        <v>6</v>
      </c>
      <c r="R343" s="1" t="str">
        <f>VLOOKUP(Sales4[[#This Row],[Material type]],Master!$H$3:$I$8,2,0)</f>
        <v>Raw Material</v>
      </c>
      <c r="S343" s="1" t="str">
        <f>VLOOKUP(Sales4[[#This Row],[Material Group]],Master!B:C,2,0)</f>
        <v>RM-Eletro-Resistor</v>
      </c>
      <c r="T343" s="1" t="str">
        <f>VLOOKUP(Sales4[[#This Row],[Material Group Descrip]],Master!E:F,2,0)</f>
        <v>Raw Material</v>
      </c>
      <c r="U343" s="9" t="b">
        <f ca="1">(TODAY()-1)=Sales4[[#This Row],[Billing Date]]</f>
        <v>0</v>
      </c>
      <c r="V343" s="10" t="e">
        <f>Sales4[[#This Row],[Net Value]]-Sales4[[#This Row],[PGI COST]]</f>
        <v>#REF!</v>
      </c>
      <c r="W343" s="11" t="e">
        <f>Sales4[[#This Row],[Gross Margin]]/Sales4[[#This Row],[Net Value]]</f>
        <v>#REF!</v>
      </c>
      <c r="X343" s="1" t="str">
        <f>TEXT(Sales4[[#This Row],[Billing Date]],"mmmm-yy")</f>
        <v>September-25</v>
      </c>
      <c r="Y343" s="1">
        <f>Sales4[[#This Row],[Net Value]]/Sales4[[#This Row],[Billed Quantity]]</f>
        <v>0.06</v>
      </c>
      <c r="Z343" s="117">
        <f>Sales4[[#This Row],[Actual delivery qty]]</f>
        <v>15000</v>
      </c>
      <c r="AA343" s="12" t="e">
        <f>SUM(Sales4[[#This Row],[BOM Cost]:[Other Conversion cost pu]])</f>
        <v>#REF!</v>
      </c>
      <c r="AB34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4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43" s="12">
        <f>IFERROR(VLOOKUP(Sales4[[#This Row],[Material]],'COGS Break up'!#REF!,5,0),0)</f>
        <v>0</v>
      </c>
      <c r="AE34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43" s="48" t="e">
        <f>Sales4[[#This Row],[PGI per unit]]-Sales4[[#This Row],[BOM Cost]]-Sales4[[#This Row],[Labour cost per unit]]-Sales4[[#This Row],[Other Conversion cost pu]]</f>
        <v>#REF!</v>
      </c>
      <c r="AG343" s="48" t="e">
        <f>Sales4[[#This Row],[BOM Cost2]]+Sales4[[#This Row],[Labour Cost]]+Sales4[[#This Row],[Other conversion cost]]</f>
        <v>#REF!</v>
      </c>
      <c r="AH343" s="12" t="e">
        <f>Sales4[[#This Row],[Billed Quantity]]*Sales4[[#This Row],[BOM Cost]]</f>
        <v>#REF!</v>
      </c>
      <c r="AI343" s="12" t="e">
        <f>Sales4[[#This Row],[Billed Quantity]]*Sales4[[#This Row],[Labour cost per unit]]</f>
        <v>#REF!</v>
      </c>
      <c r="AJ343" s="12">
        <f>Sales4[[#This Row],[Droppage per unit]]*Sales4[[#This Row],[Billed Quantity]]</f>
        <v>0</v>
      </c>
      <c r="AK343" s="12" t="e">
        <f>Sales4[[#This Row],[Billed Quantity]]*Sales4[[#This Row],[Other Conversion cost pu]]</f>
        <v>#REF!</v>
      </c>
      <c r="AL343" s="48" t="e">
        <f>Sales4[[#This Row],[PGI Amount]]-Sales4[[#This Row],[BOM Cost2]]-Sales4[[#This Row],[Labour Cost]]-Sales4[[#This Row],[Other conversion cost]]</f>
        <v>#REF!</v>
      </c>
      <c r="AM343" s="121" t="e">
        <f>1-Sales4[[#This Row],[PGI COST]]/Sales4[[#This Row],[Net Value]]</f>
        <v>#REF!</v>
      </c>
      <c r="AN343" s="1">
        <f>Sales4[[#This Row],[PGI Amount]]/Sales4[[#This Row],[Billed Quantity]]</f>
        <v>5.6000000000000001E-2</v>
      </c>
      <c r="AO343" s="72" t="e">
        <f>SUMIFS('COGS Break up'!#REF!,'COGS Break up'!#REF!,Sales4[[#This Row],[Material]],'COGS Break up'!#REF!,'MIS Working'!$AO$1)</f>
        <v>#REF!</v>
      </c>
      <c r="AP343" s="72" t="e">
        <f>SUMIFS('COGS Break up'!#REF!,'COGS Break up'!#REF!,Sales4[[#This Row],[Material]],'COGS Break up'!#REF!,'MIS Working'!$AP$1)</f>
        <v>#REF!</v>
      </c>
      <c r="AQ343" s="72" t="e">
        <f>SUMIFS('COGS Break up'!#REF!,'COGS Break up'!#REF!,Sales4[[#This Row],[Material]],'COGS Break up'!#REF!,'MIS Working'!$AQ$1)</f>
        <v>#REF!</v>
      </c>
      <c r="AR343" s="72">
        <f>Sales4[[#This Row],[Droppage per unit]]</f>
        <v>0</v>
      </c>
      <c r="AS343" s="15" t="e">
        <f>AO343*Sales4[[#This Row],[Billed Quantity]]</f>
        <v>#REF!</v>
      </c>
      <c r="AT343" s="72" t="e">
        <f>AP343*Sales4[[#This Row],[Billed Quantity]]</f>
        <v>#REF!</v>
      </c>
      <c r="AU343" s="72" t="e">
        <f>AQ343*Sales4[[#This Row],[Billed Quantity]]</f>
        <v>#REF!</v>
      </c>
      <c r="AV343" s="72">
        <f>AR343*Sales4[[#This Row],[Billed Quantity]]</f>
        <v>0</v>
      </c>
    </row>
    <row r="344" spans="1:48" x14ac:dyDescent="0.3">
      <c r="A344" s="1" t="s">
        <v>1212</v>
      </c>
      <c r="B344" s="2">
        <v>45908</v>
      </c>
      <c r="C344" s="1">
        <v>3271267987</v>
      </c>
      <c r="D344" s="1" t="s">
        <v>1354</v>
      </c>
      <c r="E344" s="1" t="s">
        <v>1355</v>
      </c>
      <c r="F344" s="1" t="s">
        <v>18</v>
      </c>
      <c r="G344" s="1" t="s">
        <v>48</v>
      </c>
      <c r="H344" s="1" t="s">
        <v>204</v>
      </c>
      <c r="I344" s="3">
        <v>4000</v>
      </c>
      <c r="J344" s="4">
        <v>22383.45</v>
      </c>
      <c r="K344" s="3">
        <v>4000</v>
      </c>
      <c r="L344" s="3">
        <v>4000</v>
      </c>
      <c r="M344" s="2">
        <v>45908</v>
      </c>
      <c r="N344" s="4">
        <v>22680</v>
      </c>
      <c r="O344" s="1" t="s">
        <v>21</v>
      </c>
      <c r="P344" s="1" t="s">
        <v>22</v>
      </c>
      <c r="Q344" s="1">
        <v>6</v>
      </c>
      <c r="R344" s="1" t="str">
        <f>VLOOKUP(Sales4[[#This Row],[Material type]],Master!$H$3:$I$8,2,0)</f>
        <v>Raw Material</v>
      </c>
      <c r="S344" s="1" t="str">
        <f>VLOOKUP(Sales4[[#This Row],[Material Group]],Master!B:C,2,0)</f>
        <v>RM-Eletro-Resistor</v>
      </c>
      <c r="T344" s="1" t="str">
        <f>VLOOKUP(Sales4[[#This Row],[Material Group Descrip]],Master!E:F,2,0)</f>
        <v>Raw Material</v>
      </c>
      <c r="U344" s="9" t="b">
        <f ca="1">(TODAY()-1)=Sales4[[#This Row],[Billing Date]]</f>
        <v>0</v>
      </c>
      <c r="V344" s="10" t="e">
        <f>Sales4[[#This Row],[Net Value]]-Sales4[[#This Row],[PGI COST]]</f>
        <v>#REF!</v>
      </c>
      <c r="W344" s="11" t="e">
        <f>Sales4[[#This Row],[Gross Margin]]/Sales4[[#This Row],[Net Value]]</f>
        <v>#REF!</v>
      </c>
      <c r="X344" s="1" t="str">
        <f>TEXT(Sales4[[#This Row],[Billing Date]],"mmmm-yy")</f>
        <v>September-25</v>
      </c>
      <c r="Y344" s="1">
        <f>Sales4[[#This Row],[Net Value]]/Sales4[[#This Row],[Billed Quantity]]</f>
        <v>5.67</v>
      </c>
      <c r="Z344" s="117">
        <f>Sales4[[#This Row],[Actual delivery qty]]</f>
        <v>4000</v>
      </c>
      <c r="AA344" s="12" t="e">
        <f>SUM(Sales4[[#This Row],[BOM Cost]:[Other Conversion cost pu]])</f>
        <v>#REF!</v>
      </c>
      <c r="AB34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4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44" s="12">
        <f>IFERROR(VLOOKUP(Sales4[[#This Row],[Material]],'COGS Break up'!#REF!,5,0),0)</f>
        <v>0</v>
      </c>
      <c r="AE34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44" s="48" t="e">
        <f>Sales4[[#This Row],[PGI per unit]]-Sales4[[#This Row],[BOM Cost]]-Sales4[[#This Row],[Labour cost per unit]]-Sales4[[#This Row],[Other Conversion cost pu]]</f>
        <v>#REF!</v>
      </c>
      <c r="AG344" s="48" t="e">
        <f>Sales4[[#This Row],[BOM Cost2]]+Sales4[[#This Row],[Labour Cost]]+Sales4[[#This Row],[Other conversion cost]]</f>
        <v>#REF!</v>
      </c>
      <c r="AH344" s="12" t="e">
        <f>Sales4[[#This Row],[Billed Quantity]]*Sales4[[#This Row],[BOM Cost]]</f>
        <v>#REF!</v>
      </c>
      <c r="AI344" s="12" t="e">
        <f>Sales4[[#This Row],[Billed Quantity]]*Sales4[[#This Row],[Labour cost per unit]]</f>
        <v>#REF!</v>
      </c>
      <c r="AJ344" s="12">
        <f>Sales4[[#This Row],[Droppage per unit]]*Sales4[[#This Row],[Billed Quantity]]</f>
        <v>0</v>
      </c>
      <c r="AK344" s="12" t="e">
        <f>Sales4[[#This Row],[Billed Quantity]]*Sales4[[#This Row],[Other Conversion cost pu]]</f>
        <v>#REF!</v>
      </c>
      <c r="AL344" s="48" t="e">
        <f>Sales4[[#This Row],[PGI Amount]]-Sales4[[#This Row],[BOM Cost2]]-Sales4[[#This Row],[Labour Cost]]-Sales4[[#This Row],[Other conversion cost]]</f>
        <v>#REF!</v>
      </c>
      <c r="AM344" s="121" t="e">
        <f>1-Sales4[[#This Row],[PGI COST]]/Sales4[[#This Row],[Net Value]]</f>
        <v>#REF!</v>
      </c>
      <c r="AN344" s="1">
        <f>Sales4[[#This Row],[PGI Amount]]/Sales4[[#This Row],[Billed Quantity]]</f>
        <v>5.5958625</v>
      </c>
      <c r="AO344" s="72" t="e">
        <f>SUMIFS('COGS Break up'!#REF!,'COGS Break up'!#REF!,Sales4[[#This Row],[Material]],'COGS Break up'!#REF!,'MIS Working'!$AO$1)</f>
        <v>#REF!</v>
      </c>
      <c r="AP344" s="72" t="e">
        <f>SUMIFS('COGS Break up'!#REF!,'COGS Break up'!#REF!,Sales4[[#This Row],[Material]],'COGS Break up'!#REF!,'MIS Working'!$AP$1)</f>
        <v>#REF!</v>
      </c>
      <c r="AQ344" s="72" t="e">
        <f>SUMIFS('COGS Break up'!#REF!,'COGS Break up'!#REF!,Sales4[[#This Row],[Material]],'COGS Break up'!#REF!,'MIS Working'!$AQ$1)</f>
        <v>#REF!</v>
      </c>
      <c r="AR344" s="72">
        <f>Sales4[[#This Row],[Droppage per unit]]</f>
        <v>0</v>
      </c>
      <c r="AS344" s="15" t="e">
        <f>AO344*Sales4[[#This Row],[Billed Quantity]]</f>
        <v>#REF!</v>
      </c>
      <c r="AT344" s="72" t="e">
        <f>AP344*Sales4[[#This Row],[Billed Quantity]]</f>
        <v>#REF!</v>
      </c>
      <c r="AU344" s="72" t="e">
        <f>AQ344*Sales4[[#This Row],[Billed Quantity]]</f>
        <v>#REF!</v>
      </c>
      <c r="AV344" s="72">
        <f>AR344*Sales4[[#This Row],[Billed Quantity]]</f>
        <v>0</v>
      </c>
    </row>
    <row r="345" spans="1:48" x14ac:dyDescent="0.3">
      <c r="A345" s="1" t="s">
        <v>1212</v>
      </c>
      <c r="B345" s="2">
        <v>45908</v>
      </c>
      <c r="C345" s="1">
        <v>3271267987</v>
      </c>
      <c r="D345" s="1" t="s">
        <v>1356</v>
      </c>
      <c r="E345" s="1" t="s">
        <v>446</v>
      </c>
      <c r="F345" s="1" t="s">
        <v>18</v>
      </c>
      <c r="G345" s="1" t="s">
        <v>48</v>
      </c>
      <c r="H345" s="1" t="s">
        <v>198</v>
      </c>
      <c r="I345" s="3">
        <v>39000</v>
      </c>
      <c r="J345" s="4">
        <v>26585.73</v>
      </c>
      <c r="K345" s="3">
        <v>39000</v>
      </c>
      <c r="L345" s="3">
        <v>39000</v>
      </c>
      <c r="M345" s="2">
        <v>45908</v>
      </c>
      <c r="N345" s="4">
        <v>30030</v>
      </c>
      <c r="O345" s="1" t="s">
        <v>21</v>
      </c>
      <c r="P345" s="1" t="s">
        <v>22</v>
      </c>
      <c r="Q345" s="1">
        <v>6</v>
      </c>
      <c r="R345" s="1" t="str">
        <f>VLOOKUP(Sales4[[#This Row],[Material type]],Master!$H$3:$I$8,2,0)</f>
        <v>Raw Material</v>
      </c>
      <c r="S345" s="1" t="str">
        <f>VLOOKUP(Sales4[[#This Row],[Material Group]],Master!B:C,2,0)</f>
        <v>RM-Eletro-Capacitor</v>
      </c>
      <c r="T345" s="1" t="str">
        <f>VLOOKUP(Sales4[[#This Row],[Material Group Descrip]],Master!E:F,2,0)</f>
        <v>Raw Material</v>
      </c>
      <c r="U345" s="9" t="b">
        <f ca="1">(TODAY()-1)=Sales4[[#This Row],[Billing Date]]</f>
        <v>0</v>
      </c>
      <c r="V345" s="10" t="e">
        <f>Sales4[[#This Row],[Net Value]]-Sales4[[#This Row],[PGI COST]]</f>
        <v>#REF!</v>
      </c>
      <c r="W345" s="11" t="e">
        <f>Sales4[[#This Row],[Gross Margin]]/Sales4[[#This Row],[Net Value]]</f>
        <v>#REF!</v>
      </c>
      <c r="X345" s="1" t="str">
        <f>TEXT(Sales4[[#This Row],[Billing Date]],"mmmm-yy")</f>
        <v>September-25</v>
      </c>
      <c r="Y345" s="1">
        <f>Sales4[[#This Row],[Net Value]]/Sales4[[#This Row],[Billed Quantity]]</f>
        <v>0.77</v>
      </c>
      <c r="Z345" s="117">
        <f>Sales4[[#This Row],[Actual delivery qty]]</f>
        <v>39000</v>
      </c>
      <c r="AA345" s="12" t="e">
        <f>SUM(Sales4[[#This Row],[BOM Cost]:[Other Conversion cost pu]])</f>
        <v>#REF!</v>
      </c>
      <c r="AB34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4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45" s="12">
        <f>IFERROR(VLOOKUP(Sales4[[#This Row],[Material]],'COGS Break up'!#REF!,5,0),0)</f>
        <v>0</v>
      </c>
      <c r="AE34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45" s="48" t="e">
        <f>Sales4[[#This Row],[PGI per unit]]-Sales4[[#This Row],[BOM Cost]]-Sales4[[#This Row],[Labour cost per unit]]-Sales4[[#This Row],[Other Conversion cost pu]]</f>
        <v>#REF!</v>
      </c>
      <c r="AG345" s="48" t="e">
        <f>Sales4[[#This Row],[BOM Cost2]]+Sales4[[#This Row],[Labour Cost]]+Sales4[[#This Row],[Other conversion cost]]</f>
        <v>#REF!</v>
      </c>
      <c r="AH345" s="12" t="e">
        <f>Sales4[[#This Row],[Billed Quantity]]*Sales4[[#This Row],[BOM Cost]]</f>
        <v>#REF!</v>
      </c>
      <c r="AI345" s="12" t="e">
        <f>Sales4[[#This Row],[Billed Quantity]]*Sales4[[#This Row],[Labour cost per unit]]</f>
        <v>#REF!</v>
      </c>
      <c r="AJ345" s="12">
        <f>Sales4[[#This Row],[Droppage per unit]]*Sales4[[#This Row],[Billed Quantity]]</f>
        <v>0</v>
      </c>
      <c r="AK345" s="12" t="e">
        <f>Sales4[[#This Row],[Billed Quantity]]*Sales4[[#This Row],[Other Conversion cost pu]]</f>
        <v>#REF!</v>
      </c>
      <c r="AL345" s="48" t="e">
        <f>Sales4[[#This Row],[PGI Amount]]-Sales4[[#This Row],[BOM Cost2]]-Sales4[[#This Row],[Labour Cost]]-Sales4[[#This Row],[Other conversion cost]]</f>
        <v>#REF!</v>
      </c>
      <c r="AM345" s="121" t="e">
        <f>1-Sales4[[#This Row],[PGI COST]]/Sales4[[#This Row],[Net Value]]</f>
        <v>#REF!</v>
      </c>
      <c r="AN345" s="1">
        <f>Sales4[[#This Row],[PGI Amount]]/Sales4[[#This Row],[Billed Quantity]]</f>
        <v>0.68168538461538464</v>
      </c>
      <c r="AO345" s="72" t="e">
        <f>SUMIFS('COGS Break up'!#REF!,'COGS Break up'!#REF!,Sales4[[#This Row],[Material]],'COGS Break up'!#REF!,'MIS Working'!$AO$1)</f>
        <v>#REF!</v>
      </c>
      <c r="AP345" s="72" t="e">
        <f>SUMIFS('COGS Break up'!#REF!,'COGS Break up'!#REF!,Sales4[[#This Row],[Material]],'COGS Break up'!#REF!,'MIS Working'!$AP$1)</f>
        <v>#REF!</v>
      </c>
      <c r="AQ345" s="72" t="e">
        <f>SUMIFS('COGS Break up'!#REF!,'COGS Break up'!#REF!,Sales4[[#This Row],[Material]],'COGS Break up'!#REF!,'MIS Working'!$AQ$1)</f>
        <v>#REF!</v>
      </c>
      <c r="AR345" s="72">
        <f>Sales4[[#This Row],[Droppage per unit]]</f>
        <v>0</v>
      </c>
      <c r="AS345" s="15" t="e">
        <f>AO345*Sales4[[#This Row],[Billed Quantity]]</f>
        <v>#REF!</v>
      </c>
      <c r="AT345" s="72" t="e">
        <f>AP345*Sales4[[#This Row],[Billed Quantity]]</f>
        <v>#REF!</v>
      </c>
      <c r="AU345" s="72" t="e">
        <f>AQ345*Sales4[[#This Row],[Billed Quantity]]</f>
        <v>#REF!</v>
      </c>
      <c r="AV345" s="72">
        <f>AR345*Sales4[[#This Row],[Billed Quantity]]</f>
        <v>0</v>
      </c>
    </row>
    <row r="346" spans="1:48" x14ac:dyDescent="0.3">
      <c r="A346" s="1" t="s">
        <v>1212</v>
      </c>
      <c r="B346" s="2">
        <v>45908</v>
      </c>
      <c r="C346" s="1">
        <v>3271267987</v>
      </c>
      <c r="D346" s="1" t="s">
        <v>1357</v>
      </c>
      <c r="E346" s="1" t="s">
        <v>1358</v>
      </c>
      <c r="F346" s="1" t="s">
        <v>18</v>
      </c>
      <c r="G346" s="1" t="s">
        <v>48</v>
      </c>
      <c r="H346" s="1" t="s">
        <v>204</v>
      </c>
      <c r="I346" s="3">
        <v>20000</v>
      </c>
      <c r="J346" s="4">
        <v>4200</v>
      </c>
      <c r="K346" s="3">
        <v>20000</v>
      </c>
      <c r="L346" s="3">
        <v>20000</v>
      </c>
      <c r="M346" s="2">
        <v>45908</v>
      </c>
      <c r="N346" s="4">
        <v>4200</v>
      </c>
      <c r="O346" s="1" t="s">
        <v>21</v>
      </c>
      <c r="P346" s="1" t="s">
        <v>22</v>
      </c>
      <c r="Q346" s="1">
        <v>6</v>
      </c>
      <c r="R346" s="1" t="str">
        <f>VLOOKUP(Sales4[[#This Row],[Material type]],Master!$H$3:$I$8,2,0)</f>
        <v>Raw Material</v>
      </c>
      <c r="S346" s="1" t="str">
        <f>VLOOKUP(Sales4[[#This Row],[Material Group]],Master!B:C,2,0)</f>
        <v>RM-Eletro-Resistor</v>
      </c>
      <c r="T346" s="1" t="str">
        <f>VLOOKUP(Sales4[[#This Row],[Material Group Descrip]],Master!E:F,2,0)</f>
        <v>Raw Material</v>
      </c>
      <c r="U346" s="9" t="b">
        <f ca="1">(TODAY()-1)=Sales4[[#This Row],[Billing Date]]</f>
        <v>0</v>
      </c>
      <c r="V346" s="10" t="e">
        <f>Sales4[[#This Row],[Net Value]]-Sales4[[#This Row],[PGI COST]]</f>
        <v>#REF!</v>
      </c>
      <c r="W346" s="11" t="e">
        <f>Sales4[[#This Row],[Gross Margin]]/Sales4[[#This Row],[Net Value]]</f>
        <v>#REF!</v>
      </c>
      <c r="X346" s="1" t="str">
        <f>TEXT(Sales4[[#This Row],[Billing Date]],"mmmm-yy")</f>
        <v>September-25</v>
      </c>
      <c r="Y346" s="1">
        <f>Sales4[[#This Row],[Net Value]]/Sales4[[#This Row],[Billed Quantity]]</f>
        <v>0.21</v>
      </c>
      <c r="Z346" s="117">
        <f>Sales4[[#This Row],[Actual delivery qty]]</f>
        <v>20000</v>
      </c>
      <c r="AA346" s="12" t="e">
        <f>SUM(Sales4[[#This Row],[BOM Cost]:[Other Conversion cost pu]])</f>
        <v>#REF!</v>
      </c>
      <c r="AB34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4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46" s="12">
        <f>IFERROR(VLOOKUP(Sales4[[#This Row],[Material]],'COGS Break up'!#REF!,5,0),0)</f>
        <v>0</v>
      </c>
      <c r="AE34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46" s="48" t="e">
        <f>Sales4[[#This Row],[PGI per unit]]-Sales4[[#This Row],[BOM Cost]]-Sales4[[#This Row],[Labour cost per unit]]-Sales4[[#This Row],[Other Conversion cost pu]]</f>
        <v>#REF!</v>
      </c>
      <c r="AG346" s="48" t="e">
        <f>Sales4[[#This Row],[BOM Cost2]]+Sales4[[#This Row],[Labour Cost]]+Sales4[[#This Row],[Other conversion cost]]</f>
        <v>#REF!</v>
      </c>
      <c r="AH346" s="12" t="e">
        <f>Sales4[[#This Row],[Billed Quantity]]*Sales4[[#This Row],[BOM Cost]]</f>
        <v>#REF!</v>
      </c>
      <c r="AI346" s="12" t="e">
        <f>Sales4[[#This Row],[Billed Quantity]]*Sales4[[#This Row],[Labour cost per unit]]</f>
        <v>#REF!</v>
      </c>
      <c r="AJ346" s="12">
        <f>Sales4[[#This Row],[Droppage per unit]]*Sales4[[#This Row],[Billed Quantity]]</f>
        <v>0</v>
      </c>
      <c r="AK346" s="12" t="e">
        <f>Sales4[[#This Row],[Billed Quantity]]*Sales4[[#This Row],[Other Conversion cost pu]]</f>
        <v>#REF!</v>
      </c>
      <c r="AL346" s="48" t="e">
        <f>Sales4[[#This Row],[PGI Amount]]-Sales4[[#This Row],[BOM Cost2]]-Sales4[[#This Row],[Labour Cost]]-Sales4[[#This Row],[Other conversion cost]]</f>
        <v>#REF!</v>
      </c>
      <c r="AM346" s="121" t="e">
        <f>1-Sales4[[#This Row],[PGI COST]]/Sales4[[#This Row],[Net Value]]</f>
        <v>#REF!</v>
      </c>
      <c r="AN346" s="1">
        <f>Sales4[[#This Row],[PGI Amount]]/Sales4[[#This Row],[Billed Quantity]]</f>
        <v>0.21</v>
      </c>
      <c r="AO346" s="72" t="e">
        <f>SUMIFS('COGS Break up'!#REF!,'COGS Break up'!#REF!,Sales4[[#This Row],[Material]],'COGS Break up'!#REF!,'MIS Working'!$AO$1)</f>
        <v>#REF!</v>
      </c>
      <c r="AP346" s="72" t="e">
        <f>SUMIFS('COGS Break up'!#REF!,'COGS Break up'!#REF!,Sales4[[#This Row],[Material]],'COGS Break up'!#REF!,'MIS Working'!$AP$1)</f>
        <v>#REF!</v>
      </c>
      <c r="AQ346" s="72" t="e">
        <f>SUMIFS('COGS Break up'!#REF!,'COGS Break up'!#REF!,Sales4[[#This Row],[Material]],'COGS Break up'!#REF!,'MIS Working'!$AQ$1)</f>
        <v>#REF!</v>
      </c>
      <c r="AR346" s="72">
        <f>Sales4[[#This Row],[Droppage per unit]]</f>
        <v>0</v>
      </c>
      <c r="AS346" s="15" t="e">
        <f>AO346*Sales4[[#This Row],[Billed Quantity]]</f>
        <v>#REF!</v>
      </c>
      <c r="AT346" s="72" t="e">
        <f>AP346*Sales4[[#This Row],[Billed Quantity]]</f>
        <v>#REF!</v>
      </c>
      <c r="AU346" s="72" t="e">
        <f>AQ346*Sales4[[#This Row],[Billed Quantity]]</f>
        <v>#REF!</v>
      </c>
      <c r="AV346" s="72">
        <f>AR346*Sales4[[#This Row],[Billed Quantity]]</f>
        <v>0</v>
      </c>
    </row>
    <row r="347" spans="1:48" x14ac:dyDescent="0.3">
      <c r="A347" s="1" t="s">
        <v>1212</v>
      </c>
      <c r="B347" s="2">
        <v>45908</v>
      </c>
      <c r="C347" s="1">
        <v>3271267987</v>
      </c>
      <c r="D347" s="1" t="s">
        <v>1359</v>
      </c>
      <c r="E347" s="1" t="s">
        <v>1360</v>
      </c>
      <c r="F347" s="1" t="s">
        <v>18</v>
      </c>
      <c r="G347" s="1" t="s">
        <v>48</v>
      </c>
      <c r="H347" s="1" t="s">
        <v>207</v>
      </c>
      <c r="I347" s="3">
        <v>2000</v>
      </c>
      <c r="J347" s="4">
        <v>48731.24</v>
      </c>
      <c r="K347" s="3">
        <v>2000</v>
      </c>
      <c r="L347" s="3">
        <v>2000</v>
      </c>
      <c r="M347" s="2">
        <v>45908</v>
      </c>
      <c r="N347" s="4">
        <v>57820</v>
      </c>
      <c r="O347" s="1" t="s">
        <v>21</v>
      </c>
      <c r="P347" s="1" t="s">
        <v>22</v>
      </c>
      <c r="Q347" s="1">
        <v>6</v>
      </c>
      <c r="R347" s="1" t="str">
        <f>VLOOKUP(Sales4[[#This Row],[Material type]],Master!$H$3:$I$8,2,0)</f>
        <v>Raw Material</v>
      </c>
      <c r="S347" s="1" t="str">
        <f>VLOOKUP(Sales4[[#This Row],[Material Group]],Master!B:C,2,0)</f>
        <v>RM-Mech. Accessories</v>
      </c>
      <c r="T347" s="1" t="str">
        <f>VLOOKUP(Sales4[[#This Row],[Material Group Descrip]],Master!E:F,2,0)</f>
        <v>Raw Material</v>
      </c>
      <c r="U347" s="9" t="b">
        <f ca="1">(TODAY()-1)=Sales4[[#This Row],[Billing Date]]</f>
        <v>0</v>
      </c>
      <c r="V347" s="10" t="e">
        <f>Sales4[[#This Row],[Net Value]]-Sales4[[#This Row],[PGI COST]]</f>
        <v>#REF!</v>
      </c>
      <c r="W347" s="11" t="e">
        <f>Sales4[[#This Row],[Gross Margin]]/Sales4[[#This Row],[Net Value]]</f>
        <v>#REF!</v>
      </c>
      <c r="X347" s="1" t="str">
        <f>TEXT(Sales4[[#This Row],[Billing Date]],"mmmm-yy")</f>
        <v>September-25</v>
      </c>
      <c r="Y347" s="1">
        <f>Sales4[[#This Row],[Net Value]]/Sales4[[#This Row],[Billed Quantity]]</f>
        <v>28.91</v>
      </c>
      <c r="Z347" s="117">
        <f>Sales4[[#This Row],[Actual delivery qty]]</f>
        <v>2000</v>
      </c>
      <c r="AA347" s="12" t="e">
        <f>SUM(Sales4[[#This Row],[BOM Cost]:[Other Conversion cost pu]])</f>
        <v>#REF!</v>
      </c>
      <c r="AB34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4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47" s="12">
        <f>IFERROR(VLOOKUP(Sales4[[#This Row],[Material]],'COGS Break up'!#REF!,5,0),0)</f>
        <v>0</v>
      </c>
      <c r="AE34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47" s="48" t="e">
        <f>Sales4[[#This Row],[PGI per unit]]-Sales4[[#This Row],[BOM Cost]]-Sales4[[#This Row],[Labour cost per unit]]-Sales4[[#This Row],[Other Conversion cost pu]]</f>
        <v>#REF!</v>
      </c>
      <c r="AG347" s="48" t="e">
        <f>Sales4[[#This Row],[BOM Cost2]]+Sales4[[#This Row],[Labour Cost]]+Sales4[[#This Row],[Other conversion cost]]</f>
        <v>#REF!</v>
      </c>
      <c r="AH347" s="12" t="e">
        <f>Sales4[[#This Row],[Billed Quantity]]*Sales4[[#This Row],[BOM Cost]]</f>
        <v>#REF!</v>
      </c>
      <c r="AI347" s="12" t="e">
        <f>Sales4[[#This Row],[Billed Quantity]]*Sales4[[#This Row],[Labour cost per unit]]</f>
        <v>#REF!</v>
      </c>
      <c r="AJ347" s="12">
        <f>Sales4[[#This Row],[Droppage per unit]]*Sales4[[#This Row],[Billed Quantity]]</f>
        <v>0</v>
      </c>
      <c r="AK347" s="12" t="e">
        <f>Sales4[[#This Row],[Billed Quantity]]*Sales4[[#This Row],[Other Conversion cost pu]]</f>
        <v>#REF!</v>
      </c>
      <c r="AL347" s="48" t="e">
        <f>Sales4[[#This Row],[PGI Amount]]-Sales4[[#This Row],[BOM Cost2]]-Sales4[[#This Row],[Labour Cost]]-Sales4[[#This Row],[Other conversion cost]]</f>
        <v>#REF!</v>
      </c>
      <c r="AM347" s="121" t="e">
        <f>1-Sales4[[#This Row],[PGI COST]]/Sales4[[#This Row],[Net Value]]</f>
        <v>#REF!</v>
      </c>
      <c r="AN347" s="1">
        <f>Sales4[[#This Row],[PGI Amount]]/Sales4[[#This Row],[Billed Quantity]]</f>
        <v>24.36562</v>
      </c>
      <c r="AO347" s="72" t="e">
        <f>SUMIFS('COGS Break up'!#REF!,'COGS Break up'!#REF!,Sales4[[#This Row],[Material]],'COGS Break up'!#REF!,'MIS Working'!$AO$1)</f>
        <v>#REF!</v>
      </c>
      <c r="AP347" s="72" t="e">
        <f>SUMIFS('COGS Break up'!#REF!,'COGS Break up'!#REF!,Sales4[[#This Row],[Material]],'COGS Break up'!#REF!,'MIS Working'!$AP$1)</f>
        <v>#REF!</v>
      </c>
      <c r="AQ347" s="72" t="e">
        <f>SUMIFS('COGS Break up'!#REF!,'COGS Break up'!#REF!,Sales4[[#This Row],[Material]],'COGS Break up'!#REF!,'MIS Working'!$AQ$1)</f>
        <v>#REF!</v>
      </c>
      <c r="AR347" s="72">
        <f>Sales4[[#This Row],[Droppage per unit]]</f>
        <v>0</v>
      </c>
      <c r="AS347" s="15" t="e">
        <f>AO347*Sales4[[#This Row],[Billed Quantity]]</f>
        <v>#REF!</v>
      </c>
      <c r="AT347" s="72" t="e">
        <f>AP347*Sales4[[#This Row],[Billed Quantity]]</f>
        <v>#REF!</v>
      </c>
      <c r="AU347" s="72" t="e">
        <f>AQ347*Sales4[[#This Row],[Billed Quantity]]</f>
        <v>#REF!</v>
      </c>
      <c r="AV347" s="72">
        <f>AR347*Sales4[[#This Row],[Billed Quantity]]</f>
        <v>0</v>
      </c>
    </row>
    <row r="348" spans="1:48" x14ac:dyDescent="0.3">
      <c r="A348" s="1" t="s">
        <v>1212</v>
      </c>
      <c r="B348" s="2">
        <v>45908</v>
      </c>
      <c r="C348" s="1">
        <v>3271267987</v>
      </c>
      <c r="D348" s="1" t="s">
        <v>1361</v>
      </c>
      <c r="E348" s="1" t="s">
        <v>1362</v>
      </c>
      <c r="F348" s="1" t="s">
        <v>18</v>
      </c>
      <c r="G348" s="1" t="s">
        <v>48</v>
      </c>
      <c r="H348" s="1" t="s">
        <v>204</v>
      </c>
      <c r="I348" s="3">
        <v>5000</v>
      </c>
      <c r="J348" s="4">
        <v>280</v>
      </c>
      <c r="K348" s="3">
        <v>5000</v>
      </c>
      <c r="L348" s="3">
        <v>5000</v>
      </c>
      <c r="M348" s="2">
        <v>45908</v>
      </c>
      <c r="N348" s="4">
        <v>300</v>
      </c>
      <c r="O348" s="1" t="s">
        <v>21</v>
      </c>
      <c r="P348" s="1" t="s">
        <v>22</v>
      </c>
      <c r="Q348" s="1">
        <v>6</v>
      </c>
      <c r="R348" s="1" t="str">
        <f>VLOOKUP(Sales4[[#This Row],[Material type]],Master!$H$3:$I$8,2,0)</f>
        <v>Raw Material</v>
      </c>
      <c r="S348" s="1" t="str">
        <f>VLOOKUP(Sales4[[#This Row],[Material Group]],Master!B:C,2,0)</f>
        <v>RM-Eletro-Resistor</v>
      </c>
      <c r="T348" s="1" t="str">
        <f>VLOOKUP(Sales4[[#This Row],[Material Group Descrip]],Master!E:F,2,0)</f>
        <v>Raw Material</v>
      </c>
      <c r="U348" s="9" t="b">
        <f ca="1">(TODAY()-1)=Sales4[[#This Row],[Billing Date]]</f>
        <v>0</v>
      </c>
      <c r="V348" s="10" t="e">
        <f>Sales4[[#This Row],[Net Value]]-Sales4[[#This Row],[PGI COST]]</f>
        <v>#REF!</v>
      </c>
      <c r="W348" s="11" t="e">
        <f>Sales4[[#This Row],[Gross Margin]]/Sales4[[#This Row],[Net Value]]</f>
        <v>#REF!</v>
      </c>
      <c r="X348" s="1" t="str">
        <f>TEXT(Sales4[[#This Row],[Billing Date]],"mmmm-yy")</f>
        <v>September-25</v>
      </c>
      <c r="Y348" s="1">
        <f>Sales4[[#This Row],[Net Value]]/Sales4[[#This Row],[Billed Quantity]]</f>
        <v>0.06</v>
      </c>
      <c r="Z348" s="117">
        <f>Sales4[[#This Row],[Actual delivery qty]]</f>
        <v>5000</v>
      </c>
      <c r="AA348" s="12" t="e">
        <f>SUM(Sales4[[#This Row],[BOM Cost]:[Other Conversion cost pu]])</f>
        <v>#REF!</v>
      </c>
      <c r="AB34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4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48" s="12">
        <f>IFERROR(VLOOKUP(Sales4[[#This Row],[Material]],'COGS Break up'!#REF!,5,0),0)</f>
        <v>0</v>
      </c>
      <c r="AE34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48" s="48" t="e">
        <f>Sales4[[#This Row],[PGI per unit]]-Sales4[[#This Row],[BOM Cost]]-Sales4[[#This Row],[Labour cost per unit]]-Sales4[[#This Row],[Other Conversion cost pu]]</f>
        <v>#REF!</v>
      </c>
      <c r="AG348" s="48" t="e">
        <f>Sales4[[#This Row],[BOM Cost2]]+Sales4[[#This Row],[Labour Cost]]+Sales4[[#This Row],[Other conversion cost]]</f>
        <v>#REF!</v>
      </c>
      <c r="AH348" s="12" t="e">
        <f>Sales4[[#This Row],[Billed Quantity]]*Sales4[[#This Row],[BOM Cost]]</f>
        <v>#REF!</v>
      </c>
      <c r="AI348" s="12" t="e">
        <f>Sales4[[#This Row],[Billed Quantity]]*Sales4[[#This Row],[Labour cost per unit]]</f>
        <v>#REF!</v>
      </c>
      <c r="AJ348" s="12">
        <f>Sales4[[#This Row],[Droppage per unit]]*Sales4[[#This Row],[Billed Quantity]]</f>
        <v>0</v>
      </c>
      <c r="AK348" s="12" t="e">
        <f>Sales4[[#This Row],[Billed Quantity]]*Sales4[[#This Row],[Other Conversion cost pu]]</f>
        <v>#REF!</v>
      </c>
      <c r="AL348" s="48" t="e">
        <f>Sales4[[#This Row],[PGI Amount]]-Sales4[[#This Row],[BOM Cost2]]-Sales4[[#This Row],[Labour Cost]]-Sales4[[#This Row],[Other conversion cost]]</f>
        <v>#REF!</v>
      </c>
      <c r="AM348" s="121" t="e">
        <f>1-Sales4[[#This Row],[PGI COST]]/Sales4[[#This Row],[Net Value]]</f>
        <v>#REF!</v>
      </c>
      <c r="AN348" s="1">
        <f>Sales4[[#This Row],[PGI Amount]]/Sales4[[#This Row],[Billed Quantity]]</f>
        <v>5.6000000000000001E-2</v>
      </c>
      <c r="AO348" s="72" t="e">
        <f>SUMIFS('COGS Break up'!#REF!,'COGS Break up'!#REF!,Sales4[[#This Row],[Material]],'COGS Break up'!#REF!,'MIS Working'!$AO$1)</f>
        <v>#REF!</v>
      </c>
      <c r="AP348" s="72" t="e">
        <f>SUMIFS('COGS Break up'!#REF!,'COGS Break up'!#REF!,Sales4[[#This Row],[Material]],'COGS Break up'!#REF!,'MIS Working'!$AP$1)</f>
        <v>#REF!</v>
      </c>
      <c r="AQ348" s="72" t="e">
        <f>SUMIFS('COGS Break up'!#REF!,'COGS Break up'!#REF!,Sales4[[#This Row],[Material]],'COGS Break up'!#REF!,'MIS Working'!$AQ$1)</f>
        <v>#REF!</v>
      </c>
      <c r="AR348" s="72">
        <f>Sales4[[#This Row],[Droppage per unit]]</f>
        <v>0</v>
      </c>
      <c r="AS348" s="15" t="e">
        <f>AO348*Sales4[[#This Row],[Billed Quantity]]</f>
        <v>#REF!</v>
      </c>
      <c r="AT348" s="72" t="e">
        <f>AP348*Sales4[[#This Row],[Billed Quantity]]</f>
        <v>#REF!</v>
      </c>
      <c r="AU348" s="72" t="e">
        <f>AQ348*Sales4[[#This Row],[Billed Quantity]]</f>
        <v>#REF!</v>
      </c>
      <c r="AV348" s="72">
        <f>AR348*Sales4[[#This Row],[Billed Quantity]]</f>
        <v>0</v>
      </c>
    </row>
    <row r="349" spans="1:48" x14ac:dyDescent="0.3">
      <c r="A349" s="1" t="s">
        <v>1212</v>
      </c>
      <c r="B349" s="2">
        <v>45908</v>
      </c>
      <c r="C349" s="1">
        <v>3271267987</v>
      </c>
      <c r="D349" s="1" t="s">
        <v>1363</v>
      </c>
      <c r="E349" s="1" t="s">
        <v>1364</v>
      </c>
      <c r="F349" s="1" t="s">
        <v>18</v>
      </c>
      <c r="G349" s="1" t="s">
        <v>48</v>
      </c>
      <c r="H349" s="1" t="s">
        <v>204</v>
      </c>
      <c r="I349" s="3">
        <v>45000</v>
      </c>
      <c r="J349" s="4">
        <v>1538.33</v>
      </c>
      <c r="K349" s="3">
        <v>45000</v>
      </c>
      <c r="L349" s="3">
        <v>45000</v>
      </c>
      <c r="M349" s="2">
        <v>45908</v>
      </c>
      <c r="N349" s="4">
        <v>1350</v>
      </c>
      <c r="O349" s="1" t="s">
        <v>21</v>
      </c>
      <c r="P349" s="1" t="s">
        <v>22</v>
      </c>
      <c r="Q349" s="1">
        <v>6</v>
      </c>
      <c r="R349" s="1" t="str">
        <f>VLOOKUP(Sales4[[#This Row],[Material type]],Master!$H$3:$I$8,2,0)</f>
        <v>Raw Material</v>
      </c>
      <c r="S349" s="1" t="str">
        <f>VLOOKUP(Sales4[[#This Row],[Material Group]],Master!B:C,2,0)</f>
        <v>RM-Eletro-Resistor</v>
      </c>
      <c r="T349" s="1" t="str">
        <f>VLOOKUP(Sales4[[#This Row],[Material Group Descrip]],Master!E:F,2,0)</f>
        <v>Raw Material</v>
      </c>
      <c r="U349" s="9" t="b">
        <f ca="1">(TODAY()-1)=Sales4[[#This Row],[Billing Date]]</f>
        <v>0</v>
      </c>
      <c r="V349" s="10" t="e">
        <f>Sales4[[#This Row],[Net Value]]-Sales4[[#This Row],[PGI COST]]</f>
        <v>#REF!</v>
      </c>
      <c r="W349" s="11" t="e">
        <f>Sales4[[#This Row],[Gross Margin]]/Sales4[[#This Row],[Net Value]]</f>
        <v>#REF!</v>
      </c>
      <c r="X349" s="1" t="str">
        <f>TEXT(Sales4[[#This Row],[Billing Date]],"mmmm-yy")</f>
        <v>September-25</v>
      </c>
      <c r="Y349" s="1">
        <f>Sales4[[#This Row],[Net Value]]/Sales4[[#This Row],[Billed Quantity]]</f>
        <v>0.03</v>
      </c>
      <c r="Z349" s="117">
        <f>Sales4[[#This Row],[Actual delivery qty]]</f>
        <v>45000</v>
      </c>
      <c r="AA349" s="12" t="e">
        <f>SUM(Sales4[[#This Row],[BOM Cost]:[Other Conversion cost pu]])</f>
        <v>#REF!</v>
      </c>
      <c r="AB34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4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49" s="12">
        <f>IFERROR(VLOOKUP(Sales4[[#This Row],[Material]],'COGS Break up'!#REF!,5,0),0)</f>
        <v>0</v>
      </c>
      <c r="AE34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49" s="48" t="e">
        <f>Sales4[[#This Row],[PGI per unit]]-Sales4[[#This Row],[BOM Cost]]-Sales4[[#This Row],[Labour cost per unit]]-Sales4[[#This Row],[Other Conversion cost pu]]</f>
        <v>#REF!</v>
      </c>
      <c r="AG349" s="48" t="e">
        <f>Sales4[[#This Row],[BOM Cost2]]+Sales4[[#This Row],[Labour Cost]]+Sales4[[#This Row],[Other conversion cost]]</f>
        <v>#REF!</v>
      </c>
      <c r="AH349" s="12" t="e">
        <f>Sales4[[#This Row],[Billed Quantity]]*Sales4[[#This Row],[BOM Cost]]</f>
        <v>#REF!</v>
      </c>
      <c r="AI349" s="12" t="e">
        <f>Sales4[[#This Row],[Billed Quantity]]*Sales4[[#This Row],[Labour cost per unit]]</f>
        <v>#REF!</v>
      </c>
      <c r="AJ349" s="12">
        <f>Sales4[[#This Row],[Droppage per unit]]*Sales4[[#This Row],[Billed Quantity]]</f>
        <v>0</v>
      </c>
      <c r="AK349" s="12" t="e">
        <f>Sales4[[#This Row],[Billed Quantity]]*Sales4[[#This Row],[Other Conversion cost pu]]</f>
        <v>#REF!</v>
      </c>
      <c r="AL349" s="48" t="e">
        <f>Sales4[[#This Row],[PGI Amount]]-Sales4[[#This Row],[BOM Cost2]]-Sales4[[#This Row],[Labour Cost]]-Sales4[[#This Row],[Other conversion cost]]</f>
        <v>#REF!</v>
      </c>
      <c r="AM349" s="121" t="e">
        <f>1-Sales4[[#This Row],[PGI COST]]/Sales4[[#This Row],[Net Value]]</f>
        <v>#REF!</v>
      </c>
      <c r="AN349" s="1">
        <f>Sales4[[#This Row],[PGI Amount]]/Sales4[[#This Row],[Billed Quantity]]</f>
        <v>3.4185111111111111E-2</v>
      </c>
      <c r="AO349" s="72" t="e">
        <f>SUMIFS('COGS Break up'!#REF!,'COGS Break up'!#REF!,Sales4[[#This Row],[Material]],'COGS Break up'!#REF!,'MIS Working'!$AO$1)</f>
        <v>#REF!</v>
      </c>
      <c r="AP349" s="72" t="e">
        <f>SUMIFS('COGS Break up'!#REF!,'COGS Break up'!#REF!,Sales4[[#This Row],[Material]],'COGS Break up'!#REF!,'MIS Working'!$AP$1)</f>
        <v>#REF!</v>
      </c>
      <c r="AQ349" s="72" t="e">
        <f>SUMIFS('COGS Break up'!#REF!,'COGS Break up'!#REF!,Sales4[[#This Row],[Material]],'COGS Break up'!#REF!,'MIS Working'!$AQ$1)</f>
        <v>#REF!</v>
      </c>
      <c r="AR349" s="72">
        <f>Sales4[[#This Row],[Droppage per unit]]</f>
        <v>0</v>
      </c>
      <c r="AS349" s="15" t="e">
        <f>AO349*Sales4[[#This Row],[Billed Quantity]]</f>
        <v>#REF!</v>
      </c>
      <c r="AT349" s="72" t="e">
        <f>AP349*Sales4[[#This Row],[Billed Quantity]]</f>
        <v>#REF!</v>
      </c>
      <c r="AU349" s="72" t="e">
        <f>AQ349*Sales4[[#This Row],[Billed Quantity]]</f>
        <v>#REF!</v>
      </c>
      <c r="AV349" s="72">
        <f>AR349*Sales4[[#This Row],[Billed Quantity]]</f>
        <v>0</v>
      </c>
    </row>
    <row r="350" spans="1:48" x14ac:dyDescent="0.3">
      <c r="A350" s="1" t="s">
        <v>1212</v>
      </c>
      <c r="B350" s="2">
        <v>45908</v>
      </c>
      <c r="C350" s="1">
        <v>3271267987</v>
      </c>
      <c r="D350" s="1" t="s">
        <v>1365</v>
      </c>
      <c r="E350" s="1" t="s">
        <v>1366</v>
      </c>
      <c r="F350" s="1" t="s">
        <v>18</v>
      </c>
      <c r="G350" s="1" t="s">
        <v>48</v>
      </c>
      <c r="H350" s="1" t="s">
        <v>204</v>
      </c>
      <c r="I350" s="3">
        <v>5000</v>
      </c>
      <c r="J350" s="4">
        <v>168.43</v>
      </c>
      <c r="K350" s="3">
        <v>5000</v>
      </c>
      <c r="L350" s="3">
        <v>5000</v>
      </c>
      <c r="M350" s="2">
        <v>45908</v>
      </c>
      <c r="N350" s="4">
        <v>150</v>
      </c>
      <c r="O350" s="1" t="s">
        <v>21</v>
      </c>
      <c r="P350" s="1" t="s">
        <v>22</v>
      </c>
      <c r="Q350" s="1">
        <v>6</v>
      </c>
      <c r="R350" s="1" t="str">
        <f>VLOOKUP(Sales4[[#This Row],[Material type]],Master!$H$3:$I$8,2,0)</f>
        <v>Raw Material</v>
      </c>
      <c r="S350" s="1" t="str">
        <f>VLOOKUP(Sales4[[#This Row],[Material Group]],Master!B:C,2,0)</f>
        <v>RM-Eletro-Resistor</v>
      </c>
      <c r="T350" s="1" t="str">
        <f>VLOOKUP(Sales4[[#This Row],[Material Group Descrip]],Master!E:F,2,0)</f>
        <v>Raw Material</v>
      </c>
      <c r="U350" s="9" t="b">
        <f ca="1">(TODAY()-1)=Sales4[[#This Row],[Billing Date]]</f>
        <v>0</v>
      </c>
      <c r="V350" s="10" t="e">
        <f>Sales4[[#This Row],[Net Value]]-Sales4[[#This Row],[PGI COST]]</f>
        <v>#REF!</v>
      </c>
      <c r="W350" s="11" t="e">
        <f>Sales4[[#This Row],[Gross Margin]]/Sales4[[#This Row],[Net Value]]</f>
        <v>#REF!</v>
      </c>
      <c r="X350" s="1" t="str">
        <f>TEXT(Sales4[[#This Row],[Billing Date]],"mmmm-yy")</f>
        <v>September-25</v>
      </c>
      <c r="Y350" s="1">
        <f>Sales4[[#This Row],[Net Value]]/Sales4[[#This Row],[Billed Quantity]]</f>
        <v>0.03</v>
      </c>
      <c r="Z350" s="117">
        <f>Sales4[[#This Row],[Actual delivery qty]]</f>
        <v>5000</v>
      </c>
      <c r="AA350" s="12" t="e">
        <f>SUM(Sales4[[#This Row],[BOM Cost]:[Other Conversion cost pu]])</f>
        <v>#REF!</v>
      </c>
      <c r="AB35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5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50" s="12">
        <f>IFERROR(VLOOKUP(Sales4[[#This Row],[Material]],'COGS Break up'!#REF!,5,0),0)</f>
        <v>0</v>
      </c>
      <c r="AE35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50" s="48" t="e">
        <f>Sales4[[#This Row],[PGI per unit]]-Sales4[[#This Row],[BOM Cost]]-Sales4[[#This Row],[Labour cost per unit]]-Sales4[[#This Row],[Other Conversion cost pu]]</f>
        <v>#REF!</v>
      </c>
      <c r="AG350" s="48" t="e">
        <f>Sales4[[#This Row],[BOM Cost2]]+Sales4[[#This Row],[Labour Cost]]+Sales4[[#This Row],[Other conversion cost]]</f>
        <v>#REF!</v>
      </c>
      <c r="AH350" s="12" t="e">
        <f>Sales4[[#This Row],[Billed Quantity]]*Sales4[[#This Row],[BOM Cost]]</f>
        <v>#REF!</v>
      </c>
      <c r="AI350" s="12" t="e">
        <f>Sales4[[#This Row],[Billed Quantity]]*Sales4[[#This Row],[Labour cost per unit]]</f>
        <v>#REF!</v>
      </c>
      <c r="AJ350" s="12">
        <f>Sales4[[#This Row],[Droppage per unit]]*Sales4[[#This Row],[Billed Quantity]]</f>
        <v>0</v>
      </c>
      <c r="AK350" s="12" t="e">
        <f>Sales4[[#This Row],[Billed Quantity]]*Sales4[[#This Row],[Other Conversion cost pu]]</f>
        <v>#REF!</v>
      </c>
      <c r="AL350" s="48" t="e">
        <f>Sales4[[#This Row],[PGI Amount]]-Sales4[[#This Row],[BOM Cost2]]-Sales4[[#This Row],[Labour Cost]]-Sales4[[#This Row],[Other conversion cost]]</f>
        <v>#REF!</v>
      </c>
      <c r="AM350" s="121" t="e">
        <f>1-Sales4[[#This Row],[PGI COST]]/Sales4[[#This Row],[Net Value]]</f>
        <v>#REF!</v>
      </c>
      <c r="AN350" s="1">
        <f>Sales4[[#This Row],[PGI Amount]]/Sales4[[#This Row],[Billed Quantity]]</f>
        <v>3.3686000000000001E-2</v>
      </c>
      <c r="AO350" s="72" t="e">
        <f>SUMIFS('COGS Break up'!#REF!,'COGS Break up'!#REF!,Sales4[[#This Row],[Material]],'COGS Break up'!#REF!,'MIS Working'!$AO$1)</f>
        <v>#REF!</v>
      </c>
      <c r="AP350" s="72" t="e">
        <f>SUMIFS('COGS Break up'!#REF!,'COGS Break up'!#REF!,Sales4[[#This Row],[Material]],'COGS Break up'!#REF!,'MIS Working'!$AP$1)</f>
        <v>#REF!</v>
      </c>
      <c r="AQ350" s="72" t="e">
        <f>SUMIFS('COGS Break up'!#REF!,'COGS Break up'!#REF!,Sales4[[#This Row],[Material]],'COGS Break up'!#REF!,'MIS Working'!$AQ$1)</f>
        <v>#REF!</v>
      </c>
      <c r="AR350" s="72">
        <f>Sales4[[#This Row],[Droppage per unit]]</f>
        <v>0</v>
      </c>
      <c r="AS350" s="15" t="e">
        <f>AO350*Sales4[[#This Row],[Billed Quantity]]</f>
        <v>#REF!</v>
      </c>
      <c r="AT350" s="72" t="e">
        <f>AP350*Sales4[[#This Row],[Billed Quantity]]</f>
        <v>#REF!</v>
      </c>
      <c r="AU350" s="72" t="e">
        <f>AQ350*Sales4[[#This Row],[Billed Quantity]]</f>
        <v>#REF!</v>
      </c>
      <c r="AV350" s="72">
        <f>AR350*Sales4[[#This Row],[Billed Quantity]]</f>
        <v>0</v>
      </c>
    </row>
    <row r="351" spans="1:48" x14ac:dyDescent="0.3">
      <c r="A351" s="1" t="s">
        <v>1212</v>
      </c>
      <c r="B351" s="2">
        <v>45908</v>
      </c>
      <c r="C351" s="1">
        <v>3271267987</v>
      </c>
      <c r="D351" s="1" t="s">
        <v>1367</v>
      </c>
      <c r="E351" s="1" t="s">
        <v>1368</v>
      </c>
      <c r="F351" s="1" t="s">
        <v>18</v>
      </c>
      <c r="G351" s="1" t="s">
        <v>48</v>
      </c>
      <c r="H351" s="1" t="s">
        <v>204</v>
      </c>
      <c r="I351" s="3">
        <v>5000</v>
      </c>
      <c r="J351" s="4">
        <v>163.95</v>
      </c>
      <c r="K351" s="3">
        <v>5000</v>
      </c>
      <c r="L351" s="3">
        <v>5000</v>
      </c>
      <c r="M351" s="2">
        <v>45908</v>
      </c>
      <c r="N351" s="4">
        <v>150</v>
      </c>
      <c r="O351" s="1" t="s">
        <v>21</v>
      </c>
      <c r="P351" s="1" t="s">
        <v>22</v>
      </c>
      <c r="Q351" s="1">
        <v>6</v>
      </c>
      <c r="R351" s="1" t="str">
        <f>VLOOKUP(Sales4[[#This Row],[Material type]],Master!$H$3:$I$8,2,0)</f>
        <v>Raw Material</v>
      </c>
      <c r="S351" s="1" t="str">
        <f>VLOOKUP(Sales4[[#This Row],[Material Group]],Master!B:C,2,0)</f>
        <v>RM-Eletro-Resistor</v>
      </c>
      <c r="T351" s="1" t="str">
        <f>VLOOKUP(Sales4[[#This Row],[Material Group Descrip]],Master!E:F,2,0)</f>
        <v>Raw Material</v>
      </c>
      <c r="U351" s="9" t="b">
        <f ca="1">(TODAY()-1)=Sales4[[#This Row],[Billing Date]]</f>
        <v>0</v>
      </c>
      <c r="V351" s="10" t="e">
        <f>Sales4[[#This Row],[Net Value]]-Sales4[[#This Row],[PGI COST]]</f>
        <v>#REF!</v>
      </c>
      <c r="W351" s="11" t="e">
        <f>Sales4[[#This Row],[Gross Margin]]/Sales4[[#This Row],[Net Value]]</f>
        <v>#REF!</v>
      </c>
      <c r="X351" s="1" t="str">
        <f>TEXT(Sales4[[#This Row],[Billing Date]],"mmmm-yy")</f>
        <v>September-25</v>
      </c>
      <c r="Y351" s="1">
        <f>Sales4[[#This Row],[Net Value]]/Sales4[[#This Row],[Billed Quantity]]</f>
        <v>0.03</v>
      </c>
      <c r="Z351" s="117">
        <f>Sales4[[#This Row],[Actual delivery qty]]</f>
        <v>5000</v>
      </c>
      <c r="AA351" s="12" t="e">
        <f>SUM(Sales4[[#This Row],[BOM Cost]:[Other Conversion cost pu]])</f>
        <v>#REF!</v>
      </c>
      <c r="AB35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5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51" s="12">
        <f>IFERROR(VLOOKUP(Sales4[[#This Row],[Material]],'COGS Break up'!#REF!,5,0),0)</f>
        <v>0</v>
      </c>
      <c r="AE35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51" s="48" t="e">
        <f>Sales4[[#This Row],[PGI per unit]]-Sales4[[#This Row],[BOM Cost]]-Sales4[[#This Row],[Labour cost per unit]]-Sales4[[#This Row],[Other Conversion cost pu]]</f>
        <v>#REF!</v>
      </c>
      <c r="AG351" s="48" t="e">
        <f>Sales4[[#This Row],[BOM Cost2]]+Sales4[[#This Row],[Labour Cost]]+Sales4[[#This Row],[Other conversion cost]]</f>
        <v>#REF!</v>
      </c>
      <c r="AH351" s="12" t="e">
        <f>Sales4[[#This Row],[Billed Quantity]]*Sales4[[#This Row],[BOM Cost]]</f>
        <v>#REF!</v>
      </c>
      <c r="AI351" s="12" t="e">
        <f>Sales4[[#This Row],[Billed Quantity]]*Sales4[[#This Row],[Labour cost per unit]]</f>
        <v>#REF!</v>
      </c>
      <c r="AJ351" s="12">
        <f>Sales4[[#This Row],[Droppage per unit]]*Sales4[[#This Row],[Billed Quantity]]</f>
        <v>0</v>
      </c>
      <c r="AK351" s="12" t="e">
        <f>Sales4[[#This Row],[Billed Quantity]]*Sales4[[#This Row],[Other Conversion cost pu]]</f>
        <v>#REF!</v>
      </c>
      <c r="AL351" s="48" t="e">
        <f>Sales4[[#This Row],[PGI Amount]]-Sales4[[#This Row],[BOM Cost2]]-Sales4[[#This Row],[Labour Cost]]-Sales4[[#This Row],[Other conversion cost]]</f>
        <v>#REF!</v>
      </c>
      <c r="AM351" s="121" t="e">
        <f>1-Sales4[[#This Row],[PGI COST]]/Sales4[[#This Row],[Net Value]]</f>
        <v>#REF!</v>
      </c>
      <c r="AN351" s="1">
        <f>Sales4[[#This Row],[PGI Amount]]/Sales4[[#This Row],[Billed Quantity]]</f>
        <v>3.279E-2</v>
      </c>
      <c r="AO351" s="72" t="e">
        <f>SUMIFS('COGS Break up'!#REF!,'COGS Break up'!#REF!,Sales4[[#This Row],[Material]],'COGS Break up'!#REF!,'MIS Working'!$AO$1)</f>
        <v>#REF!</v>
      </c>
      <c r="AP351" s="72" t="e">
        <f>SUMIFS('COGS Break up'!#REF!,'COGS Break up'!#REF!,Sales4[[#This Row],[Material]],'COGS Break up'!#REF!,'MIS Working'!$AP$1)</f>
        <v>#REF!</v>
      </c>
      <c r="AQ351" s="72" t="e">
        <f>SUMIFS('COGS Break up'!#REF!,'COGS Break up'!#REF!,Sales4[[#This Row],[Material]],'COGS Break up'!#REF!,'MIS Working'!$AQ$1)</f>
        <v>#REF!</v>
      </c>
      <c r="AR351" s="72">
        <f>Sales4[[#This Row],[Droppage per unit]]</f>
        <v>0</v>
      </c>
      <c r="AS351" s="15" t="e">
        <f>AO351*Sales4[[#This Row],[Billed Quantity]]</f>
        <v>#REF!</v>
      </c>
      <c r="AT351" s="72" t="e">
        <f>AP351*Sales4[[#This Row],[Billed Quantity]]</f>
        <v>#REF!</v>
      </c>
      <c r="AU351" s="72" t="e">
        <f>AQ351*Sales4[[#This Row],[Billed Quantity]]</f>
        <v>#REF!</v>
      </c>
      <c r="AV351" s="72">
        <f>AR351*Sales4[[#This Row],[Billed Quantity]]</f>
        <v>0</v>
      </c>
    </row>
    <row r="352" spans="1:48" x14ac:dyDescent="0.3">
      <c r="A352" s="1" t="s">
        <v>1212</v>
      </c>
      <c r="B352" s="2">
        <v>45908</v>
      </c>
      <c r="C352" s="1">
        <v>3271267987</v>
      </c>
      <c r="D352" s="1" t="s">
        <v>1369</v>
      </c>
      <c r="E352" s="1" t="s">
        <v>1370</v>
      </c>
      <c r="F352" s="1" t="s">
        <v>18</v>
      </c>
      <c r="G352" s="1" t="s">
        <v>48</v>
      </c>
      <c r="H352" s="1" t="s">
        <v>207</v>
      </c>
      <c r="I352" s="3">
        <v>5000</v>
      </c>
      <c r="J352" s="4">
        <v>280</v>
      </c>
      <c r="K352" s="3">
        <v>5000</v>
      </c>
      <c r="L352" s="3">
        <v>5000</v>
      </c>
      <c r="M352" s="2">
        <v>45908</v>
      </c>
      <c r="N352" s="4">
        <v>300</v>
      </c>
      <c r="O352" s="1" t="s">
        <v>21</v>
      </c>
      <c r="P352" s="1" t="s">
        <v>22</v>
      </c>
      <c r="Q352" s="1">
        <v>6</v>
      </c>
      <c r="R352" s="1" t="str">
        <f>VLOOKUP(Sales4[[#This Row],[Material type]],Master!$H$3:$I$8,2,0)</f>
        <v>Raw Material</v>
      </c>
      <c r="S352" s="1" t="str">
        <f>VLOOKUP(Sales4[[#This Row],[Material Group]],Master!B:C,2,0)</f>
        <v>RM-Mech. Accessories</v>
      </c>
      <c r="T352" s="1" t="str">
        <f>VLOOKUP(Sales4[[#This Row],[Material Group Descrip]],Master!E:F,2,0)</f>
        <v>Raw Material</v>
      </c>
      <c r="U352" s="9" t="b">
        <f ca="1">(TODAY()-1)=Sales4[[#This Row],[Billing Date]]</f>
        <v>0</v>
      </c>
      <c r="V352" s="10" t="e">
        <f>Sales4[[#This Row],[Net Value]]-Sales4[[#This Row],[PGI COST]]</f>
        <v>#REF!</v>
      </c>
      <c r="W352" s="11" t="e">
        <f>Sales4[[#This Row],[Gross Margin]]/Sales4[[#This Row],[Net Value]]</f>
        <v>#REF!</v>
      </c>
      <c r="X352" s="1" t="str">
        <f>TEXT(Sales4[[#This Row],[Billing Date]],"mmmm-yy")</f>
        <v>September-25</v>
      </c>
      <c r="Y352" s="1">
        <f>Sales4[[#This Row],[Net Value]]/Sales4[[#This Row],[Billed Quantity]]</f>
        <v>0.06</v>
      </c>
      <c r="Z352" s="117">
        <f>Sales4[[#This Row],[Actual delivery qty]]</f>
        <v>5000</v>
      </c>
      <c r="AA352" s="12" t="e">
        <f>SUM(Sales4[[#This Row],[BOM Cost]:[Other Conversion cost pu]])</f>
        <v>#REF!</v>
      </c>
      <c r="AB35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5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52" s="12">
        <f>IFERROR(VLOOKUP(Sales4[[#This Row],[Material]],'COGS Break up'!#REF!,5,0),0)</f>
        <v>0</v>
      </c>
      <c r="AE35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52" s="48" t="e">
        <f>Sales4[[#This Row],[PGI per unit]]-Sales4[[#This Row],[BOM Cost]]-Sales4[[#This Row],[Labour cost per unit]]-Sales4[[#This Row],[Other Conversion cost pu]]</f>
        <v>#REF!</v>
      </c>
      <c r="AG352" s="48" t="e">
        <f>Sales4[[#This Row],[BOM Cost2]]+Sales4[[#This Row],[Labour Cost]]+Sales4[[#This Row],[Other conversion cost]]</f>
        <v>#REF!</v>
      </c>
      <c r="AH352" s="12" t="e">
        <f>Sales4[[#This Row],[Billed Quantity]]*Sales4[[#This Row],[BOM Cost]]</f>
        <v>#REF!</v>
      </c>
      <c r="AI352" s="12" t="e">
        <f>Sales4[[#This Row],[Billed Quantity]]*Sales4[[#This Row],[Labour cost per unit]]</f>
        <v>#REF!</v>
      </c>
      <c r="AJ352" s="12">
        <f>Sales4[[#This Row],[Droppage per unit]]*Sales4[[#This Row],[Billed Quantity]]</f>
        <v>0</v>
      </c>
      <c r="AK352" s="12" t="e">
        <f>Sales4[[#This Row],[Billed Quantity]]*Sales4[[#This Row],[Other Conversion cost pu]]</f>
        <v>#REF!</v>
      </c>
      <c r="AL352" s="48" t="e">
        <f>Sales4[[#This Row],[PGI Amount]]-Sales4[[#This Row],[BOM Cost2]]-Sales4[[#This Row],[Labour Cost]]-Sales4[[#This Row],[Other conversion cost]]</f>
        <v>#REF!</v>
      </c>
      <c r="AM352" s="121" t="e">
        <f>1-Sales4[[#This Row],[PGI COST]]/Sales4[[#This Row],[Net Value]]</f>
        <v>#REF!</v>
      </c>
      <c r="AN352" s="1">
        <f>Sales4[[#This Row],[PGI Amount]]/Sales4[[#This Row],[Billed Quantity]]</f>
        <v>5.6000000000000001E-2</v>
      </c>
      <c r="AO352" s="72" t="e">
        <f>SUMIFS('COGS Break up'!#REF!,'COGS Break up'!#REF!,Sales4[[#This Row],[Material]],'COGS Break up'!#REF!,'MIS Working'!$AO$1)</f>
        <v>#REF!</v>
      </c>
      <c r="AP352" s="72" t="e">
        <f>SUMIFS('COGS Break up'!#REF!,'COGS Break up'!#REF!,Sales4[[#This Row],[Material]],'COGS Break up'!#REF!,'MIS Working'!$AP$1)</f>
        <v>#REF!</v>
      </c>
      <c r="AQ352" s="72" t="e">
        <f>SUMIFS('COGS Break up'!#REF!,'COGS Break up'!#REF!,Sales4[[#This Row],[Material]],'COGS Break up'!#REF!,'MIS Working'!$AQ$1)</f>
        <v>#REF!</v>
      </c>
      <c r="AR352" s="72">
        <f>Sales4[[#This Row],[Droppage per unit]]</f>
        <v>0</v>
      </c>
      <c r="AS352" s="15" t="e">
        <f>AO352*Sales4[[#This Row],[Billed Quantity]]</f>
        <v>#REF!</v>
      </c>
      <c r="AT352" s="72" t="e">
        <f>AP352*Sales4[[#This Row],[Billed Quantity]]</f>
        <v>#REF!</v>
      </c>
      <c r="AU352" s="72" t="e">
        <f>AQ352*Sales4[[#This Row],[Billed Quantity]]</f>
        <v>#REF!</v>
      </c>
      <c r="AV352" s="72">
        <f>AR352*Sales4[[#This Row],[Billed Quantity]]</f>
        <v>0</v>
      </c>
    </row>
    <row r="353" spans="1:48" x14ac:dyDescent="0.3">
      <c r="A353" s="1" t="s">
        <v>1212</v>
      </c>
      <c r="B353" s="2">
        <v>45908</v>
      </c>
      <c r="C353" s="1">
        <v>3271267987</v>
      </c>
      <c r="D353" s="1" t="s">
        <v>1371</v>
      </c>
      <c r="E353" s="1" t="s">
        <v>1372</v>
      </c>
      <c r="F353" s="1" t="s">
        <v>18</v>
      </c>
      <c r="G353" s="1" t="s">
        <v>48</v>
      </c>
      <c r="H353" s="1" t="s">
        <v>207</v>
      </c>
      <c r="I353" s="3">
        <v>10000</v>
      </c>
      <c r="J353" s="4">
        <v>27583.33</v>
      </c>
      <c r="K353" s="3">
        <v>10000</v>
      </c>
      <c r="L353" s="3">
        <v>10000</v>
      </c>
      <c r="M353" s="2">
        <v>45908</v>
      </c>
      <c r="N353" s="4">
        <v>23500</v>
      </c>
      <c r="O353" s="1" t="s">
        <v>21</v>
      </c>
      <c r="P353" s="1" t="s">
        <v>22</v>
      </c>
      <c r="Q353" s="1">
        <v>6</v>
      </c>
      <c r="R353" s="1" t="str">
        <f>VLOOKUP(Sales4[[#This Row],[Material type]],Master!$H$3:$I$8,2,0)</f>
        <v>Raw Material</v>
      </c>
      <c r="S353" s="1" t="str">
        <f>VLOOKUP(Sales4[[#This Row],[Material Group]],Master!B:C,2,0)</f>
        <v>RM-Mech. Accessories</v>
      </c>
      <c r="T353" s="1" t="str">
        <f>VLOOKUP(Sales4[[#This Row],[Material Group Descrip]],Master!E:F,2,0)</f>
        <v>Raw Material</v>
      </c>
      <c r="U353" s="9" t="b">
        <f ca="1">(TODAY()-1)=Sales4[[#This Row],[Billing Date]]</f>
        <v>0</v>
      </c>
      <c r="V353" s="10" t="e">
        <f>Sales4[[#This Row],[Net Value]]-Sales4[[#This Row],[PGI COST]]</f>
        <v>#REF!</v>
      </c>
      <c r="W353" s="11" t="e">
        <f>Sales4[[#This Row],[Gross Margin]]/Sales4[[#This Row],[Net Value]]</f>
        <v>#REF!</v>
      </c>
      <c r="X353" s="1" t="str">
        <f>TEXT(Sales4[[#This Row],[Billing Date]],"mmmm-yy")</f>
        <v>September-25</v>
      </c>
      <c r="Y353" s="1">
        <f>Sales4[[#This Row],[Net Value]]/Sales4[[#This Row],[Billed Quantity]]</f>
        <v>2.35</v>
      </c>
      <c r="Z353" s="117">
        <f>Sales4[[#This Row],[Actual delivery qty]]</f>
        <v>10000</v>
      </c>
      <c r="AA353" s="12" t="e">
        <f>SUM(Sales4[[#This Row],[BOM Cost]:[Other Conversion cost pu]])</f>
        <v>#REF!</v>
      </c>
      <c r="AB35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5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53" s="12">
        <f>IFERROR(VLOOKUP(Sales4[[#This Row],[Material]],'COGS Break up'!#REF!,5,0),0)</f>
        <v>0</v>
      </c>
      <c r="AE35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53" s="48" t="e">
        <f>Sales4[[#This Row],[PGI per unit]]-Sales4[[#This Row],[BOM Cost]]-Sales4[[#This Row],[Labour cost per unit]]-Sales4[[#This Row],[Other Conversion cost pu]]</f>
        <v>#REF!</v>
      </c>
      <c r="AG353" s="48" t="e">
        <f>Sales4[[#This Row],[BOM Cost2]]+Sales4[[#This Row],[Labour Cost]]+Sales4[[#This Row],[Other conversion cost]]</f>
        <v>#REF!</v>
      </c>
      <c r="AH353" s="12" t="e">
        <f>Sales4[[#This Row],[Billed Quantity]]*Sales4[[#This Row],[BOM Cost]]</f>
        <v>#REF!</v>
      </c>
      <c r="AI353" s="12" t="e">
        <f>Sales4[[#This Row],[Billed Quantity]]*Sales4[[#This Row],[Labour cost per unit]]</f>
        <v>#REF!</v>
      </c>
      <c r="AJ353" s="12">
        <f>Sales4[[#This Row],[Droppage per unit]]*Sales4[[#This Row],[Billed Quantity]]</f>
        <v>0</v>
      </c>
      <c r="AK353" s="12" t="e">
        <f>Sales4[[#This Row],[Billed Quantity]]*Sales4[[#This Row],[Other Conversion cost pu]]</f>
        <v>#REF!</v>
      </c>
      <c r="AL353" s="48" t="e">
        <f>Sales4[[#This Row],[PGI Amount]]-Sales4[[#This Row],[BOM Cost2]]-Sales4[[#This Row],[Labour Cost]]-Sales4[[#This Row],[Other conversion cost]]</f>
        <v>#REF!</v>
      </c>
      <c r="AM353" s="121" t="e">
        <f>1-Sales4[[#This Row],[PGI COST]]/Sales4[[#This Row],[Net Value]]</f>
        <v>#REF!</v>
      </c>
      <c r="AN353" s="1">
        <f>Sales4[[#This Row],[PGI Amount]]/Sales4[[#This Row],[Billed Quantity]]</f>
        <v>2.7583330000000004</v>
      </c>
      <c r="AO353" s="72" t="e">
        <f>SUMIFS('COGS Break up'!#REF!,'COGS Break up'!#REF!,Sales4[[#This Row],[Material]],'COGS Break up'!#REF!,'MIS Working'!$AO$1)</f>
        <v>#REF!</v>
      </c>
      <c r="AP353" s="72" t="e">
        <f>SUMIFS('COGS Break up'!#REF!,'COGS Break up'!#REF!,Sales4[[#This Row],[Material]],'COGS Break up'!#REF!,'MIS Working'!$AP$1)</f>
        <v>#REF!</v>
      </c>
      <c r="AQ353" s="72" t="e">
        <f>SUMIFS('COGS Break up'!#REF!,'COGS Break up'!#REF!,Sales4[[#This Row],[Material]],'COGS Break up'!#REF!,'MIS Working'!$AQ$1)</f>
        <v>#REF!</v>
      </c>
      <c r="AR353" s="72">
        <f>Sales4[[#This Row],[Droppage per unit]]</f>
        <v>0</v>
      </c>
      <c r="AS353" s="15" t="e">
        <f>AO353*Sales4[[#This Row],[Billed Quantity]]</f>
        <v>#REF!</v>
      </c>
      <c r="AT353" s="72" t="e">
        <f>AP353*Sales4[[#This Row],[Billed Quantity]]</f>
        <v>#REF!</v>
      </c>
      <c r="AU353" s="72" t="e">
        <f>AQ353*Sales4[[#This Row],[Billed Quantity]]</f>
        <v>#REF!</v>
      </c>
      <c r="AV353" s="72">
        <f>AR353*Sales4[[#This Row],[Billed Quantity]]</f>
        <v>0</v>
      </c>
    </row>
    <row r="354" spans="1:48" x14ac:dyDescent="0.3">
      <c r="A354" s="1" t="s">
        <v>479</v>
      </c>
      <c r="B354" s="2">
        <v>45908</v>
      </c>
      <c r="C354" s="1">
        <v>3271267804</v>
      </c>
      <c r="D354" s="1" t="s">
        <v>38</v>
      </c>
      <c r="E354" s="1" t="s">
        <v>39</v>
      </c>
      <c r="F354" s="1" t="s">
        <v>18</v>
      </c>
      <c r="G354" s="1" t="s">
        <v>19</v>
      </c>
      <c r="H354" s="1" t="s">
        <v>27</v>
      </c>
      <c r="I354" s="3">
        <v>4340</v>
      </c>
      <c r="J354" s="4">
        <v>1429856.4</v>
      </c>
      <c r="K354" s="3">
        <v>4340</v>
      </c>
      <c r="L354" s="3">
        <v>4340</v>
      </c>
      <c r="M354" s="2">
        <v>45908</v>
      </c>
      <c r="N354" s="4">
        <v>1554978.6</v>
      </c>
      <c r="O354" s="1" t="s">
        <v>21</v>
      </c>
      <c r="P354" s="1" t="s">
        <v>22</v>
      </c>
      <c r="Q354" s="1">
        <v>1</v>
      </c>
      <c r="R354" s="1" t="str">
        <f>VLOOKUP(Sales4[[#This Row],[Material type]],Master!$H$3:$I$8,2,0)</f>
        <v>Finished Goods</v>
      </c>
      <c r="S354" s="1" t="str">
        <f>VLOOKUP(Sales4[[#This Row],[Material Group]],Master!B:C,2,0)</f>
        <v>FG-PCB-CF</v>
      </c>
      <c r="T354" s="1" t="str">
        <f>VLOOKUP(Sales4[[#This Row],[Material Group Descrip]],Master!E:F,2,0)</f>
        <v>FG-PCB-CF</v>
      </c>
      <c r="U354" s="9" t="b">
        <f ca="1">(TODAY()-1)=Sales4[[#This Row],[Billing Date]]</f>
        <v>0</v>
      </c>
      <c r="V354" s="10" t="e">
        <f>Sales4[[#This Row],[Net Value]]-Sales4[[#This Row],[PGI COST]]</f>
        <v>#REF!</v>
      </c>
      <c r="W354" s="11" t="e">
        <f>Sales4[[#This Row],[Gross Margin]]/Sales4[[#This Row],[Net Value]]</f>
        <v>#REF!</v>
      </c>
      <c r="X354" s="1" t="str">
        <f>TEXT(Sales4[[#This Row],[Billing Date]],"mmmm-yy")</f>
        <v>September-25</v>
      </c>
      <c r="Y354" s="1">
        <f>Sales4[[#This Row],[Net Value]]/Sales4[[#This Row],[Billed Quantity]]</f>
        <v>358.29</v>
      </c>
      <c r="Z354" s="117">
        <f>Sales4[[#This Row],[Actual delivery qty]]</f>
        <v>4340</v>
      </c>
      <c r="AA354" s="12" t="e">
        <f>SUM(Sales4[[#This Row],[BOM Cost]:[Other Conversion cost pu]])</f>
        <v>#REF!</v>
      </c>
      <c r="AB35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5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54" s="12">
        <f>IFERROR(VLOOKUP(Sales4[[#This Row],[Material]],'COGS Break up'!#REF!,5,0),0)</f>
        <v>0</v>
      </c>
      <c r="AE35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54" s="48" t="e">
        <f>Sales4[[#This Row],[PGI per unit]]-Sales4[[#This Row],[BOM Cost]]-Sales4[[#This Row],[Labour cost per unit]]-Sales4[[#This Row],[Other Conversion cost pu]]</f>
        <v>#REF!</v>
      </c>
      <c r="AG354" s="48" t="e">
        <f>Sales4[[#This Row],[BOM Cost2]]+Sales4[[#This Row],[Labour Cost]]+Sales4[[#This Row],[Other conversion cost]]</f>
        <v>#REF!</v>
      </c>
      <c r="AH354" s="12" t="e">
        <f>Sales4[[#This Row],[Billed Quantity]]*Sales4[[#This Row],[BOM Cost]]</f>
        <v>#REF!</v>
      </c>
      <c r="AI354" s="12" t="e">
        <f>Sales4[[#This Row],[Billed Quantity]]*Sales4[[#This Row],[Labour cost per unit]]</f>
        <v>#REF!</v>
      </c>
      <c r="AJ354" s="12">
        <f>Sales4[[#This Row],[Droppage per unit]]*Sales4[[#This Row],[Billed Quantity]]</f>
        <v>0</v>
      </c>
      <c r="AK354" s="12" t="e">
        <f>Sales4[[#This Row],[Billed Quantity]]*Sales4[[#This Row],[Other Conversion cost pu]]</f>
        <v>#REF!</v>
      </c>
      <c r="AL354" s="48" t="e">
        <f>Sales4[[#This Row],[PGI Amount]]-Sales4[[#This Row],[BOM Cost2]]-Sales4[[#This Row],[Labour Cost]]-Sales4[[#This Row],[Other conversion cost]]</f>
        <v>#REF!</v>
      </c>
      <c r="AM354" s="121" t="e">
        <f>1-Sales4[[#This Row],[PGI COST]]/Sales4[[#This Row],[Net Value]]</f>
        <v>#REF!</v>
      </c>
      <c r="AN354" s="1">
        <f>Sales4[[#This Row],[PGI Amount]]/Sales4[[#This Row],[Billed Quantity]]</f>
        <v>329.46</v>
      </c>
      <c r="AO354" s="72" t="e">
        <f>SUMIFS('COGS Break up'!#REF!,'COGS Break up'!#REF!,Sales4[[#This Row],[Material]],'COGS Break up'!#REF!,'MIS Working'!$AO$1)</f>
        <v>#REF!</v>
      </c>
      <c r="AP354" s="72" t="e">
        <f>SUMIFS('COGS Break up'!#REF!,'COGS Break up'!#REF!,Sales4[[#This Row],[Material]],'COGS Break up'!#REF!,'MIS Working'!$AP$1)</f>
        <v>#REF!</v>
      </c>
      <c r="AQ354" s="72" t="e">
        <f>SUMIFS('COGS Break up'!#REF!,'COGS Break up'!#REF!,Sales4[[#This Row],[Material]],'COGS Break up'!#REF!,'MIS Working'!$AQ$1)</f>
        <v>#REF!</v>
      </c>
      <c r="AR354" s="72">
        <f>Sales4[[#This Row],[Droppage per unit]]</f>
        <v>0</v>
      </c>
      <c r="AS354" s="15" t="e">
        <f>AO354*Sales4[[#This Row],[Billed Quantity]]</f>
        <v>#REF!</v>
      </c>
      <c r="AT354" s="72" t="e">
        <f>AP354*Sales4[[#This Row],[Billed Quantity]]</f>
        <v>#REF!</v>
      </c>
      <c r="AU354" s="72" t="e">
        <f>AQ354*Sales4[[#This Row],[Billed Quantity]]</f>
        <v>#REF!</v>
      </c>
      <c r="AV354" s="72">
        <f>AR354*Sales4[[#This Row],[Billed Quantity]]</f>
        <v>0</v>
      </c>
    </row>
    <row r="355" spans="1:48" x14ac:dyDescent="0.3">
      <c r="A355" s="1" t="s">
        <v>479</v>
      </c>
      <c r="B355" s="2">
        <v>45908</v>
      </c>
      <c r="C355" s="1">
        <v>3271267783</v>
      </c>
      <c r="D355" s="1" t="s">
        <v>38</v>
      </c>
      <c r="E355" s="1" t="s">
        <v>39</v>
      </c>
      <c r="F355" s="1" t="s">
        <v>18</v>
      </c>
      <c r="G355" s="1" t="s">
        <v>19</v>
      </c>
      <c r="H355" s="1" t="s">
        <v>27</v>
      </c>
      <c r="I355" s="3">
        <v>840</v>
      </c>
      <c r="J355" s="4">
        <v>276746.40000000002</v>
      </c>
      <c r="K355" s="3">
        <v>840</v>
      </c>
      <c r="L355" s="3">
        <v>840</v>
      </c>
      <c r="M355" s="2">
        <v>45908</v>
      </c>
      <c r="N355" s="4">
        <v>300963.59999999998</v>
      </c>
      <c r="O355" s="1" t="s">
        <v>21</v>
      </c>
      <c r="P355" s="1" t="s">
        <v>22</v>
      </c>
      <c r="Q355" s="1">
        <v>1</v>
      </c>
      <c r="R355" s="1" t="str">
        <f>VLOOKUP(Sales4[[#This Row],[Material type]],Master!$H$3:$I$8,2,0)</f>
        <v>Finished Goods</v>
      </c>
      <c r="S355" s="1" t="str">
        <f>VLOOKUP(Sales4[[#This Row],[Material Group]],Master!B:C,2,0)</f>
        <v>FG-PCB-CF</v>
      </c>
      <c r="T355" s="1" t="str">
        <f>VLOOKUP(Sales4[[#This Row],[Material Group Descrip]],Master!E:F,2,0)</f>
        <v>FG-PCB-CF</v>
      </c>
      <c r="U355" s="9" t="b">
        <f ca="1">(TODAY()-1)=Sales4[[#This Row],[Billing Date]]</f>
        <v>0</v>
      </c>
      <c r="V355" s="10" t="e">
        <f>Sales4[[#This Row],[Net Value]]-Sales4[[#This Row],[PGI COST]]</f>
        <v>#REF!</v>
      </c>
      <c r="W355" s="11" t="e">
        <f>Sales4[[#This Row],[Gross Margin]]/Sales4[[#This Row],[Net Value]]</f>
        <v>#REF!</v>
      </c>
      <c r="X355" s="1" t="str">
        <f>TEXT(Sales4[[#This Row],[Billing Date]],"mmmm-yy")</f>
        <v>September-25</v>
      </c>
      <c r="Y355" s="1">
        <f>Sales4[[#This Row],[Net Value]]/Sales4[[#This Row],[Billed Quantity]]</f>
        <v>358.28999999999996</v>
      </c>
      <c r="Z355" s="117">
        <f>Sales4[[#This Row],[Actual delivery qty]]</f>
        <v>840</v>
      </c>
      <c r="AA355" s="12" t="e">
        <f>SUM(Sales4[[#This Row],[BOM Cost]:[Other Conversion cost pu]])</f>
        <v>#REF!</v>
      </c>
      <c r="AB35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5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55" s="12">
        <f>IFERROR(VLOOKUP(Sales4[[#This Row],[Material]],'COGS Break up'!#REF!,5,0),0)</f>
        <v>0</v>
      </c>
      <c r="AE35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55" s="48" t="e">
        <f>Sales4[[#This Row],[PGI per unit]]-Sales4[[#This Row],[BOM Cost]]-Sales4[[#This Row],[Labour cost per unit]]-Sales4[[#This Row],[Other Conversion cost pu]]</f>
        <v>#REF!</v>
      </c>
      <c r="AG355" s="48" t="e">
        <f>Sales4[[#This Row],[BOM Cost2]]+Sales4[[#This Row],[Labour Cost]]+Sales4[[#This Row],[Other conversion cost]]</f>
        <v>#REF!</v>
      </c>
      <c r="AH355" s="12" t="e">
        <f>Sales4[[#This Row],[Billed Quantity]]*Sales4[[#This Row],[BOM Cost]]</f>
        <v>#REF!</v>
      </c>
      <c r="AI355" s="12" t="e">
        <f>Sales4[[#This Row],[Billed Quantity]]*Sales4[[#This Row],[Labour cost per unit]]</f>
        <v>#REF!</v>
      </c>
      <c r="AJ355" s="12">
        <f>Sales4[[#This Row],[Droppage per unit]]*Sales4[[#This Row],[Billed Quantity]]</f>
        <v>0</v>
      </c>
      <c r="AK355" s="12" t="e">
        <f>Sales4[[#This Row],[Billed Quantity]]*Sales4[[#This Row],[Other Conversion cost pu]]</f>
        <v>#REF!</v>
      </c>
      <c r="AL355" s="48" t="e">
        <f>Sales4[[#This Row],[PGI Amount]]-Sales4[[#This Row],[BOM Cost2]]-Sales4[[#This Row],[Labour Cost]]-Sales4[[#This Row],[Other conversion cost]]</f>
        <v>#REF!</v>
      </c>
      <c r="AM355" s="121" t="e">
        <f>1-Sales4[[#This Row],[PGI COST]]/Sales4[[#This Row],[Net Value]]</f>
        <v>#REF!</v>
      </c>
      <c r="AN355" s="1">
        <f>Sales4[[#This Row],[PGI Amount]]/Sales4[[#This Row],[Billed Quantity]]</f>
        <v>329.46000000000004</v>
      </c>
      <c r="AO355" s="72" t="e">
        <f>SUMIFS('COGS Break up'!#REF!,'COGS Break up'!#REF!,Sales4[[#This Row],[Material]],'COGS Break up'!#REF!,'MIS Working'!$AO$1)</f>
        <v>#REF!</v>
      </c>
      <c r="AP355" s="72" t="e">
        <f>SUMIFS('COGS Break up'!#REF!,'COGS Break up'!#REF!,Sales4[[#This Row],[Material]],'COGS Break up'!#REF!,'MIS Working'!$AP$1)</f>
        <v>#REF!</v>
      </c>
      <c r="AQ355" s="72" t="e">
        <f>SUMIFS('COGS Break up'!#REF!,'COGS Break up'!#REF!,Sales4[[#This Row],[Material]],'COGS Break up'!#REF!,'MIS Working'!$AQ$1)</f>
        <v>#REF!</v>
      </c>
      <c r="AR355" s="72">
        <f>Sales4[[#This Row],[Droppage per unit]]</f>
        <v>0</v>
      </c>
      <c r="AS355" s="15" t="e">
        <f>AO355*Sales4[[#This Row],[Billed Quantity]]</f>
        <v>#REF!</v>
      </c>
      <c r="AT355" s="72" t="e">
        <f>AP355*Sales4[[#This Row],[Billed Quantity]]</f>
        <v>#REF!</v>
      </c>
      <c r="AU355" s="72" t="e">
        <f>AQ355*Sales4[[#This Row],[Billed Quantity]]</f>
        <v>#REF!</v>
      </c>
      <c r="AV355" s="72">
        <f>AR355*Sales4[[#This Row],[Billed Quantity]]</f>
        <v>0</v>
      </c>
    </row>
    <row r="356" spans="1:48" x14ac:dyDescent="0.3">
      <c r="A356" s="1" t="s">
        <v>479</v>
      </c>
      <c r="B356" s="2">
        <v>45908</v>
      </c>
      <c r="C356" s="1">
        <v>3271268467</v>
      </c>
      <c r="D356" s="1" t="s">
        <v>38</v>
      </c>
      <c r="E356" s="1" t="s">
        <v>39</v>
      </c>
      <c r="F356" s="1" t="s">
        <v>18</v>
      </c>
      <c r="G356" s="1" t="s">
        <v>19</v>
      </c>
      <c r="H356" s="1" t="s">
        <v>27</v>
      </c>
      <c r="I356" s="3">
        <v>1120</v>
      </c>
      <c r="J356" s="4">
        <v>368995.2</v>
      </c>
      <c r="K356" s="3">
        <v>1120</v>
      </c>
      <c r="L356" s="3">
        <v>1120</v>
      </c>
      <c r="M356" s="2">
        <v>45908</v>
      </c>
      <c r="N356" s="4">
        <v>401284.8</v>
      </c>
      <c r="O356" s="1" t="s">
        <v>21</v>
      </c>
      <c r="P356" s="1" t="s">
        <v>22</v>
      </c>
      <c r="Q356" s="1">
        <v>1</v>
      </c>
      <c r="R356" s="1" t="str">
        <f>VLOOKUP(Sales4[[#This Row],[Material type]],Master!$H$3:$I$8,2,0)</f>
        <v>Finished Goods</v>
      </c>
      <c r="S356" s="1" t="str">
        <f>VLOOKUP(Sales4[[#This Row],[Material Group]],Master!B:C,2,0)</f>
        <v>FG-PCB-CF</v>
      </c>
      <c r="T356" s="1" t="str">
        <f>VLOOKUP(Sales4[[#This Row],[Material Group Descrip]],Master!E:F,2,0)</f>
        <v>FG-PCB-CF</v>
      </c>
      <c r="U356" s="9" t="b">
        <f ca="1">(TODAY()-1)=Sales4[[#This Row],[Billing Date]]</f>
        <v>0</v>
      </c>
      <c r="V356" s="10" t="e">
        <f>Sales4[[#This Row],[Net Value]]-Sales4[[#This Row],[PGI COST]]</f>
        <v>#REF!</v>
      </c>
      <c r="W356" s="11" t="e">
        <f>Sales4[[#This Row],[Gross Margin]]/Sales4[[#This Row],[Net Value]]</f>
        <v>#REF!</v>
      </c>
      <c r="X356" s="1" t="str">
        <f>TEXT(Sales4[[#This Row],[Billing Date]],"mmmm-yy")</f>
        <v>September-25</v>
      </c>
      <c r="Y356" s="1">
        <f>Sales4[[#This Row],[Net Value]]/Sales4[[#This Row],[Billed Quantity]]</f>
        <v>358.28999999999996</v>
      </c>
      <c r="Z356" s="117">
        <f>Sales4[[#This Row],[Actual delivery qty]]</f>
        <v>1120</v>
      </c>
      <c r="AA356" s="12" t="e">
        <f>SUM(Sales4[[#This Row],[BOM Cost]:[Other Conversion cost pu]])</f>
        <v>#REF!</v>
      </c>
      <c r="AB35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5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56" s="12">
        <f>IFERROR(VLOOKUP(Sales4[[#This Row],[Material]],'COGS Break up'!#REF!,5,0),0)</f>
        <v>0</v>
      </c>
      <c r="AE35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56" s="48" t="e">
        <f>Sales4[[#This Row],[PGI per unit]]-Sales4[[#This Row],[BOM Cost]]-Sales4[[#This Row],[Labour cost per unit]]-Sales4[[#This Row],[Other Conversion cost pu]]</f>
        <v>#REF!</v>
      </c>
      <c r="AG356" s="48" t="e">
        <f>Sales4[[#This Row],[BOM Cost2]]+Sales4[[#This Row],[Labour Cost]]+Sales4[[#This Row],[Other conversion cost]]</f>
        <v>#REF!</v>
      </c>
      <c r="AH356" s="12" t="e">
        <f>Sales4[[#This Row],[Billed Quantity]]*Sales4[[#This Row],[BOM Cost]]</f>
        <v>#REF!</v>
      </c>
      <c r="AI356" s="12" t="e">
        <f>Sales4[[#This Row],[Billed Quantity]]*Sales4[[#This Row],[Labour cost per unit]]</f>
        <v>#REF!</v>
      </c>
      <c r="AJ356" s="12">
        <f>Sales4[[#This Row],[Droppage per unit]]*Sales4[[#This Row],[Billed Quantity]]</f>
        <v>0</v>
      </c>
      <c r="AK356" s="12" t="e">
        <f>Sales4[[#This Row],[Billed Quantity]]*Sales4[[#This Row],[Other Conversion cost pu]]</f>
        <v>#REF!</v>
      </c>
      <c r="AL356" s="48" t="e">
        <f>Sales4[[#This Row],[PGI Amount]]-Sales4[[#This Row],[BOM Cost2]]-Sales4[[#This Row],[Labour Cost]]-Sales4[[#This Row],[Other conversion cost]]</f>
        <v>#REF!</v>
      </c>
      <c r="AM356" s="121" t="e">
        <f>1-Sales4[[#This Row],[PGI COST]]/Sales4[[#This Row],[Net Value]]</f>
        <v>#REF!</v>
      </c>
      <c r="AN356" s="1">
        <f>Sales4[[#This Row],[PGI Amount]]/Sales4[[#This Row],[Billed Quantity]]</f>
        <v>329.46000000000004</v>
      </c>
      <c r="AO356" s="72" t="e">
        <f>SUMIFS('COGS Break up'!#REF!,'COGS Break up'!#REF!,Sales4[[#This Row],[Material]],'COGS Break up'!#REF!,'MIS Working'!$AO$1)</f>
        <v>#REF!</v>
      </c>
      <c r="AP356" s="72" t="e">
        <f>SUMIFS('COGS Break up'!#REF!,'COGS Break up'!#REF!,Sales4[[#This Row],[Material]],'COGS Break up'!#REF!,'MIS Working'!$AP$1)</f>
        <v>#REF!</v>
      </c>
      <c r="AQ356" s="72" t="e">
        <f>SUMIFS('COGS Break up'!#REF!,'COGS Break up'!#REF!,Sales4[[#This Row],[Material]],'COGS Break up'!#REF!,'MIS Working'!$AQ$1)</f>
        <v>#REF!</v>
      </c>
      <c r="AR356" s="72">
        <f>Sales4[[#This Row],[Droppage per unit]]</f>
        <v>0</v>
      </c>
      <c r="AS356" s="15" t="e">
        <f>AO356*Sales4[[#This Row],[Billed Quantity]]</f>
        <v>#REF!</v>
      </c>
      <c r="AT356" s="72" t="e">
        <f>AP356*Sales4[[#This Row],[Billed Quantity]]</f>
        <v>#REF!</v>
      </c>
      <c r="AU356" s="72" t="e">
        <f>AQ356*Sales4[[#This Row],[Billed Quantity]]</f>
        <v>#REF!</v>
      </c>
      <c r="AV356" s="72">
        <f>AR356*Sales4[[#This Row],[Billed Quantity]]</f>
        <v>0</v>
      </c>
    </row>
    <row r="357" spans="1:48" x14ac:dyDescent="0.3">
      <c r="A357" s="1" t="s">
        <v>479</v>
      </c>
      <c r="B357" s="2">
        <v>45908</v>
      </c>
      <c r="C357" s="1">
        <v>3271267804</v>
      </c>
      <c r="D357" s="1" t="s">
        <v>23</v>
      </c>
      <c r="E357" s="1" t="s">
        <v>24</v>
      </c>
      <c r="F357" s="1" t="s">
        <v>18</v>
      </c>
      <c r="G357" s="1" t="s">
        <v>19</v>
      </c>
      <c r="H357" s="1" t="s">
        <v>27</v>
      </c>
      <c r="I357" s="3">
        <v>140</v>
      </c>
      <c r="J357" s="4">
        <v>59420.2</v>
      </c>
      <c r="K357" s="3">
        <v>140</v>
      </c>
      <c r="L357" s="3">
        <v>140</v>
      </c>
      <c r="M357" s="2">
        <v>45908</v>
      </c>
      <c r="N357" s="4">
        <v>67642.399999999994</v>
      </c>
      <c r="O357" s="1" t="s">
        <v>21</v>
      </c>
      <c r="P357" s="1" t="s">
        <v>22</v>
      </c>
      <c r="Q357" s="1">
        <v>1</v>
      </c>
      <c r="R357" s="1" t="str">
        <f>VLOOKUP(Sales4[[#This Row],[Material type]],Master!$H$3:$I$8,2,0)</f>
        <v>Finished Goods</v>
      </c>
      <c r="S357" s="1" t="str">
        <f>VLOOKUP(Sales4[[#This Row],[Material Group]],Master!B:C,2,0)</f>
        <v>FG-PCB-CF</v>
      </c>
      <c r="T357" s="1" t="str">
        <f>VLOOKUP(Sales4[[#This Row],[Material Group Descrip]],Master!E:F,2,0)</f>
        <v>FG-PCB-CF</v>
      </c>
      <c r="U357" s="9" t="b">
        <f ca="1">(TODAY()-1)=Sales4[[#This Row],[Billing Date]]</f>
        <v>0</v>
      </c>
      <c r="V357" s="10" t="e">
        <f>Sales4[[#This Row],[Net Value]]-Sales4[[#This Row],[PGI COST]]</f>
        <v>#REF!</v>
      </c>
      <c r="W357" s="11" t="e">
        <f>Sales4[[#This Row],[Gross Margin]]/Sales4[[#This Row],[Net Value]]</f>
        <v>#REF!</v>
      </c>
      <c r="X357" s="1" t="str">
        <f>TEXT(Sales4[[#This Row],[Billing Date]],"mmmm-yy")</f>
        <v>September-25</v>
      </c>
      <c r="Y357" s="1">
        <f>Sales4[[#This Row],[Net Value]]/Sales4[[#This Row],[Billed Quantity]]</f>
        <v>483.15999999999997</v>
      </c>
      <c r="Z357" s="117">
        <f>Sales4[[#This Row],[Actual delivery qty]]</f>
        <v>140</v>
      </c>
      <c r="AA357" s="12" t="e">
        <f>SUM(Sales4[[#This Row],[BOM Cost]:[Other Conversion cost pu]])</f>
        <v>#REF!</v>
      </c>
      <c r="AB35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5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57" s="12">
        <f>IFERROR(VLOOKUP(Sales4[[#This Row],[Material]],'COGS Break up'!#REF!,5,0),0)</f>
        <v>0</v>
      </c>
      <c r="AE35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57" s="48" t="e">
        <f>Sales4[[#This Row],[PGI per unit]]-Sales4[[#This Row],[BOM Cost]]-Sales4[[#This Row],[Labour cost per unit]]-Sales4[[#This Row],[Other Conversion cost pu]]</f>
        <v>#REF!</v>
      </c>
      <c r="AG357" s="48" t="e">
        <f>Sales4[[#This Row],[BOM Cost2]]+Sales4[[#This Row],[Labour Cost]]+Sales4[[#This Row],[Other conversion cost]]</f>
        <v>#REF!</v>
      </c>
      <c r="AH357" s="12" t="e">
        <f>Sales4[[#This Row],[Billed Quantity]]*Sales4[[#This Row],[BOM Cost]]</f>
        <v>#REF!</v>
      </c>
      <c r="AI357" s="12" t="e">
        <f>Sales4[[#This Row],[Billed Quantity]]*Sales4[[#This Row],[Labour cost per unit]]</f>
        <v>#REF!</v>
      </c>
      <c r="AJ357" s="12">
        <f>Sales4[[#This Row],[Droppage per unit]]*Sales4[[#This Row],[Billed Quantity]]</f>
        <v>0</v>
      </c>
      <c r="AK357" s="12" t="e">
        <f>Sales4[[#This Row],[Billed Quantity]]*Sales4[[#This Row],[Other Conversion cost pu]]</f>
        <v>#REF!</v>
      </c>
      <c r="AL357" s="48" t="e">
        <f>Sales4[[#This Row],[PGI Amount]]-Sales4[[#This Row],[BOM Cost2]]-Sales4[[#This Row],[Labour Cost]]-Sales4[[#This Row],[Other conversion cost]]</f>
        <v>#REF!</v>
      </c>
      <c r="AM357" s="121" t="e">
        <f>1-Sales4[[#This Row],[PGI COST]]/Sales4[[#This Row],[Net Value]]</f>
        <v>#REF!</v>
      </c>
      <c r="AN357" s="1">
        <f>Sales4[[#This Row],[PGI Amount]]/Sales4[[#This Row],[Billed Quantity]]</f>
        <v>424.43</v>
      </c>
      <c r="AO357" s="72" t="e">
        <f>SUMIFS('COGS Break up'!#REF!,'COGS Break up'!#REF!,Sales4[[#This Row],[Material]],'COGS Break up'!#REF!,'MIS Working'!$AO$1)</f>
        <v>#REF!</v>
      </c>
      <c r="AP357" s="72" t="e">
        <f>SUMIFS('COGS Break up'!#REF!,'COGS Break up'!#REF!,Sales4[[#This Row],[Material]],'COGS Break up'!#REF!,'MIS Working'!$AP$1)</f>
        <v>#REF!</v>
      </c>
      <c r="AQ357" s="72" t="e">
        <f>SUMIFS('COGS Break up'!#REF!,'COGS Break up'!#REF!,Sales4[[#This Row],[Material]],'COGS Break up'!#REF!,'MIS Working'!$AQ$1)</f>
        <v>#REF!</v>
      </c>
      <c r="AR357" s="72">
        <f>Sales4[[#This Row],[Droppage per unit]]</f>
        <v>0</v>
      </c>
      <c r="AS357" s="15" t="e">
        <f>AO357*Sales4[[#This Row],[Billed Quantity]]</f>
        <v>#REF!</v>
      </c>
      <c r="AT357" s="72" t="e">
        <f>AP357*Sales4[[#This Row],[Billed Quantity]]</f>
        <v>#REF!</v>
      </c>
      <c r="AU357" s="72" t="e">
        <f>AQ357*Sales4[[#This Row],[Billed Quantity]]</f>
        <v>#REF!</v>
      </c>
      <c r="AV357" s="72">
        <f>AR357*Sales4[[#This Row],[Billed Quantity]]</f>
        <v>0</v>
      </c>
    </row>
    <row r="358" spans="1:48" x14ac:dyDescent="0.3">
      <c r="A358" s="1" t="s">
        <v>479</v>
      </c>
      <c r="B358" s="2">
        <v>45908</v>
      </c>
      <c r="C358" s="1">
        <v>3271267783</v>
      </c>
      <c r="D358" s="1" t="s">
        <v>23</v>
      </c>
      <c r="E358" s="1" t="s">
        <v>24</v>
      </c>
      <c r="F358" s="1" t="s">
        <v>18</v>
      </c>
      <c r="G358" s="1" t="s">
        <v>19</v>
      </c>
      <c r="H358" s="1" t="s">
        <v>27</v>
      </c>
      <c r="I358" s="3">
        <v>525</v>
      </c>
      <c r="J358" s="4">
        <v>222825.75</v>
      </c>
      <c r="K358" s="3">
        <v>525</v>
      </c>
      <c r="L358" s="3">
        <v>525</v>
      </c>
      <c r="M358" s="2">
        <v>45908</v>
      </c>
      <c r="N358" s="4">
        <v>253659</v>
      </c>
      <c r="O358" s="1" t="s">
        <v>21</v>
      </c>
      <c r="P358" s="1" t="s">
        <v>22</v>
      </c>
      <c r="Q358" s="1">
        <v>1</v>
      </c>
      <c r="R358" s="1" t="str">
        <f>VLOOKUP(Sales4[[#This Row],[Material type]],Master!$H$3:$I$8,2,0)</f>
        <v>Finished Goods</v>
      </c>
      <c r="S358" s="1" t="str">
        <f>VLOOKUP(Sales4[[#This Row],[Material Group]],Master!B:C,2,0)</f>
        <v>FG-PCB-CF</v>
      </c>
      <c r="T358" s="1" t="str">
        <f>VLOOKUP(Sales4[[#This Row],[Material Group Descrip]],Master!E:F,2,0)</f>
        <v>FG-PCB-CF</v>
      </c>
      <c r="U358" s="9" t="b">
        <f ca="1">(TODAY()-1)=Sales4[[#This Row],[Billing Date]]</f>
        <v>0</v>
      </c>
      <c r="V358" s="10" t="e">
        <f>Sales4[[#This Row],[Net Value]]-Sales4[[#This Row],[PGI COST]]</f>
        <v>#REF!</v>
      </c>
      <c r="W358" s="11" t="e">
        <f>Sales4[[#This Row],[Gross Margin]]/Sales4[[#This Row],[Net Value]]</f>
        <v>#REF!</v>
      </c>
      <c r="X358" s="1" t="str">
        <f>TEXT(Sales4[[#This Row],[Billing Date]],"mmmm-yy")</f>
        <v>September-25</v>
      </c>
      <c r="Y358" s="1">
        <f>Sales4[[#This Row],[Net Value]]/Sales4[[#This Row],[Billed Quantity]]</f>
        <v>483.16</v>
      </c>
      <c r="Z358" s="117">
        <f>Sales4[[#This Row],[Actual delivery qty]]</f>
        <v>525</v>
      </c>
      <c r="AA358" s="12" t="e">
        <f>SUM(Sales4[[#This Row],[BOM Cost]:[Other Conversion cost pu]])</f>
        <v>#REF!</v>
      </c>
      <c r="AB35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5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58" s="12">
        <f>IFERROR(VLOOKUP(Sales4[[#This Row],[Material]],'COGS Break up'!#REF!,5,0),0)</f>
        <v>0</v>
      </c>
      <c r="AE35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58" s="48" t="e">
        <f>Sales4[[#This Row],[PGI per unit]]-Sales4[[#This Row],[BOM Cost]]-Sales4[[#This Row],[Labour cost per unit]]-Sales4[[#This Row],[Other Conversion cost pu]]</f>
        <v>#REF!</v>
      </c>
      <c r="AG358" s="48" t="e">
        <f>Sales4[[#This Row],[BOM Cost2]]+Sales4[[#This Row],[Labour Cost]]+Sales4[[#This Row],[Other conversion cost]]</f>
        <v>#REF!</v>
      </c>
      <c r="AH358" s="12" t="e">
        <f>Sales4[[#This Row],[Billed Quantity]]*Sales4[[#This Row],[BOM Cost]]</f>
        <v>#REF!</v>
      </c>
      <c r="AI358" s="12" t="e">
        <f>Sales4[[#This Row],[Billed Quantity]]*Sales4[[#This Row],[Labour cost per unit]]</f>
        <v>#REF!</v>
      </c>
      <c r="AJ358" s="12">
        <f>Sales4[[#This Row],[Droppage per unit]]*Sales4[[#This Row],[Billed Quantity]]</f>
        <v>0</v>
      </c>
      <c r="AK358" s="12" t="e">
        <f>Sales4[[#This Row],[Billed Quantity]]*Sales4[[#This Row],[Other Conversion cost pu]]</f>
        <v>#REF!</v>
      </c>
      <c r="AL358" s="48" t="e">
        <f>Sales4[[#This Row],[PGI Amount]]-Sales4[[#This Row],[BOM Cost2]]-Sales4[[#This Row],[Labour Cost]]-Sales4[[#This Row],[Other conversion cost]]</f>
        <v>#REF!</v>
      </c>
      <c r="AM358" s="121" t="e">
        <f>1-Sales4[[#This Row],[PGI COST]]/Sales4[[#This Row],[Net Value]]</f>
        <v>#REF!</v>
      </c>
      <c r="AN358" s="1">
        <f>Sales4[[#This Row],[PGI Amount]]/Sales4[[#This Row],[Billed Quantity]]</f>
        <v>424.43</v>
      </c>
      <c r="AO358" s="72" t="e">
        <f>SUMIFS('COGS Break up'!#REF!,'COGS Break up'!#REF!,Sales4[[#This Row],[Material]],'COGS Break up'!#REF!,'MIS Working'!$AO$1)</f>
        <v>#REF!</v>
      </c>
      <c r="AP358" s="72" t="e">
        <f>SUMIFS('COGS Break up'!#REF!,'COGS Break up'!#REF!,Sales4[[#This Row],[Material]],'COGS Break up'!#REF!,'MIS Working'!$AP$1)</f>
        <v>#REF!</v>
      </c>
      <c r="AQ358" s="72" t="e">
        <f>SUMIFS('COGS Break up'!#REF!,'COGS Break up'!#REF!,Sales4[[#This Row],[Material]],'COGS Break up'!#REF!,'MIS Working'!$AQ$1)</f>
        <v>#REF!</v>
      </c>
      <c r="AR358" s="72">
        <f>Sales4[[#This Row],[Droppage per unit]]</f>
        <v>0</v>
      </c>
      <c r="AS358" s="15" t="e">
        <f>AO358*Sales4[[#This Row],[Billed Quantity]]</f>
        <v>#REF!</v>
      </c>
      <c r="AT358" s="72" t="e">
        <f>AP358*Sales4[[#This Row],[Billed Quantity]]</f>
        <v>#REF!</v>
      </c>
      <c r="AU358" s="72" t="e">
        <f>AQ358*Sales4[[#This Row],[Billed Quantity]]</f>
        <v>#REF!</v>
      </c>
      <c r="AV358" s="72">
        <f>AR358*Sales4[[#This Row],[Billed Quantity]]</f>
        <v>0</v>
      </c>
    </row>
    <row r="359" spans="1:48" x14ac:dyDescent="0.3">
      <c r="A359" s="1" t="s">
        <v>479</v>
      </c>
      <c r="B359" s="2">
        <v>45908</v>
      </c>
      <c r="C359" s="1">
        <v>3271267783</v>
      </c>
      <c r="D359" s="1" t="s">
        <v>362</v>
      </c>
      <c r="E359" s="1" t="s">
        <v>363</v>
      </c>
      <c r="F359" s="1" t="s">
        <v>18</v>
      </c>
      <c r="G359" s="1" t="s">
        <v>19</v>
      </c>
      <c r="H359" s="1" t="s">
        <v>483</v>
      </c>
      <c r="I359" s="3">
        <v>455</v>
      </c>
      <c r="J359" s="4">
        <v>333565.05</v>
      </c>
      <c r="K359" s="3">
        <v>455</v>
      </c>
      <c r="L359" s="3">
        <v>455</v>
      </c>
      <c r="M359" s="2">
        <v>45908</v>
      </c>
      <c r="N359" s="4">
        <v>392319.2</v>
      </c>
      <c r="O359" s="1" t="s">
        <v>21</v>
      </c>
      <c r="P359" s="1" t="s">
        <v>22</v>
      </c>
      <c r="Q359" s="1">
        <v>1</v>
      </c>
      <c r="R359" s="1" t="str">
        <f>VLOOKUP(Sales4[[#This Row],[Material type]],Master!$H$3:$I$8,2,0)</f>
        <v>Finished Goods</v>
      </c>
      <c r="S359" s="1" t="str">
        <f>VLOOKUP(Sales4[[#This Row],[Material Group]],Master!B:C,2,0)</f>
        <v>FG-PCB-MG</v>
      </c>
      <c r="T359" s="1" t="str">
        <f>VLOOKUP(Sales4[[#This Row],[Material Group Descrip]],Master!E:F,2,0)</f>
        <v>FG-PCB-MG</v>
      </c>
      <c r="U359" s="9" t="b">
        <f ca="1">(TODAY()-1)=Sales4[[#This Row],[Billing Date]]</f>
        <v>0</v>
      </c>
      <c r="V359" s="10" t="e">
        <f>Sales4[[#This Row],[Net Value]]-Sales4[[#This Row],[PGI COST]]</f>
        <v>#REF!</v>
      </c>
      <c r="W359" s="11" t="e">
        <f>Sales4[[#This Row],[Gross Margin]]/Sales4[[#This Row],[Net Value]]</f>
        <v>#REF!</v>
      </c>
      <c r="X359" s="1" t="str">
        <f>TEXT(Sales4[[#This Row],[Billing Date]],"mmmm-yy")</f>
        <v>September-25</v>
      </c>
      <c r="Y359" s="1">
        <f>Sales4[[#This Row],[Net Value]]/Sales4[[#This Row],[Billed Quantity]]</f>
        <v>862.24</v>
      </c>
      <c r="Z359" s="117">
        <f>Sales4[[#This Row],[Actual delivery qty]]</f>
        <v>455</v>
      </c>
      <c r="AA359" s="12" t="e">
        <f>SUM(Sales4[[#This Row],[BOM Cost]:[Other Conversion cost pu]])</f>
        <v>#REF!</v>
      </c>
      <c r="AB35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5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59" s="12">
        <f>IFERROR(VLOOKUP(Sales4[[#This Row],[Material]],'COGS Break up'!#REF!,5,0),0)</f>
        <v>0</v>
      </c>
      <c r="AE35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59" s="48" t="e">
        <f>Sales4[[#This Row],[PGI per unit]]-Sales4[[#This Row],[BOM Cost]]-Sales4[[#This Row],[Labour cost per unit]]-Sales4[[#This Row],[Other Conversion cost pu]]</f>
        <v>#REF!</v>
      </c>
      <c r="AG359" s="48" t="e">
        <f>Sales4[[#This Row],[BOM Cost2]]+Sales4[[#This Row],[Labour Cost]]+Sales4[[#This Row],[Other conversion cost]]</f>
        <v>#REF!</v>
      </c>
      <c r="AH359" s="12" t="e">
        <f>Sales4[[#This Row],[Billed Quantity]]*Sales4[[#This Row],[BOM Cost]]</f>
        <v>#REF!</v>
      </c>
      <c r="AI359" s="12" t="e">
        <f>Sales4[[#This Row],[Billed Quantity]]*Sales4[[#This Row],[Labour cost per unit]]</f>
        <v>#REF!</v>
      </c>
      <c r="AJ359" s="12">
        <f>Sales4[[#This Row],[Droppage per unit]]*Sales4[[#This Row],[Billed Quantity]]</f>
        <v>0</v>
      </c>
      <c r="AK359" s="12" t="e">
        <f>Sales4[[#This Row],[Billed Quantity]]*Sales4[[#This Row],[Other Conversion cost pu]]</f>
        <v>#REF!</v>
      </c>
      <c r="AL359" s="48" t="e">
        <f>Sales4[[#This Row],[PGI Amount]]-Sales4[[#This Row],[BOM Cost2]]-Sales4[[#This Row],[Labour Cost]]-Sales4[[#This Row],[Other conversion cost]]</f>
        <v>#REF!</v>
      </c>
      <c r="AM359" s="121" t="e">
        <f>1-Sales4[[#This Row],[PGI COST]]/Sales4[[#This Row],[Net Value]]</f>
        <v>#REF!</v>
      </c>
      <c r="AN359" s="1">
        <f>Sales4[[#This Row],[PGI Amount]]/Sales4[[#This Row],[Billed Quantity]]</f>
        <v>733.11</v>
      </c>
      <c r="AO359" s="72" t="e">
        <f>SUMIFS('COGS Break up'!#REF!,'COGS Break up'!#REF!,Sales4[[#This Row],[Material]],'COGS Break up'!#REF!,'MIS Working'!$AO$1)</f>
        <v>#REF!</v>
      </c>
      <c r="AP359" s="72" t="e">
        <f>SUMIFS('COGS Break up'!#REF!,'COGS Break up'!#REF!,Sales4[[#This Row],[Material]],'COGS Break up'!#REF!,'MIS Working'!$AP$1)</f>
        <v>#REF!</v>
      </c>
      <c r="AQ359" s="72" t="e">
        <f>SUMIFS('COGS Break up'!#REF!,'COGS Break up'!#REF!,Sales4[[#This Row],[Material]],'COGS Break up'!#REF!,'MIS Working'!$AQ$1)</f>
        <v>#REF!</v>
      </c>
      <c r="AR359" s="72">
        <f>Sales4[[#This Row],[Droppage per unit]]</f>
        <v>0</v>
      </c>
      <c r="AS359" s="15" t="e">
        <f>AO359*Sales4[[#This Row],[Billed Quantity]]</f>
        <v>#REF!</v>
      </c>
      <c r="AT359" s="72" t="e">
        <f>AP359*Sales4[[#This Row],[Billed Quantity]]</f>
        <v>#REF!</v>
      </c>
      <c r="AU359" s="72" t="e">
        <f>AQ359*Sales4[[#This Row],[Billed Quantity]]</f>
        <v>#REF!</v>
      </c>
      <c r="AV359" s="72">
        <f>AR359*Sales4[[#This Row],[Billed Quantity]]</f>
        <v>0</v>
      </c>
    </row>
    <row r="360" spans="1:48" x14ac:dyDescent="0.3">
      <c r="A360" s="1" t="s">
        <v>479</v>
      </c>
      <c r="B360" s="2">
        <v>45908</v>
      </c>
      <c r="C360" s="1">
        <v>3271268467</v>
      </c>
      <c r="D360" s="1" t="s">
        <v>364</v>
      </c>
      <c r="E360" s="1" t="s">
        <v>365</v>
      </c>
      <c r="F360" s="1" t="s">
        <v>18</v>
      </c>
      <c r="G360" s="1" t="s">
        <v>19</v>
      </c>
      <c r="H360" s="1" t="s">
        <v>771</v>
      </c>
      <c r="I360" s="3">
        <v>245</v>
      </c>
      <c r="J360" s="4">
        <v>26712.35</v>
      </c>
      <c r="K360" s="3">
        <v>245</v>
      </c>
      <c r="L360" s="3">
        <v>245</v>
      </c>
      <c r="M360" s="2">
        <v>45908</v>
      </c>
      <c r="N360" s="4">
        <v>24803.8</v>
      </c>
      <c r="O360" s="1" t="s">
        <v>21</v>
      </c>
      <c r="P360" s="1" t="s">
        <v>22</v>
      </c>
      <c r="Q360" s="1">
        <v>1</v>
      </c>
      <c r="R360" s="1" t="str">
        <f>VLOOKUP(Sales4[[#This Row],[Material type]],Master!$H$3:$I$8,2,0)</f>
        <v>Finished Goods</v>
      </c>
      <c r="S360" s="1" t="str">
        <f>VLOOKUP(Sales4[[#This Row],[Material Group]],Master!B:C,2,0)</f>
        <v>FG-PCB-MG Interface</v>
      </c>
      <c r="T360" s="1" t="str">
        <f>VLOOKUP(Sales4[[#This Row],[Material Group Descrip]],Master!E:F,2,0)</f>
        <v>FG-PCB-MG</v>
      </c>
      <c r="U360" s="9" t="b">
        <f ca="1">(TODAY()-1)=Sales4[[#This Row],[Billing Date]]</f>
        <v>0</v>
      </c>
      <c r="V360" s="10" t="e">
        <f>Sales4[[#This Row],[Net Value]]-Sales4[[#This Row],[PGI COST]]</f>
        <v>#REF!</v>
      </c>
      <c r="W360" s="11" t="e">
        <f>Sales4[[#This Row],[Gross Margin]]/Sales4[[#This Row],[Net Value]]</f>
        <v>#REF!</v>
      </c>
      <c r="X360" s="1" t="str">
        <f>TEXT(Sales4[[#This Row],[Billing Date]],"mmmm-yy")</f>
        <v>September-25</v>
      </c>
      <c r="Y360" s="1">
        <f>Sales4[[#This Row],[Net Value]]/Sales4[[#This Row],[Billed Quantity]]</f>
        <v>101.24</v>
      </c>
      <c r="Z360" s="117"/>
      <c r="AA360" s="12" t="e">
        <f>SUM(Sales4[[#This Row],[BOM Cost]:[Other Conversion cost pu]])</f>
        <v>#REF!</v>
      </c>
      <c r="AB36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6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60" s="12">
        <f>IFERROR(VLOOKUP(Sales4[[#This Row],[Material]],'COGS Break up'!#REF!,5,0),0)</f>
        <v>0</v>
      </c>
      <c r="AE36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60" s="48" t="e">
        <f>Sales4[[#This Row],[PGI per unit]]-Sales4[[#This Row],[BOM Cost]]-Sales4[[#This Row],[Labour cost per unit]]-Sales4[[#This Row],[Other Conversion cost pu]]</f>
        <v>#REF!</v>
      </c>
      <c r="AG360" s="48" t="e">
        <f>Sales4[[#This Row],[BOM Cost2]]+Sales4[[#This Row],[Labour Cost]]+Sales4[[#This Row],[Other conversion cost]]</f>
        <v>#REF!</v>
      </c>
      <c r="AH360" s="12" t="e">
        <f>Sales4[[#This Row],[Billed Quantity]]*Sales4[[#This Row],[BOM Cost]]</f>
        <v>#REF!</v>
      </c>
      <c r="AI360" s="12" t="e">
        <f>Sales4[[#This Row],[Billed Quantity]]*Sales4[[#This Row],[Labour cost per unit]]</f>
        <v>#REF!</v>
      </c>
      <c r="AJ360" s="12">
        <f>Sales4[[#This Row],[Droppage per unit]]*Sales4[[#This Row],[Billed Quantity]]</f>
        <v>0</v>
      </c>
      <c r="AK360" s="12" t="e">
        <f>Sales4[[#This Row],[Billed Quantity]]*Sales4[[#This Row],[Other Conversion cost pu]]</f>
        <v>#REF!</v>
      </c>
      <c r="AL360" s="48" t="e">
        <f>Sales4[[#This Row],[PGI Amount]]-Sales4[[#This Row],[BOM Cost2]]-Sales4[[#This Row],[Labour Cost]]-Sales4[[#This Row],[Other conversion cost]]</f>
        <v>#REF!</v>
      </c>
      <c r="AM360" s="121" t="e">
        <f>1-Sales4[[#This Row],[PGI COST]]/Sales4[[#This Row],[Net Value]]</f>
        <v>#REF!</v>
      </c>
      <c r="AN360" s="1">
        <f>Sales4[[#This Row],[PGI Amount]]/Sales4[[#This Row],[Billed Quantity]]</f>
        <v>109.03</v>
      </c>
      <c r="AO360" s="72" t="e">
        <f>SUMIFS('COGS Break up'!#REF!,'COGS Break up'!#REF!,Sales4[[#This Row],[Material]],'COGS Break up'!#REF!,'MIS Working'!$AO$1)</f>
        <v>#REF!</v>
      </c>
      <c r="AP360" s="72" t="e">
        <f>SUMIFS('COGS Break up'!#REF!,'COGS Break up'!#REF!,Sales4[[#This Row],[Material]],'COGS Break up'!#REF!,'MIS Working'!$AP$1)</f>
        <v>#REF!</v>
      </c>
      <c r="AQ360" s="72" t="e">
        <f>SUMIFS('COGS Break up'!#REF!,'COGS Break up'!#REF!,Sales4[[#This Row],[Material]],'COGS Break up'!#REF!,'MIS Working'!$AQ$1)</f>
        <v>#REF!</v>
      </c>
      <c r="AR360" s="72">
        <f>Sales4[[#This Row],[Droppage per unit]]</f>
        <v>0</v>
      </c>
      <c r="AS360" s="15" t="e">
        <f>AO360*Sales4[[#This Row],[Billed Quantity]]</f>
        <v>#REF!</v>
      </c>
      <c r="AT360" s="72" t="e">
        <f>AP360*Sales4[[#This Row],[Billed Quantity]]</f>
        <v>#REF!</v>
      </c>
      <c r="AU360" s="72" t="e">
        <f>AQ360*Sales4[[#This Row],[Billed Quantity]]</f>
        <v>#REF!</v>
      </c>
      <c r="AV360" s="72">
        <f>AR360*Sales4[[#This Row],[Billed Quantity]]</f>
        <v>0</v>
      </c>
    </row>
    <row r="361" spans="1:48" x14ac:dyDescent="0.3">
      <c r="A361" s="1" t="s">
        <v>479</v>
      </c>
      <c r="B361" s="2">
        <v>45908</v>
      </c>
      <c r="C361" s="1">
        <v>3271267804</v>
      </c>
      <c r="D361" s="1" t="s">
        <v>364</v>
      </c>
      <c r="E361" s="1" t="s">
        <v>365</v>
      </c>
      <c r="F361" s="1" t="s">
        <v>18</v>
      </c>
      <c r="G361" s="1" t="s">
        <v>19</v>
      </c>
      <c r="H361" s="1" t="s">
        <v>771</v>
      </c>
      <c r="I361" s="3">
        <v>595</v>
      </c>
      <c r="J361" s="4">
        <v>64872.85</v>
      </c>
      <c r="K361" s="3">
        <v>595</v>
      </c>
      <c r="L361" s="3">
        <v>595</v>
      </c>
      <c r="M361" s="2">
        <v>45908</v>
      </c>
      <c r="N361" s="4">
        <v>60237.8</v>
      </c>
      <c r="O361" s="1" t="s">
        <v>21</v>
      </c>
      <c r="P361" s="1" t="s">
        <v>22</v>
      </c>
      <c r="Q361" s="1">
        <v>1</v>
      </c>
      <c r="R361" s="1" t="str">
        <f>VLOOKUP(Sales4[[#This Row],[Material type]],Master!$H$3:$I$8,2,0)</f>
        <v>Finished Goods</v>
      </c>
      <c r="S361" s="1" t="str">
        <f>VLOOKUP(Sales4[[#This Row],[Material Group]],Master!B:C,2,0)</f>
        <v>FG-PCB-MG Interface</v>
      </c>
      <c r="T361" s="1" t="str">
        <f>VLOOKUP(Sales4[[#This Row],[Material Group Descrip]],Master!E:F,2,0)</f>
        <v>FG-PCB-MG</v>
      </c>
      <c r="U361" s="9" t="b">
        <f ca="1">(TODAY()-1)=Sales4[[#This Row],[Billing Date]]</f>
        <v>0</v>
      </c>
      <c r="V361" s="10" t="e">
        <f>Sales4[[#This Row],[Net Value]]-Sales4[[#This Row],[PGI COST]]</f>
        <v>#REF!</v>
      </c>
      <c r="W361" s="11" t="e">
        <f>Sales4[[#This Row],[Gross Margin]]/Sales4[[#This Row],[Net Value]]</f>
        <v>#REF!</v>
      </c>
      <c r="X361" s="1" t="str">
        <f>TEXT(Sales4[[#This Row],[Billing Date]],"mmmm-yy")</f>
        <v>September-25</v>
      </c>
      <c r="Y361" s="1">
        <f>Sales4[[#This Row],[Net Value]]/Sales4[[#This Row],[Billed Quantity]]</f>
        <v>101.24000000000001</v>
      </c>
      <c r="Z361" s="117"/>
      <c r="AA361" s="12" t="e">
        <f>SUM(Sales4[[#This Row],[BOM Cost]:[Other Conversion cost pu]])</f>
        <v>#REF!</v>
      </c>
      <c r="AB36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6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61" s="12">
        <f>IFERROR(VLOOKUP(Sales4[[#This Row],[Material]],'COGS Break up'!#REF!,5,0),0)</f>
        <v>0</v>
      </c>
      <c r="AE36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61" s="48" t="e">
        <f>Sales4[[#This Row],[PGI per unit]]-Sales4[[#This Row],[BOM Cost]]-Sales4[[#This Row],[Labour cost per unit]]-Sales4[[#This Row],[Other Conversion cost pu]]</f>
        <v>#REF!</v>
      </c>
      <c r="AG361" s="48" t="e">
        <f>Sales4[[#This Row],[BOM Cost2]]+Sales4[[#This Row],[Labour Cost]]+Sales4[[#This Row],[Other conversion cost]]</f>
        <v>#REF!</v>
      </c>
      <c r="AH361" s="12" t="e">
        <f>Sales4[[#This Row],[Billed Quantity]]*Sales4[[#This Row],[BOM Cost]]</f>
        <v>#REF!</v>
      </c>
      <c r="AI361" s="12" t="e">
        <f>Sales4[[#This Row],[Billed Quantity]]*Sales4[[#This Row],[Labour cost per unit]]</f>
        <v>#REF!</v>
      </c>
      <c r="AJ361" s="12">
        <f>Sales4[[#This Row],[Droppage per unit]]*Sales4[[#This Row],[Billed Quantity]]</f>
        <v>0</v>
      </c>
      <c r="AK361" s="12" t="e">
        <f>Sales4[[#This Row],[Billed Quantity]]*Sales4[[#This Row],[Other Conversion cost pu]]</f>
        <v>#REF!</v>
      </c>
      <c r="AL361" s="48" t="e">
        <f>Sales4[[#This Row],[PGI Amount]]-Sales4[[#This Row],[BOM Cost2]]-Sales4[[#This Row],[Labour Cost]]-Sales4[[#This Row],[Other conversion cost]]</f>
        <v>#REF!</v>
      </c>
      <c r="AM361" s="121" t="e">
        <f>1-Sales4[[#This Row],[PGI COST]]/Sales4[[#This Row],[Net Value]]</f>
        <v>#REF!</v>
      </c>
      <c r="AN361" s="1">
        <f>Sales4[[#This Row],[PGI Amount]]/Sales4[[#This Row],[Billed Quantity]]</f>
        <v>109.03</v>
      </c>
      <c r="AO361" s="72" t="e">
        <f>SUMIFS('COGS Break up'!#REF!,'COGS Break up'!#REF!,Sales4[[#This Row],[Material]],'COGS Break up'!#REF!,'MIS Working'!$AO$1)</f>
        <v>#REF!</v>
      </c>
      <c r="AP361" s="72" t="e">
        <f>SUMIFS('COGS Break up'!#REF!,'COGS Break up'!#REF!,Sales4[[#This Row],[Material]],'COGS Break up'!#REF!,'MIS Working'!$AP$1)</f>
        <v>#REF!</v>
      </c>
      <c r="AQ361" s="72" t="e">
        <f>SUMIFS('COGS Break up'!#REF!,'COGS Break up'!#REF!,Sales4[[#This Row],[Material]],'COGS Break up'!#REF!,'MIS Working'!$AQ$1)</f>
        <v>#REF!</v>
      </c>
      <c r="AR361" s="72">
        <f>Sales4[[#This Row],[Droppage per unit]]</f>
        <v>0</v>
      </c>
      <c r="AS361" s="15" t="e">
        <f>AO361*Sales4[[#This Row],[Billed Quantity]]</f>
        <v>#REF!</v>
      </c>
      <c r="AT361" s="72" t="e">
        <f>AP361*Sales4[[#This Row],[Billed Quantity]]</f>
        <v>#REF!</v>
      </c>
      <c r="AU361" s="72" t="e">
        <f>AQ361*Sales4[[#This Row],[Billed Quantity]]</f>
        <v>#REF!</v>
      </c>
      <c r="AV361" s="72">
        <f>AR361*Sales4[[#This Row],[Billed Quantity]]</f>
        <v>0</v>
      </c>
    </row>
    <row r="362" spans="1:48" x14ac:dyDescent="0.3">
      <c r="A362" s="1" t="s">
        <v>479</v>
      </c>
      <c r="B362" s="2">
        <v>45908</v>
      </c>
      <c r="C362" s="1">
        <v>3271268467</v>
      </c>
      <c r="D362" s="1" t="s">
        <v>637</v>
      </c>
      <c r="E362" s="1" t="s">
        <v>638</v>
      </c>
      <c r="F362" s="1" t="s">
        <v>18</v>
      </c>
      <c r="G362" s="1" t="s">
        <v>19</v>
      </c>
      <c r="H362" s="1" t="s">
        <v>27</v>
      </c>
      <c r="I362" s="3">
        <v>175</v>
      </c>
      <c r="J362" s="4">
        <v>56003.5</v>
      </c>
      <c r="K362" s="3">
        <v>175</v>
      </c>
      <c r="L362" s="3">
        <v>175</v>
      </c>
      <c r="M362" s="2">
        <v>45908</v>
      </c>
      <c r="N362" s="4">
        <v>64029</v>
      </c>
      <c r="O362" s="1" t="s">
        <v>21</v>
      </c>
      <c r="P362" s="1" t="s">
        <v>22</v>
      </c>
      <c r="Q362" s="1">
        <v>1</v>
      </c>
      <c r="R362" s="1" t="str">
        <f>VLOOKUP(Sales4[[#This Row],[Material type]],Master!$H$3:$I$8,2,0)</f>
        <v>Finished Goods</v>
      </c>
      <c r="S362" s="1" t="str">
        <f>VLOOKUP(Sales4[[#This Row],[Material Group]],Master!B:C,2,0)</f>
        <v>FG-PCB-CF</v>
      </c>
      <c r="T362" s="1" t="str">
        <f>VLOOKUP(Sales4[[#This Row],[Material Group Descrip]],Master!E:F,2,0)</f>
        <v>FG-PCB-CF</v>
      </c>
      <c r="U362" s="9" t="b">
        <f ca="1">(TODAY()-1)=Sales4[[#This Row],[Billing Date]]</f>
        <v>0</v>
      </c>
      <c r="V362" s="10" t="e">
        <f>Sales4[[#This Row],[Net Value]]-Sales4[[#This Row],[PGI COST]]</f>
        <v>#REF!</v>
      </c>
      <c r="W362" s="11" t="e">
        <f>Sales4[[#This Row],[Gross Margin]]/Sales4[[#This Row],[Net Value]]</f>
        <v>#REF!</v>
      </c>
      <c r="X362" s="1" t="str">
        <f>TEXT(Sales4[[#This Row],[Billing Date]],"mmmm-yy")</f>
        <v>September-25</v>
      </c>
      <c r="Y362" s="1">
        <f>Sales4[[#This Row],[Net Value]]/Sales4[[#This Row],[Billed Quantity]]</f>
        <v>365.88</v>
      </c>
      <c r="Z362" s="117">
        <f>Sales4[[#This Row],[Actual delivery qty]]</f>
        <v>175</v>
      </c>
      <c r="AA362" s="12" t="e">
        <f>SUM(Sales4[[#This Row],[BOM Cost]:[Other Conversion cost pu]])</f>
        <v>#REF!</v>
      </c>
      <c r="AB36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6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62" s="12">
        <f>IFERROR(VLOOKUP(Sales4[[#This Row],[Material]],'COGS Break up'!#REF!,5,0),0)</f>
        <v>0</v>
      </c>
      <c r="AE36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62" s="48" t="e">
        <f>Sales4[[#This Row],[PGI per unit]]-Sales4[[#This Row],[BOM Cost]]-Sales4[[#This Row],[Labour cost per unit]]-Sales4[[#This Row],[Other Conversion cost pu]]</f>
        <v>#REF!</v>
      </c>
      <c r="AG362" s="48" t="e">
        <f>Sales4[[#This Row],[BOM Cost2]]+Sales4[[#This Row],[Labour Cost]]+Sales4[[#This Row],[Other conversion cost]]</f>
        <v>#REF!</v>
      </c>
      <c r="AH362" s="12" t="e">
        <f>Sales4[[#This Row],[Billed Quantity]]*Sales4[[#This Row],[BOM Cost]]</f>
        <v>#REF!</v>
      </c>
      <c r="AI362" s="12" t="e">
        <f>Sales4[[#This Row],[Billed Quantity]]*Sales4[[#This Row],[Labour cost per unit]]</f>
        <v>#REF!</v>
      </c>
      <c r="AJ362" s="12">
        <f>Sales4[[#This Row],[Droppage per unit]]*Sales4[[#This Row],[Billed Quantity]]</f>
        <v>0</v>
      </c>
      <c r="AK362" s="12" t="e">
        <f>Sales4[[#This Row],[Billed Quantity]]*Sales4[[#This Row],[Other Conversion cost pu]]</f>
        <v>#REF!</v>
      </c>
      <c r="AL362" s="48" t="e">
        <f>Sales4[[#This Row],[PGI Amount]]-Sales4[[#This Row],[BOM Cost2]]-Sales4[[#This Row],[Labour Cost]]-Sales4[[#This Row],[Other conversion cost]]</f>
        <v>#REF!</v>
      </c>
      <c r="AM362" s="121" t="e">
        <f>1-Sales4[[#This Row],[PGI COST]]/Sales4[[#This Row],[Net Value]]</f>
        <v>#REF!</v>
      </c>
      <c r="AN362" s="1">
        <f>Sales4[[#This Row],[PGI Amount]]/Sales4[[#This Row],[Billed Quantity]]</f>
        <v>320.02</v>
      </c>
      <c r="AO362" s="72" t="e">
        <f>SUMIFS('COGS Break up'!#REF!,'COGS Break up'!#REF!,Sales4[[#This Row],[Material]],'COGS Break up'!#REF!,'MIS Working'!$AO$1)</f>
        <v>#REF!</v>
      </c>
      <c r="AP362" s="72" t="e">
        <f>SUMIFS('COGS Break up'!#REF!,'COGS Break up'!#REF!,Sales4[[#This Row],[Material]],'COGS Break up'!#REF!,'MIS Working'!$AP$1)</f>
        <v>#REF!</v>
      </c>
      <c r="AQ362" s="72" t="e">
        <f>SUMIFS('COGS Break up'!#REF!,'COGS Break up'!#REF!,Sales4[[#This Row],[Material]],'COGS Break up'!#REF!,'MIS Working'!$AQ$1)</f>
        <v>#REF!</v>
      </c>
      <c r="AR362" s="72">
        <f>Sales4[[#This Row],[Droppage per unit]]</f>
        <v>0</v>
      </c>
      <c r="AS362" s="15" t="e">
        <f>AO362*Sales4[[#This Row],[Billed Quantity]]</f>
        <v>#REF!</v>
      </c>
      <c r="AT362" s="72" t="e">
        <f>AP362*Sales4[[#This Row],[Billed Quantity]]</f>
        <v>#REF!</v>
      </c>
      <c r="AU362" s="72" t="e">
        <f>AQ362*Sales4[[#This Row],[Billed Quantity]]</f>
        <v>#REF!</v>
      </c>
      <c r="AV362" s="72">
        <f>AR362*Sales4[[#This Row],[Billed Quantity]]</f>
        <v>0</v>
      </c>
    </row>
    <row r="363" spans="1:48" x14ac:dyDescent="0.3">
      <c r="A363" s="1" t="s">
        <v>479</v>
      </c>
      <c r="B363" s="2">
        <v>45908</v>
      </c>
      <c r="C363" s="1">
        <v>3271267783</v>
      </c>
      <c r="D363" s="1" t="s">
        <v>641</v>
      </c>
      <c r="E363" s="1" t="s">
        <v>642</v>
      </c>
      <c r="F363" s="1" t="s">
        <v>18</v>
      </c>
      <c r="G363" s="1" t="s">
        <v>19</v>
      </c>
      <c r="H363" s="1" t="s">
        <v>27</v>
      </c>
      <c r="I363" s="3">
        <v>595</v>
      </c>
      <c r="J363" s="4">
        <v>272093.5</v>
      </c>
      <c r="K363" s="3">
        <v>595</v>
      </c>
      <c r="L363" s="3">
        <v>595</v>
      </c>
      <c r="M363" s="2">
        <v>45908</v>
      </c>
      <c r="N363" s="4">
        <v>294525</v>
      </c>
      <c r="O363" s="1" t="s">
        <v>21</v>
      </c>
      <c r="P363" s="1" t="s">
        <v>22</v>
      </c>
      <c r="Q363" s="1">
        <v>1</v>
      </c>
      <c r="R363" s="1" t="str">
        <f>VLOOKUP(Sales4[[#This Row],[Material type]],Master!$H$3:$I$8,2,0)</f>
        <v>Finished Goods</v>
      </c>
      <c r="S363" s="1" t="str">
        <f>VLOOKUP(Sales4[[#This Row],[Material Group]],Master!B:C,2,0)</f>
        <v>FG-PCB-CF</v>
      </c>
      <c r="T363" s="1" t="str">
        <f>VLOOKUP(Sales4[[#This Row],[Material Group Descrip]],Master!E:F,2,0)</f>
        <v>FG-PCB-CF</v>
      </c>
      <c r="U363" s="9" t="b">
        <f ca="1">(TODAY()-1)=Sales4[[#This Row],[Billing Date]]</f>
        <v>0</v>
      </c>
      <c r="V363" s="10" t="e">
        <f>Sales4[[#This Row],[Net Value]]-Sales4[[#This Row],[PGI COST]]</f>
        <v>#REF!</v>
      </c>
      <c r="W363" s="11" t="e">
        <f>Sales4[[#This Row],[Gross Margin]]/Sales4[[#This Row],[Net Value]]</f>
        <v>#REF!</v>
      </c>
      <c r="X363" s="1" t="str">
        <f>TEXT(Sales4[[#This Row],[Billing Date]],"mmmm-yy")</f>
        <v>September-25</v>
      </c>
      <c r="Y363" s="1">
        <f>Sales4[[#This Row],[Net Value]]/Sales4[[#This Row],[Billed Quantity]]</f>
        <v>495</v>
      </c>
      <c r="Z363" s="117">
        <f>Sales4[[#This Row],[Actual delivery qty]]</f>
        <v>595</v>
      </c>
      <c r="AA363" s="12" t="e">
        <f>SUM(Sales4[[#This Row],[BOM Cost]:[Other Conversion cost pu]])</f>
        <v>#REF!</v>
      </c>
      <c r="AB36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6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63" s="12">
        <f>IFERROR(VLOOKUP(Sales4[[#This Row],[Material]],'COGS Break up'!#REF!,5,0),0)</f>
        <v>0</v>
      </c>
      <c r="AE36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63" s="48" t="e">
        <f>Sales4[[#This Row],[PGI per unit]]-Sales4[[#This Row],[BOM Cost]]-Sales4[[#This Row],[Labour cost per unit]]-Sales4[[#This Row],[Other Conversion cost pu]]</f>
        <v>#REF!</v>
      </c>
      <c r="AG363" s="48" t="e">
        <f>Sales4[[#This Row],[BOM Cost2]]+Sales4[[#This Row],[Labour Cost]]+Sales4[[#This Row],[Other conversion cost]]</f>
        <v>#REF!</v>
      </c>
      <c r="AH363" s="12" t="e">
        <f>Sales4[[#This Row],[Billed Quantity]]*Sales4[[#This Row],[BOM Cost]]</f>
        <v>#REF!</v>
      </c>
      <c r="AI363" s="12" t="e">
        <f>Sales4[[#This Row],[Billed Quantity]]*Sales4[[#This Row],[Labour cost per unit]]</f>
        <v>#REF!</v>
      </c>
      <c r="AJ363" s="12">
        <f>Sales4[[#This Row],[Droppage per unit]]*Sales4[[#This Row],[Billed Quantity]]</f>
        <v>0</v>
      </c>
      <c r="AK363" s="12" t="e">
        <f>Sales4[[#This Row],[Billed Quantity]]*Sales4[[#This Row],[Other Conversion cost pu]]</f>
        <v>#REF!</v>
      </c>
      <c r="AL363" s="48" t="e">
        <f>Sales4[[#This Row],[PGI Amount]]-Sales4[[#This Row],[BOM Cost2]]-Sales4[[#This Row],[Labour Cost]]-Sales4[[#This Row],[Other conversion cost]]</f>
        <v>#REF!</v>
      </c>
      <c r="AM363" s="121" t="e">
        <f>1-Sales4[[#This Row],[PGI COST]]/Sales4[[#This Row],[Net Value]]</f>
        <v>#REF!</v>
      </c>
      <c r="AN363" s="1">
        <f>Sales4[[#This Row],[PGI Amount]]/Sales4[[#This Row],[Billed Quantity]]</f>
        <v>457.3</v>
      </c>
      <c r="AO363" s="72" t="e">
        <f>SUMIFS('COGS Break up'!#REF!,'COGS Break up'!#REF!,Sales4[[#This Row],[Material]],'COGS Break up'!#REF!,'MIS Working'!$AO$1)</f>
        <v>#REF!</v>
      </c>
      <c r="AP363" s="72" t="e">
        <f>SUMIFS('COGS Break up'!#REF!,'COGS Break up'!#REF!,Sales4[[#This Row],[Material]],'COGS Break up'!#REF!,'MIS Working'!$AP$1)</f>
        <v>#REF!</v>
      </c>
      <c r="AQ363" s="72" t="e">
        <f>SUMIFS('COGS Break up'!#REF!,'COGS Break up'!#REF!,Sales4[[#This Row],[Material]],'COGS Break up'!#REF!,'MIS Working'!$AQ$1)</f>
        <v>#REF!</v>
      </c>
      <c r="AR363" s="72">
        <f>Sales4[[#This Row],[Droppage per unit]]</f>
        <v>0</v>
      </c>
      <c r="AS363" s="15" t="e">
        <f>AO363*Sales4[[#This Row],[Billed Quantity]]</f>
        <v>#REF!</v>
      </c>
      <c r="AT363" s="72" t="e">
        <f>AP363*Sales4[[#This Row],[Billed Quantity]]</f>
        <v>#REF!</v>
      </c>
      <c r="AU363" s="72" t="e">
        <f>AQ363*Sales4[[#This Row],[Billed Quantity]]</f>
        <v>#REF!</v>
      </c>
      <c r="AV363" s="72">
        <f>AR363*Sales4[[#This Row],[Billed Quantity]]</f>
        <v>0</v>
      </c>
    </row>
    <row r="364" spans="1:48" x14ac:dyDescent="0.3">
      <c r="A364" s="1" t="s">
        <v>479</v>
      </c>
      <c r="B364" s="2">
        <v>45908</v>
      </c>
      <c r="C364" s="1">
        <v>3271267814</v>
      </c>
      <c r="D364" s="1" t="s">
        <v>40</v>
      </c>
      <c r="E364" s="1" t="s">
        <v>41</v>
      </c>
      <c r="F364" s="1" t="s">
        <v>18</v>
      </c>
      <c r="G364" s="1" t="s">
        <v>34</v>
      </c>
      <c r="H364" s="1" t="s">
        <v>772</v>
      </c>
      <c r="I364" s="3">
        <v>1746</v>
      </c>
      <c r="J364" s="4">
        <v>257604.84</v>
      </c>
      <c r="K364" s="3">
        <v>1746</v>
      </c>
      <c r="L364" s="3">
        <v>1746</v>
      </c>
      <c r="M364" s="2">
        <v>45908</v>
      </c>
      <c r="N364" s="4">
        <v>284493.24</v>
      </c>
      <c r="O364" s="1" t="s">
        <v>21</v>
      </c>
      <c r="P364" s="1" t="s">
        <v>22</v>
      </c>
      <c r="Q364" s="1">
        <v>1</v>
      </c>
      <c r="R364" s="1" t="str">
        <f>VLOOKUP(Sales4[[#This Row],[Material type]],Master!$H$3:$I$8,2,0)</f>
        <v>Semi-Finished Goods</v>
      </c>
      <c r="S364" s="1" t="str">
        <f>VLOOKUP(Sales4[[#This Row],[Material Group]],Master!B:C,2,0)</f>
        <v>SFG-GV5 Stator</v>
      </c>
      <c r="T364" s="1" t="str">
        <f>VLOOKUP(Sales4[[#This Row],[Material Group Descrip]],Master!E:F,2,0)</f>
        <v>Sub Ass.-Mech Stator</v>
      </c>
      <c r="U364" s="9" t="b">
        <f ca="1">(TODAY()-1)=Sales4[[#This Row],[Billing Date]]</f>
        <v>0</v>
      </c>
      <c r="V364" s="10" t="e">
        <f>Sales4[[#This Row],[Net Value]]-Sales4[[#This Row],[PGI COST]]</f>
        <v>#REF!</v>
      </c>
      <c r="W364" s="11" t="e">
        <f>Sales4[[#This Row],[Gross Margin]]/Sales4[[#This Row],[Net Value]]</f>
        <v>#REF!</v>
      </c>
      <c r="X364" s="1" t="str">
        <f>TEXT(Sales4[[#This Row],[Billing Date]],"mmmm-yy")</f>
        <v>September-25</v>
      </c>
      <c r="Y364" s="1">
        <f>Sales4[[#This Row],[Net Value]]/Sales4[[#This Row],[Billed Quantity]]</f>
        <v>162.94</v>
      </c>
      <c r="Z364" s="117">
        <f>Sales4[[#This Row],[Actual delivery qty]]</f>
        <v>1746</v>
      </c>
      <c r="AA364" s="12" t="e">
        <f>SUM(Sales4[[#This Row],[BOM Cost]:[Other Conversion cost pu]])</f>
        <v>#REF!</v>
      </c>
      <c r="AB36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6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64" s="12">
        <f>IFERROR(VLOOKUP(Sales4[[#This Row],[Material]],'COGS Break up'!#REF!,5,0),0)</f>
        <v>0</v>
      </c>
      <c r="AE36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64" s="48" t="e">
        <f>Sales4[[#This Row],[PGI per unit]]-Sales4[[#This Row],[BOM Cost]]-Sales4[[#This Row],[Labour cost per unit]]-Sales4[[#This Row],[Other Conversion cost pu]]</f>
        <v>#REF!</v>
      </c>
      <c r="AG364" s="48" t="e">
        <f>Sales4[[#This Row],[BOM Cost2]]+Sales4[[#This Row],[Labour Cost]]+Sales4[[#This Row],[Other conversion cost]]</f>
        <v>#REF!</v>
      </c>
      <c r="AH364" s="12" t="e">
        <f>Sales4[[#This Row],[Billed Quantity]]*Sales4[[#This Row],[BOM Cost]]</f>
        <v>#REF!</v>
      </c>
      <c r="AI364" s="12" t="e">
        <f>Sales4[[#This Row],[Billed Quantity]]*Sales4[[#This Row],[Labour cost per unit]]</f>
        <v>#REF!</v>
      </c>
      <c r="AJ364" s="12">
        <f>Sales4[[#This Row],[Droppage per unit]]*Sales4[[#This Row],[Billed Quantity]]</f>
        <v>0</v>
      </c>
      <c r="AK364" s="12" t="e">
        <f>Sales4[[#This Row],[Billed Quantity]]*Sales4[[#This Row],[Other Conversion cost pu]]</f>
        <v>#REF!</v>
      </c>
      <c r="AL364" s="48" t="e">
        <f>Sales4[[#This Row],[PGI Amount]]-Sales4[[#This Row],[BOM Cost2]]-Sales4[[#This Row],[Labour Cost]]-Sales4[[#This Row],[Other conversion cost]]</f>
        <v>#REF!</v>
      </c>
      <c r="AM364" s="121" t="e">
        <f>1-Sales4[[#This Row],[PGI COST]]/Sales4[[#This Row],[Net Value]]</f>
        <v>#REF!</v>
      </c>
      <c r="AN364" s="1">
        <f>Sales4[[#This Row],[PGI Amount]]/Sales4[[#This Row],[Billed Quantity]]</f>
        <v>147.54</v>
      </c>
      <c r="AO364" s="72" t="e">
        <f>SUMIFS('COGS Break up'!#REF!,'COGS Break up'!#REF!,Sales4[[#This Row],[Material]],'COGS Break up'!#REF!,'MIS Working'!$AO$1)</f>
        <v>#REF!</v>
      </c>
      <c r="AP364" s="72" t="e">
        <f>SUMIFS('COGS Break up'!#REF!,'COGS Break up'!#REF!,Sales4[[#This Row],[Material]],'COGS Break up'!#REF!,'MIS Working'!$AP$1)</f>
        <v>#REF!</v>
      </c>
      <c r="AQ364" s="72" t="e">
        <f>SUMIFS('COGS Break up'!#REF!,'COGS Break up'!#REF!,Sales4[[#This Row],[Material]],'COGS Break up'!#REF!,'MIS Working'!$AQ$1)</f>
        <v>#REF!</v>
      </c>
      <c r="AR364" s="72">
        <f>Sales4[[#This Row],[Droppage per unit]]</f>
        <v>0</v>
      </c>
      <c r="AS364" s="15" t="e">
        <f>AO364*Sales4[[#This Row],[Billed Quantity]]</f>
        <v>#REF!</v>
      </c>
      <c r="AT364" s="72" t="e">
        <f>AP364*Sales4[[#This Row],[Billed Quantity]]</f>
        <v>#REF!</v>
      </c>
      <c r="AU364" s="72" t="e">
        <f>AQ364*Sales4[[#This Row],[Billed Quantity]]</f>
        <v>#REF!</v>
      </c>
      <c r="AV364" s="72">
        <f>AR364*Sales4[[#This Row],[Billed Quantity]]</f>
        <v>0</v>
      </c>
    </row>
    <row r="365" spans="1:48" x14ac:dyDescent="0.3">
      <c r="A365" s="1" t="s">
        <v>479</v>
      </c>
      <c r="B365" s="2">
        <v>45908</v>
      </c>
      <c r="C365" s="1">
        <v>3271267809</v>
      </c>
      <c r="D365" s="1" t="s">
        <v>595</v>
      </c>
      <c r="E365" s="1" t="s">
        <v>596</v>
      </c>
      <c r="F365" s="1" t="s">
        <v>18</v>
      </c>
      <c r="G365" s="1" t="s">
        <v>34</v>
      </c>
      <c r="H365" s="1" t="s">
        <v>772</v>
      </c>
      <c r="I365" s="3">
        <v>1812</v>
      </c>
      <c r="J365" s="4">
        <v>226500</v>
      </c>
      <c r="K365" s="3">
        <v>1812</v>
      </c>
      <c r="L365" s="3">
        <v>1812</v>
      </c>
      <c r="M365" s="2">
        <v>45908</v>
      </c>
      <c r="N365" s="4">
        <v>239890.68</v>
      </c>
      <c r="O365" s="1" t="s">
        <v>21</v>
      </c>
      <c r="P365" s="1" t="s">
        <v>22</v>
      </c>
      <c r="Q365" s="1">
        <v>1</v>
      </c>
      <c r="R365" s="1" t="str">
        <f>VLOOKUP(Sales4[[#This Row],[Material type]],Master!$H$3:$I$8,2,0)</f>
        <v>Semi-Finished Goods</v>
      </c>
      <c r="S365" s="1" t="str">
        <f>VLOOKUP(Sales4[[#This Row],[Material Group]],Master!B:C,2,0)</f>
        <v>SFG-GV5 Stator</v>
      </c>
      <c r="T365" s="1" t="str">
        <f>VLOOKUP(Sales4[[#This Row],[Material Group Descrip]],Master!E:F,2,0)</f>
        <v>Sub Ass.-Mech Stator</v>
      </c>
      <c r="U365" s="9" t="b">
        <f ca="1">(TODAY()-1)=Sales4[[#This Row],[Billing Date]]</f>
        <v>0</v>
      </c>
      <c r="V365" s="10" t="e">
        <f>Sales4[[#This Row],[Net Value]]-Sales4[[#This Row],[PGI COST]]</f>
        <v>#REF!</v>
      </c>
      <c r="W365" s="11" t="e">
        <f>Sales4[[#This Row],[Gross Margin]]/Sales4[[#This Row],[Net Value]]</f>
        <v>#REF!</v>
      </c>
      <c r="X365" s="1" t="str">
        <f>TEXT(Sales4[[#This Row],[Billing Date]],"mmmm-yy")</f>
        <v>September-25</v>
      </c>
      <c r="Y365" s="1">
        <f>Sales4[[#This Row],[Net Value]]/Sales4[[#This Row],[Billed Quantity]]</f>
        <v>132.38999999999999</v>
      </c>
      <c r="Z365" s="117">
        <f>Sales4[[#This Row],[Actual delivery qty]]</f>
        <v>1812</v>
      </c>
      <c r="AA365" s="12" t="e">
        <f>SUM(Sales4[[#This Row],[BOM Cost]:[Other Conversion cost pu]])</f>
        <v>#REF!</v>
      </c>
      <c r="AB36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6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65" s="12">
        <f>IFERROR(VLOOKUP(Sales4[[#This Row],[Material]],'COGS Break up'!#REF!,5,0),0)</f>
        <v>0</v>
      </c>
      <c r="AE36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65" s="48" t="e">
        <f>Sales4[[#This Row],[PGI per unit]]-Sales4[[#This Row],[BOM Cost]]-Sales4[[#This Row],[Labour cost per unit]]-Sales4[[#This Row],[Other Conversion cost pu]]</f>
        <v>#REF!</v>
      </c>
      <c r="AG365" s="48" t="e">
        <f>Sales4[[#This Row],[BOM Cost2]]+Sales4[[#This Row],[Labour Cost]]+Sales4[[#This Row],[Other conversion cost]]</f>
        <v>#REF!</v>
      </c>
      <c r="AH365" s="12" t="e">
        <f>Sales4[[#This Row],[Billed Quantity]]*Sales4[[#This Row],[BOM Cost]]</f>
        <v>#REF!</v>
      </c>
      <c r="AI365" s="12" t="e">
        <f>Sales4[[#This Row],[Billed Quantity]]*Sales4[[#This Row],[Labour cost per unit]]</f>
        <v>#REF!</v>
      </c>
      <c r="AJ365" s="12">
        <f>Sales4[[#This Row],[Droppage per unit]]*Sales4[[#This Row],[Billed Quantity]]</f>
        <v>0</v>
      </c>
      <c r="AK365" s="12" t="e">
        <f>Sales4[[#This Row],[Billed Quantity]]*Sales4[[#This Row],[Other Conversion cost pu]]</f>
        <v>#REF!</v>
      </c>
      <c r="AL365" s="48" t="e">
        <f>Sales4[[#This Row],[PGI Amount]]-Sales4[[#This Row],[BOM Cost2]]-Sales4[[#This Row],[Labour Cost]]-Sales4[[#This Row],[Other conversion cost]]</f>
        <v>#REF!</v>
      </c>
      <c r="AM365" s="121" t="e">
        <f>1-Sales4[[#This Row],[PGI COST]]/Sales4[[#This Row],[Net Value]]</f>
        <v>#REF!</v>
      </c>
      <c r="AN365" s="1">
        <f>Sales4[[#This Row],[PGI Amount]]/Sales4[[#This Row],[Billed Quantity]]</f>
        <v>125</v>
      </c>
      <c r="AO365" s="72" t="e">
        <f>SUMIFS('COGS Break up'!#REF!,'COGS Break up'!#REF!,Sales4[[#This Row],[Material]],'COGS Break up'!#REF!,'MIS Working'!$AO$1)</f>
        <v>#REF!</v>
      </c>
      <c r="AP365" s="72" t="e">
        <f>SUMIFS('COGS Break up'!#REF!,'COGS Break up'!#REF!,Sales4[[#This Row],[Material]],'COGS Break up'!#REF!,'MIS Working'!$AP$1)</f>
        <v>#REF!</v>
      </c>
      <c r="AQ365" s="72" t="e">
        <f>SUMIFS('COGS Break up'!#REF!,'COGS Break up'!#REF!,Sales4[[#This Row],[Material]],'COGS Break up'!#REF!,'MIS Working'!$AQ$1)</f>
        <v>#REF!</v>
      </c>
      <c r="AR365" s="72">
        <f>Sales4[[#This Row],[Droppage per unit]]</f>
        <v>0</v>
      </c>
      <c r="AS365" s="15" t="e">
        <f>AO365*Sales4[[#This Row],[Billed Quantity]]</f>
        <v>#REF!</v>
      </c>
      <c r="AT365" s="72" t="e">
        <f>AP365*Sales4[[#This Row],[Billed Quantity]]</f>
        <v>#REF!</v>
      </c>
      <c r="AU365" s="72" t="e">
        <f>AQ365*Sales4[[#This Row],[Billed Quantity]]</f>
        <v>#REF!</v>
      </c>
      <c r="AV365" s="72">
        <f>AR365*Sales4[[#This Row],[Billed Quantity]]</f>
        <v>0</v>
      </c>
    </row>
    <row r="366" spans="1:48" x14ac:dyDescent="0.3">
      <c r="A366" s="1" t="s">
        <v>479</v>
      </c>
      <c r="B366" s="2">
        <v>45906</v>
      </c>
      <c r="C366" s="1">
        <v>3271267782</v>
      </c>
      <c r="D366" s="1" t="s">
        <v>38</v>
      </c>
      <c r="E366" s="1" t="s">
        <v>39</v>
      </c>
      <c r="F366" s="1" t="s">
        <v>18</v>
      </c>
      <c r="G366" s="1" t="s">
        <v>19</v>
      </c>
      <c r="H366" s="1" t="s">
        <v>27</v>
      </c>
      <c r="I366" s="3">
        <v>1120</v>
      </c>
      <c r="J366" s="4">
        <v>368995.2</v>
      </c>
      <c r="K366" s="3">
        <v>1120</v>
      </c>
      <c r="L366" s="3">
        <v>1120</v>
      </c>
      <c r="M366" s="2">
        <v>45906</v>
      </c>
      <c r="N366" s="4">
        <v>401284.8</v>
      </c>
      <c r="O366" s="1" t="s">
        <v>21</v>
      </c>
      <c r="P366" s="1" t="s">
        <v>22</v>
      </c>
      <c r="Q366" s="1">
        <v>1</v>
      </c>
      <c r="R366" s="1" t="str">
        <f>VLOOKUP(Sales4[[#This Row],[Material type]],Master!$H$3:$I$8,2,0)</f>
        <v>Finished Goods</v>
      </c>
      <c r="S366" s="1" t="str">
        <f>VLOOKUP(Sales4[[#This Row],[Material Group]],Master!B:C,2,0)</f>
        <v>FG-PCB-CF</v>
      </c>
      <c r="T366" s="1" t="str">
        <f>VLOOKUP(Sales4[[#This Row],[Material Group Descrip]],Master!E:F,2,0)</f>
        <v>FG-PCB-CF</v>
      </c>
      <c r="U366" s="9" t="b">
        <f ca="1">(TODAY()-1)=Sales4[[#This Row],[Billing Date]]</f>
        <v>0</v>
      </c>
      <c r="V366" s="10" t="e">
        <f>Sales4[[#This Row],[Net Value]]-Sales4[[#This Row],[PGI COST]]</f>
        <v>#REF!</v>
      </c>
      <c r="W366" s="11" t="e">
        <f>Sales4[[#This Row],[Gross Margin]]/Sales4[[#This Row],[Net Value]]</f>
        <v>#REF!</v>
      </c>
      <c r="X366" s="1" t="str">
        <f>TEXT(Sales4[[#This Row],[Billing Date]],"mmmm-yy")</f>
        <v>September-25</v>
      </c>
      <c r="Y366" s="1">
        <f>Sales4[[#This Row],[Net Value]]/Sales4[[#This Row],[Billed Quantity]]</f>
        <v>358.28999999999996</v>
      </c>
      <c r="Z366" s="117">
        <f>Sales4[[#This Row],[Actual delivery qty]]</f>
        <v>1120</v>
      </c>
      <c r="AA366" s="12" t="e">
        <f>SUM(Sales4[[#This Row],[BOM Cost]:[Other Conversion cost pu]])</f>
        <v>#REF!</v>
      </c>
      <c r="AB36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6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66" s="12">
        <f>IFERROR(VLOOKUP(Sales4[[#This Row],[Material]],'COGS Break up'!#REF!,5,0),0)</f>
        <v>0</v>
      </c>
      <c r="AE36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66" s="48" t="e">
        <f>Sales4[[#This Row],[PGI per unit]]-Sales4[[#This Row],[BOM Cost]]-Sales4[[#This Row],[Labour cost per unit]]-Sales4[[#This Row],[Other Conversion cost pu]]</f>
        <v>#REF!</v>
      </c>
      <c r="AG366" s="48" t="e">
        <f>Sales4[[#This Row],[BOM Cost2]]+Sales4[[#This Row],[Labour Cost]]+Sales4[[#This Row],[Other conversion cost]]</f>
        <v>#REF!</v>
      </c>
      <c r="AH366" s="12" t="e">
        <f>Sales4[[#This Row],[Billed Quantity]]*Sales4[[#This Row],[BOM Cost]]</f>
        <v>#REF!</v>
      </c>
      <c r="AI366" s="12" t="e">
        <f>Sales4[[#This Row],[Billed Quantity]]*Sales4[[#This Row],[Labour cost per unit]]</f>
        <v>#REF!</v>
      </c>
      <c r="AJ366" s="12">
        <f>Sales4[[#This Row],[Droppage per unit]]*Sales4[[#This Row],[Billed Quantity]]</f>
        <v>0</v>
      </c>
      <c r="AK366" s="12" t="e">
        <f>Sales4[[#This Row],[Billed Quantity]]*Sales4[[#This Row],[Other Conversion cost pu]]</f>
        <v>#REF!</v>
      </c>
      <c r="AL366" s="48" t="e">
        <f>Sales4[[#This Row],[PGI Amount]]-Sales4[[#This Row],[BOM Cost2]]-Sales4[[#This Row],[Labour Cost]]-Sales4[[#This Row],[Other conversion cost]]</f>
        <v>#REF!</v>
      </c>
      <c r="AM366" s="121" t="e">
        <f>1-Sales4[[#This Row],[PGI COST]]/Sales4[[#This Row],[Net Value]]</f>
        <v>#REF!</v>
      </c>
      <c r="AN366" s="1">
        <f>Sales4[[#This Row],[PGI Amount]]/Sales4[[#This Row],[Billed Quantity]]</f>
        <v>329.46000000000004</v>
      </c>
      <c r="AO366" s="72" t="e">
        <f>SUMIFS('COGS Break up'!#REF!,'COGS Break up'!#REF!,Sales4[[#This Row],[Material]],'COGS Break up'!#REF!,'MIS Working'!$AO$1)</f>
        <v>#REF!</v>
      </c>
      <c r="AP366" s="72" t="e">
        <f>SUMIFS('COGS Break up'!#REF!,'COGS Break up'!#REF!,Sales4[[#This Row],[Material]],'COGS Break up'!#REF!,'MIS Working'!$AP$1)</f>
        <v>#REF!</v>
      </c>
      <c r="AQ366" s="72" t="e">
        <f>SUMIFS('COGS Break up'!#REF!,'COGS Break up'!#REF!,Sales4[[#This Row],[Material]],'COGS Break up'!#REF!,'MIS Working'!$AQ$1)</f>
        <v>#REF!</v>
      </c>
      <c r="AR366" s="72">
        <f>Sales4[[#This Row],[Droppage per unit]]</f>
        <v>0</v>
      </c>
      <c r="AS366" s="15" t="e">
        <f>AO366*Sales4[[#This Row],[Billed Quantity]]</f>
        <v>#REF!</v>
      </c>
      <c r="AT366" s="72" t="e">
        <f>AP366*Sales4[[#This Row],[Billed Quantity]]</f>
        <v>#REF!</v>
      </c>
      <c r="AU366" s="72" t="e">
        <f>AQ366*Sales4[[#This Row],[Billed Quantity]]</f>
        <v>#REF!</v>
      </c>
      <c r="AV366" s="72">
        <f>AR366*Sales4[[#This Row],[Billed Quantity]]</f>
        <v>0</v>
      </c>
    </row>
    <row r="367" spans="1:48" x14ac:dyDescent="0.3">
      <c r="A367" s="1" t="s">
        <v>479</v>
      </c>
      <c r="B367" s="2">
        <v>45906</v>
      </c>
      <c r="C367" s="1">
        <v>3271267651</v>
      </c>
      <c r="D367" s="1" t="s">
        <v>38</v>
      </c>
      <c r="E367" s="1" t="s">
        <v>39</v>
      </c>
      <c r="F367" s="1" t="s">
        <v>18</v>
      </c>
      <c r="G367" s="1" t="s">
        <v>19</v>
      </c>
      <c r="H367" s="1" t="s">
        <v>27</v>
      </c>
      <c r="I367" s="3">
        <v>1120</v>
      </c>
      <c r="J367" s="4">
        <v>368995.2</v>
      </c>
      <c r="K367" s="3">
        <v>1120</v>
      </c>
      <c r="L367" s="3">
        <v>1120</v>
      </c>
      <c r="M367" s="2">
        <v>45906</v>
      </c>
      <c r="N367" s="4">
        <v>401284.8</v>
      </c>
      <c r="O367" s="1" t="s">
        <v>21</v>
      </c>
      <c r="P367" s="1" t="s">
        <v>22</v>
      </c>
      <c r="Q367" s="1">
        <v>1</v>
      </c>
      <c r="R367" s="1" t="str">
        <f>VLOOKUP(Sales4[[#This Row],[Material type]],Master!$H$3:$I$8,2,0)</f>
        <v>Finished Goods</v>
      </c>
      <c r="S367" s="1" t="str">
        <f>VLOOKUP(Sales4[[#This Row],[Material Group]],Master!B:C,2,0)</f>
        <v>FG-PCB-CF</v>
      </c>
      <c r="T367" s="1" t="str">
        <f>VLOOKUP(Sales4[[#This Row],[Material Group Descrip]],Master!E:F,2,0)</f>
        <v>FG-PCB-CF</v>
      </c>
      <c r="U367" s="9" t="b">
        <f ca="1">(TODAY()-1)=Sales4[[#This Row],[Billing Date]]</f>
        <v>0</v>
      </c>
      <c r="V367" s="10" t="e">
        <f>Sales4[[#This Row],[Net Value]]-Sales4[[#This Row],[PGI COST]]</f>
        <v>#REF!</v>
      </c>
      <c r="W367" s="11" t="e">
        <f>Sales4[[#This Row],[Gross Margin]]/Sales4[[#This Row],[Net Value]]</f>
        <v>#REF!</v>
      </c>
      <c r="X367" s="1" t="str">
        <f>TEXT(Sales4[[#This Row],[Billing Date]],"mmmm-yy")</f>
        <v>September-25</v>
      </c>
      <c r="Y367" s="1">
        <f>Sales4[[#This Row],[Net Value]]/Sales4[[#This Row],[Billed Quantity]]</f>
        <v>358.28999999999996</v>
      </c>
      <c r="Z367" s="117">
        <f>Sales4[[#This Row],[Actual delivery qty]]</f>
        <v>1120</v>
      </c>
      <c r="AA367" s="12" t="e">
        <f>SUM(Sales4[[#This Row],[BOM Cost]:[Other Conversion cost pu]])</f>
        <v>#REF!</v>
      </c>
      <c r="AB36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6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67" s="12">
        <f>IFERROR(VLOOKUP(Sales4[[#This Row],[Material]],'COGS Break up'!#REF!,5,0),0)</f>
        <v>0</v>
      </c>
      <c r="AE36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67" s="48" t="e">
        <f>Sales4[[#This Row],[PGI per unit]]-Sales4[[#This Row],[BOM Cost]]-Sales4[[#This Row],[Labour cost per unit]]-Sales4[[#This Row],[Other Conversion cost pu]]</f>
        <v>#REF!</v>
      </c>
      <c r="AG367" s="48" t="e">
        <f>Sales4[[#This Row],[BOM Cost2]]+Sales4[[#This Row],[Labour Cost]]+Sales4[[#This Row],[Other conversion cost]]</f>
        <v>#REF!</v>
      </c>
      <c r="AH367" s="12" t="e">
        <f>Sales4[[#This Row],[Billed Quantity]]*Sales4[[#This Row],[BOM Cost]]</f>
        <v>#REF!</v>
      </c>
      <c r="AI367" s="12" t="e">
        <f>Sales4[[#This Row],[Billed Quantity]]*Sales4[[#This Row],[Labour cost per unit]]</f>
        <v>#REF!</v>
      </c>
      <c r="AJ367" s="12">
        <f>Sales4[[#This Row],[Droppage per unit]]*Sales4[[#This Row],[Billed Quantity]]</f>
        <v>0</v>
      </c>
      <c r="AK367" s="12" t="e">
        <f>Sales4[[#This Row],[Billed Quantity]]*Sales4[[#This Row],[Other Conversion cost pu]]</f>
        <v>#REF!</v>
      </c>
      <c r="AL367" s="48" t="e">
        <f>Sales4[[#This Row],[PGI Amount]]-Sales4[[#This Row],[BOM Cost2]]-Sales4[[#This Row],[Labour Cost]]-Sales4[[#This Row],[Other conversion cost]]</f>
        <v>#REF!</v>
      </c>
      <c r="AM367" s="121" t="e">
        <f>1-Sales4[[#This Row],[PGI COST]]/Sales4[[#This Row],[Net Value]]</f>
        <v>#REF!</v>
      </c>
      <c r="AN367" s="1">
        <f>Sales4[[#This Row],[PGI Amount]]/Sales4[[#This Row],[Billed Quantity]]</f>
        <v>329.46000000000004</v>
      </c>
      <c r="AO367" s="72" t="e">
        <f>SUMIFS('COGS Break up'!#REF!,'COGS Break up'!#REF!,Sales4[[#This Row],[Material]],'COGS Break up'!#REF!,'MIS Working'!$AO$1)</f>
        <v>#REF!</v>
      </c>
      <c r="AP367" s="72" t="e">
        <f>SUMIFS('COGS Break up'!#REF!,'COGS Break up'!#REF!,Sales4[[#This Row],[Material]],'COGS Break up'!#REF!,'MIS Working'!$AP$1)</f>
        <v>#REF!</v>
      </c>
      <c r="AQ367" s="72" t="e">
        <f>SUMIFS('COGS Break up'!#REF!,'COGS Break up'!#REF!,Sales4[[#This Row],[Material]],'COGS Break up'!#REF!,'MIS Working'!$AQ$1)</f>
        <v>#REF!</v>
      </c>
      <c r="AR367" s="72">
        <f>Sales4[[#This Row],[Droppage per unit]]</f>
        <v>0</v>
      </c>
      <c r="AS367" s="15" t="e">
        <f>AO367*Sales4[[#This Row],[Billed Quantity]]</f>
        <v>#REF!</v>
      </c>
      <c r="AT367" s="72" t="e">
        <f>AP367*Sales4[[#This Row],[Billed Quantity]]</f>
        <v>#REF!</v>
      </c>
      <c r="AU367" s="72" t="e">
        <f>AQ367*Sales4[[#This Row],[Billed Quantity]]</f>
        <v>#REF!</v>
      </c>
      <c r="AV367" s="72">
        <f>AR367*Sales4[[#This Row],[Billed Quantity]]</f>
        <v>0</v>
      </c>
    </row>
    <row r="368" spans="1:48" x14ac:dyDescent="0.3">
      <c r="A368" s="1" t="s">
        <v>479</v>
      </c>
      <c r="B368" s="2">
        <v>45906</v>
      </c>
      <c r="C368" s="1">
        <v>3271267682</v>
      </c>
      <c r="D368" s="1" t="s">
        <v>38</v>
      </c>
      <c r="E368" s="1" t="s">
        <v>39</v>
      </c>
      <c r="F368" s="1" t="s">
        <v>18</v>
      </c>
      <c r="G368" s="1" t="s">
        <v>19</v>
      </c>
      <c r="H368" s="1" t="s">
        <v>27</v>
      </c>
      <c r="I368" s="3">
        <v>2625</v>
      </c>
      <c r="J368" s="4">
        <v>864832.5</v>
      </c>
      <c r="K368" s="3">
        <v>2625</v>
      </c>
      <c r="L368" s="3">
        <v>2625</v>
      </c>
      <c r="M368" s="2">
        <v>45906</v>
      </c>
      <c r="N368" s="4">
        <v>940511.25</v>
      </c>
      <c r="O368" s="1" t="s">
        <v>21</v>
      </c>
      <c r="P368" s="1" t="s">
        <v>22</v>
      </c>
      <c r="Q368" s="1">
        <v>1</v>
      </c>
      <c r="R368" s="1" t="str">
        <f>VLOOKUP(Sales4[[#This Row],[Material type]],Master!$H$3:$I$8,2,0)</f>
        <v>Finished Goods</v>
      </c>
      <c r="S368" s="1" t="str">
        <f>VLOOKUP(Sales4[[#This Row],[Material Group]],Master!B:C,2,0)</f>
        <v>FG-PCB-CF</v>
      </c>
      <c r="T368" s="1" t="str">
        <f>VLOOKUP(Sales4[[#This Row],[Material Group Descrip]],Master!E:F,2,0)</f>
        <v>FG-PCB-CF</v>
      </c>
      <c r="U368" s="9" t="b">
        <f ca="1">(TODAY()-1)=Sales4[[#This Row],[Billing Date]]</f>
        <v>0</v>
      </c>
      <c r="V368" s="10" t="e">
        <f>Sales4[[#This Row],[Net Value]]-Sales4[[#This Row],[PGI COST]]</f>
        <v>#REF!</v>
      </c>
      <c r="W368" s="11" t="e">
        <f>Sales4[[#This Row],[Gross Margin]]/Sales4[[#This Row],[Net Value]]</f>
        <v>#REF!</v>
      </c>
      <c r="X368" s="1" t="str">
        <f>TEXT(Sales4[[#This Row],[Billing Date]],"mmmm-yy")</f>
        <v>September-25</v>
      </c>
      <c r="Y368" s="1">
        <f>Sales4[[#This Row],[Net Value]]/Sales4[[#This Row],[Billed Quantity]]</f>
        <v>358.29</v>
      </c>
      <c r="Z368" s="117">
        <f>Sales4[[#This Row],[Actual delivery qty]]</f>
        <v>2625</v>
      </c>
      <c r="AA368" s="12" t="e">
        <f>SUM(Sales4[[#This Row],[BOM Cost]:[Other Conversion cost pu]])</f>
        <v>#REF!</v>
      </c>
      <c r="AB36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6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68" s="12">
        <f>IFERROR(VLOOKUP(Sales4[[#This Row],[Material]],'COGS Break up'!#REF!,5,0),0)</f>
        <v>0</v>
      </c>
      <c r="AE36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68" s="48" t="e">
        <f>Sales4[[#This Row],[PGI per unit]]-Sales4[[#This Row],[BOM Cost]]-Sales4[[#This Row],[Labour cost per unit]]-Sales4[[#This Row],[Other Conversion cost pu]]</f>
        <v>#REF!</v>
      </c>
      <c r="AG368" s="48" t="e">
        <f>Sales4[[#This Row],[BOM Cost2]]+Sales4[[#This Row],[Labour Cost]]+Sales4[[#This Row],[Other conversion cost]]</f>
        <v>#REF!</v>
      </c>
      <c r="AH368" s="12" t="e">
        <f>Sales4[[#This Row],[Billed Quantity]]*Sales4[[#This Row],[BOM Cost]]</f>
        <v>#REF!</v>
      </c>
      <c r="AI368" s="12" t="e">
        <f>Sales4[[#This Row],[Billed Quantity]]*Sales4[[#This Row],[Labour cost per unit]]</f>
        <v>#REF!</v>
      </c>
      <c r="AJ368" s="12">
        <f>Sales4[[#This Row],[Droppage per unit]]*Sales4[[#This Row],[Billed Quantity]]</f>
        <v>0</v>
      </c>
      <c r="AK368" s="12" t="e">
        <f>Sales4[[#This Row],[Billed Quantity]]*Sales4[[#This Row],[Other Conversion cost pu]]</f>
        <v>#REF!</v>
      </c>
      <c r="AL368" s="48" t="e">
        <f>Sales4[[#This Row],[PGI Amount]]-Sales4[[#This Row],[BOM Cost2]]-Sales4[[#This Row],[Labour Cost]]-Sales4[[#This Row],[Other conversion cost]]</f>
        <v>#REF!</v>
      </c>
      <c r="AM368" s="121" t="e">
        <f>1-Sales4[[#This Row],[PGI COST]]/Sales4[[#This Row],[Net Value]]</f>
        <v>#REF!</v>
      </c>
      <c r="AN368" s="1">
        <f>Sales4[[#This Row],[PGI Amount]]/Sales4[[#This Row],[Billed Quantity]]</f>
        <v>329.46</v>
      </c>
      <c r="AO368" s="72" t="e">
        <f>SUMIFS('COGS Break up'!#REF!,'COGS Break up'!#REF!,Sales4[[#This Row],[Material]],'COGS Break up'!#REF!,'MIS Working'!$AO$1)</f>
        <v>#REF!</v>
      </c>
      <c r="AP368" s="72" t="e">
        <f>SUMIFS('COGS Break up'!#REF!,'COGS Break up'!#REF!,Sales4[[#This Row],[Material]],'COGS Break up'!#REF!,'MIS Working'!$AP$1)</f>
        <v>#REF!</v>
      </c>
      <c r="AQ368" s="72" t="e">
        <f>SUMIFS('COGS Break up'!#REF!,'COGS Break up'!#REF!,Sales4[[#This Row],[Material]],'COGS Break up'!#REF!,'MIS Working'!$AQ$1)</f>
        <v>#REF!</v>
      </c>
      <c r="AR368" s="72">
        <f>Sales4[[#This Row],[Droppage per unit]]</f>
        <v>0</v>
      </c>
      <c r="AS368" s="15" t="e">
        <f>AO368*Sales4[[#This Row],[Billed Quantity]]</f>
        <v>#REF!</v>
      </c>
      <c r="AT368" s="72" t="e">
        <f>AP368*Sales4[[#This Row],[Billed Quantity]]</f>
        <v>#REF!</v>
      </c>
      <c r="AU368" s="72" t="e">
        <f>AQ368*Sales4[[#This Row],[Billed Quantity]]</f>
        <v>#REF!</v>
      </c>
      <c r="AV368" s="72">
        <f>AR368*Sales4[[#This Row],[Billed Quantity]]</f>
        <v>0</v>
      </c>
    </row>
    <row r="369" spans="1:48" x14ac:dyDescent="0.3">
      <c r="A369" s="1" t="s">
        <v>479</v>
      </c>
      <c r="B369" s="2">
        <v>45906</v>
      </c>
      <c r="C369" s="1">
        <v>3271267651</v>
      </c>
      <c r="D369" s="1" t="s">
        <v>23</v>
      </c>
      <c r="E369" s="1" t="s">
        <v>24</v>
      </c>
      <c r="F369" s="1" t="s">
        <v>18</v>
      </c>
      <c r="G369" s="1" t="s">
        <v>19</v>
      </c>
      <c r="H369" s="1" t="s">
        <v>27</v>
      </c>
      <c r="I369" s="3">
        <v>630</v>
      </c>
      <c r="J369" s="4">
        <v>267390.90000000002</v>
      </c>
      <c r="K369" s="3">
        <v>630</v>
      </c>
      <c r="L369" s="3">
        <v>630</v>
      </c>
      <c r="M369" s="2">
        <v>45906</v>
      </c>
      <c r="N369" s="4">
        <v>304390.8</v>
      </c>
      <c r="O369" s="1" t="s">
        <v>21</v>
      </c>
      <c r="P369" s="1" t="s">
        <v>22</v>
      </c>
      <c r="Q369" s="1">
        <v>1</v>
      </c>
      <c r="R369" s="1" t="str">
        <f>VLOOKUP(Sales4[[#This Row],[Material type]],Master!$H$3:$I$8,2,0)</f>
        <v>Finished Goods</v>
      </c>
      <c r="S369" s="1" t="str">
        <f>VLOOKUP(Sales4[[#This Row],[Material Group]],Master!B:C,2,0)</f>
        <v>FG-PCB-CF</v>
      </c>
      <c r="T369" s="1" t="str">
        <f>VLOOKUP(Sales4[[#This Row],[Material Group Descrip]],Master!E:F,2,0)</f>
        <v>FG-PCB-CF</v>
      </c>
      <c r="U369" s="9" t="b">
        <f ca="1">(TODAY()-1)=Sales4[[#This Row],[Billing Date]]</f>
        <v>0</v>
      </c>
      <c r="V369" s="10" t="e">
        <f>Sales4[[#This Row],[Net Value]]-Sales4[[#This Row],[PGI COST]]</f>
        <v>#REF!</v>
      </c>
      <c r="W369" s="11" t="e">
        <f>Sales4[[#This Row],[Gross Margin]]/Sales4[[#This Row],[Net Value]]</f>
        <v>#REF!</v>
      </c>
      <c r="X369" s="1" t="str">
        <f>TEXT(Sales4[[#This Row],[Billing Date]],"mmmm-yy")</f>
        <v>September-25</v>
      </c>
      <c r="Y369" s="1">
        <f>Sales4[[#This Row],[Net Value]]/Sales4[[#This Row],[Billed Quantity]]</f>
        <v>483.15999999999997</v>
      </c>
      <c r="Z369" s="117">
        <f>Sales4[[#This Row],[Actual delivery qty]]</f>
        <v>630</v>
      </c>
      <c r="AA369" s="12" t="e">
        <f>SUM(Sales4[[#This Row],[BOM Cost]:[Other Conversion cost pu]])</f>
        <v>#REF!</v>
      </c>
      <c r="AB36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6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69" s="12">
        <f>IFERROR(VLOOKUP(Sales4[[#This Row],[Material]],'COGS Break up'!#REF!,5,0),0)</f>
        <v>0</v>
      </c>
      <c r="AE36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69" s="48" t="e">
        <f>Sales4[[#This Row],[PGI per unit]]-Sales4[[#This Row],[BOM Cost]]-Sales4[[#This Row],[Labour cost per unit]]-Sales4[[#This Row],[Other Conversion cost pu]]</f>
        <v>#REF!</v>
      </c>
      <c r="AG369" s="48" t="e">
        <f>Sales4[[#This Row],[BOM Cost2]]+Sales4[[#This Row],[Labour Cost]]+Sales4[[#This Row],[Other conversion cost]]</f>
        <v>#REF!</v>
      </c>
      <c r="AH369" s="12" t="e">
        <f>Sales4[[#This Row],[Billed Quantity]]*Sales4[[#This Row],[BOM Cost]]</f>
        <v>#REF!</v>
      </c>
      <c r="AI369" s="12" t="e">
        <f>Sales4[[#This Row],[Billed Quantity]]*Sales4[[#This Row],[Labour cost per unit]]</f>
        <v>#REF!</v>
      </c>
      <c r="AJ369" s="12">
        <f>Sales4[[#This Row],[Droppage per unit]]*Sales4[[#This Row],[Billed Quantity]]</f>
        <v>0</v>
      </c>
      <c r="AK369" s="12" t="e">
        <f>Sales4[[#This Row],[Billed Quantity]]*Sales4[[#This Row],[Other Conversion cost pu]]</f>
        <v>#REF!</v>
      </c>
      <c r="AL369" s="48" t="e">
        <f>Sales4[[#This Row],[PGI Amount]]-Sales4[[#This Row],[BOM Cost2]]-Sales4[[#This Row],[Labour Cost]]-Sales4[[#This Row],[Other conversion cost]]</f>
        <v>#REF!</v>
      </c>
      <c r="AM369" s="121" t="e">
        <f>1-Sales4[[#This Row],[PGI COST]]/Sales4[[#This Row],[Net Value]]</f>
        <v>#REF!</v>
      </c>
      <c r="AN369" s="1">
        <f>Sales4[[#This Row],[PGI Amount]]/Sales4[[#This Row],[Billed Quantity]]</f>
        <v>424.43000000000006</v>
      </c>
      <c r="AO369" s="72" t="e">
        <f>SUMIFS('COGS Break up'!#REF!,'COGS Break up'!#REF!,Sales4[[#This Row],[Material]],'COGS Break up'!#REF!,'MIS Working'!$AO$1)</f>
        <v>#REF!</v>
      </c>
      <c r="AP369" s="72" t="e">
        <f>SUMIFS('COGS Break up'!#REF!,'COGS Break up'!#REF!,Sales4[[#This Row],[Material]],'COGS Break up'!#REF!,'MIS Working'!$AP$1)</f>
        <v>#REF!</v>
      </c>
      <c r="AQ369" s="72" t="e">
        <f>SUMIFS('COGS Break up'!#REF!,'COGS Break up'!#REF!,Sales4[[#This Row],[Material]],'COGS Break up'!#REF!,'MIS Working'!$AQ$1)</f>
        <v>#REF!</v>
      </c>
      <c r="AR369" s="72">
        <f>Sales4[[#This Row],[Droppage per unit]]</f>
        <v>0</v>
      </c>
      <c r="AS369" s="15" t="e">
        <f>AO369*Sales4[[#This Row],[Billed Quantity]]</f>
        <v>#REF!</v>
      </c>
      <c r="AT369" s="72" t="e">
        <f>AP369*Sales4[[#This Row],[Billed Quantity]]</f>
        <v>#REF!</v>
      </c>
      <c r="AU369" s="72" t="e">
        <f>AQ369*Sales4[[#This Row],[Billed Quantity]]</f>
        <v>#REF!</v>
      </c>
      <c r="AV369" s="72">
        <f>AR369*Sales4[[#This Row],[Billed Quantity]]</f>
        <v>0</v>
      </c>
    </row>
    <row r="370" spans="1:48" x14ac:dyDescent="0.3">
      <c r="A370" s="1" t="s">
        <v>479</v>
      </c>
      <c r="B370" s="2">
        <v>45906</v>
      </c>
      <c r="C370" s="1">
        <v>3271267682</v>
      </c>
      <c r="D370" s="1" t="s">
        <v>23</v>
      </c>
      <c r="E370" s="1" t="s">
        <v>24</v>
      </c>
      <c r="F370" s="1" t="s">
        <v>18</v>
      </c>
      <c r="G370" s="1" t="s">
        <v>19</v>
      </c>
      <c r="H370" s="1" t="s">
        <v>27</v>
      </c>
      <c r="I370" s="3">
        <v>315</v>
      </c>
      <c r="J370" s="4">
        <v>133695.45000000001</v>
      </c>
      <c r="K370" s="3">
        <v>315</v>
      </c>
      <c r="L370" s="3">
        <v>315</v>
      </c>
      <c r="M370" s="2">
        <v>45906</v>
      </c>
      <c r="N370" s="4">
        <v>152195.4</v>
      </c>
      <c r="O370" s="1" t="s">
        <v>21</v>
      </c>
      <c r="P370" s="1" t="s">
        <v>22</v>
      </c>
      <c r="Q370" s="1">
        <v>1</v>
      </c>
      <c r="R370" s="1" t="str">
        <f>VLOOKUP(Sales4[[#This Row],[Material type]],Master!$H$3:$I$8,2,0)</f>
        <v>Finished Goods</v>
      </c>
      <c r="S370" s="1" t="str">
        <f>VLOOKUP(Sales4[[#This Row],[Material Group]],Master!B:C,2,0)</f>
        <v>FG-PCB-CF</v>
      </c>
      <c r="T370" s="1" t="str">
        <f>VLOOKUP(Sales4[[#This Row],[Material Group Descrip]],Master!E:F,2,0)</f>
        <v>FG-PCB-CF</v>
      </c>
      <c r="U370" s="9" t="b">
        <f ca="1">(TODAY()-1)=Sales4[[#This Row],[Billing Date]]</f>
        <v>0</v>
      </c>
      <c r="V370" s="10" t="e">
        <f>Sales4[[#This Row],[Net Value]]-Sales4[[#This Row],[PGI COST]]</f>
        <v>#REF!</v>
      </c>
      <c r="W370" s="11" t="e">
        <f>Sales4[[#This Row],[Gross Margin]]/Sales4[[#This Row],[Net Value]]</f>
        <v>#REF!</v>
      </c>
      <c r="X370" s="1" t="str">
        <f>TEXT(Sales4[[#This Row],[Billing Date]],"mmmm-yy")</f>
        <v>September-25</v>
      </c>
      <c r="Y370" s="1">
        <f>Sales4[[#This Row],[Net Value]]/Sales4[[#This Row],[Billed Quantity]]</f>
        <v>483.15999999999997</v>
      </c>
      <c r="Z370" s="117">
        <f>Sales4[[#This Row],[Actual delivery qty]]</f>
        <v>315</v>
      </c>
      <c r="AA370" s="12" t="e">
        <f>SUM(Sales4[[#This Row],[BOM Cost]:[Other Conversion cost pu]])</f>
        <v>#REF!</v>
      </c>
      <c r="AB37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7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70" s="12">
        <f>IFERROR(VLOOKUP(Sales4[[#This Row],[Material]],'COGS Break up'!#REF!,5,0),0)</f>
        <v>0</v>
      </c>
      <c r="AE37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70" s="48" t="e">
        <f>Sales4[[#This Row],[PGI per unit]]-Sales4[[#This Row],[BOM Cost]]-Sales4[[#This Row],[Labour cost per unit]]-Sales4[[#This Row],[Other Conversion cost pu]]</f>
        <v>#REF!</v>
      </c>
      <c r="AG370" s="48" t="e">
        <f>Sales4[[#This Row],[BOM Cost2]]+Sales4[[#This Row],[Labour Cost]]+Sales4[[#This Row],[Other conversion cost]]</f>
        <v>#REF!</v>
      </c>
      <c r="AH370" s="12" t="e">
        <f>Sales4[[#This Row],[Billed Quantity]]*Sales4[[#This Row],[BOM Cost]]</f>
        <v>#REF!</v>
      </c>
      <c r="AI370" s="12" t="e">
        <f>Sales4[[#This Row],[Billed Quantity]]*Sales4[[#This Row],[Labour cost per unit]]</f>
        <v>#REF!</v>
      </c>
      <c r="AJ370" s="12">
        <f>Sales4[[#This Row],[Droppage per unit]]*Sales4[[#This Row],[Billed Quantity]]</f>
        <v>0</v>
      </c>
      <c r="AK370" s="12" t="e">
        <f>Sales4[[#This Row],[Billed Quantity]]*Sales4[[#This Row],[Other Conversion cost pu]]</f>
        <v>#REF!</v>
      </c>
      <c r="AL370" s="48" t="e">
        <f>Sales4[[#This Row],[PGI Amount]]-Sales4[[#This Row],[BOM Cost2]]-Sales4[[#This Row],[Labour Cost]]-Sales4[[#This Row],[Other conversion cost]]</f>
        <v>#REF!</v>
      </c>
      <c r="AM370" s="121" t="e">
        <f>1-Sales4[[#This Row],[PGI COST]]/Sales4[[#This Row],[Net Value]]</f>
        <v>#REF!</v>
      </c>
      <c r="AN370" s="1">
        <f>Sales4[[#This Row],[PGI Amount]]/Sales4[[#This Row],[Billed Quantity]]</f>
        <v>424.43000000000006</v>
      </c>
      <c r="AO370" s="72" t="e">
        <f>SUMIFS('COGS Break up'!#REF!,'COGS Break up'!#REF!,Sales4[[#This Row],[Material]],'COGS Break up'!#REF!,'MIS Working'!$AO$1)</f>
        <v>#REF!</v>
      </c>
      <c r="AP370" s="72" t="e">
        <f>SUMIFS('COGS Break up'!#REF!,'COGS Break up'!#REF!,Sales4[[#This Row],[Material]],'COGS Break up'!#REF!,'MIS Working'!$AP$1)</f>
        <v>#REF!</v>
      </c>
      <c r="AQ370" s="72" t="e">
        <f>SUMIFS('COGS Break up'!#REF!,'COGS Break up'!#REF!,Sales4[[#This Row],[Material]],'COGS Break up'!#REF!,'MIS Working'!$AQ$1)</f>
        <v>#REF!</v>
      </c>
      <c r="AR370" s="72">
        <f>Sales4[[#This Row],[Droppage per unit]]</f>
        <v>0</v>
      </c>
      <c r="AS370" s="15" t="e">
        <f>AO370*Sales4[[#This Row],[Billed Quantity]]</f>
        <v>#REF!</v>
      </c>
      <c r="AT370" s="72" t="e">
        <f>AP370*Sales4[[#This Row],[Billed Quantity]]</f>
        <v>#REF!</v>
      </c>
      <c r="AU370" s="72" t="e">
        <f>AQ370*Sales4[[#This Row],[Billed Quantity]]</f>
        <v>#REF!</v>
      </c>
      <c r="AV370" s="72">
        <f>AR370*Sales4[[#This Row],[Billed Quantity]]</f>
        <v>0</v>
      </c>
    </row>
    <row r="371" spans="1:48" x14ac:dyDescent="0.3">
      <c r="A371" s="1" t="s">
        <v>479</v>
      </c>
      <c r="B371" s="2">
        <v>45906</v>
      </c>
      <c r="C371" s="1">
        <v>3271267782</v>
      </c>
      <c r="D371" s="1" t="s">
        <v>23</v>
      </c>
      <c r="E371" s="1" t="s">
        <v>24</v>
      </c>
      <c r="F371" s="1" t="s">
        <v>18</v>
      </c>
      <c r="G371" s="1" t="s">
        <v>19</v>
      </c>
      <c r="H371" s="1" t="s">
        <v>27</v>
      </c>
      <c r="I371" s="3">
        <v>350</v>
      </c>
      <c r="J371" s="4">
        <v>148550.5</v>
      </c>
      <c r="K371" s="3">
        <v>350</v>
      </c>
      <c r="L371" s="3">
        <v>350</v>
      </c>
      <c r="M371" s="2">
        <v>45906</v>
      </c>
      <c r="N371" s="4">
        <v>169106</v>
      </c>
      <c r="O371" s="1" t="s">
        <v>21</v>
      </c>
      <c r="P371" s="1" t="s">
        <v>22</v>
      </c>
      <c r="Q371" s="1">
        <v>1</v>
      </c>
      <c r="R371" s="1" t="str">
        <f>VLOOKUP(Sales4[[#This Row],[Material type]],Master!$H$3:$I$8,2,0)</f>
        <v>Finished Goods</v>
      </c>
      <c r="S371" s="1" t="str">
        <f>VLOOKUP(Sales4[[#This Row],[Material Group]],Master!B:C,2,0)</f>
        <v>FG-PCB-CF</v>
      </c>
      <c r="T371" s="1" t="str">
        <f>VLOOKUP(Sales4[[#This Row],[Material Group Descrip]],Master!E:F,2,0)</f>
        <v>FG-PCB-CF</v>
      </c>
      <c r="U371" s="9" t="b">
        <f ca="1">(TODAY()-1)=Sales4[[#This Row],[Billing Date]]</f>
        <v>0</v>
      </c>
      <c r="V371" s="10" t="e">
        <f>Sales4[[#This Row],[Net Value]]-Sales4[[#This Row],[PGI COST]]</f>
        <v>#REF!</v>
      </c>
      <c r="W371" s="11" t="e">
        <f>Sales4[[#This Row],[Gross Margin]]/Sales4[[#This Row],[Net Value]]</f>
        <v>#REF!</v>
      </c>
      <c r="X371" s="1" t="str">
        <f>TEXT(Sales4[[#This Row],[Billing Date]],"mmmm-yy")</f>
        <v>September-25</v>
      </c>
      <c r="Y371" s="1">
        <f>Sales4[[#This Row],[Net Value]]/Sales4[[#This Row],[Billed Quantity]]</f>
        <v>483.16</v>
      </c>
      <c r="Z371" s="117">
        <f>Sales4[[#This Row],[Actual delivery qty]]</f>
        <v>350</v>
      </c>
      <c r="AA371" s="12" t="e">
        <f>SUM(Sales4[[#This Row],[BOM Cost]:[Other Conversion cost pu]])</f>
        <v>#REF!</v>
      </c>
      <c r="AB37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7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71" s="12">
        <f>IFERROR(VLOOKUP(Sales4[[#This Row],[Material]],'COGS Break up'!#REF!,5,0),0)</f>
        <v>0</v>
      </c>
      <c r="AE37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71" s="48" t="e">
        <f>Sales4[[#This Row],[PGI per unit]]-Sales4[[#This Row],[BOM Cost]]-Sales4[[#This Row],[Labour cost per unit]]-Sales4[[#This Row],[Other Conversion cost pu]]</f>
        <v>#REF!</v>
      </c>
      <c r="AG371" s="48" t="e">
        <f>Sales4[[#This Row],[BOM Cost2]]+Sales4[[#This Row],[Labour Cost]]+Sales4[[#This Row],[Other conversion cost]]</f>
        <v>#REF!</v>
      </c>
      <c r="AH371" s="12" t="e">
        <f>Sales4[[#This Row],[Billed Quantity]]*Sales4[[#This Row],[BOM Cost]]</f>
        <v>#REF!</v>
      </c>
      <c r="AI371" s="12" t="e">
        <f>Sales4[[#This Row],[Billed Quantity]]*Sales4[[#This Row],[Labour cost per unit]]</f>
        <v>#REF!</v>
      </c>
      <c r="AJ371" s="12">
        <f>Sales4[[#This Row],[Droppage per unit]]*Sales4[[#This Row],[Billed Quantity]]</f>
        <v>0</v>
      </c>
      <c r="AK371" s="12" t="e">
        <f>Sales4[[#This Row],[Billed Quantity]]*Sales4[[#This Row],[Other Conversion cost pu]]</f>
        <v>#REF!</v>
      </c>
      <c r="AL371" s="48" t="e">
        <f>Sales4[[#This Row],[PGI Amount]]-Sales4[[#This Row],[BOM Cost2]]-Sales4[[#This Row],[Labour Cost]]-Sales4[[#This Row],[Other conversion cost]]</f>
        <v>#REF!</v>
      </c>
      <c r="AM371" s="121" t="e">
        <f>1-Sales4[[#This Row],[PGI COST]]/Sales4[[#This Row],[Net Value]]</f>
        <v>#REF!</v>
      </c>
      <c r="AN371" s="1">
        <f>Sales4[[#This Row],[PGI Amount]]/Sales4[[#This Row],[Billed Quantity]]</f>
        <v>424.43</v>
      </c>
      <c r="AO371" s="72" t="e">
        <f>SUMIFS('COGS Break up'!#REF!,'COGS Break up'!#REF!,Sales4[[#This Row],[Material]],'COGS Break up'!#REF!,'MIS Working'!$AO$1)</f>
        <v>#REF!</v>
      </c>
      <c r="AP371" s="72" t="e">
        <f>SUMIFS('COGS Break up'!#REF!,'COGS Break up'!#REF!,Sales4[[#This Row],[Material]],'COGS Break up'!#REF!,'MIS Working'!$AP$1)</f>
        <v>#REF!</v>
      </c>
      <c r="AQ371" s="72" t="e">
        <f>SUMIFS('COGS Break up'!#REF!,'COGS Break up'!#REF!,Sales4[[#This Row],[Material]],'COGS Break up'!#REF!,'MIS Working'!$AQ$1)</f>
        <v>#REF!</v>
      </c>
      <c r="AR371" s="72">
        <f>Sales4[[#This Row],[Droppage per unit]]</f>
        <v>0</v>
      </c>
      <c r="AS371" s="15" t="e">
        <f>AO371*Sales4[[#This Row],[Billed Quantity]]</f>
        <v>#REF!</v>
      </c>
      <c r="AT371" s="72" t="e">
        <f>AP371*Sales4[[#This Row],[Billed Quantity]]</f>
        <v>#REF!</v>
      </c>
      <c r="AU371" s="72" t="e">
        <f>AQ371*Sales4[[#This Row],[Billed Quantity]]</f>
        <v>#REF!</v>
      </c>
      <c r="AV371" s="72">
        <f>AR371*Sales4[[#This Row],[Billed Quantity]]</f>
        <v>0</v>
      </c>
    </row>
    <row r="372" spans="1:48" x14ac:dyDescent="0.3">
      <c r="A372" s="1" t="s">
        <v>479</v>
      </c>
      <c r="B372" s="2">
        <v>45906</v>
      </c>
      <c r="C372" s="1">
        <v>3271267682</v>
      </c>
      <c r="D372" s="1" t="s">
        <v>362</v>
      </c>
      <c r="E372" s="1" t="s">
        <v>363</v>
      </c>
      <c r="F372" s="1" t="s">
        <v>18</v>
      </c>
      <c r="G372" s="1" t="s">
        <v>19</v>
      </c>
      <c r="H372" s="1" t="s">
        <v>483</v>
      </c>
      <c r="I372" s="3">
        <v>630</v>
      </c>
      <c r="J372" s="4">
        <v>461859.3</v>
      </c>
      <c r="K372" s="3">
        <v>630</v>
      </c>
      <c r="L372" s="3">
        <v>630</v>
      </c>
      <c r="M372" s="2">
        <v>45906</v>
      </c>
      <c r="N372" s="4">
        <v>543211.19999999995</v>
      </c>
      <c r="O372" s="1" t="s">
        <v>21</v>
      </c>
      <c r="P372" s="1" t="s">
        <v>22</v>
      </c>
      <c r="Q372" s="1">
        <v>1</v>
      </c>
      <c r="R372" s="1" t="str">
        <f>VLOOKUP(Sales4[[#This Row],[Material type]],Master!$H$3:$I$8,2,0)</f>
        <v>Finished Goods</v>
      </c>
      <c r="S372" s="1" t="str">
        <f>VLOOKUP(Sales4[[#This Row],[Material Group]],Master!B:C,2,0)</f>
        <v>FG-PCB-MG</v>
      </c>
      <c r="T372" s="1" t="str">
        <f>VLOOKUP(Sales4[[#This Row],[Material Group Descrip]],Master!E:F,2,0)</f>
        <v>FG-PCB-MG</v>
      </c>
      <c r="U372" s="9" t="b">
        <f ca="1">(TODAY()-1)=Sales4[[#This Row],[Billing Date]]</f>
        <v>0</v>
      </c>
      <c r="V372" s="10" t="e">
        <f>Sales4[[#This Row],[Net Value]]-Sales4[[#This Row],[PGI COST]]</f>
        <v>#REF!</v>
      </c>
      <c r="W372" s="11" t="e">
        <f>Sales4[[#This Row],[Gross Margin]]/Sales4[[#This Row],[Net Value]]</f>
        <v>#REF!</v>
      </c>
      <c r="X372" s="1" t="str">
        <f>TEXT(Sales4[[#This Row],[Billing Date]],"mmmm-yy")</f>
        <v>September-25</v>
      </c>
      <c r="Y372" s="1">
        <f>Sales4[[#This Row],[Net Value]]/Sales4[[#This Row],[Billed Quantity]]</f>
        <v>862.2399999999999</v>
      </c>
      <c r="Z372" s="117">
        <f>Sales4[[#This Row],[Actual delivery qty]]</f>
        <v>630</v>
      </c>
      <c r="AA372" s="12" t="e">
        <f>SUM(Sales4[[#This Row],[BOM Cost]:[Other Conversion cost pu]])</f>
        <v>#REF!</v>
      </c>
      <c r="AB37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7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72" s="12">
        <f>IFERROR(VLOOKUP(Sales4[[#This Row],[Material]],'COGS Break up'!#REF!,5,0),0)</f>
        <v>0</v>
      </c>
      <c r="AE37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72" s="48" t="e">
        <f>Sales4[[#This Row],[PGI per unit]]-Sales4[[#This Row],[BOM Cost]]-Sales4[[#This Row],[Labour cost per unit]]-Sales4[[#This Row],[Other Conversion cost pu]]</f>
        <v>#REF!</v>
      </c>
      <c r="AG372" s="48" t="e">
        <f>Sales4[[#This Row],[BOM Cost2]]+Sales4[[#This Row],[Labour Cost]]+Sales4[[#This Row],[Other conversion cost]]</f>
        <v>#REF!</v>
      </c>
      <c r="AH372" s="12" t="e">
        <f>Sales4[[#This Row],[Billed Quantity]]*Sales4[[#This Row],[BOM Cost]]</f>
        <v>#REF!</v>
      </c>
      <c r="AI372" s="12" t="e">
        <f>Sales4[[#This Row],[Billed Quantity]]*Sales4[[#This Row],[Labour cost per unit]]</f>
        <v>#REF!</v>
      </c>
      <c r="AJ372" s="12">
        <f>Sales4[[#This Row],[Droppage per unit]]*Sales4[[#This Row],[Billed Quantity]]</f>
        <v>0</v>
      </c>
      <c r="AK372" s="12" t="e">
        <f>Sales4[[#This Row],[Billed Quantity]]*Sales4[[#This Row],[Other Conversion cost pu]]</f>
        <v>#REF!</v>
      </c>
      <c r="AL372" s="48" t="e">
        <f>Sales4[[#This Row],[PGI Amount]]-Sales4[[#This Row],[BOM Cost2]]-Sales4[[#This Row],[Labour Cost]]-Sales4[[#This Row],[Other conversion cost]]</f>
        <v>#REF!</v>
      </c>
      <c r="AM372" s="121" t="e">
        <f>1-Sales4[[#This Row],[PGI COST]]/Sales4[[#This Row],[Net Value]]</f>
        <v>#REF!</v>
      </c>
      <c r="AN372" s="1">
        <f>Sales4[[#This Row],[PGI Amount]]/Sales4[[#This Row],[Billed Quantity]]</f>
        <v>733.11</v>
      </c>
      <c r="AO372" s="72" t="e">
        <f>SUMIFS('COGS Break up'!#REF!,'COGS Break up'!#REF!,Sales4[[#This Row],[Material]],'COGS Break up'!#REF!,'MIS Working'!$AO$1)</f>
        <v>#REF!</v>
      </c>
      <c r="AP372" s="72" t="e">
        <f>SUMIFS('COGS Break up'!#REF!,'COGS Break up'!#REF!,Sales4[[#This Row],[Material]],'COGS Break up'!#REF!,'MIS Working'!$AP$1)</f>
        <v>#REF!</v>
      </c>
      <c r="AQ372" s="72" t="e">
        <f>SUMIFS('COGS Break up'!#REF!,'COGS Break up'!#REF!,Sales4[[#This Row],[Material]],'COGS Break up'!#REF!,'MIS Working'!$AQ$1)</f>
        <v>#REF!</v>
      </c>
      <c r="AR372" s="72">
        <f>Sales4[[#This Row],[Droppage per unit]]</f>
        <v>0</v>
      </c>
      <c r="AS372" s="15" t="e">
        <f>AO372*Sales4[[#This Row],[Billed Quantity]]</f>
        <v>#REF!</v>
      </c>
      <c r="AT372" s="72" t="e">
        <f>AP372*Sales4[[#This Row],[Billed Quantity]]</f>
        <v>#REF!</v>
      </c>
      <c r="AU372" s="72" t="e">
        <f>AQ372*Sales4[[#This Row],[Billed Quantity]]</f>
        <v>#REF!</v>
      </c>
      <c r="AV372" s="72">
        <f>AR372*Sales4[[#This Row],[Billed Quantity]]</f>
        <v>0</v>
      </c>
    </row>
    <row r="373" spans="1:48" x14ac:dyDescent="0.3">
      <c r="A373" s="1" t="s">
        <v>479</v>
      </c>
      <c r="B373" s="2">
        <v>45906</v>
      </c>
      <c r="C373" s="1">
        <v>3271267782</v>
      </c>
      <c r="D373" s="1" t="s">
        <v>362</v>
      </c>
      <c r="E373" s="1" t="s">
        <v>363</v>
      </c>
      <c r="F373" s="1" t="s">
        <v>18</v>
      </c>
      <c r="G373" s="1" t="s">
        <v>19</v>
      </c>
      <c r="H373" s="1" t="s">
        <v>483</v>
      </c>
      <c r="I373" s="3">
        <v>350</v>
      </c>
      <c r="J373" s="4">
        <v>256588.5</v>
      </c>
      <c r="K373" s="3">
        <v>350</v>
      </c>
      <c r="L373" s="3">
        <v>350</v>
      </c>
      <c r="M373" s="2">
        <v>45906</v>
      </c>
      <c r="N373" s="4">
        <v>301784</v>
      </c>
      <c r="O373" s="1" t="s">
        <v>21</v>
      </c>
      <c r="P373" s="1" t="s">
        <v>22</v>
      </c>
      <c r="Q373" s="1">
        <v>1</v>
      </c>
      <c r="R373" s="1" t="str">
        <f>VLOOKUP(Sales4[[#This Row],[Material type]],Master!$H$3:$I$8,2,0)</f>
        <v>Finished Goods</v>
      </c>
      <c r="S373" s="1" t="str">
        <f>VLOOKUP(Sales4[[#This Row],[Material Group]],Master!B:C,2,0)</f>
        <v>FG-PCB-MG</v>
      </c>
      <c r="T373" s="1" t="str">
        <f>VLOOKUP(Sales4[[#This Row],[Material Group Descrip]],Master!E:F,2,0)</f>
        <v>FG-PCB-MG</v>
      </c>
      <c r="U373" s="9" t="b">
        <f ca="1">(TODAY()-1)=Sales4[[#This Row],[Billing Date]]</f>
        <v>0</v>
      </c>
      <c r="V373" s="10" t="e">
        <f>Sales4[[#This Row],[Net Value]]-Sales4[[#This Row],[PGI COST]]</f>
        <v>#REF!</v>
      </c>
      <c r="W373" s="11" t="e">
        <f>Sales4[[#This Row],[Gross Margin]]/Sales4[[#This Row],[Net Value]]</f>
        <v>#REF!</v>
      </c>
      <c r="X373" s="1" t="str">
        <f>TEXT(Sales4[[#This Row],[Billing Date]],"mmmm-yy")</f>
        <v>September-25</v>
      </c>
      <c r="Y373" s="1">
        <f>Sales4[[#This Row],[Net Value]]/Sales4[[#This Row],[Billed Quantity]]</f>
        <v>862.24</v>
      </c>
      <c r="Z373" s="117">
        <f>Sales4[[#This Row],[Actual delivery qty]]</f>
        <v>350</v>
      </c>
      <c r="AA373" s="12" t="e">
        <f>SUM(Sales4[[#This Row],[BOM Cost]:[Other Conversion cost pu]])</f>
        <v>#REF!</v>
      </c>
      <c r="AB37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7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73" s="12">
        <f>IFERROR(VLOOKUP(Sales4[[#This Row],[Material]],'COGS Break up'!#REF!,5,0),0)</f>
        <v>0</v>
      </c>
      <c r="AE37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73" s="48" t="e">
        <f>Sales4[[#This Row],[PGI per unit]]-Sales4[[#This Row],[BOM Cost]]-Sales4[[#This Row],[Labour cost per unit]]-Sales4[[#This Row],[Other Conversion cost pu]]</f>
        <v>#REF!</v>
      </c>
      <c r="AG373" s="48" t="e">
        <f>Sales4[[#This Row],[BOM Cost2]]+Sales4[[#This Row],[Labour Cost]]+Sales4[[#This Row],[Other conversion cost]]</f>
        <v>#REF!</v>
      </c>
      <c r="AH373" s="12" t="e">
        <f>Sales4[[#This Row],[Billed Quantity]]*Sales4[[#This Row],[BOM Cost]]</f>
        <v>#REF!</v>
      </c>
      <c r="AI373" s="12" t="e">
        <f>Sales4[[#This Row],[Billed Quantity]]*Sales4[[#This Row],[Labour cost per unit]]</f>
        <v>#REF!</v>
      </c>
      <c r="AJ373" s="12">
        <f>Sales4[[#This Row],[Droppage per unit]]*Sales4[[#This Row],[Billed Quantity]]</f>
        <v>0</v>
      </c>
      <c r="AK373" s="12" t="e">
        <f>Sales4[[#This Row],[Billed Quantity]]*Sales4[[#This Row],[Other Conversion cost pu]]</f>
        <v>#REF!</v>
      </c>
      <c r="AL373" s="48" t="e">
        <f>Sales4[[#This Row],[PGI Amount]]-Sales4[[#This Row],[BOM Cost2]]-Sales4[[#This Row],[Labour Cost]]-Sales4[[#This Row],[Other conversion cost]]</f>
        <v>#REF!</v>
      </c>
      <c r="AM373" s="121" t="e">
        <f>1-Sales4[[#This Row],[PGI COST]]/Sales4[[#This Row],[Net Value]]</f>
        <v>#REF!</v>
      </c>
      <c r="AN373" s="1">
        <f>Sales4[[#This Row],[PGI Amount]]/Sales4[[#This Row],[Billed Quantity]]</f>
        <v>733.11</v>
      </c>
      <c r="AO373" s="72" t="e">
        <f>SUMIFS('COGS Break up'!#REF!,'COGS Break up'!#REF!,Sales4[[#This Row],[Material]],'COGS Break up'!#REF!,'MIS Working'!$AO$1)</f>
        <v>#REF!</v>
      </c>
      <c r="AP373" s="72" t="e">
        <f>SUMIFS('COGS Break up'!#REF!,'COGS Break up'!#REF!,Sales4[[#This Row],[Material]],'COGS Break up'!#REF!,'MIS Working'!$AP$1)</f>
        <v>#REF!</v>
      </c>
      <c r="AQ373" s="72" t="e">
        <f>SUMIFS('COGS Break up'!#REF!,'COGS Break up'!#REF!,Sales4[[#This Row],[Material]],'COGS Break up'!#REF!,'MIS Working'!$AQ$1)</f>
        <v>#REF!</v>
      </c>
      <c r="AR373" s="72">
        <f>Sales4[[#This Row],[Droppage per unit]]</f>
        <v>0</v>
      </c>
      <c r="AS373" s="15" t="e">
        <f>AO373*Sales4[[#This Row],[Billed Quantity]]</f>
        <v>#REF!</v>
      </c>
      <c r="AT373" s="72" t="e">
        <f>AP373*Sales4[[#This Row],[Billed Quantity]]</f>
        <v>#REF!</v>
      </c>
      <c r="AU373" s="72" t="e">
        <f>AQ373*Sales4[[#This Row],[Billed Quantity]]</f>
        <v>#REF!</v>
      </c>
      <c r="AV373" s="72">
        <f>AR373*Sales4[[#This Row],[Billed Quantity]]</f>
        <v>0</v>
      </c>
    </row>
    <row r="374" spans="1:48" x14ac:dyDescent="0.3">
      <c r="A374" s="1" t="s">
        <v>479</v>
      </c>
      <c r="B374" s="2">
        <v>45906</v>
      </c>
      <c r="C374" s="1">
        <v>3271267682</v>
      </c>
      <c r="D374" s="1" t="s">
        <v>364</v>
      </c>
      <c r="E374" s="1" t="s">
        <v>365</v>
      </c>
      <c r="F374" s="1" t="s">
        <v>18</v>
      </c>
      <c r="G374" s="1" t="s">
        <v>19</v>
      </c>
      <c r="H374" s="1" t="s">
        <v>771</v>
      </c>
      <c r="I374" s="3">
        <v>980</v>
      </c>
      <c r="J374" s="4">
        <v>106849.4</v>
      </c>
      <c r="K374" s="3">
        <v>980</v>
      </c>
      <c r="L374" s="3">
        <v>980</v>
      </c>
      <c r="M374" s="2">
        <v>45906</v>
      </c>
      <c r="N374" s="4">
        <v>99215.2</v>
      </c>
      <c r="O374" s="1" t="s">
        <v>21</v>
      </c>
      <c r="P374" s="1" t="s">
        <v>22</v>
      </c>
      <c r="Q374" s="1">
        <v>1</v>
      </c>
      <c r="R374" s="1" t="str">
        <f>VLOOKUP(Sales4[[#This Row],[Material type]],Master!$H$3:$I$8,2,0)</f>
        <v>Finished Goods</v>
      </c>
      <c r="S374" s="1" t="str">
        <f>VLOOKUP(Sales4[[#This Row],[Material Group]],Master!B:C,2,0)</f>
        <v>FG-PCB-MG Interface</v>
      </c>
      <c r="T374" s="1" t="str">
        <f>VLOOKUP(Sales4[[#This Row],[Material Group Descrip]],Master!E:F,2,0)</f>
        <v>FG-PCB-MG</v>
      </c>
      <c r="U374" s="9" t="b">
        <f ca="1">(TODAY()-1)=Sales4[[#This Row],[Billing Date]]</f>
        <v>0</v>
      </c>
      <c r="V374" s="10" t="e">
        <f>Sales4[[#This Row],[Net Value]]-Sales4[[#This Row],[PGI COST]]</f>
        <v>#REF!</v>
      </c>
      <c r="W374" s="11" t="e">
        <f>Sales4[[#This Row],[Gross Margin]]/Sales4[[#This Row],[Net Value]]</f>
        <v>#REF!</v>
      </c>
      <c r="X374" s="1" t="str">
        <f>TEXT(Sales4[[#This Row],[Billing Date]],"mmmm-yy")</f>
        <v>September-25</v>
      </c>
      <c r="Y374" s="1">
        <f>Sales4[[#This Row],[Net Value]]/Sales4[[#This Row],[Billed Quantity]]</f>
        <v>101.24</v>
      </c>
      <c r="Z374" s="117"/>
      <c r="AA374" s="12" t="e">
        <f>SUM(Sales4[[#This Row],[BOM Cost]:[Other Conversion cost pu]])</f>
        <v>#REF!</v>
      </c>
      <c r="AB37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7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74" s="12">
        <f>IFERROR(VLOOKUP(Sales4[[#This Row],[Material]],'COGS Break up'!#REF!,5,0),0)</f>
        <v>0</v>
      </c>
      <c r="AE37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74" s="48" t="e">
        <f>Sales4[[#This Row],[PGI per unit]]-Sales4[[#This Row],[BOM Cost]]-Sales4[[#This Row],[Labour cost per unit]]-Sales4[[#This Row],[Other Conversion cost pu]]</f>
        <v>#REF!</v>
      </c>
      <c r="AG374" s="48" t="e">
        <f>Sales4[[#This Row],[BOM Cost2]]+Sales4[[#This Row],[Labour Cost]]+Sales4[[#This Row],[Other conversion cost]]</f>
        <v>#REF!</v>
      </c>
      <c r="AH374" s="12" t="e">
        <f>Sales4[[#This Row],[Billed Quantity]]*Sales4[[#This Row],[BOM Cost]]</f>
        <v>#REF!</v>
      </c>
      <c r="AI374" s="12" t="e">
        <f>Sales4[[#This Row],[Billed Quantity]]*Sales4[[#This Row],[Labour cost per unit]]</f>
        <v>#REF!</v>
      </c>
      <c r="AJ374" s="12">
        <f>Sales4[[#This Row],[Droppage per unit]]*Sales4[[#This Row],[Billed Quantity]]</f>
        <v>0</v>
      </c>
      <c r="AK374" s="12" t="e">
        <f>Sales4[[#This Row],[Billed Quantity]]*Sales4[[#This Row],[Other Conversion cost pu]]</f>
        <v>#REF!</v>
      </c>
      <c r="AL374" s="48" t="e">
        <f>Sales4[[#This Row],[PGI Amount]]-Sales4[[#This Row],[BOM Cost2]]-Sales4[[#This Row],[Labour Cost]]-Sales4[[#This Row],[Other conversion cost]]</f>
        <v>#REF!</v>
      </c>
      <c r="AM374" s="121" t="e">
        <f>1-Sales4[[#This Row],[PGI COST]]/Sales4[[#This Row],[Net Value]]</f>
        <v>#REF!</v>
      </c>
      <c r="AN374" s="1">
        <f>Sales4[[#This Row],[PGI Amount]]/Sales4[[#This Row],[Billed Quantity]]</f>
        <v>109.03</v>
      </c>
      <c r="AO374" s="72" t="e">
        <f>SUMIFS('COGS Break up'!#REF!,'COGS Break up'!#REF!,Sales4[[#This Row],[Material]],'COGS Break up'!#REF!,'MIS Working'!$AO$1)</f>
        <v>#REF!</v>
      </c>
      <c r="AP374" s="72" t="e">
        <f>SUMIFS('COGS Break up'!#REF!,'COGS Break up'!#REF!,Sales4[[#This Row],[Material]],'COGS Break up'!#REF!,'MIS Working'!$AP$1)</f>
        <v>#REF!</v>
      </c>
      <c r="AQ374" s="72" t="e">
        <f>SUMIFS('COGS Break up'!#REF!,'COGS Break up'!#REF!,Sales4[[#This Row],[Material]],'COGS Break up'!#REF!,'MIS Working'!$AQ$1)</f>
        <v>#REF!</v>
      </c>
      <c r="AR374" s="72">
        <f>Sales4[[#This Row],[Droppage per unit]]</f>
        <v>0</v>
      </c>
      <c r="AS374" s="15" t="e">
        <f>AO374*Sales4[[#This Row],[Billed Quantity]]</f>
        <v>#REF!</v>
      </c>
      <c r="AT374" s="72" t="e">
        <f>AP374*Sales4[[#This Row],[Billed Quantity]]</f>
        <v>#REF!</v>
      </c>
      <c r="AU374" s="72" t="e">
        <f>AQ374*Sales4[[#This Row],[Billed Quantity]]</f>
        <v>#REF!</v>
      </c>
      <c r="AV374" s="72">
        <f>AR374*Sales4[[#This Row],[Billed Quantity]]</f>
        <v>0</v>
      </c>
    </row>
    <row r="375" spans="1:48" x14ac:dyDescent="0.3">
      <c r="A375" s="1" t="s">
        <v>479</v>
      </c>
      <c r="B375" s="2">
        <v>45906</v>
      </c>
      <c r="C375" s="1">
        <v>3271267682</v>
      </c>
      <c r="D375" s="1" t="s">
        <v>46</v>
      </c>
      <c r="E375" s="1" t="s">
        <v>47</v>
      </c>
      <c r="F375" s="1" t="s">
        <v>18</v>
      </c>
      <c r="G375" s="1" t="s">
        <v>19</v>
      </c>
      <c r="H375" s="1" t="s">
        <v>27</v>
      </c>
      <c r="I375" s="3">
        <v>560</v>
      </c>
      <c r="J375" s="4">
        <v>184480.8</v>
      </c>
      <c r="K375" s="3">
        <v>560</v>
      </c>
      <c r="L375" s="3">
        <v>560</v>
      </c>
      <c r="M375" s="2">
        <v>45906</v>
      </c>
      <c r="N375" s="4">
        <v>200642.4</v>
      </c>
      <c r="O375" s="1" t="s">
        <v>21</v>
      </c>
      <c r="P375" s="1" t="s">
        <v>22</v>
      </c>
      <c r="Q375" s="1">
        <v>1</v>
      </c>
      <c r="R375" s="1" t="str">
        <f>VLOOKUP(Sales4[[#This Row],[Material type]],Master!$H$3:$I$8,2,0)</f>
        <v>Finished Goods</v>
      </c>
      <c r="S375" s="1" t="str">
        <f>VLOOKUP(Sales4[[#This Row],[Material Group]],Master!B:C,2,0)</f>
        <v>FG-PCB-CF</v>
      </c>
      <c r="T375" s="1" t="str">
        <f>VLOOKUP(Sales4[[#This Row],[Material Group Descrip]],Master!E:F,2,0)</f>
        <v>FG-PCB-CF</v>
      </c>
      <c r="U375" s="9" t="b">
        <f ca="1">(TODAY()-1)=Sales4[[#This Row],[Billing Date]]</f>
        <v>0</v>
      </c>
      <c r="V375" s="10" t="e">
        <f>Sales4[[#This Row],[Net Value]]-Sales4[[#This Row],[PGI COST]]</f>
        <v>#REF!</v>
      </c>
      <c r="W375" s="11" t="e">
        <f>Sales4[[#This Row],[Gross Margin]]/Sales4[[#This Row],[Net Value]]</f>
        <v>#REF!</v>
      </c>
      <c r="X375" s="1" t="str">
        <f>TEXT(Sales4[[#This Row],[Billing Date]],"mmmm-yy")</f>
        <v>September-25</v>
      </c>
      <c r="Y375" s="1">
        <f>Sales4[[#This Row],[Net Value]]/Sales4[[#This Row],[Billed Quantity]]</f>
        <v>358.28999999999996</v>
      </c>
      <c r="Z375" s="117">
        <f>Sales4[[#This Row],[Actual delivery qty]]</f>
        <v>560</v>
      </c>
      <c r="AA375" s="12" t="e">
        <f>SUM(Sales4[[#This Row],[BOM Cost]:[Other Conversion cost pu]])</f>
        <v>#REF!</v>
      </c>
      <c r="AB37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7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75" s="12">
        <f>IFERROR(VLOOKUP(Sales4[[#This Row],[Material]],'COGS Break up'!#REF!,5,0),0)</f>
        <v>0</v>
      </c>
      <c r="AE37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75" s="48" t="e">
        <f>Sales4[[#This Row],[PGI per unit]]-Sales4[[#This Row],[BOM Cost]]-Sales4[[#This Row],[Labour cost per unit]]-Sales4[[#This Row],[Other Conversion cost pu]]</f>
        <v>#REF!</v>
      </c>
      <c r="AG375" s="48" t="e">
        <f>Sales4[[#This Row],[BOM Cost2]]+Sales4[[#This Row],[Labour Cost]]+Sales4[[#This Row],[Other conversion cost]]</f>
        <v>#REF!</v>
      </c>
      <c r="AH375" s="12" t="e">
        <f>Sales4[[#This Row],[Billed Quantity]]*Sales4[[#This Row],[BOM Cost]]</f>
        <v>#REF!</v>
      </c>
      <c r="AI375" s="12" t="e">
        <f>Sales4[[#This Row],[Billed Quantity]]*Sales4[[#This Row],[Labour cost per unit]]</f>
        <v>#REF!</v>
      </c>
      <c r="AJ375" s="12">
        <f>Sales4[[#This Row],[Droppage per unit]]*Sales4[[#This Row],[Billed Quantity]]</f>
        <v>0</v>
      </c>
      <c r="AK375" s="12" t="e">
        <f>Sales4[[#This Row],[Billed Quantity]]*Sales4[[#This Row],[Other Conversion cost pu]]</f>
        <v>#REF!</v>
      </c>
      <c r="AL375" s="48" t="e">
        <f>Sales4[[#This Row],[PGI Amount]]-Sales4[[#This Row],[BOM Cost2]]-Sales4[[#This Row],[Labour Cost]]-Sales4[[#This Row],[Other conversion cost]]</f>
        <v>#REF!</v>
      </c>
      <c r="AM375" s="121" t="e">
        <f>1-Sales4[[#This Row],[PGI COST]]/Sales4[[#This Row],[Net Value]]</f>
        <v>#REF!</v>
      </c>
      <c r="AN375" s="1">
        <f>Sales4[[#This Row],[PGI Amount]]/Sales4[[#This Row],[Billed Quantity]]</f>
        <v>329.43</v>
      </c>
      <c r="AO375" s="72" t="e">
        <f>SUMIFS('COGS Break up'!#REF!,'COGS Break up'!#REF!,Sales4[[#This Row],[Material]],'COGS Break up'!#REF!,'MIS Working'!$AO$1)</f>
        <v>#REF!</v>
      </c>
      <c r="AP375" s="72" t="e">
        <f>SUMIFS('COGS Break up'!#REF!,'COGS Break up'!#REF!,Sales4[[#This Row],[Material]],'COGS Break up'!#REF!,'MIS Working'!$AP$1)</f>
        <v>#REF!</v>
      </c>
      <c r="AQ375" s="72" t="e">
        <f>SUMIFS('COGS Break up'!#REF!,'COGS Break up'!#REF!,Sales4[[#This Row],[Material]],'COGS Break up'!#REF!,'MIS Working'!$AQ$1)</f>
        <v>#REF!</v>
      </c>
      <c r="AR375" s="72">
        <f>Sales4[[#This Row],[Droppage per unit]]</f>
        <v>0</v>
      </c>
      <c r="AS375" s="15" t="e">
        <f>AO375*Sales4[[#This Row],[Billed Quantity]]</f>
        <v>#REF!</v>
      </c>
      <c r="AT375" s="72" t="e">
        <f>AP375*Sales4[[#This Row],[Billed Quantity]]</f>
        <v>#REF!</v>
      </c>
      <c r="AU375" s="72" t="e">
        <f>AQ375*Sales4[[#This Row],[Billed Quantity]]</f>
        <v>#REF!</v>
      </c>
      <c r="AV375" s="72">
        <f>AR375*Sales4[[#This Row],[Billed Quantity]]</f>
        <v>0</v>
      </c>
    </row>
    <row r="376" spans="1:48" x14ac:dyDescent="0.3">
      <c r="A376" s="1" t="s">
        <v>479</v>
      </c>
      <c r="B376" s="2">
        <v>45906</v>
      </c>
      <c r="C376" s="1">
        <v>3271267682</v>
      </c>
      <c r="D376" s="1" t="s">
        <v>637</v>
      </c>
      <c r="E376" s="1" t="s">
        <v>638</v>
      </c>
      <c r="F376" s="1" t="s">
        <v>18</v>
      </c>
      <c r="G376" s="1" t="s">
        <v>19</v>
      </c>
      <c r="H376" s="1" t="s">
        <v>27</v>
      </c>
      <c r="I376" s="3">
        <v>517</v>
      </c>
      <c r="J376" s="4">
        <v>165450.34</v>
      </c>
      <c r="K376" s="3">
        <v>517</v>
      </c>
      <c r="L376" s="3">
        <v>517</v>
      </c>
      <c r="M376" s="2">
        <v>45906</v>
      </c>
      <c r="N376" s="4">
        <v>189159.96</v>
      </c>
      <c r="O376" s="1" t="s">
        <v>21</v>
      </c>
      <c r="P376" s="1" t="s">
        <v>22</v>
      </c>
      <c r="Q376" s="1">
        <v>1</v>
      </c>
      <c r="R376" s="1" t="str">
        <f>VLOOKUP(Sales4[[#This Row],[Material type]],Master!$H$3:$I$8,2,0)</f>
        <v>Finished Goods</v>
      </c>
      <c r="S376" s="1" t="str">
        <f>VLOOKUP(Sales4[[#This Row],[Material Group]],Master!B:C,2,0)</f>
        <v>FG-PCB-CF</v>
      </c>
      <c r="T376" s="1" t="str">
        <f>VLOOKUP(Sales4[[#This Row],[Material Group Descrip]],Master!E:F,2,0)</f>
        <v>FG-PCB-CF</v>
      </c>
      <c r="U376" s="9" t="b">
        <f ca="1">(TODAY()-1)=Sales4[[#This Row],[Billing Date]]</f>
        <v>0</v>
      </c>
      <c r="V376" s="10" t="e">
        <f>Sales4[[#This Row],[Net Value]]-Sales4[[#This Row],[PGI COST]]</f>
        <v>#REF!</v>
      </c>
      <c r="W376" s="11" t="e">
        <f>Sales4[[#This Row],[Gross Margin]]/Sales4[[#This Row],[Net Value]]</f>
        <v>#REF!</v>
      </c>
      <c r="X376" s="1" t="str">
        <f>TEXT(Sales4[[#This Row],[Billing Date]],"mmmm-yy")</f>
        <v>September-25</v>
      </c>
      <c r="Y376" s="1">
        <f>Sales4[[#This Row],[Net Value]]/Sales4[[#This Row],[Billed Quantity]]</f>
        <v>365.88</v>
      </c>
      <c r="Z376" s="117">
        <f>Sales4[[#This Row],[Actual delivery qty]]</f>
        <v>517</v>
      </c>
      <c r="AA376" s="12" t="e">
        <f>SUM(Sales4[[#This Row],[BOM Cost]:[Other Conversion cost pu]])</f>
        <v>#REF!</v>
      </c>
      <c r="AB37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7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76" s="12">
        <f>IFERROR(VLOOKUP(Sales4[[#This Row],[Material]],'COGS Break up'!#REF!,5,0),0)</f>
        <v>0</v>
      </c>
      <c r="AE37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76" s="48" t="e">
        <f>Sales4[[#This Row],[PGI per unit]]-Sales4[[#This Row],[BOM Cost]]-Sales4[[#This Row],[Labour cost per unit]]-Sales4[[#This Row],[Other Conversion cost pu]]</f>
        <v>#REF!</v>
      </c>
      <c r="AG376" s="48" t="e">
        <f>Sales4[[#This Row],[BOM Cost2]]+Sales4[[#This Row],[Labour Cost]]+Sales4[[#This Row],[Other conversion cost]]</f>
        <v>#REF!</v>
      </c>
      <c r="AH376" s="12" t="e">
        <f>Sales4[[#This Row],[Billed Quantity]]*Sales4[[#This Row],[BOM Cost]]</f>
        <v>#REF!</v>
      </c>
      <c r="AI376" s="12" t="e">
        <f>Sales4[[#This Row],[Billed Quantity]]*Sales4[[#This Row],[Labour cost per unit]]</f>
        <v>#REF!</v>
      </c>
      <c r="AJ376" s="12">
        <f>Sales4[[#This Row],[Droppage per unit]]*Sales4[[#This Row],[Billed Quantity]]</f>
        <v>0</v>
      </c>
      <c r="AK376" s="12" t="e">
        <f>Sales4[[#This Row],[Billed Quantity]]*Sales4[[#This Row],[Other Conversion cost pu]]</f>
        <v>#REF!</v>
      </c>
      <c r="AL376" s="48" t="e">
        <f>Sales4[[#This Row],[PGI Amount]]-Sales4[[#This Row],[BOM Cost2]]-Sales4[[#This Row],[Labour Cost]]-Sales4[[#This Row],[Other conversion cost]]</f>
        <v>#REF!</v>
      </c>
      <c r="AM376" s="121" t="e">
        <f>1-Sales4[[#This Row],[PGI COST]]/Sales4[[#This Row],[Net Value]]</f>
        <v>#REF!</v>
      </c>
      <c r="AN376" s="1">
        <f>Sales4[[#This Row],[PGI Amount]]/Sales4[[#This Row],[Billed Quantity]]</f>
        <v>320.02</v>
      </c>
      <c r="AO376" s="72" t="e">
        <f>SUMIFS('COGS Break up'!#REF!,'COGS Break up'!#REF!,Sales4[[#This Row],[Material]],'COGS Break up'!#REF!,'MIS Working'!$AO$1)</f>
        <v>#REF!</v>
      </c>
      <c r="AP376" s="72" t="e">
        <f>SUMIFS('COGS Break up'!#REF!,'COGS Break up'!#REF!,Sales4[[#This Row],[Material]],'COGS Break up'!#REF!,'MIS Working'!$AP$1)</f>
        <v>#REF!</v>
      </c>
      <c r="AQ376" s="72" t="e">
        <f>SUMIFS('COGS Break up'!#REF!,'COGS Break up'!#REF!,Sales4[[#This Row],[Material]],'COGS Break up'!#REF!,'MIS Working'!$AQ$1)</f>
        <v>#REF!</v>
      </c>
      <c r="AR376" s="72">
        <f>Sales4[[#This Row],[Droppage per unit]]</f>
        <v>0</v>
      </c>
      <c r="AS376" s="15" t="e">
        <f>AO376*Sales4[[#This Row],[Billed Quantity]]</f>
        <v>#REF!</v>
      </c>
      <c r="AT376" s="72" t="e">
        <f>AP376*Sales4[[#This Row],[Billed Quantity]]</f>
        <v>#REF!</v>
      </c>
      <c r="AU376" s="72" t="e">
        <f>AQ376*Sales4[[#This Row],[Billed Quantity]]</f>
        <v>#REF!</v>
      </c>
      <c r="AV376" s="72">
        <f>AR376*Sales4[[#This Row],[Billed Quantity]]</f>
        <v>0</v>
      </c>
    </row>
    <row r="377" spans="1:48" x14ac:dyDescent="0.3">
      <c r="A377" s="1" t="s">
        <v>479</v>
      </c>
      <c r="B377" s="2">
        <v>45906</v>
      </c>
      <c r="C377" s="1">
        <v>3271267651</v>
      </c>
      <c r="D377" s="1" t="s">
        <v>637</v>
      </c>
      <c r="E377" s="1" t="s">
        <v>638</v>
      </c>
      <c r="F377" s="1" t="s">
        <v>18</v>
      </c>
      <c r="G377" s="1" t="s">
        <v>19</v>
      </c>
      <c r="H377" s="1" t="s">
        <v>27</v>
      </c>
      <c r="I377" s="3">
        <v>280</v>
      </c>
      <c r="J377" s="4">
        <v>89605.6</v>
      </c>
      <c r="K377" s="3">
        <v>280</v>
      </c>
      <c r="L377" s="3">
        <v>280</v>
      </c>
      <c r="M377" s="2">
        <v>45906</v>
      </c>
      <c r="N377" s="4">
        <v>102446.39999999999</v>
      </c>
      <c r="O377" s="1" t="s">
        <v>21</v>
      </c>
      <c r="P377" s="1" t="s">
        <v>22</v>
      </c>
      <c r="Q377" s="1">
        <v>1</v>
      </c>
      <c r="R377" s="1" t="str">
        <f>VLOOKUP(Sales4[[#This Row],[Material type]],Master!$H$3:$I$8,2,0)</f>
        <v>Finished Goods</v>
      </c>
      <c r="S377" s="1" t="str">
        <f>VLOOKUP(Sales4[[#This Row],[Material Group]],Master!B:C,2,0)</f>
        <v>FG-PCB-CF</v>
      </c>
      <c r="T377" s="1" t="str">
        <f>VLOOKUP(Sales4[[#This Row],[Material Group Descrip]],Master!E:F,2,0)</f>
        <v>FG-PCB-CF</v>
      </c>
      <c r="U377" s="9" t="b">
        <f ca="1">(TODAY()-1)=Sales4[[#This Row],[Billing Date]]</f>
        <v>0</v>
      </c>
      <c r="V377" s="10" t="e">
        <f>Sales4[[#This Row],[Net Value]]-Sales4[[#This Row],[PGI COST]]</f>
        <v>#REF!</v>
      </c>
      <c r="W377" s="11" t="e">
        <f>Sales4[[#This Row],[Gross Margin]]/Sales4[[#This Row],[Net Value]]</f>
        <v>#REF!</v>
      </c>
      <c r="X377" s="1" t="str">
        <f>TEXT(Sales4[[#This Row],[Billing Date]],"mmmm-yy")</f>
        <v>September-25</v>
      </c>
      <c r="Y377" s="1">
        <f>Sales4[[#This Row],[Net Value]]/Sales4[[#This Row],[Billed Quantity]]</f>
        <v>365.88</v>
      </c>
      <c r="Z377" s="117">
        <f>Sales4[[#This Row],[Actual delivery qty]]</f>
        <v>280</v>
      </c>
      <c r="AA377" s="12" t="e">
        <f>SUM(Sales4[[#This Row],[BOM Cost]:[Other Conversion cost pu]])</f>
        <v>#REF!</v>
      </c>
      <c r="AB37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7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77" s="12">
        <f>IFERROR(VLOOKUP(Sales4[[#This Row],[Material]],'COGS Break up'!#REF!,5,0),0)</f>
        <v>0</v>
      </c>
      <c r="AE37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77" s="48" t="e">
        <f>Sales4[[#This Row],[PGI per unit]]-Sales4[[#This Row],[BOM Cost]]-Sales4[[#This Row],[Labour cost per unit]]-Sales4[[#This Row],[Other Conversion cost pu]]</f>
        <v>#REF!</v>
      </c>
      <c r="AG377" s="48" t="e">
        <f>Sales4[[#This Row],[BOM Cost2]]+Sales4[[#This Row],[Labour Cost]]+Sales4[[#This Row],[Other conversion cost]]</f>
        <v>#REF!</v>
      </c>
      <c r="AH377" s="12" t="e">
        <f>Sales4[[#This Row],[Billed Quantity]]*Sales4[[#This Row],[BOM Cost]]</f>
        <v>#REF!</v>
      </c>
      <c r="AI377" s="12" t="e">
        <f>Sales4[[#This Row],[Billed Quantity]]*Sales4[[#This Row],[Labour cost per unit]]</f>
        <v>#REF!</v>
      </c>
      <c r="AJ377" s="12">
        <f>Sales4[[#This Row],[Droppage per unit]]*Sales4[[#This Row],[Billed Quantity]]</f>
        <v>0</v>
      </c>
      <c r="AK377" s="12" t="e">
        <f>Sales4[[#This Row],[Billed Quantity]]*Sales4[[#This Row],[Other Conversion cost pu]]</f>
        <v>#REF!</v>
      </c>
      <c r="AL377" s="48" t="e">
        <f>Sales4[[#This Row],[PGI Amount]]-Sales4[[#This Row],[BOM Cost2]]-Sales4[[#This Row],[Labour Cost]]-Sales4[[#This Row],[Other conversion cost]]</f>
        <v>#REF!</v>
      </c>
      <c r="AM377" s="121" t="e">
        <f>1-Sales4[[#This Row],[PGI COST]]/Sales4[[#This Row],[Net Value]]</f>
        <v>#REF!</v>
      </c>
      <c r="AN377" s="1">
        <f>Sales4[[#This Row],[PGI Amount]]/Sales4[[#This Row],[Billed Quantity]]</f>
        <v>320.02000000000004</v>
      </c>
      <c r="AO377" s="72" t="e">
        <f>SUMIFS('COGS Break up'!#REF!,'COGS Break up'!#REF!,Sales4[[#This Row],[Material]],'COGS Break up'!#REF!,'MIS Working'!$AO$1)</f>
        <v>#REF!</v>
      </c>
      <c r="AP377" s="72" t="e">
        <f>SUMIFS('COGS Break up'!#REF!,'COGS Break up'!#REF!,Sales4[[#This Row],[Material]],'COGS Break up'!#REF!,'MIS Working'!$AP$1)</f>
        <v>#REF!</v>
      </c>
      <c r="AQ377" s="72" t="e">
        <f>SUMIFS('COGS Break up'!#REF!,'COGS Break up'!#REF!,Sales4[[#This Row],[Material]],'COGS Break up'!#REF!,'MIS Working'!$AQ$1)</f>
        <v>#REF!</v>
      </c>
      <c r="AR377" s="72">
        <f>Sales4[[#This Row],[Droppage per unit]]</f>
        <v>0</v>
      </c>
      <c r="AS377" s="15" t="e">
        <f>AO377*Sales4[[#This Row],[Billed Quantity]]</f>
        <v>#REF!</v>
      </c>
      <c r="AT377" s="72" t="e">
        <f>AP377*Sales4[[#This Row],[Billed Quantity]]</f>
        <v>#REF!</v>
      </c>
      <c r="AU377" s="72" t="e">
        <f>AQ377*Sales4[[#This Row],[Billed Quantity]]</f>
        <v>#REF!</v>
      </c>
      <c r="AV377" s="72">
        <f>AR377*Sales4[[#This Row],[Billed Quantity]]</f>
        <v>0</v>
      </c>
    </row>
    <row r="378" spans="1:48" x14ac:dyDescent="0.3">
      <c r="A378" s="1" t="s">
        <v>479</v>
      </c>
      <c r="B378" s="2">
        <v>45906</v>
      </c>
      <c r="C378" s="1">
        <v>3271267682</v>
      </c>
      <c r="D378" s="1" t="s">
        <v>641</v>
      </c>
      <c r="E378" s="1" t="s">
        <v>642</v>
      </c>
      <c r="F378" s="1" t="s">
        <v>18</v>
      </c>
      <c r="G378" s="1" t="s">
        <v>19</v>
      </c>
      <c r="H378" s="1" t="s">
        <v>27</v>
      </c>
      <c r="I378" s="3">
        <v>70</v>
      </c>
      <c r="J378" s="4">
        <v>32011</v>
      </c>
      <c r="K378" s="3">
        <v>70</v>
      </c>
      <c r="L378" s="3">
        <v>70</v>
      </c>
      <c r="M378" s="2">
        <v>45906</v>
      </c>
      <c r="N378" s="4">
        <v>34650</v>
      </c>
      <c r="O378" s="1" t="s">
        <v>21</v>
      </c>
      <c r="P378" s="1" t="s">
        <v>22</v>
      </c>
      <c r="Q378" s="1">
        <v>1</v>
      </c>
      <c r="R378" s="1" t="str">
        <f>VLOOKUP(Sales4[[#This Row],[Material type]],Master!$H$3:$I$8,2,0)</f>
        <v>Finished Goods</v>
      </c>
      <c r="S378" s="1" t="str">
        <f>VLOOKUP(Sales4[[#This Row],[Material Group]],Master!B:C,2,0)</f>
        <v>FG-PCB-CF</v>
      </c>
      <c r="T378" s="1" t="str">
        <f>VLOOKUP(Sales4[[#This Row],[Material Group Descrip]],Master!E:F,2,0)</f>
        <v>FG-PCB-CF</v>
      </c>
      <c r="U378" s="9" t="b">
        <f ca="1">(TODAY()-1)=Sales4[[#This Row],[Billing Date]]</f>
        <v>0</v>
      </c>
      <c r="V378" s="10" t="e">
        <f>Sales4[[#This Row],[Net Value]]-Sales4[[#This Row],[PGI COST]]</f>
        <v>#REF!</v>
      </c>
      <c r="W378" s="11" t="e">
        <f>Sales4[[#This Row],[Gross Margin]]/Sales4[[#This Row],[Net Value]]</f>
        <v>#REF!</v>
      </c>
      <c r="X378" s="1" t="str">
        <f>TEXT(Sales4[[#This Row],[Billing Date]],"mmmm-yy")</f>
        <v>September-25</v>
      </c>
      <c r="Y378" s="1">
        <f>Sales4[[#This Row],[Net Value]]/Sales4[[#This Row],[Billed Quantity]]</f>
        <v>495</v>
      </c>
      <c r="Z378" s="117">
        <f>Sales4[[#This Row],[Actual delivery qty]]</f>
        <v>70</v>
      </c>
      <c r="AA378" s="12" t="e">
        <f>SUM(Sales4[[#This Row],[BOM Cost]:[Other Conversion cost pu]])</f>
        <v>#REF!</v>
      </c>
      <c r="AB37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7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78" s="12">
        <f>IFERROR(VLOOKUP(Sales4[[#This Row],[Material]],'COGS Break up'!#REF!,5,0),0)</f>
        <v>0</v>
      </c>
      <c r="AE37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78" s="48" t="e">
        <f>Sales4[[#This Row],[PGI per unit]]-Sales4[[#This Row],[BOM Cost]]-Sales4[[#This Row],[Labour cost per unit]]-Sales4[[#This Row],[Other Conversion cost pu]]</f>
        <v>#REF!</v>
      </c>
      <c r="AG378" s="48" t="e">
        <f>Sales4[[#This Row],[BOM Cost2]]+Sales4[[#This Row],[Labour Cost]]+Sales4[[#This Row],[Other conversion cost]]</f>
        <v>#REF!</v>
      </c>
      <c r="AH378" s="12" t="e">
        <f>Sales4[[#This Row],[Billed Quantity]]*Sales4[[#This Row],[BOM Cost]]</f>
        <v>#REF!</v>
      </c>
      <c r="AI378" s="12" t="e">
        <f>Sales4[[#This Row],[Billed Quantity]]*Sales4[[#This Row],[Labour cost per unit]]</f>
        <v>#REF!</v>
      </c>
      <c r="AJ378" s="12">
        <f>Sales4[[#This Row],[Droppage per unit]]*Sales4[[#This Row],[Billed Quantity]]</f>
        <v>0</v>
      </c>
      <c r="AK378" s="12" t="e">
        <f>Sales4[[#This Row],[Billed Quantity]]*Sales4[[#This Row],[Other Conversion cost pu]]</f>
        <v>#REF!</v>
      </c>
      <c r="AL378" s="48" t="e">
        <f>Sales4[[#This Row],[PGI Amount]]-Sales4[[#This Row],[BOM Cost2]]-Sales4[[#This Row],[Labour Cost]]-Sales4[[#This Row],[Other conversion cost]]</f>
        <v>#REF!</v>
      </c>
      <c r="AM378" s="121" t="e">
        <f>1-Sales4[[#This Row],[PGI COST]]/Sales4[[#This Row],[Net Value]]</f>
        <v>#REF!</v>
      </c>
      <c r="AN378" s="1">
        <f>Sales4[[#This Row],[PGI Amount]]/Sales4[[#This Row],[Billed Quantity]]</f>
        <v>457.3</v>
      </c>
      <c r="AO378" s="72" t="e">
        <f>SUMIFS('COGS Break up'!#REF!,'COGS Break up'!#REF!,Sales4[[#This Row],[Material]],'COGS Break up'!#REF!,'MIS Working'!$AO$1)</f>
        <v>#REF!</v>
      </c>
      <c r="AP378" s="72" t="e">
        <f>SUMIFS('COGS Break up'!#REF!,'COGS Break up'!#REF!,Sales4[[#This Row],[Material]],'COGS Break up'!#REF!,'MIS Working'!$AP$1)</f>
        <v>#REF!</v>
      </c>
      <c r="AQ378" s="72" t="e">
        <f>SUMIFS('COGS Break up'!#REF!,'COGS Break up'!#REF!,Sales4[[#This Row],[Material]],'COGS Break up'!#REF!,'MIS Working'!$AQ$1)</f>
        <v>#REF!</v>
      </c>
      <c r="AR378" s="72">
        <f>Sales4[[#This Row],[Droppage per unit]]</f>
        <v>0</v>
      </c>
      <c r="AS378" s="15" t="e">
        <f>AO378*Sales4[[#This Row],[Billed Quantity]]</f>
        <v>#REF!</v>
      </c>
      <c r="AT378" s="72" t="e">
        <f>AP378*Sales4[[#This Row],[Billed Quantity]]</f>
        <v>#REF!</v>
      </c>
      <c r="AU378" s="72" t="e">
        <f>AQ378*Sales4[[#This Row],[Billed Quantity]]</f>
        <v>#REF!</v>
      </c>
      <c r="AV378" s="72">
        <f>AR378*Sales4[[#This Row],[Billed Quantity]]</f>
        <v>0</v>
      </c>
    </row>
    <row r="379" spans="1:48" x14ac:dyDescent="0.3">
      <c r="A379" s="1" t="s">
        <v>479</v>
      </c>
      <c r="B379" s="2">
        <v>45906</v>
      </c>
      <c r="C379" s="1">
        <v>3271267682</v>
      </c>
      <c r="D379" s="1" t="s">
        <v>42</v>
      </c>
      <c r="E379" s="1" t="s">
        <v>43</v>
      </c>
      <c r="F379" s="1" t="s">
        <v>18</v>
      </c>
      <c r="G379" s="1" t="s">
        <v>19</v>
      </c>
      <c r="H379" s="1" t="s">
        <v>27</v>
      </c>
      <c r="I379" s="3">
        <v>410</v>
      </c>
      <c r="J379" s="4">
        <v>135082.70000000001</v>
      </c>
      <c r="K379" s="3">
        <v>410</v>
      </c>
      <c r="L379" s="3">
        <v>410</v>
      </c>
      <c r="M379" s="2">
        <v>45906</v>
      </c>
      <c r="N379" s="4">
        <v>146898.9</v>
      </c>
      <c r="O379" s="1" t="s">
        <v>21</v>
      </c>
      <c r="P379" s="1" t="s">
        <v>22</v>
      </c>
      <c r="Q379" s="1">
        <v>1</v>
      </c>
      <c r="R379" s="1" t="str">
        <f>VLOOKUP(Sales4[[#This Row],[Material type]],Master!$H$3:$I$8,2,0)</f>
        <v>Finished Goods</v>
      </c>
      <c r="S379" s="1" t="str">
        <f>VLOOKUP(Sales4[[#This Row],[Material Group]],Master!B:C,2,0)</f>
        <v>FG-PCB-CF</v>
      </c>
      <c r="T379" s="1" t="str">
        <f>VLOOKUP(Sales4[[#This Row],[Material Group Descrip]],Master!E:F,2,0)</f>
        <v>FG-PCB-CF</v>
      </c>
      <c r="U379" s="9" t="b">
        <f ca="1">(TODAY()-1)=Sales4[[#This Row],[Billing Date]]</f>
        <v>0</v>
      </c>
      <c r="V379" s="10" t="e">
        <f>Sales4[[#This Row],[Net Value]]-Sales4[[#This Row],[PGI COST]]</f>
        <v>#REF!</v>
      </c>
      <c r="W379" s="11" t="e">
        <f>Sales4[[#This Row],[Gross Margin]]/Sales4[[#This Row],[Net Value]]</f>
        <v>#REF!</v>
      </c>
      <c r="X379" s="1" t="str">
        <f>TEXT(Sales4[[#This Row],[Billing Date]],"mmmm-yy")</f>
        <v>September-25</v>
      </c>
      <c r="Y379" s="1">
        <f>Sales4[[#This Row],[Net Value]]/Sales4[[#This Row],[Billed Quantity]]</f>
        <v>358.28999999999996</v>
      </c>
      <c r="Z379" s="117">
        <f>Sales4[[#This Row],[Actual delivery qty]]</f>
        <v>410</v>
      </c>
      <c r="AA379" s="12" t="e">
        <f>SUM(Sales4[[#This Row],[BOM Cost]:[Other Conversion cost pu]])</f>
        <v>#REF!</v>
      </c>
      <c r="AB37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7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79" s="12">
        <f>IFERROR(VLOOKUP(Sales4[[#This Row],[Material]],'COGS Break up'!#REF!,5,0),0)</f>
        <v>0</v>
      </c>
      <c r="AE37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79" s="48" t="e">
        <f>Sales4[[#This Row],[PGI per unit]]-Sales4[[#This Row],[BOM Cost]]-Sales4[[#This Row],[Labour cost per unit]]-Sales4[[#This Row],[Other Conversion cost pu]]</f>
        <v>#REF!</v>
      </c>
      <c r="AG379" s="48" t="e">
        <f>Sales4[[#This Row],[BOM Cost2]]+Sales4[[#This Row],[Labour Cost]]+Sales4[[#This Row],[Other conversion cost]]</f>
        <v>#REF!</v>
      </c>
      <c r="AH379" s="12" t="e">
        <f>Sales4[[#This Row],[Billed Quantity]]*Sales4[[#This Row],[BOM Cost]]</f>
        <v>#REF!</v>
      </c>
      <c r="AI379" s="12" t="e">
        <f>Sales4[[#This Row],[Billed Quantity]]*Sales4[[#This Row],[Labour cost per unit]]</f>
        <v>#REF!</v>
      </c>
      <c r="AJ379" s="12">
        <f>Sales4[[#This Row],[Droppage per unit]]*Sales4[[#This Row],[Billed Quantity]]</f>
        <v>0</v>
      </c>
      <c r="AK379" s="12" t="e">
        <f>Sales4[[#This Row],[Billed Quantity]]*Sales4[[#This Row],[Other Conversion cost pu]]</f>
        <v>#REF!</v>
      </c>
      <c r="AL379" s="48" t="e">
        <f>Sales4[[#This Row],[PGI Amount]]-Sales4[[#This Row],[BOM Cost2]]-Sales4[[#This Row],[Labour Cost]]-Sales4[[#This Row],[Other conversion cost]]</f>
        <v>#REF!</v>
      </c>
      <c r="AM379" s="121" t="e">
        <f>1-Sales4[[#This Row],[PGI COST]]/Sales4[[#This Row],[Net Value]]</f>
        <v>#REF!</v>
      </c>
      <c r="AN379" s="1">
        <f>Sales4[[#This Row],[PGI Amount]]/Sales4[[#This Row],[Billed Quantity]]</f>
        <v>329.47</v>
      </c>
      <c r="AO379" s="72" t="e">
        <f>SUMIFS('COGS Break up'!#REF!,'COGS Break up'!#REF!,Sales4[[#This Row],[Material]],'COGS Break up'!#REF!,'MIS Working'!$AO$1)</f>
        <v>#REF!</v>
      </c>
      <c r="AP379" s="72" t="e">
        <f>SUMIFS('COGS Break up'!#REF!,'COGS Break up'!#REF!,Sales4[[#This Row],[Material]],'COGS Break up'!#REF!,'MIS Working'!$AP$1)</f>
        <v>#REF!</v>
      </c>
      <c r="AQ379" s="72" t="e">
        <f>SUMIFS('COGS Break up'!#REF!,'COGS Break up'!#REF!,Sales4[[#This Row],[Material]],'COGS Break up'!#REF!,'MIS Working'!$AQ$1)</f>
        <v>#REF!</v>
      </c>
      <c r="AR379" s="72">
        <f>Sales4[[#This Row],[Droppage per unit]]</f>
        <v>0</v>
      </c>
      <c r="AS379" s="15" t="e">
        <f>AO379*Sales4[[#This Row],[Billed Quantity]]</f>
        <v>#REF!</v>
      </c>
      <c r="AT379" s="72" t="e">
        <f>AP379*Sales4[[#This Row],[Billed Quantity]]</f>
        <v>#REF!</v>
      </c>
      <c r="AU379" s="72" t="e">
        <f>AQ379*Sales4[[#This Row],[Billed Quantity]]</f>
        <v>#REF!</v>
      </c>
      <c r="AV379" s="72">
        <f>AR379*Sales4[[#This Row],[Billed Quantity]]</f>
        <v>0</v>
      </c>
    </row>
    <row r="380" spans="1:48" x14ac:dyDescent="0.3">
      <c r="A380" s="1" t="s">
        <v>479</v>
      </c>
      <c r="B380" s="2">
        <v>45906</v>
      </c>
      <c r="C380" s="1">
        <v>3271267682</v>
      </c>
      <c r="D380" s="1" t="s">
        <v>368</v>
      </c>
      <c r="E380" s="1" t="s">
        <v>369</v>
      </c>
      <c r="F380" s="1" t="s">
        <v>18</v>
      </c>
      <c r="G380" s="1" t="s">
        <v>19</v>
      </c>
      <c r="H380" s="1" t="s">
        <v>483</v>
      </c>
      <c r="I380" s="3">
        <v>105</v>
      </c>
      <c r="J380" s="4">
        <v>36063.300000000003</v>
      </c>
      <c r="K380" s="3">
        <v>105</v>
      </c>
      <c r="L380" s="3">
        <v>105</v>
      </c>
      <c r="M380" s="2">
        <v>45906</v>
      </c>
      <c r="N380" s="4">
        <v>32483.85</v>
      </c>
      <c r="O380" s="1" t="s">
        <v>21</v>
      </c>
      <c r="P380" s="1" t="s">
        <v>22</v>
      </c>
      <c r="Q380" s="1">
        <v>1</v>
      </c>
      <c r="R380" s="1" t="str">
        <f>VLOOKUP(Sales4[[#This Row],[Material type]],Master!$H$3:$I$8,2,0)</f>
        <v>Finished Goods</v>
      </c>
      <c r="S380" s="1" t="str">
        <f>VLOOKUP(Sales4[[#This Row],[Material Group]],Master!B:C,2,0)</f>
        <v>FG-PCB-MG</v>
      </c>
      <c r="T380" s="1" t="str">
        <f>VLOOKUP(Sales4[[#This Row],[Material Group Descrip]],Master!E:F,2,0)</f>
        <v>FG-PCB-MG</v>
      </c>
      <c r="U380" s="9" t="b">
        <f ca="1">(TODAY()-1)=Sales4[[#This Row],[Billing Date]]</f>
        <v>0</v>
      </c>
      <c r="V380" s="10" t="e">
        <f>Sales4[[#This Row],[Net Value]]-Sales4[[#This Row],[PGI COST]]</f>
        <v>#REF!</v>
      </c>
      <c r="W380" s="11" t="e">
        <f>Sales4[[#This Row],[Gross Margin]]/Sales4[[#This Row],[Net Value]]</f>
        <v>#REF!</v>
      </c>
      <c r="X380" s="1" t="str">
        <f>TEXT(Sales4[[#This Row],[Billing Date]],"mmmm-yy")</f>
        <v>September-25</v>
      </c>
      <c r="Y380" s="1">
        <f>Sales4[[#This Row],[Net Value]]/Sales4[[#This Row],[Billed Quantity]]</f>
        <v>309.37</v>
      </c>
      <c r="Z380" s="117">
        <f>Sales4[[#This Row],[Actual delivery qty]]</f>
        <v>105</v>
      </c>
      <c r="AA380" s="12" t="e">
        <f>SUM(Sales4[[#This Row],[BOM Cost]:[Other Conversion cost pu]])</f>
        <v>#REF!</v>
      </c>
      <c r="AB38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8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80" s="12">
        <f>IFERROR(VLOOKUP(Sales4[[#This Row],[Material]],'COGS Break up'!#REF!,5,0),0)</f>
        <v>0</v>
      </c>
      <c r="AE38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80" s="48" t="e">
        <f>Sales4[[#This Row],[PGI per unit]]-Sales4[[#This Row],[BOM Cost]]-Sales4[[#This Row],[Labour cost per unit]]-Sales4[[#This Row],[Other Conversion cost pu]]</f>
        <v>#REF!</v>
      </c>
      <c r="AG380" s="48" t="e">
        <f>Sales4[[#This Row],[BOM Cost2]]+Sales4[[#This Row],[Labour Cost]]+Sales4[[#This Row],[Other conversion cost]]</f>
        <v>#REF!</v>
      </c>
      <c r="AH380" s="12" t="e">
        <f>Sales4[[#This Row],[Billed Quantity]]*Sales4[[#This Row],[BOM Cost]]</f>
        <v>#REF!</v>
      </c>
      <c r="AI380" s="12" t="e">
        <f>Sales4[[#This Row],[Billed Quantity]]*Sales4[[#This Row],[Labour cost per unit]]</f>
        <v>#REF!</v>
      </c>
      <c r="AJ380" s="12">
        <f>Sales4[[#This Row],[Droppage per unit]]*Sales4[[#This Row],[Billed Quantity]]</f>
        <v>0</v>
      </c>
      <c r="AK380" s="12" t="e">
        <f>Sales4[[#This Row],[Billed Quantity]]*Sales4[[#This Row],[Other Conversion cost pu]]</f>
        <v>#REF!</v>
      </c>
      <c r="AL380" s="48" t="e">
        <f>Sales4[[#This Row],[PGI Amount]]-Sales4[[#This Row],[BOM Cost2]]-Sales4[[#This Row],[Labour Cost]]-Sales4[[#This Row],[Other conversion cost]]</f>
        <v>#REF!</v>
      </c>
      <c r="AM380" s="121" t="e">
        <f>1-Sales4[[#This Row],[PGI COST]]/Sales4[[#This Row],[Net Value]]</f>
        <v>#REF!</v>
      </c>
      <c r="AN380" s="1">
        <f>Sales4[[#This Row],[PGI Amount]]/Sales4[[#This Row],[Billed Quantity]]</f>
        <v>343.46000000000004</v>
      </c>
      <c r="AO380" s="72" t="e">
        <f>SUMIFS('COGS Break up'!#REF!,'COGS Break up'!#REF!,Sales4[[#This Row],[Material]],'COGS Break up'!#REF!,'MIS Working'!$AO$1)</f>
        <v>#REF!</v>
      </c>
      <c r="AP380" s="72" t="e">
        <f>SUMIFS('COGS Break up'!#REF!,'COGS Break up'!#REF!,Sales4[[#This Row],[Material]],'COGS Break up'!#REF!,'MIS Working'!$AP$1)</f>
        <v>#REF!</v>
      </c>
      <c r="AQ380" s="72" t="e">
        <f>SUMIFS('COGS Break up'!#REF!,'COGS Break up'!#REF!,Sales4[[#This Row],[Material]],'COGS Break up'!#REF!,'MIS Working'!$AQ$1)</f>
        <v>#REF!</v>
      </c>
      <c r="AR380" s="72">
        <f>Sales4[[#This Row],[Droppage per unit]]</f>
        <v>0</v>
      </c>
      <c r="AS380" s="15" t="e">
        <f>AO380*Sales4[[#This Row],[Billed Quantity]]</f>
        <v>#REF!</v>
      </c>
      <c r="AT380" s="72" t="e">
        <f>AP380*Sales4[[#This Row],[Billed Quantity]]</f>
        <v>#REF!</v>
      </c>
      <c r="AU380" s="72" t="e">
        <f>AQ380*Sales4[[#This Row],[Billed Quantity]]</f>
        <v>#REF!</v>
      </c>
      <c r="AV380" s="72">
        <f>AR380*Sales4[[#This Row],[Billed Quantity]]</f>
        <v>0</v>
      </c>
    </row>
    <row r="381" spans="1:48" x14ac:dyDescent="0.3">
      <c r="A381" s="1" t="s">
        <v>479</v>
      </c>
      <c r="B381" s="2">
        <v>45906</v>
      </c>
      <c r="C381" s="1">
        <v>3271267672</v>
      </c>
      <c r="D381" s="1" t="s">
        <v>40</v>
      </c>
      <c r="E381" s="1" t="s">
        <v>41</v>
      </c>
      <c r="F381" s="1" t="s">
        <v>18</v>
      </c>
      <c r="G381" s="1" t="s">
        <v>34</v>
      </c>
      <c r="H381" s="1" t="s">
        <v>772</v>
      </c>
      <c r="I381" s="3">
        <v>780</v>
      </c>
      <c r="J381" s="4">
        <v>115081.2</v>
      </c>
      <c r="K381" s="3">
        <v>780</v>
      </c>
      <c r="L381" s="3">
        <v>780</v>
      </c>
      <c r="M381" s="2">
        <v>45906</v>
      </c>
      <c r="N381" s="4">
        <v>127093.2</v>
      </c>
      <c r="O381" s="1" t="s">
        <v>21</v>
      </c>
      <c r="P381" s="1" t="s">
        <v>22</v>
      </c>
      <c r="Q381" s="1">
        <v>1</v>
      </c>
      <c r="R381" s="1" t="str">
        <f>VLOOKUP(Sales4[[#This Row],[Material type]],Master!$H$3:$I$8,2,0)</f>
        <v>Semi-Finished Goods</v>
      </c>
      <c r="S381" s="1" t="str">
        <f>VLOOKUP(Sales4[[#This Row],[Material Group]],Master!B:C,2,0)</f>
        <v>SFG-GV5 Stator</v>
      </c>
      <c r="T381" s="1" t="str">
        <f>VLOOKUP(Sales4[[#This Row],[Material Group Descrip]],Master!E:F,2,0)</f>
        <v>Sub Ass.-Mech Stator</v>
      </c>
      <c r="U381" s="9" t="b">
        <f ca="1">(TODAY()-1)=Sales4[[#This Row],[Billing Date]]</f>
        <v>0</v>
      </c>
      <c r="V381" s="10" t="e">
        <f>Sales4[[#This Row],[Net Value]]-Sales4[[#This Row],[PGI COST]]</f>
        <v>#REF!</v>
      </c>
      <c r="W381" s="11" t="e">
        <f>Sales4[[#This Row],[Gross Margin]]/Sales4[[#This Row],[Net Value]]</f>
        <v>#REF!</v>
      </c>
      <c r="X381" s="1" t="str">
        <f>TEXT(Sales4[[#This Row],[Billing Date]],"mmmm-yy")</f>
        <v>September-25</v>
      </c>
      <c r="Y381" s="1">
        <f>Sales4[[#This Row],[Net Value]]/Sales4[[#This Row],[Billed Quantity]]</f>
        <v>162.94</v>
      </c>
      <c r="Z381" s="117">
        <f>Sales4[[#This Row],[Actual delivery qty]]</f>
        <v>780</v>
      </c>
      <c r="AA381" s="12" t="e">
        <f>SUM(Sales4[[#This Row],[BOM Cost]:[Other Conversion cost pu]])</f>
        <v>#REF!</v>
      </c>
      <c r="AB38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8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81" s="12">
        <f>IFERROR(VLOOKUP(Sales4[[#This Row],[Material]],'COGS Break up'!#REF!,5,0),0)</f>
        <v>0</v>
      </c>
      <c r="AE38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81" s="48" t="e">
        <f>Sales4[[#This Row],[PGI per unit]]-Sales4[[#This Row],[BOM Cost]]-Sales4[[#This Row],[Labour cost per unit]]-Sales4[[#This Row],[Other Conversion cost pu]]</f>
        <v>#REF!</v>
      </c>
      <c r="AG381" s="48" t="e">
        <f>Sales4[[#This Row],[BOM Cost2]]+Sales4[[#This Row],[Labour Cost]]+Sales4[[#This Row],[Other conversion cost]]</f>
        <v>#REF!</v>
      </c>
      <c r="AH381" s="12" t="e">
        <f>Sales4[[#This Row],[Billed Quantity]]*Sales4[[#This Row],[BOM Cost]]</f>
        <v>#REF!</v>
      </c>
      <c r="AI381" s="12" t="e">
        <f>Sales4[[#This Row],[Billed Quantity]]*Sales4[[#This Row],[Labour cost per unit]]</f>
        <v>#REF!</v>
      </c>
      <c r="AJ381" s="12">
        <f>Sales4[[#This Row],[Droppage per unit]]*Sales4[[#This Row],[Billed Quantity]]</f>
        <v>0</v>
      </c>
      <c r="AK381" s="12" t="e">
        <f>Sales4[[#This Row],[Billed Quantity]]*Sales4[[#This Row],[Other Conversion cost pu]]</f>
        <v>#REF!</v>
      </c>
      <c r="AL381" s="48" t="e">
        <f>Sales4[[#This Row],[PGI Amount]]-Sales4[[#This Row],[BOM Cost2]]-Sales4[[#This Row],[Labour Cost]]-Sales4[[#This Row],[Other conversion cost]]</f>
        <v>#REF!</v>
      </c>
      <c r="AM381" s="121" t="e">
        <f>1-Sales4[[#This Row],[PGI COST]]/Sales4[[#This Row],[Net Value]]</f>
        <v>#REF!</v>
      </c>
      <c r="AN381" s="1">
        <f>Sales4[[#This Row],[PGI Amount]]/Sales4[[#This Row],[Billed Quantity]]</f>
        <v>147.54</v>
      </c>
      <c r="AO381" s="72" t="e">
        <f>SUMIFS('COGS Break up'!#REF!,'COGS Break up'!#REF!,Sales4[[#This Row],[Material]],'COGS Break up'!#REF!,'MIS Working'!$AO$1)</f>
        <v>#REF!</v>
      </c>
      <c r="AP381" s="72" t="e">
        <f>SUMIFS('COGS Break up'!#REF!,'COGS Break up'!#REF!,Sales4[[#This Row],[Material]],'COGS Break up'!#REF!,'MIS Working'!$AP$1)</f>
        <v>#REF!</v>
      </c>
      <c r="AQ381" s="72" t="e">
        <f>SUMIFS('COGS Break up'!#REF!,'COGS Break up'!#REF!,Sales4[[#This Row],[Material]],'COGS Break up'!#REF!,'MIS Working'!$AQ$1)</f>
        <v>#REF!</v>
      </c>
      <c r="AR381" s="72">
        <f>Sales4[[#This Row],[Droppage per unit]]</f>
        <v>0</v>
      </c>
      <c r="AS381" s="15" t="e">
        <f>AO381*Sales4[[#This Row],[Billed Quantity]]</f>
        <v>#REF!</v>
      </c>
      <c r="AT381" s="72" t="e">
        <f>AP381*Sales4[[#This Row],[Billed Quantity]]</f>
        <v>#REF!</v>
      </c>
      <c r="AU381" s="72" t="e">
        <f>AQ381*Sales4[[#This Row],[Billed Quantity]]</f>
        <v>#REF!</v>
      </c>
      <c r="AV381" s="72">
        <f>AR381*Sales4[[#This Row],[Billed Quantity]]</f>
        <v>0</v>
      </c>
    </row>
    <row r="382" spans="1:48" x14ac:dyDescent="0.3">
      <c r="A382" s="1" t="s">
        <v>479</v>
      </c>
      <c r="B382" s="2">
        <v>45906</v>
      </c>
      <c r="C382" s="1">
        <v>3271267675</v>
      </c>
      <c r="D382" s="1" t="s">
        <v>595</v>
      </c>
      <c r="E382" s="1" t="s">
        <v>596</v>
      </c>
      <c r="F382" s="1" t="s">
        <v>18</v>
      </c>
      <c r="G382" s="1" t="s">
        <v>34</v>
      </c>
      <c r="H382" s="1" t="s">
        <v>772</v>
      </c>
      <c r="I382" s="3">
        <v>2684</v>
      </c>
      <c r="J382" s="4">
        <v>335500</v>
      </c>
      <c r="K382" s="3">
        <v>2684</v>
      </c>
      <c r="L382" s="3">
        <v>2684</v>
      </c>
      <c r="M382" s="2">
        <v>45906</v>
      </c>
      <c r="N382" s="4">
        <v>355334.76</v>
      </c>
      <c r="O382" s="1" t="s">
        <v>21</v>
      </c>
      <c r="P382" s="1" t="s">
        <v>22</v>
      </c>
      <c r="Q382" s="1">
        <v>1</v>
      </c>
      <c r="R382" s="1" t="str">
        <f>VLOOKUP(Sales4[[#This Row],[Material type]],Master!$H$3:$I$8,2,0)</f>
        <v>Semi-Finished Goods</v>
      </c>
      <c r="S382" s="1" t="str">
        <f>VLOOKUP(Sales4[[#This Row],[Material Group]],Master!B:C,2,0)</f>
        <v>SFG-GV5 Stator</v>
      </c>
      <c r="T382" s="1" t="str">
        <f>VLOOKUP(Sales4[[#This Row],[Material Group Descrip]],Master!E:F,2,0)</f>
        <v>Sub Ass.-Mech Stator</v>
      </c>
      <c r="U382" s="9" t="b">
        <f ca="1">(TODAY()-1)=Sales4[[#This Row],[Billing Date]]</f>
        <v>0</v>
      </c>
      <c r="V382" s="10" t="e">
        <f>Sales4[[#This Row],[Net Value]]-Sales4[[#This Row],[PGI COST]]</f>
        <v>#REF!</v>
      </c>
      <c r="W382" s="11" t="e">
        <f>Sales4[[#This Row],[Gross Margin]]/Sales4[[#This Row],[Net Value]]</f>
        <v>#REF!</v>
      </c>
      <c r="X382" s="1" t="str">
        <f>TEXT(Sales4[[#This Row],[Billing Date]],"mmmm-yy")</f>
        <v>September-25</v>
      </c>
      <c r="Y382" s="1">
        <f>Sales4[[#This Row],[Net Value]]/Sales4[[#This Row],[Billed Quantity]]</f>
        <v>132.39000000000001</v>
      </c>
      <c r="Z382" s="117">
        <f>Sales4[[#This Row],[Actual delivery qty]]</f>
        <v>2684</v>
      </c>
      <c r="AA382" s="12" t="e">
        <f>SUM(Sales4[[#This Row],[BOM Cost]:[Other Conversion cost pu]])</f>
        <v>#REF!</v>
      </c>
      <c r="AB38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8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82" s="12">
        <f>IFERROR(VLOOKUP(Sales4[[#This Row],[Material]],'COGS Break up'!#REF!,5,0),0)</f>
        <v>0</v>
      </c>
      <c r="AE38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82" s="48" t="e">
        <f>Sales4[[#This Row],[PGI per unit]]-Sales4[[#This Row],[BOM Cost]]-Sales4[[#This Row],[Labour cost per unit]]-Sales4[[#This Row],[Other Conversion cost pu]]</f>
        <v>#REF!</v>
      </c>
      <c r="AG382" s="48" t="e">
        <f>Sales4[[#This Row],[BOM Cost2]]+Sales4[[#This Row],[Labour Cost]]+Sales4[[#This Row],[Other conversion cost]]</f>
        <v>#REF!</v>
      </c>
      <c r="AH382" s="12" t="e">
        <f>Sales4[[#This Row],[Billed Quantity]]*Sales4[[#This Row],[BOM Cost]]</f>
        <v>#REF!</v>
      </c>
      <c r="AI382" s="12" t="e">
        <f>Sales4[[#This Row],[Billed Quantity]]*Sales4[[#This Row],[Labour cost per unit]]</f>
        <v>#REF!</v>
      </c>
      <c r="AJ382" s="12">
        <f>Sales4[[#This Row],[Droppage per unit]]*Sales4[[#This Row],[Billed Quantity]]</f>
        <v>0</v>
      </c>
      <c r="AK382" s="12" t="e">
        <f>Sales4[[#This Row],[Billed Quantity]]*Sales4[[#This Row],[Other Conversion cost pu]]</f>
        <v>#REF!</v>
      </c>
      <c r="AL382" s="48" t="e">
        <f>Sales4[[#This Row],[PGI Amount]]-Sales4[[#This Row],[BOM Cost2]]-Sales4[[#This Row],[Labour Cost]]-Sales4[[#This Row],[Other conversion cost]]</f>
        <v>#REF!</v>
      </c>
      <c r="AM382" s="121" t="e">
        <f>1-Sales4[[#This Row],[PGI COST]]/Sales4[[#This Row],[Net Value]]</f>
        <v>#REF!</v>
      </c>
      <c r="AN382" s="1">
        <f>Sales4[[#This Row],[PGI Amount]]/Sales4[[#This Row],[Billed Quantity]]</f>
        <v>125</v>
      </c>
      <c r="AO382" s="72" t="e">
        <f>SUMIFS('COGS Break up'!#REF!,'COGS Break up'!#REF!,Sales4[[#This Row],[Material]],'COGS Break up'!#REF!,'MIS Working'!$AO$1)</f>
        <v>#REF!</v>
      </c>
      <c r="AP382" s="72" t="e">
        <f>SUMIFS('COGS Break up'!#REF!,'COGS Break up'!#REF!,Sales4[[#This Row],[Material]],'COGS Break up'!#REF!,'MIS Working'!$AP$1)</f>
        <v>#REF!</v>
      </c>
      <c r="AQ382" s="72" t="e">
        <f>SUMIFS('COGS Break up'!#REF!,'COGS Break up'!#REF!,Sales4[[#This Row],[Material]],'COGS Break up'!#REF!,'MIS Working'!$AQ$1)</f>
        <v>#REF!</v>
      </c>
      <c r="AR382" s="72">
        <f>Sales4[[#This Row],[Droppage per unit]]</f>
        <v>0</v>
      </c>
      <c r="AS382" s="15" t="e">
        <f>AO382*Sales4[[#This Row],[Billed Quantity]]</f>
        <v>#REF!</v>
      </c>
      <c r="AT382" s="72" t="e">
        <f>AP382*Sales4[[#This Row],[Billed Quantity]]</f>
        <v>#REF!</v>
      </c>
      <c r="AU382" s="72" t="e">
        <f>AQ382*Sales4[[#This Row],[Billed Quantity]]</f>
        <v>#REF!</v>
      </c>
      <c r="AV382" s="72">
        <f>AR382*Sales4[[#This Row],[Billed Quantity]]</f>
        <v>0</v>
      </c>
    </row>
    <row r="383" spans="1:48" x14ac:dyDescent="0.3">
      <c r="A383" s="1" t="s">
        <v>479</v>
      </c>
      <c r="B383" s="2">
        <v>45905</v>
      </c>
      <c r="C383" s="1">
        <v>3271267213</v>
      </c>
      <c r="D383" s="1" t="s">
        <v>38</v>
      </c>
      <c r="E383" s="1" t="s">
        <v>39</v>
      </c>
      <c r="F383" s="1" t="s">
        <v>18</v>
      </c>
      <c r="G383" s="1" t="s">
        <v>19</v>
      </c>
      <c r="H383" s="1" t="s">
        <v>27</v>
      </c>
      <c r="I383" s="3">
        <v>840</v>
      </c>
      <c r="J383" s="4">
        <v>276746.40000000002</v>
      </c>
      <c r="K383" s="3">
        <v>840</v>
      </c>
      <c r="L383" s="3">
        <v>840</v>
      </c>
      <c r="M383" s="2">
        <v>45905</v>
      </c>
      <c r="N383" s="4">
        <v>300963.59999999998</v>
      </c>
      <c r="O383" s="1" t="s">
        <v>21</v>
      </c>
      <c r="P383" s="1" t="s">
        <v>22</v>
      </c>
      <c r="Q383" s="1">
        <v>1</v>
      </c>
      <c r="R383" s="1" t="str">
        <f>VLOOKUP(Sales4[[#This Row],[Material type]],Master!$H$3:$I$8,2,0)</f>
        <v>Finished Goods</v>
      </c>
      <c r="S383" s="1" t="str">
        <f>VLOOKUP(Sales4[[#This Row],[Material Group]],Master!B:C,2,0)</f>
        <v>FG-PCB-CF</v>
      </c>
      <c r="T383" s="1" t="str">
        <f>VLOOKUP(Sales4[[#This Row],[Material Group Descrip]],Master!E:F,2,0)</f>
        <v>FG-PCB-CF</v>
      </c>
      <c r="U383" s="9" t="b">
        <f ca="1">(TODAY()-1)=Sales4[[#This Row],[Billing Date]]</f>
        <v>0</v>
      </c>
      <c r="V383" s="10" t="e">
        <f>Sales4[[#This Row],[Net Value]]-Sales4[[#This Row],[PGI COST]]</f>
        <v>#REF!</v>
      </c>
      <c r="W383" s="11" t="e">
        <f>Sales4[[#This Row],[Gross Margin]]/Sales4[[#This Row],[Net Value]]</f>
        <v>#REF!</v>
      </c>
      <c r="X383" s="1" t="str">
        <f>TEXT(Sales4[[#This Row],[Billing Date]],"mmmm-yy")</f>
        <v>September-25</v>
      </c>
      <c r="Y383" s="1">
        <f>Sales4[[#This Row],[Net Value]]/Sales4[[#This Row],[Billed Quantity]]</f>
        <v>358.28999999999996</v>
      </c>
      <c r="Z383" s="117">
        <f>Sales4[[#This Row],[Actual delivery qty]]</f>
        <v>840</v>
      </c>
      <c r="AA383" s="12" t="e">
        <f>SUM(Sales4[[#This Row],[BOM Cost]:[Other Conversion cost pu]])</f>
        <v>#REF!</v>
      </c>
      <c r="AB38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8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83" s="12">
        <f>IFERROR(VLOOKUP(Sales4[[#This Row],[Material]],'COGS Break up'!#REF!,5,0),0)</f>
        <v>0</v>
      </c>
      <c r="AE38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83" s="48" t="e">
        <f>Sales4[[#This Row],[PGI per unit]]-Sales4[[#This Row],[BOM Cost]]-Sales4[[#This Row],[Labour cost per unit]]-Sales4[[#This Row],[Other Conversion cost pu]]</f>
        <v>#REF!</v>
      </c>
      <c r="AG383" s="48" t="e">
        <f>Sales4[[#This Row],[BOM Cost2]]+Sales4[[#This Row],[Labour Cost]]+Sales4[[#This Row],[Other conversion cost]]</f>
        <v>#REF!</v>
      </c>
      <c r="AH383" s="12" t="e">
        <f>Sales4[[#This Row],[Billed Quantity]]*Sales4[[#This Row],[BOM Cost]]</f>
        <v>#REF!</v>
      </c>
      <c r="AI383" s="12" t="e">
        <f>Sales4[[#This Row],[Billed Quantity]]*Sales4[[#This Row],[Labour cost per unit]]</f>
        <v>#REF!</v>
      </c>
      <c r="AJ383" s="12">
        <f>Sales4[[#This Row],[Droppage per unit]]*Sales4[[#This Row],[Billed Quantity]]</f>
        <v>0</v>
      </c>
      <c r="AK383" s="12" t="e">
        <f>Sales4[[#This Row],[Billed Quantity]]*Sales4[[#This Row],[Other Conversion cost pu]]</f>
        <v>#REF!</v>
      </c>
      <c r="AL383" s="48" t="e">
        <f>Sales4[[#This Row],[PGI Amount]]-Sales4[[#This Row],[BOM Cost2]]-Sales4[[#This Row],[Labour Cost]]-Sales4[[#This Row],[Other conversion cost]]</f>
        <v>#REF!</v>
      </c>
      <c r="AM383" s="121" t="e">
        <f>1-Sales4[[#This Row],[PGI COST]]/Sales4[[#This Row],[Net Value]]</f>
        <v>#REF!</v>
      </c>
      <c r="AN383" s="1">
        <f>Sales4[[#This Row],[PGI Amount]]/Sales4[[#This Row],[Billed Quantity]]</f>
        <v>329.46000000000004</v>
      </c>
      <c r="AO383" s="72" t="e">
        <f>SUMIFS('COGS Break up'!#REF!,'COGS Break up'!#REF!,Sales4[[#This Row],[Material]],'COGS Break up'!#REF!,'MIS Working'!$AO$1)</f>
        <v>#REF!</v>
      </c>
      <c r="AP383" s="72" t="e">
        <f>SUMIFS('COGS Break up'!#REF!,'COGS Break up'!#REF!,Sales4[[#This Row],[Material]],'COGS Break up'!#REF!,'MIS Working'!$AP$1)</f>
        <v>#REF!</v>
      </c>
      <c r="AQ383" s="72" t="e">
        <f>SUMIFS('COGS Break up'!#REF!,'COGS Break up'!#REF!,Sales4[[#This Row],[Material]],'COGS Break up'!#REF!,'MIS Working'!$AQ$1)</f>
        <v>#REF!</v>
      </c>
      <c r="AR383" s="72">
        <f>Sales4[[#This Row],[Droppage per unit]]</f>
        <v>0</v>
      </c>
      <c r="AS383" s="15" t="e">
        <f>AO383*Sales4[[#This Row],[Billed Quantity]]</f>
        <v>#REF!</v>
      </c>
      <c r="AT383" s="72" t="e">
        <f>AP383*Sales4[[#This Row],[Billed Quantity]]</f>
        <v>#REF!</v>
      </c>
      <c r="AU383" s="72" t="e">
        <f>AQ383*Sales4[[#This Row],[Billed Quantity]]</f>
        <v>#REF!</v>
      </c>
      <c r="AV383" s="72">
        <f>AR383*Sales4[[#This Row],[Billed Quantity]]</f>
        <v>0</v>
      </c>
    </row>
    <row r="384" spans="1:48" x14ac:dyDescent="0.3">
      <c r="A384" s="1" t="s">
        <v>479</v>
      </c>
      <c r="B384" s="2">
        <v>45905</v>
      </c>
      <c r="C384" s="1">
        <v>3271267249</v>
      </c>
      <c r="D384" s="1" t="s">
        <v>38</v>
      </c>
      <c r="E384" s="1" t="s">
        <v>39</v>
      </c>
      <c r="F384" s="1" t="s">
        <v>18</v>
      </c>
      <c r="G384" s="1" t="s">
        <v>19</v>
      </c>
      <c r="H384" s="1" t="s">
        <v>27</v>
      </c>
      <c r="I384" s="3">
        <v>30</v>
      </c>
      <c r="J384" s="4">
        <v>9883.7999999999993</v>
      </c>
      <c r="K384" s="3">
        <v>30</v>
      </c>
      <c r="L384" s="3">
        <v>30</v>
      </c>
      <c r="M384" s="2">
        <v>45905</v>
      </c>
      <c r="N384" s="4">
        <v>10748.7</v>
      </c>
      <c r="O384" s="1" t="s">
        <v>21</v>
      </c>
      <c r="P384" s="1" t="s">
        <v>22</v>
      </c>
      <c r="Q384" s="1">
        <v>1</v>
      </c>
      <c r="R384" s="1" t="str">
        <f>VLOOKUP(Sales4[[#This Row],[Material type]],Master!$H$3:$I$8,2,0)</f>
        <v>Finished Goods</v>
      </c>
      <c r="S384" s="1" t="str">
        <f>VLOOKUP(Sales4[[#This Row],[Material Group]],Master!B:C,2,0)</f>
        <v>FG-PCB-CF</v>
      </c>
      <c r="T384" s="1" t="str">
        <f>VLOOKUP(Sales4[[#This Row],[Material Group Descrip]],Master!E:F,2,0)</f>
        <v>FG-PCB-CF</v>
      </c>
      <c r="U384" s="9" t="b">
        <f ca="1">(TODAY()-1)=Sales4[[#This Row],[Billing Date]]</f>
        <v>0</v>
      </c>
      <c r="V384" s="10" t="e">
        <f>Sales4[[#This Row],[Net Value]]-Sales4[[#This Row],[PGI COST]]</f>
        <v>#REF!</v>
      </c>
      <c r="W384" s="11" t="e">
        <f>Sales4[[#This Row],[Gross Margin]]/Sales4[[#This Row],[Net Value]]</f>
        <v>#REF!</v>
      </c>
      <c r="X384" s="1" t="str">
        <f>TEXT(Sales4[[#This Row],[Billing Date]],"mmmm-yy")</f>
        <v>September-25</v>
      </c>
      <c r="Y384" s="1">
        <f>Sales4[[#This Row],[Net Value]]/Sales4[[#This Row],[Billed Quantity]]</f>
        <v>358.29</v>
      </c>
      <c r="Z384" s="117">
        <f>Sales4[[#This Row],[Actual delivery qty]]</f>
        <v>30</v>
      </c>
      <c r="AA384" s="12" t="e">
        <f>SUM(Sales4[[#This Row],[BOM Cost]:[Other Conversion cost pu]])</f>
        <v>#REF!</v>
      </c>
      <c r="AB38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8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84" s="12">
        <f>IFERROR(VLOOKUP(Sales4[[#This Row],[Material]],'COGS Break up'!#REF!,5,0),0)</f>
        <v>0</v>
      </c>
      <c r="AE38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84" s="48" t="e">
        <f>Sales4[[#This Row],[PGI per unit]]-Sales4[[#This Row],[BOM Cost]]-Sales4[[#This Row],[Labour cost per unit]]-Sales4[[#This Row],[Other Conversion cost pu]]</f>
        <v>#REF!</v>
      </c>
      <c r="AG384" s="48" t="e">
        <f>Sales4[[#This Row],[BOM Cost2]]+Sales4[[#This Row],[Labour Cost]]+Sales4[[#This Row],[Other conversion cost]]</f>
        <v>#REF!</v>
      </c>
      <c r="AH384" s="12" t="e">
        <f>Sales4[[#This Row],[Billed Quantity]]*Sales4[[#This Row],[BOM Cost]]</f>
        <v>#REF!</v>
      </c>
      <c r="AI384" s="12" t="e">
        <f>Sales4[[#This Row],[Billed Quantity]]*Sales4[[#This Row],[Labour cost per unit]]</f>
        <v>#REF!</v>
      </c>
      <c r="AJ384" s="12">
        <f>Sales4[[#This Row],[Droppage per unit]]*Sales4[[#This Row],[Billed Quantity]]</f>
        <v>0</v>
      </c>
      <c r="AK384" s="12" t="e">
        <f>Sales4[[#This Row],[Billed Quantity]]*Sales4[[#This Row],[Other Conversion cost pu]]</f>
        <v>#REF!</v>
      </c>
      <c r="AL384" s="48" t="e">
        <f>Sales4[[#This Row],[PGI Amount]]-Sales4[[#This Row],[BOM Cost2]]-Sales4[[#This Row],[Labour Cost]]-Sales4[[#This Row],[Other conversion cost]]</f>
        <v>#REF!</v>
      </c>
      <c r="AM384" s="121" t="e">
        <f>1-Sales4[[#This Row],[PGI COST]]/Sales4[[#This Row],[Net Value]]</f>
        <v>#REF!</v>
      </c>
      <c r="AN384" s="1">
        <f>Sales4[[#This Row],[PGI Amount]]/Sales4[[#This Row],[Billed Quantity]]</f>
        <v>329.46</v>
      </c>
      <c r="AO384" s="72" t="e">
        <f>SUMIFS('COGS Break up'!#REF!,'COGS Break up'!#REF!,Sales4[[#This Row],[Material]],'COGS Break up'!#REF!,'MIS Working'!$AO$1)</f>
        <v>#REF!</v>
      </c>
      <c r="AP384" s="72" t="e">
        <f>SUMIFS('COGS Break up'!#REF!,'COGS Break up'!#REF!,Sales4[[#This Row],[Material]],'COGS Break up'!#REF!,'MIS Working'!$AP$1)</f>
        <v>#REF!</v>
      </c>
      <c r="AQ384" s="72" t="e">
        <f>SUMIFS('COGS Break up'!#REF!,'COGS Break up'!#REF!,Sales4[[#This Row],[Material]],'COGS Break up'!#REF!,'MIS Working'!$AQ$1)</f>
        <v>#REF!</v>
      </c>
      <c r="AR384" s="72">
        <f>Sales4[[#This Row],[Droppage per unit]]</f>
        <v>0</v>
      </c>
      <c r="AS384" s="15" t="e">
        <f>AO384*Sales4[[#This Row],[Billed Quantity]]</f>
        <v>#REF!</v>
      </c>
      <c r="AT384" s="72" t="e">
        <f>AP384*Sales4[[#This Row],[Billed Quantity]]</f>
        <v>#REF!</v>
      </c>
      <c r="AU384" s="72" t="e">
        <f>AQ384*Sales4[[#This Row],[Billed Quantity]]</f>
        <v>#REF!</v>
      </c>
      <c r="AV384" s="72">
        <f>AR384*Sales4[[#This Row],[Billed Quantity]]</f>
        <v>0</v>
      </c>
    </row>
    <row r="385" spans="1:48" x14ac:dyDescent="0.3">
      <c r="A385" s="1" t="s">
        <v>479</v>
      </c>
      <c r="B385" s="2">
        <v>45905</v>
      </c>
      <c r="C385" s="1">
        <v>3271267641</v>
      </c>
      <c r="D385" s="1" t="s">
        <v>38</v>
      </c>
      <c r="E385" s="1" t="s">
        <v>39</v>
      </c>
      <c r="F385" s="1" t="s">
        <v>18</v>
      </c>
      <c r="G385" s="1" t="s">
        <v>19</v>
      </c>
      <c r="H385" s="1" t="s">
        <v>27</v>
      </c>
      <c r="I385" s="3">
        <v>420</v>
      </c>
      <c r="J385" s="4">
        <v>138373.20000000001</v>
      </c>
      <c r="K385" s="3">
        <v>420</v>
      </c>
      <c r="L385" s="3">
        <v>420</v>
      </c>
      <c r="M385" s="2">
        <v>45905</v>
      </c>
      <c r="N385" s="4">
        <v>150481.79999999999</v>
      </c>
      <c r="O385" s="1" t="s">
        <v>21</v>
      </c>
      <c r="P385" s="1" t="s">
        <v>22</v>
      </c>
      <c r="Q385" s="1">
        <v>1</v>
      </c>
      <c r="R385" s="1" t="str">
        <f>VLOOKUP(Sales4[[#This Row],[Material type]],Master!$H$3:$I$8,2,0)</f>
        <v>Finished Goods</v>
      </c>
      <c r="S385" s="1" t="str">
        <f>VLOOKUP(Sales4[[#This Row],[Material Group]],Master!B:C,2,0)</f>
        <v>FG-PCB-CF</v>
      </c>
      <c r="T385" s="1" t="str">
        <f>VLOOKUP(Sales4[[#This Row],[Material Group Descrip]],Master!E:F,2,0)</f>
        <v>FG-PCB-CF</v>
      </c>
      <c r="U385" s="9" t="b">
        <f ca="1">(TODAY()-1)=Sales4[[#This Row],[Billing Date]]</f>
        <v>0</v>
      </c>
      <c r="V385" s="10" t="e">
        <f>Sales4[[#This Row],[Net Value]]-Sales4[[#This Row],[PGI COST]]</f>
        <v>#REF!</v>
      </c>
      <c r="W385" s="11" t="e">
        <f>Sales4[[#This Row],[Gross Margin]]/Sales4[[#This Row],[Net Value]]</f>
        <v>#REF!</v>
      </c>
      <c r="X385" s="1" t="str">
        <f>TEXT(Sales4[[#This Row],[Billing Date]],"mmmm-yy")</f>
        <v>September-25</v>
      </c>
      <c r="Y385" s="1">
        <f>Sales4[[#This Row],[Net Value]]/Sales4[[#This Row],[Billed Quantity]]</f>
        <v>358.28999999999996</v>
      </c>
      <c r="Z385" s="117">
        <f>Sales4[[#This Row],[Actual delivery qty]]</f>
        <v>420</v>
      </c>
      <c r="AA385" s="12" t="e">
        <f>SUM(Sales4[[#This Row],[BOM Cost]:[Other Conversion cost pu]])</f>
        <v>#REF!</v>
      </c>
      <c r="AB38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8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85" s="12">
        <f>IFERROR(VLOOKUP(Sales4[[#This Row],[Material]],'COGS Break up'!#REF!,5,0),0)</f>
        <v>0</v>
      </c>
      <c r="AE38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85" s="48" t="e">
        <f>Sales4[[#This Row],[PGI per unit]]-Sales4[[#This Row],[BOM Cost]]-Sales4[[#This Row],[Labour cost per unit]]-Sales4[[#This Row],[Other Conversion cost pu]]</f>
        <v>#REF!</v>
      </c>
      <c r="AG385" s="48" t="e">
        <f>Sales4[[#This Row],[BOM Cost2]]+Sales4[[#This Row],[Labour Cost]]+Sales4[[#This Row],[Other conversion cost]]</f>
        <v>#REF!</v>
      </c>
      <c r="AH385" s="12" t="e">
        <f>Sales4[[#This Row],[Billed Quantity]]*Sales4[[#This Row],[BOM Cost]]</f>
        <v>#REF!</v>
      </c>
      <c r="AI385" s="12" t="e">
        <f>Sales4[[#This Row],[Billed Quantity]]*Sales4[[#This Row],[Labour cost per unit]]</f>
        <v>#REF!</v>
      </c>
      <c r="AJ385" s="12">
        <f>Sales4[[#This Row],[Droppage per unit]]*Sales4[[#This Row],[Billed Quantity]]</f>
        <v>0</v>
      </c>
      <c r="AK385" s="12" t="e">
        <f>Sales4[[#This Row],[Billed Quantity]]*Sales4[[#This Row],[Other Conversion cost pu]]</f>
        <v>#REF!</v>
      </c>
      <c r="AL385" s="48" t="e">
        <f>Sales4[[#This Row],[PGI Amount]]-Sales4[[#This Row],[BOM Cost2]]-Sales4[[#This Row],[Labour Cost]]-Sales4[[#This Row],[Other conversion cost]]</f>
        <v>#REF!</v>
      </c>
      <c r="AM385" s="121" t="e">
        <f>1-Sales4[[#This Row],[PGI COST]]/Sales4[[#This Row],[Net Value]]</f>
        <v>#REF!</v>
      </c>
      <c r="AN385" s="1">
        <f>Sales4[[#This Row],[PGI Amount]]/Sales4[[#This Row],[Billed Quantity]]</f>
        <v>329.46000000000004</v>
      </c>
      <c r="AO385" s="72" t="e">
        <f>SUMIFS('COGS Break up'!#REF!,'COGS Break up'!#REF!,Sales4[[#This Row],[Material]],'COGS Break up'!#REF!,'MIS Working'!$AO$1)</f>
        <v>#REF!</v>
      </c>
      <c r="AP385" s="72" t="e">
        <f>SUMIFS('COGS Break up'!#REF!,'COGS Break up'!#REF!,Sales4[[#This Row],[Material]],'COGS Break up'!#REF!,'MIS Working'!$AP$1)</f>
        <v>#REF!</v>
      </c>
      <c r="AQ385" s="72" t="e">
        <f>SUMIFS('COGS Break up'!#REF!,'COGS Break up'!#REF!,Sales4[[#This Row],[Material]],'COGS Break up'!#REF!,'MIS Working'!$AQ$1)</f>
        <v>#REF!</v>
      </c>
      <c r="AR385" s="72">
        <f>Sales4[[#This Row],[Droppage per unit]]</f>
        <v>0</v>
      </c>
      <c r="AS385" s="15" t="e">
        <f>AO385*Sales4[[#This Row],[Billed Quantity]]</f>
        <v>#REF!</v>
      </c>
      <c r="AT385" s="72" t="e">
        <f>AP385*Sales4[[#This Row],[Billed Quantity]]</f>
        <v>#REF!</v>
      </c>
      <c r="AU385" s="72" t="e">
        <f>AQ385*Sales4[[#This Row],[Billed Quantity]]</f>
        <v>#REF!</v>
      </c>
      <c r="AV385" s="72">
        <f>AR385*Sales4[[#This Row],[Billed Quantity]]</f>
        <v>0</v>
      </c>
    </row>
    <row r="386" spans="1:48" x14ac:dyDescent="0.3">
      <c r="A386" s="1" t="s">
        <v>479</v>
      </c>
      <c r="B386" s="2">
        <v>45905</v>
      </c>
      <c r="C386" s="1">
        <v>3271267387</v>
      </c>
      <c r="D386" s="1" t="s">
        <v>38</v>
      </c>
      <c r="E386" s="1" t="s">
        <v>39</v>
      </c>
      <c r="F386" s="1" t="s">
        <v>18</v>
      </c>
      <c r="G386" s="1" t="s">
        <v>19</v>
      </c>
      <c r="H386" s="1" t="s">
        <v>27</v>
      </c>
      <c r="I386" s="3">
        <v>2170</v>
      </c>
      <c r="J386" s="4">
        <v>714928.2</v>
      </c>
      <c r="K386" s="3">
        <v>2170</v>
      </c>
      <c r="L386" s="3">
        <v>2170</v>
      </c>
      <c r="M386" s="2">
        <v>45905</v>
      </c>
      <c r="N386" s="4">
        <v>777489.3</v>
      </c>
      <c r="O386" s="1" t="s">
        <v>21</v>
      </c>
      <c r="P386" s="1" t="s">
        <v>22</v>
      </c>
      <c r="Q386" s="1">
        <v>1</v>
      </c>
      <c r="R386" s="1" t="str">
        <f>VLOOKUP(Sales4[[#This Row],[Material type]],Master!$H$3:$I$8,2,0)</f>
        <v>Finished Goods</v>
      </c>
      <c r="S386" s="1" t="str">
        <f>VLOOKUP(Sales4[[#This Row],[Material Group]],Master!B:C,2,0)</f>
        <v>FG-PCB-CF</v>
      </c>
      <c r="T386" s="1" t="str">
        <f>VLOOKUP(Sales4[[#This Row],[Material Group Descrip]],Master!E:F,2,0)</f>
        <v>FG-PCB-CF</v>
      </c>
      <c r="U386" s="9" t="b">
        <f ca="1">(TODAY()-1)=Sales4[[#This Row],[Billing Date]]</f>
        <v>0</v>
      </c>
      <c r="V386" s="10" t="e">
        <f>Sales4[[#This Row],[Net Value]]-Sales4[[#This Row],[PGI COST]]</f>
        <v>#REF!</v>
      </c>
      <c r="W386" s="11" t="e">
        <f>Sales4[[#This Row],[Gross Margin]]/Sales4[[#This Row],[Net Value]]</f>
        <v>#REF!</v>
      </c>
      <c r="X386" s="1" t="str">
        <f>TEXT(Sales4[[#This Row],[Billing Date]],"mmmm-yy")</f>
        <v>September-25</v>
      </c>
      <c r="Y386" s="1">
        <f>Sales4[[#This Row],[Net Value]]/Sales4[[#This Row],[Billed Quantity]]</f>
        <v>358.29</v>
      </c>
      <c r="Z386" s="117">
        <f>Sales4[[#This Row],[Actual delivery qty]]</f>
        <v>2170</v>
      </c>
      <c r="AA386" s="12" t="e">
        <f>SUM(Sales4[[#This Row],[BOM Cost]:[Other Conversion cost pu]])</f>
        <v>#REF!</v>
      </c>
      <c r="AB38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8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86" s="12">
        <f>IFERROR(VLOOKUP(Sales4[[#This Row],[Material]],'COGS Break up'!#REF!,5,0),0)</f>
        <v>0</v>
      </c>
      <c r="AE38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86" s="48" t="e">
        <f>Sales4[[#This Row],[PGI per unit]]-Sales4[[#This Row],[BOM Cost]]-Sales4[[#This Row],[Labour cost per unit]]-Sales4[[#This Row],[Other Conversion cost pu]]</f>
        <v>#REF!</v>
      </c>
      <c r="AG386" s="48" t="e">
        <f>Sales4[[#This Row],[BOM Cost2]]+Sales4[[#This Row],[Labour Cost]]+Sales4[[#This Row],[Other conversion cost]]</f>
        <v>#REF!</v>
      </c>
      <c r="AH386" s="12" t="e">
        <f>Sales4[[#This Row],[Billed Quantity]]*Sales4[[#This Row],[BOM Cost]]</f>
        <v>#REF!</v>
      </c>
      <c r="AI386" s="12" t="e">
        <f>Sales4[[#This Row],[Billed Quantity]]*Sales4[[#This Row],[Labour cost per unit]]</f>
        <v>#REF!</v>
      </c>
      <c r="AJ386" s="12">
        <f>Sales4[[#This Row],[Droppage per unit]]*Sales4[[#This Row],[Billed Quantity]]</f>
        <v>0</v>
      </c>
      <c r="AK386" s="12" t="e">
        <f>Sales4[[#This Row],[Billed Quantity]]*Sales4[[#This Row],[Other Conversion cost pu]]</f>
        <v>#REF!</v>
      </c>
      <c r="AL386" s="48" t="e">
        <f>Sales4[[#This Row],[PGI Amount]]-Sales4[[#This Row],[BOM Cost2]]-Sales4[[#This Row],[Labour Cost]]-Sales4[[#This Row],[Other conversion cost]]</f>
        <v>#REF!</v>
      </c>
      <c r="AM386" s="121" t="e">
        <f>1-Sales4[[#This Row],[PGI COST]]/Sales4[[#This Row],[Net Value]]</f>
        <v>#REF!</v>
      </c>
      <c r="AN386" s="1">
        <f>Sales4[[#This Row],[PGI Amount]]/Sales4[[#This Row],[Billed Quantity]]</f>
        <v>329.46</v>
      </c>
      <c r="AO386" s="72" t="e">
        <f>SUMIFS('COGS Break up'!#REF!,'COGS Break up'!#REF!,Sales4[[#This Row],[Material]],'COGS Break up'!#REF!,'MIS Working'!$AO$1)</f>
        <v>#REF!</v>
      </c>
      <c r="AP386" s="72" t="e">
        <f>SUMIFS('COGS Break up'!#REF!,'COGS Break up'!#REF!,Sales4[[#This Row],[Material]],'COGS Break up'!#REF!,'MIS Working'!$AP$1)</f>
        <v>#REF!</v>
      </c>
      <c r="AQ386" s="72" t="e">
        <f>SUMIFS('COGS Break up'!#REF!,'COGS Break up'!#REF!,Sales4[[#This Row],[Material]],'COGS Break up'!#REF!,'MIS Working'!$AQ$1)</f>
        <v>#REF!</v>
      </c>
      <c r="AR386" s="72">
        <f>Sales4[[#This Row],[Droppage per unit]]</f>
        <v>0</v>
      </c>
      <c r="AS386" s="15" t="e">
        <f>AO386*Sales4[[#This Row],[Billed Quantity]]</f>
        <v>#REF!</v>
      </c>
      <c r="AT386" s="72" t="e">
        <f>AP386*Sales4[[#This Row],[Billed Quantity]]</f>
        <v>#REF!</v>
      </c>
      <c r="AU386" s="72" t="e">
        <f>AQ386*Sales4[[#This Row],[Billed Quantity]]</f>
        <v>#REF!</v>
      </c>
      <c r="AV386" s="72">
        <f>AR386*Sales4[[#This Row],[Billed Quantity]]</f>
        <v>0</v>
      </c>
    </row>
    <row r="387" spans="1:48" x14ac:dyDescent="0.3">
      <c r="A387" s="1" t="s">
        <v>479</v>
      </c>
      <c r="B387" s="2">
        <v>45905</v>
      </c>
      <c r="C387" s="1">
        <v>3271267227</v>
      </c>
      <c r="D387" s="1" t="s">
        <v>38</v>
      </c>
      <c r="E387" s="1" t="s">
        <v>39</v>
      </c>
      <c r="F387" s="1" t="s">
        <v>18</v>
      </c>
      <c r="G387" s="1" t="s">
        <v>19</v>
      </c>
      <c r="H387" s="1" t="s">
        <v>27</v>
      </c>
      <c r="I387" s="3">
        <v>1020</v>
      </c>
      <c r="J387" s="4">
        <v>336049.2</v>
      </c>
      <c r="K387" s="3">
        <v>1020</v>
      </c>
      <c r="L387" s="3">
        <v>1020</v>
      </c>
      <c r="M387" s="2">
        <v>45905</v>
      </c>
      <c r="N387" s="4">
        <v>365455.8</v>
      </c>
      <c r="O387" s="1" t="s">
        <v>21</v>
      </c>
      <c r="P387" s="1" t="s">
        <v>22</v>
      </c>
      <c r="Q387" s="1">
        <v>1</v>
      </c>
      <c r="R387" s="1" t="str">
        <f>VLOOKUP(Sales4[[#This Row],[Material type]],Master!$H$3:$I$8,2,0)</f>
        <v>Finished Goods</v>
      </c>
      <c r="S387" s="1" t="str">
        <f>VLOOKUP(Sales4[[#This Row],[Material Group]],Master!B:C,2,0)</f>
        <v>FG-PCB-CF</v>
      </c>
      <c r="T387" s="1" t="str">
        <f>VLOOKUP(Sales4[[#This Row],[Material Group Descrip]],Master!E:F,2,0)</f>
        <v>FG-PCB-CF</v>
      </c>
      <c r="U387" s="9" t="b">
        <f ca="1">(TODAY()-1)=Sales4[[#This Row],[Billing Date]]</f>
        <v>0</v>
      </c>
      <c r="V387" s="10" t="e">
        <f>Sales4[[#This Row],[Net Value]]-Sales4[[#This Row],[PGI COST]]</f>
        <v>#REF!</v>
      </c>
      <c r="W387" s="11" t="e">
        <f>Sales4[[#This Row],[Gross Margin]]/Sales4[[#This Row],[Net Value]]</f>
        <v>#REF!</v>
      </c>
      <c r="X387" s="1" t="str">
        <f>TEXT(Sales4[[#This Row],[Billing Date]],"mmmm-yy")</f>
        <v>September-25</v>
      </c>
      <c r="Y387" s="1">
        <f>Sales4[[#This Row],[Net Value]]/Sales4[[#This Row],[Billed Quantity]]</f>
        <v>358.28999999999996</v>
      </c>
      <c r="Z387" s="117">
        <f>Sales4[[#This Row],[Actual delivery qty]]</f>
        <v>1020</v>
      </c>
      <c r="AA387" s="12" t="e">
        <f>SUM(Sales4[[#This Row],[BOM Cost]:[Other Conversion cost pu]])</f>
        <v>#REF!</v>
      </c>
      <c r="AB38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8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87" s="12">
        <f>IFERROR(VLOOKUP(Sales4[[#This Row],[Material]],'COGS Break up'!#REF!,5,0),0)</f>
        <v>0</v>
      </c>
      <c r="AE38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87" s="48" t="e">
        <f>Sales4[[#This Row],[PGI per unit]]-Sales4[[#This Row],[BOM Cost]]-Sales4[[#This Row],[Labour cost per unit]]-Sales4[[#This Row],[Other Conversion cost pu]]</f>
        <v>#REF!</v>
      </c>
      <c r="AG387" s="48" t="e">
        <f>Sales4[[#This Row],[BOM Cost2]]+Sales4[[#This Row],[Labour Cost]]+Sales4[[#This Row],[Other conversion cost]]</f>
        <v>#REF!</v>
      </c>
      <c r="AH387" s="12" t="e">
        <f>Sales4[[#This Row],[Billed Quantity]]*Sales4[[#This Row],[BOM Cost]]</f>
        <v>#REF!</v>
      </c>
      <c r="AI387" s="12" t="e">
        <f>Sales4[[#This Row],[Billed Quantity]]*Sales4[[#This Row],[Labour cost per unit]]</f>
        <v>#REF!</v>
      </c>
      <c r="AJ387" s="12">
        <f>Sales4[[#This Row],[Droppage per unit]]*Sales4[[#This Row],[Billed Quantity]]</f>
        <v>0</v>
      </c>
      <c r="AK387" s="12" t="e">
        <f>Sales4[[#This Row],[Billed Quantity]]*Sales4[[#This Row],[Other Conversion cost pu]]</f>
        <v>#REF!</v>
      </c>
      <c r="AL387" s="48" t="e">
        <f>Sales4[[#This Row],[PGI Amount]]-Sales4[[#This Row],[BOM Cost2]]-Sales4[[#This Row],[Labour Cost]]-Sales4[[#This Row],[Other conversion cost]]</f>
        <v>#REF!</v>
      </c>
      <c r="AM387" s="121" t="e">
        <f>1-Sales4[[#This Row],[PGI COST]]/Sales4[[#This Row],[Net Value]]</f>
        <v>#REF!</v>
      </c>
      <c r="AN387" s="1">
        <f>Sales4[[#This Row],[PGI Amount]]/Sales4[[#This Row],[Billed Quantity]]</f>
        <v>329.46000000000004</v>
      </c>
      <c r="AO387" s="72" t="e">
        <f>SUMIFS('COGS Break up'!#REF!,'COGS Break up'!#REF!,Sales4[[#This Row],[Material]],'COGS Break up'!#REF!,'MIS Working'!$AO$1)</f>
        <v>#REF!</v>
      </c>
      <c r="AP387" s="72" t="e">
        <f>SUMIFS('COGS Break up'!#REF!,'COGS Break up'!#REF!,Sales4[[#This Row],[Material]],'COGS Break up'!#REF!,'MIS Working'!$AP$1)</f>
        <v>#REF!</v>
      </c>
      <c r="AQ387" s="72" t="e">
        <f>SUMIFS('COGS Break up'!#REF!,'COGS Break up'!#REF!,Sales4[[#This Row],[Material]],'COGS Break up'!#REF!,'MIS Working'!$AQ$1)</f>
        <v>#REF!</v>
      </c>
      <c r="AR387" s="72">
        <f>Sales4[[#This Row],[Droppage per unit]]</f>
        <v>0</v>
      </c>
      <c r="AS387" s="15" t="e">
        <f>AO387*Sales4[[#This Row],[Billed Quantity]]</f>
        <v>#REF!</v>
      </c>
      <c r="AT387" s="72" t="e">
        <f>AP387*Sales4[[#This Row],[Billed Quantity]]</f>
        <v>#REF!</v>
      </c>
      <c r="AU387" s="72" t="e">
        <f>AQ387*Sales4[[#This Row],[Billed Quantity]]</f>
        <v>#REF!</v>
      </c>
      <c r="AV387" s="72">
        <f>AR387*Sales4[[#This Row],[Billed Quantity]]</f>
        <v>0</v>
      </c>
    </row>
    <row r="388" spans="1:48" x14ac:dyDescent="0.3">
      <c r="A388" s="1" t="s">
        <v>479</v>
      </c>
      <c r="B388" s="2">
        <v>45905</v>
      </c>
      <c r="C388" s="1">
        <v>3271267387</v>
      </c>
      <c r="D388" s="1" t="s">
        <v>23</v>
      </c>
      <c r="E388" s="1" t="s">
        <v>24</v>
      </c>
      <c r="F388" s="1" t="s">
        <v>18</v>
      </c>
      <c r="G388" s="1" t="s">
        <v>19</v>
      </c>
      <c r="H388" s="1" t="s">
        <v>27</v>
      </c>
      <c r="I388" s="3">
        <v>175</v>
      </c>
      <c r="J388" s="4">
        <v>74275.25</v>
      </c>
      <c r="K388" s="3">
        <v>175</v>
      </c>
      <c r="L388" s="3">
        <v>175</v>
      </c>
      <c r="M388" s="2">
        <v>45905</v>
      </c>
      <c r="N388" s="4">
        <v>84553</v>
      </c>
      <c r="O388" s="1" t="s">
        <v>21</v>
      </c>
      <c r="P388" s="1" t="s">
        <v>22</v>
      </c>
      <c r="Q388" s="1">
        <v>1</v>
      </c>
      <c r="R388" s="1" t="str">
        <f>VLOOKUP(Sales4[[#This Row],[Material type]],Master!$H$3:$I$8,2,0)</f>
        <v>Finished Goods</v>
      </c>
      <c r="S388" s="1" t="str">
        <f>VLOOKUP(Sales4[[#This Row],[Material Group]],Master!B:C,2,0)</f>
        <v>FG-PCB-CF</v>
      </c>
      <c r="T388" s="1" t="str">
        <f>VLOOKUP(Sales4[[#This Row],[Material Group Descrip]],Master!E:F,2,0)</f>
        <v>FG-PCB-CF</v>
      </c>
      <c r="U388" s="9" t="b">
        <f ca="1">(TODAY()-1)=Sales4[[#This Row],[Billing Date]]</f>
        <v>0</v>
      </c>
      <c r="V388" s="10" t="e">
        <f>Sales4[[#This Row],[Net Value]]-Sales4[[#This Row],[PGI COST]]</f>
        <v>#REF!</v>
      </c>
      <c r="W388" s="11" t="e">
        <f>Sales4[[#This Row],[Gross Margin]]/Sales4[[#This Row],[Net Value]]</f>
        <v>#REF!</v>
      </c>
      <c r="X388" s="1" t="str">
        <f>TEXT(Sales4[[#This Row],[Billing Date]],"mmmm-yy")</f>
        <v>September-25</v>
      </c>
      <c r="Y388" s="1">
        <f>Sales4[[#This Row],[Net Value]]/Sales4[[#This Row],[Billed Quantity]]</f>
        <v>483.16</v>
      </c>
      <c r="Z388" s="117">
        <f>Sales4[[#This Row],[Actual delivery qty]]</f>
        <v>175</v>
      </c>
      <c r="AA388" s="12" t="e">
        <f>SUM(Sales4[[#This Row],[BOM Cost]:[Other Conversion cost pu]])</f>
        <v>#REF!</v>
      </c>
      <c r="AB38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8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88" s="12">
        <f>IFERROR(VLOOKUP(Sales4[[#This Row],[Material]],'COGS Break up'!#REF!,5,0),0)</f>
        <v>0</v>
      </c>
      <c r="AE38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88" s="48" t="e">
        <f>Sales4[[#This Row],[PGI per unit]]-Sales4[[#This Row],[BOM Cost]]-Sales4[[#This Row],[Labour cost per unit]]-Sales4[[#This Row],[Other Conversion cost pu]]</f>
        <v>#REF!</v>
      </c>
      <c r="AG388" s="48" t="e">
        <f>Sales4[[#This Row],[BOM Cost2]]+Sales4[[#This Row],[Labour Cost]]+Sales4[[#This Row],[Other conversion cost]]</f>
        <v>#REF!</v>
      </c>
      <c r="AH388" s="12" t="e">
        <f>Sales4[[#This Row],[Billed Quantity]]*Sales4[[#This Row],[BOM Cost]]</f>
        <v>#REF!</v>
      </c>
      <c r="AI388" s="12" t="e">
        <f>Sales4[[#This Row],[Billed Quantity]]*Sales4[[#This Row],[Labour cost per unit]]</f>
        <v>#REF!</v>
      </c>
      <c r="AJ388" s="12">
        <f>Sales4[[#This Row],[Droppage per unit]]*Sales4[[#This Row],[Billed Quantity]]</f>
        <v>0</v>
      </c>
      <c r="AK388" s="12" t="e">
        <f>Sales4[[#This Row],[Billed Quantity]]*Sales4[[#This Row],[Other Conversion cost pu]]</f>
        <v>#REF!</v>
      </c>
      <c r="AL388" s="48" t="e">
        <f>Sales4[[#This Row],[PGI Amount]]-Sales4[[#This Row],[BOM Cost2]]-Sales4[[#This Row],[Labour Cost]]-Sales4[[#This Row],[Other conversion cost]]</f>
        <v>#REF!</v>
      </c>
      <c r="AM388" s="121" t="e">
        <f>1-Sales4[[#This Row],[PGI COST]]/Sales4[[#This Row],[Net Value]]</f>
        <v>#REF!</v>
      </c>
      <c r="AN388" s="1">
        <f>Sales4[[#This Row],[PGI Amount]]/Sales4[[#This Row],[Billed Quantity]]</f>
        <v>424.43</v>
      </c>
      <c r="AO388" s="72" t="e">
        <f>SUMIFS('COGS Break up'!#REF!,'COGS Break up'!#REF!,Sales4[[#This Row],[Material]],'COGS Break up'!#REF!,'MIS Working'!$AO$1)</f>
        <v>#REF!</v>
      </c>
      <c r="AP388" s="72" t="e">
        <f>SUMIFS('COGS Break up'!#REF!,'COGS Break up'!#REF!,Sales4[[#This Row],[Material]],'COGS Break up'!#REF!,'MIS Working'!$AP$1)</f>
        <v>#REF!</v>
      </c>
      <c r="AQ388" s="72" t="e">
        <f>SUMIFS('COGS Break up'!#REF!,'COGS Break up'!#REF!,Sales4[[#This Row],[Material]],'COGS Break up'!#REF!,'MIS Working'!$AQ$1)</f>
        <v>#REF!</v>
      </c>
      <c r="AR388" s="72">
        <f>Sales4[[#This Row],[Droppage per unit]]</f>
        <v>0</v>
      </c>
      <c r="AS388" s="15" t="e">
        <f>AO388*Sales4[[#This Row],[Billed Quantity]]</f>
        <v>#REF!</v>
      </c>
      <c r="AT388" s="72" t="e">
        <f>AP388*Sales4[[#This Row],[Billed Quantity]]</f>
        <v>#REF!</v>
      </c>
      <c r="AU388" s="72" t="e">
        <f>AQ388*Sales4[[#This Row],[Billed Quantity]]</f>
        <v>#REF!</v>
      </c>
      <c r="AV388" s="72">
        <f>AR388*Sales4[[#This Row],[Billed Quantity]]</f>
        <v>0</v>
      </c>
    </row>
    <row r="389" spans="1:48" x14ac:dyDescent="0.3">
      <c r="A389" s="1" t="s">
        <v>479</v>
      </c>
      <c r="B389" s="2">
        <v>45905</v>
      </c>
      <c r="C389" s="1">
        <v>3271267227</v>
      </c>
      <c r="D389" s="1" t="s">
        <v>23</v>
      </c>
      <c r="E389" s="1" t="s">
        <v>24</v>
      </c>
      <c r="F389" s="1" t="s">
        <v>18</v>
      </c>
      <c r="G389" s="1" t="s">
        <v>19</v>
      </c>
      <c r="H389" s="1" t="s">
        <v>27</v>
      </c>
      <c r="I389" s="3">
        <v>525</v>
      </c>
      <c r="J389" s="4">
        <v>222825.75</v>
      </c>
      <c r="K389" s="3">
        <v>525</v>
      </c>
      <c r="L389" s="3">
        <v>525</v>
      </c>
      <c r="M389" s="2">
        <v>45905</v>
      </c>
      <c r="N389" s="4">
        <v>253659</v>
      </c>
      <c r="O389" s="1" t="s">
        <v>21</v>
      </c>
      <c r="P389" s="1" t="s">
        <v>22</v>
      </c>
      <c r="Q389" s="1">
        <v>1</v>
      </c>
      <c r="R389" s="1" t="str">
        <f>VLOOKUP(Sales4[[#This Row],[Material type]],Master!$H$3:$I$8,2,0)</f>
        <v>Finished Goods</v>
      </c>
      <c r="S389" s="1" t="str">
        <f>VLOOKUP(Sales4[[#This Row],[Material Group]],Master!B:C,2,0)</f>
        <v>FG-PCB-CF</v>
      </c>
      <c r="T389" s="1" t="str">
        <f>VLOOKUP(Sales4[[#This Row],[Material Group Descrip]],Master!E:F,2,0)</f>
        <v>FG-PCB-CF</v>
      </c>
      <c r="U389" s="9" t="b">
        <f ca="1">(TODAY()-1)=Sales4[[#This Row],[Billing Date]]</f>
        <v>0</v>
      </c>
      <c r="V389" s="10" t="e">
        <f>Sales4[[#This Row],[Net Value]]-Sales4[[#This Row],[PGI COST]]</f>
        <v>#REF!</v>
      </c>
      <c r="W389" s="11" t="e">
        <f>Sales4[[#This Row],[Gross Margin]]/Sales4[[#This Row],[Net Value]]</f>
        <v>#REF!</v>
      </c>
      <c r="X389" s="1" t="str">
        <f>TEXT(Sales4[[#This Row],[Billing Date]],"mmmm-yy")</f>
        <v>September-25</v>
      </c>
      <c r="Y389" s="1">
        <f>Sales4[[#This Row],[Net Value]]/Sales4[[#This Row],[Billed Quantity]]</f>
        <v>483.16</v>
      </c>
      <c r="Z389" s="117">
        <f>Sales4[[#This Row],[Actual delivery qty]]</f>
        <v>525</v>
      </c>
      <c r="AA389" s="12" t="e">
        <f>SUM(Sales4[[#This Row],[BOM Cost]:[Other Conversion cost pu]])</f>
        <v>#REF!</v>
      </c>
      <c r="AB38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8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89" s="12">
        <f>IFERROR(VLOOKUP(Sales4[[#This Row],[Material]],'COGS Break up'!#REF!,5,0),0)</f>
        <v>0</v>
      </c>
      <c r="AE38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89" s="48" t="e">
        <f>Sales4[[#This Row],[PGI per unit]]-Sales4[[#This Row],[BOM Cost]]-Sales4[[#This Row],[Labour cost per unit]]-Sales4[[#This Row],[Other Conversion cost pu]]</f>
        <v>#REF!</v>
      </c>
      <c r="AG389" s="48" t="e">
        <f>Sales4[[#This Row],[BOM Cost2]]+Sales4[[#This Row],[Labour Cost]]+Sales4[[#This Row],[Other conversion cost]]</f>
        <v>#REF!</v>
      </c>
      <c r="AH389" s="12" t="e">
        <f>Sales4[[#This Row],[Billed Quantity]]*Sales4[[#This Row],[BOM Cost]]</f>
        <v>#REF!</v>
      </c>
      <c r="AI389" s="12" t="e">
        <f>Sales4[[#This Row],[Billed Quantity]]*Sales4[[#This Row],[Labour cost per unit]]</f>
        <v>#REF!</v>
      </c>
      <c r="AJ389" s="12">
        <f>Sales4[[#This Row],[Droppage per unit]]*Sales4[[#This Row],[Billed Quantity]]</f>
        <v>0</v>
      </c>
      <c r="AK389" s="12" t="e">
        <f>Sales4[[#This Row],[Billed Quantity]]*Sales4[[#This Row],[Other Conversion cost pu]]</f>
        <v>#REF!</v>
      </c>
      <c r="AL389" s="48" t="e">
        <f>Sales4[[#This Row],[PGI Amount]]-Sales4[[#This Row],[BOM Cost2]]-Sales4[[#This Row],[Labour Cost]]-Sales4[[#This Row],[Other conversion cost]]</f>
        <v>#REF!</v>
      </c>
      <c r="AM389" s="121" t="e">
        <f>1-Sales4[[#This Row],[PGI COST]]/Sales4[[#This Row],[Net Value]]</f>
        <v>#REF!</v>
      </c>
      <c r="AN389" s="1">
        <f>Sales4[[#This Row],[PGI Amount]]/Sales4[[#This Row],[Billed Quantity]]</f>
        <v>424.43</v>
      </c>
      <c r="AO389" s="72" t="e">
        <f>SUMIFS('COGS Break up'!#REF!,'COGS Break up'!#REF!,Sales4[[#This Row],[Material]],'COGS Break up'!#REF!,'MIS Working'!$AO$1)</f>
        <v>#REF!</v>
      </c>
      <c r="AP389" s="72" t="e">
        <f>SUMIFS('COGS Break up'!#REF!,'COGS Break up'!#REF!,Sales4[[#This Row],[Material]],'COGS Break up'!#REF!,'MIS Working'!$AP$1)</f>
        <v>#REF!</v>
      </c>
      <c r="AQ389" s="72" t="e">
        <f>SUMIFS('COGS Break up'!#REF!,'COGS Break up'!#REF!,Sales4[[#This Row],[Material]],'COGS Break up'!#REF!,'MIS Working'!$AQ$1)</f>
        <v>#REF!</v>
      </c>
      <c r="AR389" s="72">
        <f>Sales4[[#This Row],[Droppage per unit]]</f>
        <v>0</v>
      </c>
      <c r="AS389" s="15" t="e">
        <f>AO389*Sales4[[#This Row],[Billed Quantity]]</f>
        <v>#REF!</v>
      </c>
      <c r="AT389" s="72" t="e">
        <f>AP389*Sales4[[#This Row],[Billed Quantity]]</f>
        <v>#REF!</v>
      </c>
      <c r="AU389" s="72" t="e">
        <f>AQ389*Sales4[[#This Row],[Billed Quantity]]</f>
        <v>#REF!</v>
      </c>
      <c r="AV389" s="72">
        <f>AR389*Sales4[[#This Row],[Billed Quantity]]</f>
        <v>0</v>
      </c>
    </row>
    <row r="390" spans="1:48" x14ac:dyDescent="0.3">
      <c r="A390" s="1" t="s">
        <v>479</v>
      </c>
      <c r="B390" s="2">
        <v>45905</v>
      </c>
      <c r="C390" s="1">
        <v>3271267387</v>
      </c>
      <c r="D390" s="1" t="s">
        <v>362</v>
      </c>
      <c r="E390" s="1" t="s">
        <v>363</v>
      </c>
      <c r="F390" s="1" t="s">
        <v>18</v>
      </c>
      <c r="G390" s="1" t="s">
        <v>19</v>
      </c>
      <c r="H390" s="1" t="s">
        <v>483</v>
      </c>
      <c r="I390" s="3">
        <v>455</v>
      </c>
      <c r="J390" s="4">
        <v>333565.05</v>
      </c>
      <c r="K390" s="3">
        <v>455</v>
      </c>
      <c r="L390" s="3">
        <v>455</v>
      </c>
      <c r="M390" s="2">
        <v>45905</v>
      </c>
      <c r="N390" s="4">
        <v>392319.2</v>
      </c>
      <c r="O390" s="1" t="s">
        <v>21</v>
      </c>
      <c r="P390" s="1" t="s">
        <v>22</v>
      </c>
      <c r="Q390" s="1">
        <v>1</v>
      </c>
      <c r="R390" s="1" t="str">
        <f>VLOOKUP(Sales4[[#This Row],[Material type]],Master!$H$3:$I$8,2,0)</f>
        <v>Finished Goods</v>
      </c>
      <c r="S390" s="1" t="str">
        <f>VLOOKUP(Sales4[[#This Row],[Material Group]],Master!B:C,2,0)</f>
        <v>FG-PCB-MG</v>
      </c>
      <c r="T390" s="1" t="str">
        <f>VLOOKUP(Sales4[[#This Row],[Material Group Descrip]],Master!E:F,2,0)</f>
        <v>FG-PCB-MG</v>
      </c>
      <c r="U390" s="9" t="b">
        <f ca="1">(TODAY()-1)=Sales4[[#This Row],[Billing Date]]</f>
        <v>0</v>
      </c>
      <c r="V390" s="10" t="e">
        <f>Sales4[[#This Row],[Net Value]]-Sales4[[#This Row],[PGI COST]]</f>
        <v>#REF!</v>
      </c>
      <c r="W390" s="11" t="e">
        <f>Sales4[[#This Row],[Gross Margin]]/Sales4[[#This Row],[Net Value]]</f>
        <v>#REF!</v>
      </c>
      <c r="X390" s="1" t="str">
        <f>TEXT(Sales4[[#This Row],[Billing Date]],"mmmm-yy")</f>
        <v>September-25</v>
      </c>
      <c r="Y390" s="1">
        <f>Sales4[[#This Row],[Net Value]]/Sales4[[#This Row],[Billed Quantity]]</f>
        <v>862.24</v>
      </c>
      <c r="Z390" s="117">
        <f>Sales4[[#This Row],[Actual delivery qty]]</f>
        <v>455</v>
      </c>
      <c r="AA390" s="12" t="e">
        <f>SUM(Sales4[[#This Row],[BOM Cost]:[Other Conversion cost pu]])</f>
        <v>#REF!</v>
      </c>
      <c r="AB39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9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90" s="12">
        <f>IFERROR(VLOOKUP(Sales4[[#This Row],[Material]],'COGS Break up'!#REF!,5,0),0)</f>
        <v>0</v>
      </c>
      <c r="AE39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90" s="48" t="e">
        <f>Sales4[[#This Row],[PGI per unit]]-Sales4[[#This Row],[BOM Cost]]-Sales4[[#This Row],[Labour cost per unit]]-Sales4[[#This Row],[Other Conversion cost pu]]</f>
        <v>#REF!</v>
      </c>
      <c r="AG390" s="48" t="e">
        <f>Sales4[[#This Row],[BOM Cost2]]+Sales4[[#This Row],[Labour Cost]]+Sales4[[#This Row],[Other conversion cost]]</f>
        <v>#REF!</v>
      </c>
      <c r="AH390" s="12" t="e">
        <f>Sales4[[#This Row],[Billed Quantity]]*Sales4[[#This Row],[BOM Cost]]</f>
        <v>#REF!</v>
      </c>
      <c r="AI390" s="12" t="e">
        <f>Sales4[[#This Row],[Billed Quantity]]*Sales4[[#This Row],[Labour cost per unit]]</f>
        <v>#REF!</v>
      </c>
      <c r="AJ390" s="12">
        <f>Sales4[[#This Row],[Droppage per unit]]*Sales4[[#This Row],[Billed Quantity]]</f>
        <v>0</v>
      </c>
      <c r="AK390" s="12" t="e">
        <f>Sales4[[#This Row],[Billed Quantity]]*Sales4[[#This Row],[Other Conversion cost pu]]</f>
        <v>#REF!</v>
      </c>
      <c r="AL390" s="48" t="e">
        <f>Sales4[[#This Row],[PGI Amount]]-Sales4[[#This Row],[BOM Cost2]]-Sales4[[#This Row],[Labour Cost]]-Sales4[[#This Row],[Other conversion cost]]</f>
        <v>#REF!</v>
      </c>
      <c r="AM390" s="121" t="e">
        <f>1-Sales4[[#This Row],[PGI COST]]/Sales4[[#This Row],[Net Value]]</f>
        <v>#REF!</v>
      </c>
      <c r="AN390" s="1">
        <f>Sales4[[#This Row],[PGI Amount]]/Sales4[[#This Row],[Billed Quantity]]</f>
        <v>733.11</v>
      </c>
      <c r="AO390" s="72" t="e">
        <f>SUMIFS('COGS Break up'!#REF!,'COGS Break up'!#REF!,Sales4[[#This Row],[Material]],'COGS Break up'!#REF!,'MIS Working'!$AO$1)</f>
        <v>#REF!</v>
      </c>
      <c r="AP390" s="72" t="e">
        <f>SUMIFS('COGS Break up'!#REF!,'COGS Break up'!#REF!,Sales4[[#This Row],[Material]],'COGS Break up'!#REF!,'MIS Working'!$AP$1)</f>
        <v>#REF!</v>
      </c>
      <c r="AQ390" s="72" t="e">
        <f>SUMIFS('COGS Break up'!#REF!,'COGS Break up'!#REF!,Sales4[[#This Row],[Material]],'COGS Break up'!#REF!,'MIS Working'!$AQ$1)</f>
        <v>#REF!</v>
      </c>
      <c r="AR390" s="72">
        <f>Sales4[[#This Row],[Droppage per unit]]</f>
        <v>0</v>
      </c>
      <c r="AS390" s="15" t="e">
        <f>AO390*Sales4[[#This Row],[Billed Quantity]]</f>
        <v>#REF!</v>
      </c>
      <c r="AT390" s="72" t="e">
        <f>AP390*Sales4[[#This Row],[Billed Quantity]]</f>
        <v>#REF!</v>
      </c>
      <c r="AU390" s="72" t="e">
        <f>AQ390*Sales4[[#This Row],[Billed Quantity]]</f>
        <v>#REF!</v>
      </c>
      <c r="AV390" s="72">
        <f>AR390*Sales4[[#This Row],[Billed Quantity]]</f>
        <v>0</v>
      </c>
    </row>
    <row r="391" spans="1:48" x14ac:dyDescent="0.3">
      <c r="A391" s="1" t="s">
        <v>479</v>
      </c>
      <c r="B391" s="2">
        <v>45905</v>
      </c>
      <c r="C391" s="1">
        <v>3271267213</v>
      </c>
      <c r="D391" s="1" t="s">
        <v>362</v>
      </c>
      <c r="E391" s="1" t="s">
        <v>363</v>
      </c>
      <c r="F391" s="1" t="s">
        <v>18</v>
      </c>
      <c r="G391" s="1" t="s">
        <v>19</v>
      </c>
      <c r="H391" s="1" t="s">
        <v>483</v>
      </c>
      <c r="I391" s="3">
        <v>805</v>
      </c>
      <c r="J391" s="4">
        <v>590153.55000000005</v>
      </c>
      <c r="K391" s="3">
        <v>805</v>
      </c>
      <c r="L391" s="3">
        <v>805</v>
      </c>
      <c r="M391" s="2">
        <v>45905</v>
      </c>
      <c r="N391" s="4">
        <v>694103.2</v>
      </c>
      <c r="O391" s="1" t="s">
        <v>21</v>
      </c>
      <c r="P391" s="1" t="s">
        <v>22</v>
      </c>
      <c r="Q391" s="1">
        <v>1</v>
      </c>
      <c r="R391" s="1" t="str">
        <f>VLOOKUP(Sales4[[#This Row],[Material type]],Master!$H$3:$I$8,2,0)</f>
        <v>Finished Goods</v>
      </c>
      <c r="S391" s="1" t="str">
        <f>VLOOKUP(Sales4[[#This Row],[Material Group]],Master!B:C,2,0)</f>
        <v>FG-PCB-MG</v>
      </c>
      <c r="T391" s="1" t="str">
        <f>VLOOKUP(Sales4[[#This Row],[Material Group Descrip]],Master!E:F,2,0)</f>
        <v>FG-PCB-MG</v>
      </c>
      <c r="U391" s="9" t="b">
        <f ca="1">(TODAY()-1)=Sales4[[#This Row],[Billing Date]]</f>
        <v>0</v>
      </c>
      <c r="V391" s="10" t="e">
        <f>Sales4[[#This Row],[Net Value]]-Sales4[[#This Row],[PGI COST]]</f>
        <v>#REF!</v>
      </c>
      <c r="W391" s="11" t="e">
        <f>Sales4[[#This Row],[Gross Margin]]/Sales4[[#This Row],[Net Value]]</f>
        <v>#REF!</v>
      </c>
      <c r="X391" s="1" t="str">
        <f>TEXT(Sales4[[#This Row],[Billing Date]],"mmmm-yy")</f>
        <v>September-25</v>
      </c>
      <c r="Y391" s="1">
        <f>Sales4[[#This Row],[Net Value]]/Sales4[[#This Row],[Billed Quantity]]</f>
        <v>862.2399999999999</v>
      </c>
      <c r="Z391" s="117">
        <f>Sales4[[#This Row],[Actual delivery qty]]</f>
        <v>805</v>
      </c>
      <c r="AA391" s="12" t="e">
        <f>SUM(Sales4[[#This Row],[BOM Cost]:[Other Conversion cost pu]])</f>
        <v>#REF!</v>
      </c>
      <c r="AB39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9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91" s="12">
        <f>IFERROR(VLOOKUP(Sales4[[#This Row],[Material]],'COGS Break up'!#REF!,5,0),0)</f>
        <v>0</v>
      </c>
      <c r="AE39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91" s="48" t="e">
        <f>Sales4[[#This Row],[PGI per unit]]-Sales4[[#This Row],[BOM Cost]]-Sales4[[#This Row],[Labour cost per unit]]-Sales4[[#This Row],[Other Conversion cost pu]]</f>
        <v>#REF!</v>
      </c>
      <c r="AG391" s="48" t="e">
        <f>Sales4[[#This Row],[BOM Cost2]]+Sales4[[#This Row],[Labour Cost]]+Sales4[[#This Row],[Other conversion cost]]</f>
        <v>#REF!</v>
      </c>
      <c r="AH391" s="12" t="e">
        <f>Sales4[[#This Row],[Billed Quantity]]*Sales4[[#This Row],[BOM Cost]]</f>
        <v>#REF!</v>
      </c>
      <c r="AI391" s="12" t="e">
        <f>Sales4[[#This Row],[Billed Quantity]]*Sales4[[#This Row],[Labour cost per unit]]</f>
        <v>#REF!</v>
      </c>
      <c r="AJ391" s="12">
        <f>Sales4[[#This Row],[Droppage per unit]]*Sales4[[#This Row],[Billed Quantity]]</f>
        <v>0</v>
      </c>
      <c r="AK391" s="12" t="e">
        <f>Sales4[[#This Row],[Billed Quantity]]*Sales4[[#This Row],[Other Conversion cost pu]]</f>
        <v>#REF!</v>
      </c>
      <c r="AL391" s="48" t="e">
        <f>Sales4[[#This Row],[PGI Amount]]-Sales4[[#This Row],[BOM Cost2]]-Sales4[[#This Row],[Labour Cost]]-Sales4[[#This Row],[Other conversion cost]]</f>
        <v>#REF!</v>
      </c>
      <c r="AM391" s="121" t="e">
        <f>1-Sales4[[#This Row],[PGI COST]]/Sales4[[#This Row],[Net Value]]</f>
        <v>#REF!</v>
      </c>
      <c r="AN391" s="1">
        <f>Sales4[[#This Row],[PGI Amount]]/Sales4[[#This Row],[Billed Quantity]]</f>
        <v>733.11</v>
      </c>
      <c r="AO391" s="72" t="e">
        <f>SUMIFS('COGS Break up'!#REF!,'COGS Break up'!#REF!,Sales4[[#This Row],[Material]],'COGS Break up'!#REF!,'MIS Working'!$AO$1)</f>
        <v>#REF!</v>
      </c>
      <c r="AP391" s="72" t="e">
        <f>SUMIFS('COGS Break up'!#REF!,'COGS Break up'!#REF!,Sales4[[#This Row],[Material]],'COGS Break up'!#REF!,'MIS Working'!$AP$1)</f>
        <v>#REF!</v>
      </c>
      <c r="AQ391" s="72" t="e">
        <f>SUMIFS('COGS Break up'!#REF!,'COGS Break up'!#REF!,Sales4[[#This Row],[Material]],'COGS Break up'!#REF!,'MIS Working'!$AQ$1)</f>
        <v>#REF!</v>
      </c>
      <c r="AR391" s="72">
        <f>Sales4[[#This Row],[Droppage per unit]]</f>
        <v>0</v>
      </c>
      <c r="AS391" s="15" t="e">
        <f>AO391*Sales4[[#This Row],[Billed Quantity]]</f>
        <v>#REF!</v>
      </c>
      <c r="AT391" s="72" t="e">
        <f>AP391*Sales4[[#This Row],[Billed Quantity]]</f>
        <v>#REF!</v>
      </c>
      <c r="AU391" s="72" t="e">
        <f>AQ391*Sales4[[#This Row],[Billed Quantity]]</f>
        <v>#REF!</v>
      </c>
      <c r="AV391" s="72">
        <f>AR391*Sales4[[#This Row],[Billed Quantity]]</f>
        <v>0</v>
      </c>
    </row>
    <row r="392" spans="1:48" x14ac:dyDescent="0.3">
      <c r="A392" s="1" t="s">
        <v>479</v>
      </c>
      <c r="B392" s="2">
        <v>45905</v>
      </c>
      <c r="C392" s="1">
        <v>3271267213</v>
      </c>
      <c r="D392" s="1" t="s">
        <v>364</v>
      </c>
      <c r="E392" s="1" t="s">
        <v>365</v>
      </c>
      <c r="F392" s="1" t="s">
        <v>18</v>
      </c>
      <c r="G392" s="1" t="s">
        <v>19</v>
      </c>
      <c r="H392" s="1" t="s">
        <v>771</v>
      </c>
      <c r="I392" s="3">
        <v>455</v>
      </c>
      <c r="J392" s="4">
        <v>49608.65</v>
      </c>
      <c r="K392" s="3">
        <v>455</v>
      </c>
      <c r="L392" s="3">
        <v>455</v>
      </c>
      <c r="M392" s="2">
        <v>45905</v>
      </c>
      <c r="N392" s="4">
        <v>46064.2</v>
      </c>
      <c r="O392" s="1" t="s">
        <v>21</v>
      </c>
      <c r="P392" s="1" t="s">
        <v>22</v>
      </c>
      <c r="Q392" s="1">
        <v>1</v>
      </c>
      <c r="R392" s="1" t="str">
        <f>VLOOKUP(Sales4[[#This Row],[Material type]],Master!$H$3:$I$8,2,0)</f>
        <v>Finished Goods</v>
      </c>
      <c r="S392" s="1" t="str">
        <f>VLOOKUP(Sales4[[#This Row],[Material Group]],Master!B:C,2,0)</f>
        <v>FG-PCB-MG Interface</v>
      </c>
      <c r="T392" s="1" t="str">
        <f>VLOOKUP(Sales4[[#This Row],[Material Group Descrip]],Master!E:F,2,0)</f>
        <v>FG-PCB-MG</v>
      </c>
      <c r="U392" s="9" t="b">
        <f ca="1">(TODAY()-1)=Sales4[[#This Row],[Billing Date]]</f>
        <v>0</v>
      </c>
      <c r="V392" s="10" t="e">
        <f>Sales4[[#This Row],[Net Value]]-Sales4[[#This Row],[PGI COST]]</f>
        <v>#REF!</v>
      </c>
      <c r="W392" s="11" t="e">
        <f>Sales4[[#This Row],[Gross Margin]]/Sales4[[#This Row],[Net Value]]</f>
        <v>#REF!</v>
      </c>
      <c r="X392" s="1" t="str">
        <f>TEXT(Sales4[[#This Row],[Billing Date]],"mmmm-yy")</f>
        <v>September-25</v>
      </c>
      <c r="Y392" s="1">
        <f>Sales4[[#This Row],[Net Value]]/Sales4[[#This Row],[Billed Quantity]]</f>
        <v>101.24</v>
      </c>
      <c r="Z392" s="117"/>
      <c r="AA392" s="12" t="e">
        <f>SUM(Sales4[[#This Row],[BOM Cost]:[Other Conversion cost pu]])</f>
        <v>#REF!</v>
      </c>
      <c r="AB39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9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92" s="12">
        <f>IFERROR(VLOOKUP(Sales4[[#This Row],[Material]],'COGS Break up'!#REF!,5,0),0)</f>
        <v>0</v>
      </c>
      <c r="AE39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92" s="48" t="e">
        <f>Sales4[[#This Row],[PGI per unit]]-Sales4[[#This Row],[BOM Cost]]-Sales4[[#This Row],[Labour cost per unit]]-Sales4[[#This Row],[Other Conversion cost pu]]</f>
        <v>#REF!</v>
      </c>
      <c r="AG392" s="48" t="e">
        <f>Sales4[[#This Row],[BOM Cost2]]+Sales4[[#This Row],[Labour Cost]]+Sales4[[#This Row],[Other conversion cost]]</f>
        <v>#REF!</v>
      </c>
      <c r="AH392" s="12" t="e">
        <f>Sales4[[#This Row],[Billed Quantity]]*Sales4[[#This Row],[BOM Cost]]</f>
        <v>#REF!</v>
      </c>
      <c r="AI392" s="12" t="e">
        <f>Sales4[[#This Row],[Billed Quantity]]*Sales4[[#This Row],[Labour cost per unit]]</f>
        <v>#REF!</v>
      </c>
      <c r="AJ392" s="12">
        <f>Sales4[[#This Row],[Droppage per unit]]*Sales4[[#This Row],[Billed Quantity]]</f>
        <v>0</v>
      </c>
      <c r="AK392" s="12" t="e">
        <f>Sales4[[#This Row],[Billed Quantity]]*Sales4[[#This Row],[Other Conversion cost pu]]</f>
        <v>#REF!</v>
      </c>
      <c r="AL392" s="48" t="e">
        <f>Sales4[[#This Row],[PGI Amount]]-Sales4[[#This Row],[BOM Cost2]]-Sales4[[#This Row],[Labour Cost]]-Sales4[[#This Row],[Other conversion cost]]</f>
        <v>#REF!</v>
      </c>
      <c r="AM392" s="121" t="e">
        <f>1-Sales4[[#This Row],[PGI COST]]/Sales4[[#This Row],[Net Value]]</f>
        <v>#REF!</v>
      </c>
      <c r="AN392" s="1">
        <f>Sales4[[#This Row],[PGI Amount]]/Sales4[[#This Row],[Billed Quantity]]</f>
        <v>109.03</v>
      </c>
      <c r="AO392" s="72" t="e">
        <f>SUMIFS('COGS Break up'!#REF!,'COGS Break up'!#REF!,Sales4[[#This Row],[Material]],'COGS Break up'!#REF!,'MIS Working'!$AO$1)</f>
        <v>#REF!</v>
      </c>
      <c r="AP392" s="72" t="e">
        <f>SUMIFS('COGS Break up'!#REF!,'COGS Break up'!#REF!,Sales4[[#This Row],[Material]],'COGS Break up'!#REF!,'MIS Working'!$AP$1)</f>
        <v>#REF!</v>
      </c>
      <c r="AQ392" s="72" t="e">
        <f>SUMIFS('COGS Break up'!#REF!,'COGS Break up'!#REF!,Sales4[[#This Row],[Material]],'COGS Break up'!#REF!,'MIS Working'!$AQ$1)</f>
        <v>#REF!</v>
      </c>
      <c r="AR392" s="72">
        <f>Sales4[[#This Row],[Droppage per unit]]</f>
        <v>0</v>
      </c>
      <c r="AS392" s="15" t="e">
        <f>AO392*Sales4[[#This Row],[Billed Quantity]]</f>
        <v>#REF!</v>
      </c>
      <c r="AT392" s="72" t="e">
        <f>AP392*Sales4[[#This Row],[Billed Quantity]]</f>
        <v>#REF!</v>
      </c>
      <c r="AU392" s="72" t="e">
        <f>AQ392*Sales4[[#This Row],[Billed Quantity]]</f>
        <v>#REF!</v>
      </c>
      <c r="AV392" s="72">
        <f>AR392*Sales4[[#This Row],[Billed Quantity]]</f>
        <v>0</v>
      </c>
    </row>
    <row r="393" spans="1:48" x14ac:dyDescent="0.3">
      <c r="A393" s="1" t="s">
        <v>479</v>
      </c>
      <c r="B393" s="2">
        <v>45905</v>
      </c>
      <c r="C393" s="1">
        <v>3271267641</v>
      </c>
      <c r="D393" s="1" t="s">
        <v>46</v>
      </c>
      <c r="E393" s="1" t="s">
        <v>47</v>
      </c>
      <c r="F393" s="1" t="s">
        <v>18</v>
      </c>
      <c r="G393" s="1" t="s">
        <v>19</v>
      </c>
      <c r="H393" s="1" t="s">
        <v>27</v>
      </c>
      <c r="I393" s="3">
        <v>1050</v>
      </c>
      <c r="J393" s="4">
        <v>345901.5</v>
      </c>
      <c r="K393" s="3">
        <v>1050</v>
      </c>
      <c r="L393" s="3">
        <v>1050</v>
      </c>
      <c r="M393" s="2">
        <v>45905</v>
      </c>
      <c r="N393" s="4">
        <v>376204.5</v>
      </c>
      <c r="O393" s="1" t="s">
        <v>21</v>
      </c>
      <c r="P393" s="1" t="s">
        <v>22</v>
      </c>
      <c r="Q393" s="1">
        <v>1</v>
      </c>
      <c r="R393" s="1" t="str">
        <f>VLOOKUP(Sales4[[#This Row],[Material type]],Master!$H$3:$I$8,2,0)</f>
        <v>Finished Goods</v>
      </c>
      <c r="S393" s="1" t="str">
        <f>VLOOKUP(Sales4[[#This Row],[Material Group]],Master!B:C,2,0)</f>
        <v>FG-PCB-CF</v>
      </c>
      <c r="T393" s="1" t="str">
        <f>VLOOKUP(Sales4[[#This Row],[Material Group Descrip]],Master!E:F,2,0)</f>
        <v>FG-PCB-CF</v>
      </c>
      <c r="U393" s="9" t="b">
        <f ca="1">(TODAY()-1)=Sales4[[#This Row],[Billing Date]]</f>
        <v>0</v>
      </c>
      <c r="V393" s="10" t="e">
        <f>Sales4[[#This Row],[Net Value]]-Sales4[[#This Row],[PGI COST]]</f>
        <v>#REF!</v>
      </c>
      <c r="W393" s="11" t="e">
        <f>Sales4[[#This Row],[Gross Margin]]/Sales4[[#This Row],[Net Value]]</f>
        <v>#REF!</v>
      </c>
      <c r="X393" s="1" t="str">
        <f>TEXT(Sales4[[#This Row],[Billing Date]],"mmmm-yy")</f>
        <v>September-25</v>
      </c>
      <c r="Y393" s="1">
        <f>Sales4[[#This Row],[Net Value]]/Sales4[[#This Row],[Billed Quantity]]</f>
        <v>358.29</v>
      </c>
      <c r="Z393" s="117">
        <f>Sales4[[#This Row],[Actual delivery qty]]</f>
        <v>1050</v>
      </c>
      <c r="AA393" s="12" t="e">
        <f>SUM(Sales4[[#This Row],[BOM Cost]:[Other Conversion cost pu]])</f>
        <v>#REF!</v>
      </c>
      <c r="AB39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9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93" s="12">
        <f>IFERROR(VLOOKUP(Sales4[[#This Row],[Material]],'COGS Break up'!#REF!,5,0),0)</f>
        <v>0</v>
      </c>
      <c r="AE39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93" s="48" t="e">
        <f>Sales4[[#This Row],[PGI per unit]]-Sales4[[#This Row],[BOM Cost]]-Sales4[[#This Row],[Labour cost per unit]]-Sales4[[#This Row],[Other Conversion cost pu]]</f>
        <v>#REF!</v>
      </c>
      <c r="AG393" s="48" t="e">
        <f>Sales4[[#This Row],[BOM Cost2]]+Sales4[[#This Row],[Labour Cost]]+Sales4[[#This Row],[Other conversion cost]]</f>
        <v>#REF!</v>
      </c>
      <c r="AH393" s="12" t="e">
        <f>Sales4[[#This Row],[Billed Quantity]]*Sales4[[#This Row],[BOM Cost]]</f>
        <v>#REF!</v>
      </c>
      <c r="AI393" s="12" t="e">
        <f>Sales4[[#This Row],[Billed Quantity]]*Sales4[[#This Row],[Labour cost per unit]]</f>
        <v>#REF!</v>
      </c>
      <c r="AJ393" s="12">
        <f>Sales4[[#This Row],[Droppage per unit]]*Sales4[[#This Row],[Billed Quantity]]</f>
        <v>0</v>
      </c>
      <c r="AK393" s="12" t="e">
        <f>Sales4[[#This Row],[Billed Quantity]]*Sales4[[#This Row],[Other Conversion cost pu]]</f>
        <v>#REF!</v>
      </c>
      <c r="AL393" s="48" t="e">
        <f>Sales4[[#This Row],[PGI Amount]]-Sales4[[#This Row],[BOM Cost2]]-Sales4[[#This Row],[Labour Cost]]-Sales4[[#This Row],[Other conversion cost]]</f>
        <v>#REF!</v>
      </c>
      <c r="AM393" s="121" t="e">
        <f>1-Sales4[[#This Row],[PGI COST]]/Sales4[[#This Row],[Net Value]]</f>
        <v>#REF!</v>
      </c>
      <c r="AN393" s="1">
        <f>Sales4[[#This Row],[PGI Amount]]/Sales4[[#This Row],[Billed Quantity]]</f>
        <v>329.43</v>
      </c>
      <c r="AO393" s="72" t="e">
        <f>SUMIFS('COGS Break up'!#REF!,'COGS Break up'!#REF!,Sales4[[#This Row],[Material]],'COGS Break up'!#REF!,'MIS Working'!$AO$1)</f>
        <v>#REF!</v>
      </c>
      <c r="AP393" s="72" t="e">
        <f>SUMIFS('COGS Break up'!#REF!,'COGS Break up'!#REF!,Sales4[[#This Row],[Material]],'COGS Break up'!#REF!,'MIS Working'!$AP$1)</f>
        <v>#REF!</v>
      </c>
      <c r="AQ393" s="72" t="e">
        <f>SUMIFS('COGS Break up'!#REF!,'COGS Break up'!#REF!,Sales4[[#This Row],[Material]],'COGS Break up'!#REF!,'MIS Working'!$AQ$1)</f>
        <v>#REF!</v>
      </c>
      <c r="AR393" s="72">
        <f>Sales4[[#This Row],[Droppage per unit]]</f>
        <v>0</v>
      </c>
      <c r="AS393" s="15" t="e">
        <f>AO393*Sales4[[#This Row],[Billed Quantity]]</f>
        <v>#REF!</v>
      </c>
      <c r="AT393" s="72" t="e">
        <f>AP393*Sales4[[#This Row],[Billed Quantity]]</f>
        <v>#REF!</v>
      </c>
      <c r="AU393" s="72" t="e">
        <f>AQ393*Sales4[[#This Row],[Billed Quantity]]</f>
        <v>#REF!</v>
      </c>
      <c r="AV393" s="72">
        <f>AR393*Sales4[[#This Row],[Billed Quantity]]</f>
        <v>0</v>
      </c>
    </row>
    <row r="394" spans="1:48" x14ac:dyDescent="0.3">
      <c r="A394" s="1" t="s">
        <v>479</v>
      </c>
      <c r="B394" s="2">
        <v>45905</v>
      </c>
      <c r="C394" s="1">
        <v>3271267369</v>
      </c>
      <c r="D394" s="1" t="s">
        <v>46</v>
      </c>
      <c r="E394" s="1" t="s">
        <v>47</v>
      </c>
      <c r="F394" s="1" t="s">
        <v>18</v>
      </c>
      <c r="G394" s="1" t="s">
        <v>19</v>
      </c>
      <c r="H394" s="1" t="s">
        <v>27</v>
      </c>
      <c r="I394" s="3">
        <v>875</v>
      </c>
      <c r="J394" s="4">
        <v>288251.25</v>
      </c>
      <c r="K394" s="3">
        <v>875</v>
      </c>
      <c r="L394" s="3">
        <v>875</v>
      </c>
      <c r="M394" s="2">
        <v>45905</v>
      </c>
      <c r="N394" s="4">
        <v>313503.75</v>
      </c>
      <c r="O394" s="1" t="s">
        <v>21</v>
      </c>
      <c r="P394" s="1" t="s">
        <v>22</v>
      </c>
      <c r="Q394" s="1">
        <v>1</v>
      </c>
      <c r="R394" s="1" t="str">
        <f>VLOOKUP(Sales4[[#This Row],[Material type]],Master!$H$3:$I$8,2,0)</f>
        <v>Finished Goods</v>
      </c>
      <c r="S394" s="1" t="str">
        <f>VLOOKUP(Sales4[[#This Row],[Material Group]],Master!B:C,2,0)</f>
        <v>FG-PCB-CF</v>
      </c>
      <c r="T394" s="1" t="str">
        <f>VLOOKUP(Sales4[[#This Row],[Material Group Descrip]],Master!E:F,2,0)</f>
        <v>FG-PCB-CF</v>
      </c>
      <c r="U394" s="9" t="b">
        <f ca="1">(TODAY()-1)=Sales4[[#This Row],[Billing Date]]</f>
        <v>0</v>
      </c>
      <c r="V394" s="10" t="e">
        <f>Sales4[[#This Row],[Net Value]]-Sales4[[#This Row],[PGI COST]]</f>
        <v>#REF!</v>
      </c>
      <c r="W394" s="11" t="e">
        <f>Sales4[[#This Row],[Gross Margin]]/Sales4[[#This Row],[Net Value]]</f>
        <v>#REF!</v>
      </c>
      <c r="X394" s="1" t="str">
        <f>TEXT(Sales4[[#This Row],[Billing Date]],"mmmm-yy")</f>
        <v>September-25</v>
      </c>
      <c r="Y394" s="1">
        <f>Sales4[[#This Row],[Net Value]]/Sales4[[#This Row],[Billed Quantity]]</f>
        <v>358.29</v>
      </c>
      <c r="Z394" s="117">
        <f>Sales4[[#This Row],[Actual delivery qty]]</f>
        <v>875</v>
      </c>
      <c r="AA394" s="12" t="e">
        <f>SUM(Sales4[[#This Row],[BOM Cost]:[Other Conversion cost pu]])</f>
        <v>#REF!</v>
      </c>
      <c r="AB39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9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94" s="12">
        <f>IFERROR(VLOOKUP(Sales4[[#This Row],[Material]],'COGS Break up'!#REF!,5,0),0)</f>
        <v>0</v>
      </c>
      <c r="AE39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94" s="48" t="e">
        <f>Sales4[[#This Row],[PGI per unit]]-Sales4[[#This Row],[BOM Cost]]-Sales4[[#This Row],[Labour cost per unit]]-Sales4[[#This Row],[Other Conversion cost pu]]</f>
        <v>#REF!</v>
      </c>
      <c r="AG394" s="48" t="e">
        <f>Sales4[[#This Row],[BOM Cost2]]+Sales4[[#This Row],[Labour Cost]]+Sales4[[#This Row],[Other conversion cost]]</f>
        <v>#REF!</v>
      </c>
      <c r="AH394" s="12" t="e">
        <f>Sales4[[#This Row],[Billed Quantity]]*Sales4[[#This Row],[BOM Cost]]</f>
        <v>#REF!</v>
      </c>
      <c r="AI394" s="12" t="e">
        <f>Sales4[[#This Row],[Billed Quantity]]*Sales4[[#This Row],[Labour cost per unit]]</f>
        <v>#REF!</v>
      </c>
      <c r="AJ394" s="12">
        <f>Sales4[[#This Row],[Droppage per unit]]*Sales4[[#This Row],[Billed Quantity]]</f>
        <v>0</v>
      </c>
      <c r="AK394" s="12" t="e">
        <f>Sales4[[#This Row],[Billed Quantity]]*Sales4[[#This Row],[Other Conversion cost pu]]</f>
        <v>#REF!</v>
      </c>
      <c r="AL394" s="48" t="e">
        <f>Sales4[[#This Row],[PGI Amount]]-Sales4[[#This Row],[BOM Cost2]]-Sales4[[#This Row],[Labour Cost]]-Sales4[[#This Row],[Other conversion cost]]</f>
        <v>#REF!</v>
      </c>
      <c r="AM394" s="121" t="e">
        <f>1-Sales4[[#This Row],[PGI COST]]/Sales4[[#This Row],[Net Value]]</f>
        <v>#REF!</v>
      </c>
      <c r="AN394" s="1">
        <f>Sales4[[#This Row],[PGI Amount]]/Sales4[[#This Row],[Billed Quantity]]</f>
        <v>329.43</v>
      </c>
      <c r="AO394" s="72" t="e">
        <f>SUMIFS('COGS Break up'!#REF!,'COGS Break up'!#REF!,Sales4[[#This Row],[Material]],'COGS Break up'!#REF!,'MIS Working'!$AO$1)</f>
        <v>#REF!</v>
      </c>
      <c r="AP394" s="72" t="e">
        <f>SUMIFS('COGS Break up'!#REF!,'COGS Break up'!#REF!,Sales4[[#This Row],[Material]],'COGS Break up'!#REF!,'MIS Working'!$AP$1)</f>
        <v>#REF!</v>
      </c>
      <c r="AQ394" s="72" t="e">
        <f>SUMIFS('COGS Break up'!#REF!,'COGS Break up'!#REF!,Sales4[[#This Row],[Material]],'COGS Break up'!#REF!,'MIS Working'!$AQ$1)</f>
        <v>#REF!</v>
      </c>
      <c r="AR394" s="72">
        <f>Sales4[[#This Row],[Droppage per unit]]</f>
        <v>0</v>
      </c>
      <c r="AS394" s="15" t="e">
        <f>AO394*Sales4[[#This Row],[Billed Quantity]]</f>
        <v>#REF!</v>
      </c>
      <c r="AT394" s="72" t="e">
        <f>AP394*Sales4[[#This Row],[Billed Quantity]]</f>
        <v>#REF!</v>
      </c>
      <c r="AU394" s="72" t="e">
        <f>AQ394*Sales4[[#This Row],[Billed Quantity]]</f>
        <v>#REF!</v>
      </c>
      <c r="AV394" s="72">
        <f>AR394*Sales4[[#This Row],[Billed Quantity]]</f>
        <v>0</v>
      </c>
    </row>
    <row r="395" spans="1:48" x14ac:dyDescent="0.3">
      <c r="A395" s="1" t="s">
        <v>479</v>
      </c>
      <c r="B395" s="2">
        <v>45905</v>
      </c>
      <c r="C395" s="1">
        <v>3271267387</v>
      </c>
      <c r="D395" s="1" t="s">
        <v>637</v>
      </c>
      <c r="E395" s="1" t="s">
        <v>638</v>
      </c>
      <c r="F395" s="1" t="s">
        <v>18</v>
      </c>
      <c r="G395" s="1" t="s">
        <v>19</v>
      </c>
      <c r="H395" s="1" t="s">
        <v>27</v>
      </c>
      <c r="I395" s="3">
        <v>171</v>
      </c>
      <c r="J395" s="4">
        <v>54723.42</v>
      </c>
      <c r="K395" s="3">
        <v>171</v>
      </c>
      <c r="L395" s="3">
        <v>171</v>
      </c>
      <c r="M395" s="2">
        <v>45905</v>
      </c>
      <c r="N395" s="4">
        <v>62565.48</v>
      </c>
      <c r="O395" s="1" t="s">
        <v>21</v>
      </c>
      <c r="P395" s="1" t="s">
        <v>22</v>
      </c>
      <c r="Q395" s="1">
        <v>1</v>
      </c>
      <c r="R395" s="1" t="str">
        <f>VLOOKUP(Sales4[[#This Row],[Material type]],Master!$H$3:$I$8,2,0)</f>
        <v>Finished Goods</v>
      </c>
      <c r="S395" s="1" t="str">
        <f>VLOOKUP(Sales4[[#This Row],[Material Group]],Master!B:C,2,0)</f>
        <v>FG-PCB-CF</v>
      </c>
      <c r="T395" s="1" t="str">
        <f>VLOOKUP(Sales4[[#This Row],[Material Group Descrip]],Master!E:F,2,0)</f>
        <v>FG-PCB-CF</v>
      </c>
      <c r="U395" s="9" t="b">
        <f ca="1">(TODAY()-1)=Sales4[[#This Row],[Billing Date]]</f>
        <v>0</v>
      </c>
      <c r="V395" s="10" t="e">
        <f>Sales4[[#This Row],[Net Value]]-Sales4[[#This Row],[PGI COST]]</f>
        <v>#REF!</v>
      </c>
      <c r="W395" s="11" t="e">
        <f>Sales4[[#This Row],[Gross Margin]]/Sales4[[#This Row],[Net Value]]</f>
        <v>#REF!</v>
      </c>
      <c r="X395" s="1" t="str">
        <f>TEXT(Sales4[[#This Row],[Billing Date]],"mmmm-yy")</f>
        <v>September-25</v>
      </c>
      <c r="Y395" s="1">
        <f>Sales4[[#This Row],[Net Value]]/Sales4[[#This Row],[Billed Quantity]]</f>
        <v>365.88</v>
      </c>
      <c r="Z395" s="117">
        <f>Sales4[[#This Row],[Actual delivery qty]]</f>
        <v>171</v>
      </c>
      <c r="AA395" s="12" t="e">
        <f>SUM(Sales4[[#This Row],[BOM Cost]:[Other Conversion cost pu]])</f>
        <v>#REF!</v>
      </c>
      <c r="AB39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9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95" s="12">
        <f>IFERROR(VLOOKUP(Sales4[[#This Row],[Material]],'COGS Break up'!#REF!,5,0),0)</f>
        <v>0</v>
      </c>
      <c r="AE39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95" s="48" t="e">
        <f>Sales4[[#This Row],[PGI per unit]]-Sales4[[#This Row],[BOM Cost]]-Sales4[[#This Row],[Labour cost per unit]]-Sales4[[#This Row],[Other Conversion cost pu]]</f>
        <v>#REF!</v>
      </c>
      <c r="AG395" s="48" t="e">
        <f>Sales4[[#This Row],[BOM Cost2]]+Sales4[[#This Row],[Labour Cost]]+Sales4[[#This Row],[Other conversion cost]]</f>
        <v>#REF!</v>
      </c>
      <c r="AH395" s="12" t="e">
        <f>Sales4[[#This Row],[Billed Quantity]]*Sales4[[#This Row],[BOM Cost]]</f>
        <v>#REF!</v>
      </c>
      <c r="AI395" s="12" t="e">
        <f>Sales4[[#This Row],[Billed Quantity]]*Sales4[[#This Row],[Labour cost per unit]]</f>
        <v>#REF!</v>
      </c>
      <c r="AJ395" s="12">
        <f>Sales4[[#This Row],[Droppage per unit]]*Sales4[[#This Row],[Billed Quantity]]</f>
        <v>0</v>
      </c>
      <c r="AK395" s="12" t="e">
        <f>Sales4[[#This Row],[Billed Quantity]]*Sales4[[#This Row],[Other Conversion cost pu]]</f>
        <v>#REF!</v>
      </c>
      <c r="AL395" s="48" t="e">
        <f>Sales4[[#This Row],[PGI Amount]]-Sales4[[#This Row],[BOM Cost2]]-Sales4[[#This Row],[Labour Cost]]-Sales4[[#This Row],[Other conversion cost]]</f>
        <v>#REF!</v>
      </c>
      <c r="AM395" s="121" t="e">
        <f>1-Sales4[[#This Row],[PGI COST]]/Sales4[[#This Row],[Net Value]]</f>
        <v>#REF!</v>
      </c>
      <c r="AN395" s="1">
        <f>Sales4[[#This Row],[PGI Amount]]/Sales4[[#This Row],[Billed Quantity]]</f>
        <v>320.02</v>
      </c>
      <c r="AO395" s="72" t="e">
        <f>SUMIFS('COGS Break up'!#REF!,'COGS Break up'!#REF!,Sales4[[#This Row],[Material]],'COGS Break up'!#REF!,'MIS Working'!$AO$1)</f>
        <v>#REF!</v>
      </c>
      <c r="AP395" s="72" t="e">
        <f>SUMIFS('COGS Break up'!#REF!,'COGS Break up'!#REF!,Sales4[[#This Row],[Material]],'COGS Break up'!#REF!,'MIS Working'!$AP$1)</f>
        <v>#REF!</v>
      </c>
      <c r="AQ395" s="72" t="e">
        <f>SUMIFS('COGS Break up'!#REF!,'COGS Break up'!#REF!,Sales4[[#This Row],[Material]],'COGS Break up'!#REF!,'MIS Working'!$AQ$1)</f>
        <v>#REF!</v>
      </c>
      <c r="AR395" s="72">
        <f>Sales4[[#This Row],[Droppage per unit]]</f>
        <v>0</v>
      </c>
      <c r="AS395" s="15" t="e">
        <f>AO395*Sales4[[#This Row],[Billed Quantity]]</f>
        <v>#REF!</v>
      </c>
      <c r="AT395" s="72" t="e">
        <f>AP395*Sales4[[#This Row],[Billed Quantity]]</f>
        <v>#REF!</v>
      </c>
      <c r="AU395" s="72" t="e">
        <f>AQ395*Sales4[[#This Row],[Billed Quantity]]</f>
        <v>#REF!</v>
      </c>
      <c r="AV395" s="72">
        <f>AR395*Sales4[[#This Row],[Billed Quantity]]</f>
        <v>0</v>
      </c>
    </row>
    <row r="396" spans="1:48" x14ac:dyDescent="0.3">
      <c r="A396" s="1" t="s">
        <v>479</v>
      </c>
      <c r="B396" s="2">
        <v>45905</v>
      </c>
      <c r="C396" s="1">
        <v>3271267213</v>
      </c>
      <c r="D396" s="1" t="s">
        <v>637</v>
      </c>
      <c r="E396" s="1" t="s">
        <v>638</v>
      </c>
      <c r="F396" s="1" t="s">
        <v>18</v>
      </c>
      <c r="G396" s="1" t="s">
        <v>19</v>
      </c>
      <c r="H396" s="1" t="s">
        <v>27</v>
      </c>
      <c r="I396" s="3">
        <v>245</v>
      </c>
      <c r="J396" s="4">
        <v>78404.899999999994</v>
      </c>
      <c r="K396" s="3">
        <v>245</v>
      </c>
      <c r="L396" s="3">
        <v>245</v>
      </c>
      <c r="M396" s="2">
        <v>45905</v>
      </c>
      <c r="N396" s="4">
        <v>89640.6</v>
      </c>
      <c r="O396" s="1" t="s">
        <v>21</v>
      </c>
      <c r="P396" s="1" t="s">
        <v>22</v>
      </c>
      <c r="Q396" s="1">
        <v>1</v>
      </c>
      <c r="R396" s="1" t="str">
        <f>VLOOKUP(Sales4[[#This Row],[Material type]],Master!$H$3:$I$8,2,0)</f>
        <v>Finished Goods</v>
      </c>
      <c r="S396" s="1" t="str">
        <f>VLOOKUP(Sales4[[#This Row],[Material Group]],Master!B:C,2,0)</f>
        <v>FG-PCB-CF</v>
      </c>
      <c r="T396" s="1" t="str">
        <f>VLOOKUP(Sales4[[#This Row],[Material Group Descrip]],Master!E:F,2,0)</f>
        <v>FG-PCB-CF</v>
      </c>
      <c r="U396" s="9" t="b">
        <f ca="1">(TODAY()-1)=Sales4[[#This Row],[Billing Date]]</f>
        <v>0</v>
      </c>
      <c r="V396" s="10" t="e">
        <f>Sales4[[#This Row],[Net Value]]-Sales4[[#This Row],[PGI COST]]</f>
        <v>#REF!</v>
      </c>
      <c r="W396" s="11" t="e">
        <f>Sales4[[#This Row],[Gross Margin]]/Sales4[[#This Row],[Net Value]]</f>
        <v>#REF!</v>
      </c>
      <c r="X396" s="1" t="str">
        <f>TEXT(Sales4[[#This Row],[Billing Date]],"mmmm-yy")</f>
        <v>September-25</v>
      </c>
      <c r="Y396" s="1">
        <f>Sales4[[#This Row],[Net Value]]/Sales4[[#This Row],[Billed Quantity]]</f>
        <v>365.88</v>
      </c>
      <c r="Z396" s="117">
        <f>Sales4[[#This Row],[Actual delivery qty]]</f>
        <v>245</v>
      </c>
      <c r="AA396" s="12" t="e">
        <f>SUM(Sales4[[#This Row],[BOM Cost]:[Other Conversion cost pu]])</f>
        <v>#REF!</v>
      </c>
      <c r="AB39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9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96" s="12">
        <f>IFERROR(VLOOKUP(Sales4[[#This Row],[Material]],'COGS Break up'!#REF!,5,0),0)</f>
        <v>0</v>
      </c>
      <c r="AE39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96" s="48" t="e">
        <f>Sales4[[#This Row],[PGI per unit]]-Sales4[[#This Row],[BOM Cost]]-Sales4[[#This Row],[Labour cost per unit]]-Sales4[[#This Row],[Other Conversion cost pu]]</f>
        <v>#REF!</v>
      </c>
      <c r="AG396" s="48" t="e">
        <f>Sales4[[#This Row],[BOM Cost2]]+Sales4[[#This Row],[Labour Cost]]+Sales4[[#This Row],[Other conversion cost]]</f>
        <v>#REF!</v>
      </c>
      <c r="AH396" s="12" t="e">
        <f>Sales4[[#This Row],[Billed Quantity]]*Sales4[[#This Row],[BOM Cost]]</f>
        <v>#REF!</v>
      </c>
      <c r="AI396" s="12" t="e">
        <f>Sales4[[#This Row],[Billed Quantity]]*Sales4[[#This Row],[Labour cost per unit]]</f>
        <v>#REF!</v>
      </c>
      <c r="AJ396" s="12">
        <f>Sales4[[#This Row],[Droppage per unit]]*Sales4[[#This Row],[Billed Quantity]]</f>
        <v>0</v>
      </c>
      <c r="AK396" s="12" t="e">
        <f>Sales4[[#This Row],[Billed Quantity]]*Sales4[[#This Row],[Other Conversion cost pu]]</f>
        <v>#REF!</v>
      </c>
      <c r="AL396" s="48" t="e">
        <f>Sales4[[#This Row],[PGI Amount]]-Sales4[[#This Row],[BOM Cost2]]-Sales4[[#This Row],[Labour Cost]]-Sales4[[#This Row],[Other conversion cost]]</f>
        <v>#REF!</v>
      </c>
      <c r="AM396" s="121" t="e">
        <f>1-Sales4[[#This Row],[PGI COST]]/Sales4[[#This Row],[Net Value]]</f>
        <v>#REF!</v>
      </c>
      <c r="AN396" s="1">
        <f>Sales4[[#This Row],[PGI Amount]]/Sales4[[#This Row],[Billed Quantity]]</f>
        <v>320.02</v>
      </c>
      <c r="AO396" s="72" t="e">
        <f>SUMIFS('COGS Break up'!#REF!,'COGS Break up'!#REF!,Sales4[[#This Row],[Material]],'COGS Break up'!#REF!,'MIS Working'!$AO$1)</f>
        <v>#REF!</v>
      </c>
      <c r="AP396" s="72" t="e">
        <f>SUMIFS('COGS Break up'!#REF!,'COGS Break up'!#REF!,Sales4[[#This Row],[Material]],'COGS Break up'!#REF!,'MIS Working'!$AP$1)</f>
        <v>#REF!</v>
      </c>
      <c r="AQ396" s="72" t="e">
        <f>SUMIFS('COGS Break up'!#REF!,'COGS Break up'!#REF!,Sales4[[#This Row],[Material]],'COGS Break up'!#REF!,'MIS Working'!$AQ$1)</f>
        <v>#REF!</v>
      </c>
      <c r="AR396" s="72">
        <f>Sales4[[#This Row],[Droppage per unit]]</f>
        <v>0</v>
      </c>
      <c r="AS396" s="15" t="e">
        <f>AO396*Sales4[[#This Row],[Billed Quantity]]</f>
        <v>#REF!</v>
      </c>
      <c r="AT396" s="72" t="e">
        <f>AP396*Sales4[[#This Row],[Billed Quantity]]</f>
        <v>#REF!</v>
      </c>
      <c r="AU396" s="72" t="e">
        <f>AQ396*Sales4[[#This Row],[Billed Quantity]]</f>
        <v>#REF!</v>
      </c>
      <c r="AV396" s="72">
        <f>AR396*Sales4[[#This Row],[Billed Quantity]]</f>
        <v>0</v>
      </c>
    </row>
    <row r="397" spans="1:48" x14ac:dyDescent="0.3">
      <c r="A397" s="1" t="s">
        <v>479</v>
      </c>
      <c r="B397" s="2">
        <v>45905</v>
      </c>
      <c r="C397" s="1">
        <v>3271267227</v>
      </c>
      <c r="D397" s="1" t="s">
        <v>637</v>
      </c>
      <c r="E397" s="1" t="s">
        <v>638</v>
      </c>
      <c r="F397" s="1" t="s">
        <v>18</v>
      </c>
      <c r="G397" s="1" t="s">
        <v>19</v>
      </c>
      <c r="H397" s="1" t="s">
        <v>27</v>
      </c>
      <c r="I397" s="3">
        <v>175</v>
      </c>
      <c r="J397" s="4">
        <v>56003.5</v>
      </c>
      <c r="K397" s="3">
        <v>175</v>
      </c>
      <c r="L397" s="3">
        <v>175</v>
      </c>
      <c r="M397" s="2">
        <v>45905</v>
      </c>
      <c r="N397" s="4">
        <v>64029</v>
      </c>
      <c r="O397" s="1" t="s">
        <v>21</v>
      </c>
      <c r="P397" s="1" t="s">
        <v>22</v>
      </c>
      <c r="Q397" s="1">
        <v>1</v>
      </c>
      <c r="R397" s="1" t="str">
        <f>VLOOKUP(Sales4[[#This Row],[Material type]],Master!$H$3:$I$8,2,0)</f>
        <v>Finished Goods</v>
      </c>
      <c r="S397" s="1" t="str">
        <f>VLOOKUP(Sales4[[#This Row],[Material Group]],Master!B:C,2,0)</f>
        <v>FG-PCB-CF</v>
      </c>
      <c r="T397" s="1" t="str">
        <f>VLOOKUP(Sales4[[#This Row],[Material Group Descrip]],Master!E:F,2,0)</f>
        <v>FG-PCB-CF</v>
      </c>
      <c r="U397" s="9" t="b">
        <f ca="1">(TODAY()-1)=Sales4[[#This Row],[Billing Date]]</f>
        <v>0</v>
      </c>
      <c r="V397" s="10" t="e">
        <f>Sales4[[#This Row],[Net Value]]-Sales4[[#This Row],[PGI COST]]</f>
        <v>#REF!</v>
      </c>
      <c r="W397" s="11" t="e">
        <f>Sales4[[#This Row],[Gross Margin]]/Sales4[[#This Row],[Net Value]]</f>
        <v>#REF!</v>
      </c>
      <c r="X397" s="1" t="str">
        <f>TEXT(Sales4[[#This Row],[Billing Date]],"mmmm-yy")</f>
        <v>September-25</v>
      </c>
      <c r="Y397" s="1">
        <f>Sales4[[#This Row],[Net Value]]/Sales4[[#This Row],[Billed Quantity]]</f>
        <v>365.88</v>
      </c>
      <c r="Z397" s="117">
        <f>Sales4[[#This Row],[Actual delivery qty]]</f>
        <v>175</v>
      </c>
      <c r="AA397" s="12" t="e">
        <f>SUM(Sales4[[#This Row],[BOM Cost]:[Other Conversion cost pu]])</f>
        <v>#REF!</v>
      </c>
      <c r="AB39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9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97" s="12">
        <f>IFERROR(VLOOKUP(Sales4[[#This Row],[Material]],'COGS Break up'!#REF!,5,0),0)</f>
        <v>0</v>
      </c>
      <c r="AE39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97" s="48" t="e">
        <f>Sales4[[#This Row],[PGI per unit]]-Sales4[[#This Row],[BOM Cost]]-Sales4[[#This Row],[Labour cost per unit]]-Sales4[[#This Row],[Other Conversion cost pu]]</f>
        <v>#REF!</v>
      </c>
      <c r="AG397" s="48" t="e">
        <f>Sales4[[#This Row],[BOM Cost2]]+Sales4[[#This Row],[Labour Cost]]+Sales4[[#This Row],[Other conversion cost]]</f>
        <v>#REF!</v>
      </c>
      <c r="AH397" s="12" t="e">
        <f>Sales4[[#This Row],[Billed Quantity]]*Sales4[[#This Row],[BOM Cost]]</f>
        <v>#REF!</v>
      </c>
      <c r="AI397" s="12" t="e">
        <f>Sales4[[#This Row],[Billed Quantity]]*Sales4[[#This Row],[Labour cost per unit]]</f>
        <v>#REF!</v>
      </c>
      <c r="AJ397" s="12">
        <f>Sales4[[#This Row],[Droppage per unit]]*Sales4[[#This Row],[Billed Quantity]]</f>
        <v>0</v>
      </c>
      <c r="AK397" s="12" t="e">
        <f>Sales4[[#This Row],[Billed Quantity]]*Sales4[[#This Row],[Other Conversion cost pu]]</f>
        <v>#REF!</v>
      </c>
      <c r="AL397" s="48" t="e">
        <f>Sales4[[#This Row],[PGI Amount]]-Sales4[[#This Row],[BOM Cost2]]-Sales4[[#This Row],[Labour Cost]]-Sales4[[#This Row],[Other conversion cost]]</f>
        <v>#REF!</v>
      </c>
      <c r="AM397" s="121" t="e">
        <f>1-Sales4[[#This Row],[PGI COST]]/Sales4[[#This Row],[Net Value]]</f>
        <v>#REF!</v>
      </c>
      <c r="AN397" s="1">
        <f>Sales4[[#This Row],[PGI Amount]]/Sales4[[#This Row],[Billed Quantity]]</f>
        <v>320.02</v>
      </c>
      <c r="AO397" s="72" t="e">
        <f>SUMIFS('COGS Break up'!#REF!,'COGS Break up'!#REF!,Sales4[[#This Row],[Material]],'COGS Break up'!#REF!,'MIS Working'!$AO$1)</f>
        <v>#REF!</v>
      </c>
      <c r="AP397" s="72" t="e">
        <f>SUMIFS('COGS Break up'!#REF!,'COGS Break up'!#REF!,Sales4[[#This Row],[Material]],'COGS Break up'!#REF!,'MIS Working'!$AP$1)</f>
        <v>#REF!</v>
      </c>
      <c r="AQ397" s="72" t="e">
        <f>SUMIFS('COGS Break up'!#REF!,'COGS Break up'!#REF!,Sales4[[#This Row],[Material]],'COGS Break up'!#REF!,'MIS Working'!$AQ$1)</f>
        <v>#REF!</v>
      </c>
      <c r="AR397" s="72">
        <f>Sales4[[#This Row],[Droppage per unit]]</f>
        <v>0</v>
      </c>
      <c r="AS397" s="15" t="e">
        <f>AO397*Sales4[[#This Row],[Billed Quantity]]</f>
        <v>#REF!</v>
      </c>
      <c r="AT397" s="72" t="e">
        <f>AP397*Sales4[[#This Row],[Billed Quantity]]</f>
        <v>#REF!</v>
      </c>
      <c r="AU397" s="72" t="e">
        <f>AQ397*Sales4[[#This Row],[Billed Quantity]]</f>
        <v>#REF!</v>
      </c>
      <c r="AV397" s="72">
        <f>AR397*Sales4[[#This Row],[Billed Quantity]]</f>
        <v>0</v>
      </c>
    </row>
    <row r="398" spans="1:48" x14ac:dyDescent="0.3">
      <c r="A398" s="1" t="s">
        <v>479</v>
      </c>
      <c r="B398" s="2">
        <v>45905</v>
      </c>
      <c r="C398" s="1">
        <v>3271267641</v>
      </c>
      <c r="D398" s="1" t="s">
        <v>637</v>
      </c>
      <c r="E398" s="1" t="s">
        <v>638</v>
      </c>
      <c r="F398" s="1" t="s">
        <v>18</v>
      </c>
      <c r="G398" s="1" t="s">
        <v>19</v>
      </c>
      <c r="H398" s="1" t="s">
        <v>27</v>
      </c>
      <c r="I398" s="3">
        <v>105</v>
      </c>
      <c r="J398" s="4">
        <v>33602.1</v>
      </c>
      <c r="K398" s="3">
        <v>105</v>
      </c>
      <c r="L398" s="3">
        <v>105</v>
      </c>
      <c r="M398" s="2">
        <v>45905</v>
      </c>
      <c r="N398" s="4">
        <v>38417.4</v>
      </c>
      <c r="O398" s="1" t="s">
        <v>21</v>
      </c>
      <c r="P398" s="1" t="s">
        <v>22</v>
      </c>
      <c r="Q398" s="1">
        <v>1</v>
      </c>
      <c r="R398" s="1" t="str">
        <f>VLOOKUP(Sales4[[#This Row],[Material type]],Master!$H$3:$I$8,2,0)</f>
        <v>Finished Goods</v>
      </c>
      <c r="S398" s="1" t="str">
        <f>VLOOKUP(Sales4[[#This Row],[Material Group]],Master!B:C,2,0)</f>
        <v>FG-PCB-CF</v>
      </c>
      <c r="T398" s="1" t="str">
        <f>VLOOKUP(Sales4[[#This Row],[Material Group Descrip]],Master!E:F,2,0)</f>
        <v>FG-PCB-CF</v>
      </c>
      <c r="U398" s="9" t="b">
        <f ca="1">(TODAY()-1)=Sales4[[#This Row],[Billing Date]]</f>
        <v>0</v>
      </c>
      <c r="V398" s="10" t="e">
        <f>Sales4[[#This Row],[Net Value]]-Sales4[[#This Row],[PGI COST]]</f>
        <v>#REF!</v>
      </c>
      <c r="W398" s="11" t="e">
        <f>Sales4[[#This Row],[Gross Margin]]/Sales4[[#This Row],[Net Value]]</f>
        <v>#REF!</v>
      </c>
      <c r="X398" s="1" t="str">
        <f>TEXT(Sales4[[#This Row],[Billing Date]],"mmmm-yy")</f>
        <v>September-25</v>
      </c>
      <c r="Y398" s="1">
        <f>Sales4[[#This Row],[Net Value]]/Sales4[[#This Row],[Billed Quantity]]</f>
        <v>365.88</v>
      </c>
      <c r="Z398" s="117">
        <f>Sales4[[#This Row],[Actual delivery qty]]</f>
        <v>105</v>
      </c>
      <c r="AA398" s="12" t="e">
        <f>SUM(Sales4[[#This Row],[BOM Cost]:[Other Conversion cost pu]])</f>
        <v>#REF!</v>
      </c>
      <c r="AB39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9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98" s="12">
        <f>IFERROR(VLOOKUP(Sales4[[#This Row],[Material]],'COGS Break up'!#REF!,5,0),0)</f>
        <v>0</v>
      </c>
      <c r="AE39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98" s="48" t="e">
        <f>Sales4[[#This Row],[PGI per unit]]-Sales4[[#This Row],[BOM Cost]]-Sales4[[#This Row],[Labour cost per unit]]-Sales4[[#This Row],[Other Conversion cost pu]]</f>
        <v>#REF!</v>
      </c>
      <c r="AG398" s="48" t="e">
        <f>Sales4[[#This Row],[BOM Cost2]]+Sales4[[#This Row],[Labour Cost]]+Sales4[[#This Row],[Other conversion cost]]</f>
        <v>#REF!</v>
      </c>
      <c r="AH398" s="12" t="e">
        <f>Sales4[[#This Row],[Billed Quantity]]*Sales4[[#This Row],[BOM Cost]]</f>
        <v>#REF!</v>
      </c>
      <c r="AI398" s="12" t="e">
        <f>Sales4[[#This Row],[Billed Quantity]]*Sales4[[#This Row],[Labour cost per unit]]</f>
        <v>#REF!</v>
      </c>
      <c r="AJ398" s="12">
        <f>Sales4[[#This Row],[Droppage per unit]]*Sales4[[#This Row],[Billed Quantity]]</f>
        <v>0</v>
      </c>
      <c r="AK398" s="12" t="e">
        <f>Sales4[[#This Row],[Billed Quantity]]*Sales4[[#This Row],[Other Conversion cost pu]]</f>
        <v>#REF!</v>
      </c>
      <c r="AL398" s="48" t="e">
        <f>Sales4[[#This Row],[PGI Amount]]-Sales4[[#This Row],[BOM Cost2]]-Sales4[[#This Row],[Labour Cost]]-Sales4[[#This Row],[Other conversion cost]]</f>
        <v>#REF!</v>
      </c>
      <c r="AM398" s="121" t="e">
        <f>1-Sales4[[#This Row],[PGI COST]]/Sales4[[#This Row],[Net Value]]</f>
        <v>#REF!</v>
      </c>
      <c r="AN398" s="1">
        <f>Sales4[[#This Row],[PGI Amount]]/Sales4[[#This Row],[Billed Quantity]]</f>
        <v>320.02</v>
      </c>
      <c r="AO398" s="72" t="e">
        <f>SUMIFS('COGS Break up'!#REF!,'COGS Break up'!#REF!,Sales4[[#This Row],[Material]],'COGS Break up'!#REF!,'MIS Working'!$AO$1)</f>
        <v>#REF!</v>
      </c>
      <c r="AP398" s="72" t="e">
        <f>SUMIFS('COGS Break up'!#REF!,'COGS Break up'!#REF!,Sales4[[#This Row],[Material]],'COGS Break up'!#REF!,'MIS Working'!$AP$1)</f>
        <v>#REF!</v>
      </c>
      <c r="AQ398" s="72" t="e">
        <f>SUMIFS('COGS Break up'!#REF!,'COGS Break up'!#REF!,Sales4[[#This Row],[Material]],'COGS Break up'!#REF!,'MIS Working'!$AQ$1)</f>
        <v>#REF!</v>
      </c>
      <c r="AR398" s="72">
        <f>Sales4[[#This Row],[Droppage per unit]]</f>
        <v>0</v>
      </c>
      <c r="AS398" s="15" t="e">
        <f>AO398*Sales4[[#This Row],[Billed Quantity]]</f>
        <v>#REF!</v>
      </c>
      <c r="AT398" s="72" t="e">
        <f>AP398*Sales4[[#This Row],[Billed Quantity]]</f>
        <v>#REF!</v>
      </c>
      <c r="AU398" s="72" t="e">
        <f>AQ398*Sales4[[#This Row],[Billed Quantity]]</f>
        <v>#REF!</v>
      </c>
      <c r="AV398" s="72">
        <f>AR398*Sales4[[#This Row],[Billed Quantity]]</f>
        <v>0</v>
      </c>
    </row>
    <row r="399" spans="1:48" x14ac:dyDescent="0.3">
      <c r="A399" s="1" t="s">
        <v>479</v>
      </c>
      <c r="B399" s="2">
        <v>45905</v>
      </c>
      <c r="C399" s="1">
        <v>3271267387</v>
      </c>
      <c r="D399" s="1" t="s">
        <v>641</v>
      </c>
      <c r="E399" s="1" t="s">
        <v>642</v>
      </c>
      <c r="F399" s="1" t="s">
        <v>18</v>
      </c>
      <c r="G399" s="1" t="s">
        <v>19</v>
      </c>
      <c r="H399" s="1" t="s">
        <v>27</v>
      </c>
      <c r="I399" s="3">
        <v>420</v>
      </c>
      <c r="J399" s="4">
        <v>192066</v>
      </c>
      <c r="K399" s="3">
        <v>420</v>
      </c>
      <c r="L399" s="3">
        <v>420</v>
      </c>
      <c r="M399" s="2">
        <v>45905</v>
      </c>
      <c r="N399" s="4">
        <v>207900</v>
      </c>
      <c r="O399" s="1" t="s">
        <v>21</v>
      </c>
      <c r="P399" s="1" t="s">
        <v>22</v>
      </c>
      <c r="Q399" s="1">
        <v>1</v>
      </c>
      <c r="R399" s="1" t="str">
        <f>VLOOKUP(Sales4[[#This Row],[Material type]],Master!$H$3:$I$8,2,0)</f>
        <v>Finished Goods</v>
      </c>
      <c r="S399" s="1" t="str">
        <f>VLOOKUP(Sales4[[#This Row],[Material Group]],Master!B:C,2,0)</f>
        <v>FG-PCB-CF</v>
      </c>
      <c r="T399" s="1" t="str">
        <f>VLOOKUP(Sales4[[#This Row],[Material Group Descrip]],Master!E:F,2,0)</f>
        <v>FG-PCB-CF</v>
      </c>
      <c r="U399" s="9" t="b">
        <f ca="1">(TODAY()-1)=Sales4[[#This Row],[Billing Date]]</f>
        <v>0</v>
      </c>
      <c r="V399" s="10" t="e">
        <f>Sales4[[#This Row],[Net Value]]-Sales4[[#This Row],[PGI COST]]</f>
        <v>#REF!</v>
      </c>
      <c r="W399" s="11" t="e">
        <f>Sales4[[#This Row],[Gross Margin]]/Sales4[[#This Row],[Net Value]]</f>
        <v>#REF!</v>
      </c>
      <c r="X399" s="1" t="str">
        <f>TEXT(Sales4[[#This Row],[Billing Date]],"mmmm-yy")</f>
        <v>September-25</v>
      </c>
      <c r="Y399" s="1">
        <f>Sales4[[#This Row],[Net Value]]/Sales4[[#This Row],[Billed Quantity]]</f>
        <v>495</v>
      </c>
      <c r="Z399" s="117">
        <f>Sales4[[#This Row],[Actual delivery qty]]</f>
        <v>420</v>
      </c>
      <c r="AA399" s="12" t="e">
        <f>SUM(Sales4[[#This Row],[BOM Cost]:[Other Conversion cost pu]])</f>
        <v>#REF!</v>
      </c>
      <c r="AB39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39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399" s="12">
        <f>IFERROR(VLOOKUP(Sales4[[#This Row],[Material]],'COGS Break up'!#REF!,5,0),0)</f>
        <v>0</v>
      </c>
      <c r="AE39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399" s="48" t="e">
        <f>Sales4[[#This Row],[PGI per unit]]-Sales4[[#This Row],[BOM Cost]]-Sales4[[#This Row],[Labour cost per unit]]-Sales4[[#This Row],[Other Conversion cost pu]]</f>
        <v>#REF!</v>
      </c>
      <c r="AG399" s="48" t="e">
        <f>Sales4[[#This Row],[BOM Cost2]]+Sales4[[#This Row],[Labour Cost]]+Sales4[[#This Row],[Other conversion cost]]</f>
        <v>#REF!</v>
      </c>
      <c r="AH399" s="12" t="e">
        <f>Sales4[[#This Row],[Billed Quantity]]*Sales4[[#This Row],[BOM Cost]]</f>
        <v>#REF!</v>
      </c>
      <c r="AI399" s="12" t="e">
        <f>Sales4[[#This Row],[Billed Quantity]]*Sales4[[#This Row],[Labour cost per unit]]</f>
        <v>#REF!</v>
      </c>
      <c r="AJ399" s="12">
        <f>Sales4[[#This Row],[Droppage per unit]]*Sales4[[#This Row],[Billed Quantity]]</f>
        <v>0</v>
      </c>
      <c r="AK399" s="12" t="e">
        <f>Sales4[[#This Row],[Billed Quantity]]*Sales4[[#This Row],[Other Conversion cost pu]]</f>
        <v>#REF!</v>
      </c>
      <c r="AL399" s="48" t="e">
        <f>Sales4[[#This Row],[PGI Amount]]-Sales4[[#This Row],[BOM Cost2]]-Sales4[[#This Row],[Labour Cost]]-Sales4[[#This Row],[Other conversion cost]]</f>
        <v>#REF!</v>
      </c>
      <c r="AM399" s="121" t="e">
        <f>1-Sales4[[#This Row],[PGI COST]]/Sales4[[#This Row],[Net Value]]</f>
        <v>#REF!</v>
      </c>
      <c r="AN399" s="1">
        <f>Sales4[[#This Row],[PGI Amount]]/Sales4[[#This Row],[Billed Quantity]]</f>
        <v>457.3</v>
      </c>
      <c r="AO399" s="72" t="e">
        <f>SUMIFS('COGS Break up'!#REF!,'COGS Break up'!#REF!,Sales4[[#This Row],[Material]],'COGS Break up'!#REF!,'MIS Working'!$AO$1)</f>
        <v>#REF!</v>
      </c>
      <c r="AP399" s="72" t="e">
        <f>SUMIFS('COGS Break up'!#REF!,'COGS Break up'!#REF!,Sales4[[#This Row],[Material]],'COGS Break up'!#REF!,'MIS Working'!$AP$1)</f>
        <v>#REF!</v>
      </c>
      <c r="AQ399" s="72" t="e">
        <f>SUMIFS('COGS Break up'!#REF!,'COGS Break up'!#REF!,Sales4[[#This Row],[Material]],'COGS Break up'!#REF!,'MIS Working'!$AQ$1)</f>
        <v>#REF!</v>
      </c>
      <c r="AR399" s="72">
        <f>Sales4[[#This Row],[Droppage per unit]]</f>
        <v>0</v>
      </c>
      <c r="AS399" s="15" t="e">
        <f>AO399*Sales4[[#This Row],[Billed Quantity]]</f>
        <v>#REF!</v>
      </c>
      <c r="AT399" s="72" t="e">
        <f>AP399*Sales4[[#This Row],[Billed Quantity]]</f>
        <v>#REF!</v>
      </c>
      <c r="AU399" s="72" t="e">
        <f>AQ399*Sales4[[#This Row],[Billed Quantity]]</f>
        <v>#REF!</v>
      </c>
      <c r="AV399" s="72">
        <f>AR399*Sales4[[#This Row],[Billed Quantity]]</f>
        <v>0</v>
      </c>
    </row>
    <row r="400" spans="1:48" x14ac:dyDescent="0.3">
      <c r="A400" s="1" t="s">
        <v>479</v>
      </c>
      <c r="B400" s="2">
        <v>45905</v>
      </c>
      <c r="C400" s="1">
        <v>3271267227</v>
      </c>
      <c r="D400" s="1" t="s">
        <v>641</v>
      </c>
      <c r="E400" s="1" t="s">
        <v>642</v>
      </c>
      <c r="F400" s="1" t="s">
        <v>18</v>
      </c>
      <c r="G400" s="1" t="s">
        <v>19</v>
      </c>
      <c r="H400" s="1" t="s">
        <v>27</v>
      </c>
      <c r="I400" s="3">
        <v>420</v>
      </c>
      <c r="J400" s="4">
        <v>192066</v>
      </c>
      <c r="K400" s="3">
        <v>420</v>
      </c>
      <c r="L400" s="3">
        <v>420</v>
      </c>
      <c r="M400" s="2">
        <v>45905</v>
      </c>
      <c r="N400" s="4">
        <v>207900</v>
      </c>
      <c r="O400" s="1" t="s">
        <v>21</v>
      </c>
      <c r="P400" s="1" t="s">
        <v>22</v>
      </c>
      <c r="Q400" s="1">
        <v>1</v>
      </c>
      <c r="R400" s="1" t="str">
        <f>VLOOKUP(Sales4[[#This Row],[Material type]],Master!$H$3:$I$8,2,0)</f>
        <v>Finished Goods</v>
      </c>
      <c r="S400" s="1" t="str">
        <f>VLOOKUP(Sales4[[#This Row],[Material Group]],Master!B:C,2,0)</f>
        <v>FG-PCB-CF</v>
      </c>
      <c r="T400" s="1" t="str">
        <f>VLOOKUP(Sales4[[#This Row],[Material Group Descrip]],Master!E:F,2,0)</f>
        <v>FG-PCB-CF</v>
      </c>
      <c r="U400" s="9" t="b">
        <f ca="1">(TODAY()-1)=Sales4[[#This Row],[Billing Date]]</f>
        <v>0</v>
      </c>
      <c r="V400" s="10" t="e">
        <f>Sales4[[#This Row],[Net Value]]-Sales4[[#This Row],[PGI COST]]</f>
        <v>#REF!</v>
      </c>
      <c r="W400" s="11" t="e">
        <f>Sales4[[#This Row],[Gross Margin]]/Sales4[[#This Row],[Net Value]]</f>
        <v>#REF!</v>
      </c>
      <c r="X400" s="1" t="str">
        <f>TEXT(Sales4[[#This Row],[Billing Date]],"mmmm-yy")</f>
        <v>September-25</v>
      </c>
      <c r="Y400" s="1">
        <f>Sales4[[#This Row],[Net Value]]/Sales4[[#This Row],[Billed Quantity]]</f>
        <v>495</v>
      </c>
      <c r="Z400" s="117">
        <f>Sales4[[#This Row],[Actual delivery qty]]</f>
        <v>420</v>
      </c>
      <c r="AA400" s="12" t="e">
        <f>SUM(Sales4[[#This Row],[BOM Cost]:[Other Conversion cost pu]])</f>
        <v>#REF!</v>
      </c>
      <c r="AB40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0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00" s="12">
        <f>IFERROR(VLOOKUP(Sales4[[#This Row],[Material]],'COGS Break up'!#REF!,5,0),0)</f>
        <v>0</v>
      </c>
      <c r="AE40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00" s="48" t="e">
        <f>Sales4[[#This Row],[PGI per unit]]-Sales4[[#This Row],[BOM Cost]]-Sales4[[#This Row],[Labour cost per unit]]-Sales4[[#This Row],[Other Conversion cost pu]]</f>
        <v>#REF!</v>
      </c>
      <c r="AG400" s="48" t="e">
        <f>Sales4[[#This Row],[BOM Cost2]]+Sales4[[#This Row],[Labour Cost]]+Sales4[[#This Row],[Other conversion cost]]</f>
        <v>#REF!</v>
      </c>
      <c r="AH400" s="12" t="e">
        <f>Sales4[[#This Row],[Billed Quantity]]*Sales4[[#This Row],[BOM Cost]]</f>
        <v>#REF!</v>
      </c>
      <c r="AI400" s="12" t="e">
        <f>Sales4[[#This Row],[Billed Quantity]]*Sales4[[#This Row],[Labour cost per unit]]</f>
        <v>#REF!</v>
      </c>
      <c r="AJ400" s="12">
        <f>Sales4[[#This Row],[Droppage per unit]]*Sales4[[#This Row],[Billed Quantity]]</f>
        <v>0</v>
      </c>
      <c r="AK400" s="12" t="e">
        <f>Sales4[[#This Row],[Billed Quantity]]*Sales4[[#This Row],[Other Conversion cost pu]]</f>
        <v>#REF!</v>
      </c>
      <c r="AL400" s="48" t="e">
        <f>Sales4[[#This Row],[PGI Amount]]-Sales4[[#This Row],[BOM Cost2]]-Sales4[[#This Row],[Labour Cost]]-Sales4[[#This Row],[Other conversion cost]]</f>
        <v>#REF!</v>
      </c>
      <c r="AM400" s="121" t="e">
        <f>1-Sales4[[#This Row],[PGI COST]]/Sales4[[#This Row],[Net Value]]</f>
        <v>#REF!</v>
      </c>
      <c r="AN400" s="1">
        <f>Sales4[[#This Row],[PGI Amount]]/Sales4[[#This Row],[Billed Quantity]]</f>
        <v>457.3</v>
      </c>
      <c r="AO400" s="72" t="e">
        <f>SUMIFS('COGS Break up'!#REF!,'COGS Break up'!#REF!,Sales4[[#This Row],[Material]],'COGS Break up'!#REF!,'MIS Working'!$AO$1)</f>
        <v>#REF!</v>
      </c>
      <c r="AP400" s="72" t="e">
        <f>SUMIFS('COGS Break up'!#REF!,'COGS Break up'!#REF!,Sales4[[#This Row],[Material]],'COGS Break up'!#REF!,'MIS Working'!$AP$1)</f>
        <v>#REF!</v>
      </c>
      <c r="AQ400" s="72" t="e">
        <f>SUMIFS('COGS Break up'!#REF!,'COGS Break up'!#REF!,Sales4[[#This Row],[Material]],'COGS Break up'!#REF!,'MIS Working'!$AQ$1)</f>
        <v>#REF!</v>
      </c>
      <c r="AR400" s="72">
        <f>Sales4[[#This Row],[Droppage per unit]]</f>
        <v>0</v>
      </c>
      <c r="AS400" s="15" t="e">
        <f>AO400*Sales4[[#This Row],[Billed Quantity]]</f>
        <v>#REF!</v>
      </c>
      <c r="AT400" s="72" t="e">
        <f>AP400*Sales4[[#This Row],[Billed Quantity]]</f>
        <v>#REF!</v>
      </c>
      <c r="AU400" s="72" t="e">
        <f>AQ400*Sales4[[#This Row],[Billed Quantity]]</f>
        <v>#REF!</v>
      </c>
      <c r="AV400" s="72">
        <f>AR400*Sales4[[#This Row],[Billed Quantity]]</f>
        <v>0</v>
      </c>
    </row>
    <row r="401" spans="1:48" x14ac:dyDescent="0.3">
      <c r="A401" s="1" t="s">
        <v>479</v>
      </c>
      <c r="B401" s="2">
        <v>45905</v>
      </c>
      <c r="C401" s="1">
        <v>3271267357</v>
      </c>
      <c r="D401" s="1" t="s">
        <v>40</v>
      </c>
      <c r="E401" s="1" t="s">
        <v>41</v>
      </c>
      <c r="F401" s="1" t="s">
        <v>18</v>
      </c>
      <c r="G401" s="1" t="s">
        <v>34</v>
      </c>
      <c r="H401" s="1" t="s">
        <v>772</v>
      </c>
      <c r="I401" s="3">
        <v>1120</v>
      </c>
      <c r="J401" s="4">
        <v>165244.79999999999</v>
      </c>
      <c r="K401" s="3">
        <v>1120</v>
      </c>
      <c r="L401" s="3">
        <v>1120</v>
      </c>
      <c r="M401" s="2">
        <v>45905</v>
      </c>
      <c r="N401" s="4">
        <v>182492.79999999999</v>
      </c>
      <c r="O401" s="1" t="s">
        <v>21</v>
      </c>
      <c r="P401" s="1" t="s">
        <v>22</v>
      </c>
      <c r="Q401" s="1">
        <v>1</v>
      </c>
      <c r="R401" s="1" t="str">
        <f>VLOOKUP(Sales4[[#This Row],[Material type]],Master!$H$3:$I$8,2,0)</f>
        <v>Semi-Finished Goods</v>
      </c>
      <c r="S401" s="1" t="str">
        <f>VLOOKUP(Sales4[[#This Row],[Material Group]],Master!B:C,2,0)</f>
        <v>SFG-GV5 Stator</v>
      </c>
      <c r="T401" s="1" t="str">
        <f>VLOOKUP(Sales4[[#This Row],[Material Group Descrip]],Master!E:F,2,0)</f>
        <v>Sub Ass.-Mech Stator</v>
      </c>
      <c r="U401" s="9" t="b">
        <f ca="1">(TODAY()-1)=Sales4[[#This Row],[Billing Date]]</f>
        <v>0</v>
      </c>
      <c r="V401" s="10" t="e">
        <f>Sales4[[#This Row],[Net Value]]-Sales4[[#This Row],[PGI COST]]</f>
        <v>#REF!</v>
      </c>
      <c r="W401" s="11" t="e">
        <f>Sales4[[#This Row],[Gross Margin]]/Sales4[[#This Row],[Net Value]]</f>
        <v>#REF!</v>
      </c>
      <c r="X401" s="1" t="str">
        <f>TEXT(Sales4[[#This Row],[Billing Date]],"mmmm-yy")</f>
        <v>September-25</v>
      </c>
      <c r="Y401" s="1">
        <f>Sales4[[#This Row],[Net Value]]/Sales4[[#This Row],[Billed Quantity]]</f>
        <v>162.94</v>
      </c>
      <c r="Z401" s="117">
        <f>Sales4[[#This Row],[Actual delivery qty]]</f>
        <v>1120</v>
      </c>
      <c r="AA401" s="12" t="e">
        <f>SUM(Sales4[[#This Row],[BOM Cost]:[Other Conversion cost pu]])</f>
        <v>#REF!</v>
      </c>
      <c r="AB40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0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01" s="12">
        <f>IFERROR(VLOOKUP(Sales4[[#This Row],[Material]],'COGS Break up'!#REF!,5,0),0)</f>
        <v>0</v>
      </c>
      <c r="AE40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01" s="48" t="e">
        <f>Sales4[[#This Row],[PGI per unit]]-Sales4[[#This Row],[BOM Cost]]-Sales4[[#This Row],[Labour cost per unit]]-Sales4[[#This Row],[Other Conversion cost pu]]</f>
        <v>#REF!</v>
      </c>
      <c r="AG401" s="48" t="e">
        <f>Sales4[[#This Row],[BOM Cost2]]+Sales4[[#This Row],[Labour Cost]]+Sales4[[#This Row],[Other conversion cost]]</f>
        <v>#REF!</v>
      </c>
      <c r="AH401" s="12" t="e">
        <f>Sales4[[#This Row],[Billed Quantity]]*Sales4[[#This Row],[BOM Cost]]</f>
        <v>#REF!</v>
      </c>
      <c r="AI401" s="12" t="e">
        <f>Sales4[[#This Row],[Billed Quantity]]*Sales4[[#This Row],[Labour cost per unit]]</f>
        <v>#REF!</v>
      </c>
      <c r="AJ401" s="12">
        <f>Sales4[[#This Row],[Droppage per unit]]*Sales4[[#This Row],[Billed Quantity]]</f>
        <v>0</v>
      </c>
      <c r="AK401" s="12" t="e">
        <f>Sales4[[#This Row],[Billed Quantity]]*Sales4[[#This Row],[Other Conversion cost pu]]</f>
        <v>#REF!</v>
      </c>
      <c r="AL401" s="48" t="e">
        <f>Sales4[[#This Row],[PGI Amount]]-Sales4[[#This Row],[BOM Cost2]]-Sales4[[#This Row],[Labour Cost]]-Sales4[[#This Row],[Other conversion cost]]</f>
        <v>#REF!</v>
      </c>
      <c r="AM401" s="121" t="e">
        <f>1-Sales4[[#This Row],[PGI COST]]/Sales4[[#This Row],[Net Value]]</f>
        <v>#REF!</v>
      </c>
      <c r="AN401" s="1">
        <f>Sales4[[#This Row],[PGI Amount]]/Sales4[[#This Row],[Billed Quantity]]</f>
        <v>147.54</v>
      </c>
      <c r="AO401" s="72" t="e">
        <f>SUMIFS('COGS Break up'!#REF!,'COGS Break up'!#REF!,Sales4[[#This Row],[Material]],'COGS Break up'!#REF!,'MIS Working'!$AO$1)</f>
        <v>#REF!</v>
      </c>
      <c r="AP401" s="72" t="e">
        <f>SUMIFS('COGS Break up'!#REF!,'COGS Break up'!#REF!,Sales4[[#This Row],[Material]],'COGS Break up'!#REF!,'MIS Working'!$AP$1)</f>
        <v>#REF!</v>
      </c>
      <c r="AQ401" s="72" t="e">
        <f>SUMIFS('COGS Break up'!#REF!,'COGS Break up'!#REF!,Sales4[[#This Row],[Material]],'COGS Break up'!#REF!,'MIS Working'!$AQ$1)</f>
        <v>#REF!</v>
      </c>
      <c r="AR401" s="72">
        <f>Sales4[[#This Row],[Droppage per unit]]</f>
        <v>0</v>
      </c>
      <c r="AS401" s="15" t="e">
        <f>AO401*Sales4[[#This Row],[Billed Quantity]]</f>
        <v>#REF!</v>
      </c>
      <c r="AT401" s="72" t="e">
        <f>AP401*Sales4[[#This Row],[Billed Quantity]]</f>
        <v>#REF!</v>
      </c>
      <c r="AU401" s="72" t="e">
        <f>AQ401*Sales4[[#This Row],[Billed Quantity]]</f>
        <v>#REF!</v>
      </c>
      <c r="AV401" s="72">
        <f>AR401*Sales4[[#This Row],[Billed Quantity]]</f>
        <v>0</v>
      </c>
    </row>
    <row r="402" spans="1:48" x14ac:dyDescent="0.3">
      <c r="A402" s="1" t="s">
        <v>479</v>
      </c>
      <c r="B402" s="2">
        <v>45905</v>
      </c>
      <c r="C402" s="1">
        <v>3271267382</v>
      </c>
      <c r="D402" s="1" t="s">
        <v>595</v>
      </c>
      <c r="E402" s="1" t="s">
        <v>596</v>
      </c>
      <c r="F402" s="1" t="s">
        <v>18</v>
      </c>
      <c r="G402" s="1" t="s">
        <v>34</v>
      </c>
      <c r="H402" s="1" t="s">
        <v>772</v>
      </c>
      <c r="I402" s="3">
        <v>1876</v>
      </c>
      <c r="J402" s="4">
        <v>234500</v>
      </c>
      <c r="K402" s="3">
        <v>1876</v>
      </c>
      <c r="L402" s="3">
        <v>1876</v>
      </c>
      <c r="M402" s="2">
        <v>45905</v>
      </c>
      <c r="N402" s="4">
        <v>248363.64</v>
      </c>
      <c r="O402" s="1" t="s">
        <v>21</v>
      </c>
      <c r="P402" s="1" t="s">
        <v>22</v>
      </c>
      <c r="Q402" s="1">
        <v>1</v>
      </c>
      <c r="R402" s="1" t="str">
        <f>VLOOKUP(Sales4[[#This Row],[Material type]],Master!$H$3:$I$8,2,0)</f>
        <v>Semi-Finished Goods</v>
      </c>
      <c r="S402" s="1" t="str">
        <f>VLOOKUP(Sales4[[#This Row],[Material Group]],Master!B:C,2,0)</f>
        <v>SFG-GV5 Stator</v>
      </c>
      <c r="T402" s="1" t="str">
        <f>VLOOKUP(Sales4[[#This Row],[Material Group Descrip]],Master!E:F,2,0)</f>
        <v>Sub Ass.-Mech Stator</v>
      </c>
      <c r="U402" s="9" t="b">
        <f ca="1">(TODAY()-1)=Sales4[[#This Row],[Billing Date]]</f>
        <v>0</v>
      </c>
      <c r="V402" s="10" t="e">
        <f>Sales4[[#This Row],[Net Value]]-Sales4[[#This Row],[PGI COST]]</f>
        <v>#REF!</v>
      </c>
      <c r="W402" s="11" t="e">
        <f>Sales4[[#This Row],[Gross Margin]]/Sales4[[#This Row],[Net Value]]</f>
        <v>#REF!</v>
      </c>
      <c r="X402" s="1" t="str">
        <f>TEXT(Sales4[[#This Row],[Billing Date]],"mmmm-yy")</f>
        <v>September-25</v>
      </c>
      <c r="Y402" s="1">
        <f>Sales4[[#This Row],[Net Value]]/Sales4[[#This Row],[Billed Quantity]]</f>
        <v>132.39000000000001</v>
      </c>
      <c r="Z402" s="117">
        <f>Sales4[[#This Row],[Actual delivery qty]]</f>
        <v>1876</v>
      </c>
      <c r="AA402" s="12" t="e">
        <f>SUM(Sales4[[#This Row],[BOM Cost]:[Other Conversion cost pu]])</f>
        <v>#REF!</v>
      </c>
      <c r="AB40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0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02" s="12">
        <f>IFERROR(VLOOKUP(Sales4[[#This Row],[Material]],'COGS Break up'!#REF!,5,0),0)</f>
        <v>0</v>
      </c>
      <c r="AE40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02" s="48" t="e">
        <f>Sales4[[#This Row],[PGI per unit]]-Sales4[[#This Row],[BOM Cost]]-Sales4[[#This Row],[Labour cost per unit]]-Sales4[[#This Row],[Other Conversion cost pu]]</f>
        <v>#REF!</v>
      </c>
      <c r="AG402" s="48" t="e">
        <f>Sales4[[#This Row],[BOM Cost2]]+Sales4[[#This Row],[Labour Cost]]+Sales4[[#This Row],[Other conversion cost]]</f>
        <v>#REF!</v>
      </c>
      <c r="AH402" s="12" t="e">
        <f>Sales4[[#This Row],[Billed Quantity]]*Sales4[[#This Row],[BOM Cost]]</f>
        <v>#REF!</v>
      </c>
      <c r="AI402" s="12" t="e">
        <f>Sales4[[#This Row],[Billed Quantity]]*Sales4[[#This Row],[Labour cost per unit]]</f>
        <v>#REF!</v>
      </c>
      <c r="AJ402" s="12">
        <f>Sales4[[#This Row],[Droppage per unit]]*Sales4[[#This Row],[Billed Quantity]]</f>
        <v>0</v>
      </c>
      <c r="AK402" s="12" t="e">
        <f>Sales4[[#This Row],[Billed Quantity]]*Sales4[[#This Row],[Other Conversion cost pu]]</f>
        <v>#REF!</v>
      </c>
      <c r="AL402" s="48" t="e">
        <f>Sales4[[#This Row],[PGI Amount]]-Sales4[[#This Row],[BOM Cost2]]-Sales4[[#This Row],[Labour Cost]]-Sales4[[#This Row],[Other conversion cost]]</f>
        <v>#REF!</v>
      </c>
      <c r="AM402" s="121" t="e">
        <f>1-Sales4[[#This Row],[PGI COST]]/Sales4[[#This Row],[Net Value]]</f>
        <v>#REF!</v>
      </c>
      <c r="AN402" s="1">
        <f>Sales4[[#This Row],[PGI Amount]]/Sales4[[#This Row],[Billed Quantity]]</f>
        <v>125</v>
      </c>
      <c r="AO402" s="72" t="e">
        <f>SUMIFS('COGS Break up'!#REF!,'COGS Break up'!#REF!,Sales4[[#This Row],[Material]],'COGS Break up'!#REF!,'MIS Working'!$AO$1)</f>
        <v>#REF!</v>
      </c>
      <c r="AP402" s="72" t="e">
        <f>SUMIFS('COGS Break up'!#REF!,'COGS Break up'!#REF!,Sales4[[#This Row],[Material]],'COGS Break up'!#REF!,'MIS Working'!$AP$1)</f>
        <v>#REF!</v>
      </c>
      <c r="AQ402" s="72" t="e">
        <f>SUMIFS('COGS Break up'!#REF!,'COGS Break up'!#REF!,Sales4[[#This Row],[Material]],'COGS Break up'!#REF!,'MIS Working'!$AQ$1)</f>
        <v>#REF!</v>
      </c>
      <c r="AR402" s="72">
        <f>Sales4[[#This Row],[Droppage per unit]]</f>
        <v>0</v>
      </c>
      <c r="AS402" s="15" t="e">
        <f>AO402*Sales4[[#This Row],[Billed Quantity]]</f>
        <v>#REF!</v>
      </c>
      <c r="AT402" s="72" t="e">
        <f>AP402*Sales4[[#This Row],[Billed Quantity]]</f>
        <v>#REF!</v>
      </c>
      <c r="AU402" s="72" t="e">
        <f>AQ402*Sales4[[#This Row],[Billed Quantity]]</f>
        <v>#REF!</v>
      </c>
      <c r="AV402" s="72">
        <f>AR402*Sales4[[#This Row],[Billed Quantity]]</f>
        <v>0</v>
      </c>
    </row>
    <row r="403" spans="1:48" x14ac:dyDescent="0.3">
      <c r="A403" s="1" t="s">
        <v>479</v>
      </c>
      <c r="B403" s="2">
        <v>45904</v>
      </c>
      <c r="C403" s="1">
        <v>3271266829</v>
      </c>
      <c r="D403" s="1" t="s">
        <v>38</v>
      </c>
      <c r="E403" s="1" t="s">
        <v>39</v>
      </c>
      <c r="F403" s="1" t="s">
        <v>18</v>
      </c>
      <c r="G403" s="1" t="s">
        <v>19</v>
      </c>
      <c r="H403" s="1" t="s">
        <v>27</v>
      </c>
      <c r="I403" s="3">
        <v>1960</v>
      </c>
      <c r="J403" s="4">
        <v>645741.6</v>
      </c>
      <c r="K403" s="3">
        <v>1960</v>
      </c>
      <c r="L403" s="3">
        <v>1960</v>
      </c>
      <c r="M403" s="2">
        <v>45904</v>
      </c>
      <c r="N403" s="4">
        <v>702248.4</v>
      </c>
      <c r="O403" s="1" t="s">
        <v>21</v>
      </c>
      <c r="P403" s="1" t="s">
        <v>22</v>
      </c>
      <c r="Q403" s="1">
        <v>1</v>
      </c>
      <c r="R403" s="1" t="str">
        <f>VLOOKUP(Sales4[[#This Row],[Material type]],Master!$H$3:$I$8,2,0)</f>
        <v>Finished Goods</v>
      </c>
      <c r="S403" s="1" t="str">
        <f>VLOOKUP(Sales4[[#This Row],[Material Group]],Master!B:C,2,0)</f>
        <v>FG-PCB-CF</v>
      </c>
      <c r="T403" s="1" t="str">
        <f>VLOOKUP(Sales4[[#This Row],[Material Group Descrip]],Master!E:F,2,0)</f>
        <v>FG-PCB-CF</v>
      </c>
      <c r="U403" s="9" t="b">
        <f ca="1">(TODAY()-1)=Sales4[[#This Row],[Billing Date]]</f>
        <v>0</v>
      </c>
      <c r="V403" s="10" t="e">
        <f>Sales4[[#This Row],[Net Value]]-Sales4[[#This Row],[PGI COST]]</f>
        <v>#REF!</v>
      </c>
      <c r="W403" s="11" t="e">
        <f>Sales4[[#This Row],[Gross Margin]]/Sales4[[#This Row],[Net Value]]</f>
        <v>#REF!</v>
      </c>
      <c r="X403" s="1" t="str">
        <f>TEXT(Sales4[[#This Row],[Billing Date]],"mmmm-yy")</f>
        <v>September-25</v>
      </c>
      <c r="Y403" s="1">
        <f>Sales4[[#This Row],[Net Value]]/Sales4[[#This Row],[Billed Quantity]]</f>
        <v>358.29</v>
      </c>
      <c r="Z403" s="117">
        <f>Sales4[[#This Row],[Actual delivery qty]]</f>
        <v>1960</v>
      </c>
      <c r="AA403" s="12" t="e">
        <f>SUM(Sales4[[#This Row],[BOM Cost]:[Other Conversion cost pu]])</f>
        <v>#REF!</v>
      </c>
      <c r="AB40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0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03" s="12">
        <f>IFERROR(VLOOKUP(Sales4[[#This Row],[Material]],'COGS Break up'!#REF!,5,0),0)</f>
        <v>0</v>
      </c>
      <c r="AE40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03" s="48" t="e">
        <f>Sales4[[#This Row],[PGI per unit]]-Sales4[[#This Row],[BOM Cost]]-Sales4[[#This Row],[Labour cost per unit]]-Sales4[[#This Row],[Other Conversion cost pu]]</f>
        <v>#REF!</v>
      </c>
      <c r="AG403" s="48" t="e">
        <f>Sales4[[#This Row],[BOM Cost2]]+Sales4[[#This Row],[Labour Cost]]+Sales4[[#This Row],[Other conversion cost]]</f>
        <v>#REF!</v>
      </c>
      <c r="AH403" s="12" t="e">
        <f>Sales4[[#This Row],[Billed Quantity]]*Sales4[[#This Row],[BOM Cost]]</f>
        <v>#REF!</v>
      </c>
      <c r="AI403" s="12" t="e">
        <f>Sales4[[#This Row],[Billed Quantity]]*Sales4[[#This Row],[Labour cost per unit]]</f>
        <v>#REF!</v>
      </c>
      <c r="AJ403" s="12">
        <f>Sales4[[#This Row],[Droppage per unit]]*Sales4[[#This Row],[Billed Quantity]]</f>
        <v>0</v>
      </c>
      <c r="AK403" s="12" t="e">
        <f>Sales4[[#This Row],[Billed Quantity]]*Sales4[[#This Row],[Other Conversion cost pu]]</f>
        <v>#REF!</v>
      </c>
      <c r="AL403" s="48" t="e">
        <f>Sales4[[#This Row],[PGI Amount]]-Sales4[[#This Row],[BOM Cost2]]-Sales4[[#This Row],[Labour Cost]]-Sales4[[#This Row],[Other conversion cost]]</f>
        <v>#REF!</v>
      </c>
      <c r="AM403" s="121" t="e">
        <f>1-Sales4[[#This Row],[PGI COST]]/Sales4[[#This Row],[Net Value]]</f>
        <v>#REF!</v>
      </c>
      <c r="AN403" s="1">
        <f>Sales4[[#This Row],[PGI Amount]]/Sales4[[#This Row],[Billed Quantity]]</f>
        <v>329.46</v>
      </c>
      <c r="AO403" s="72" t="e">
        <f>SUMIFS('COGS Break up'!#REF!,'COGS Break up'!#REF!,Sales4[[#This Row],[Material]],'COGS Break up'!#REF!,'MIS Working'!$AO$1)</f>
        <v>#REF!</v>
      </c>
      <c r="AP403" s="72" t="e">
        <f>SUMIFS('COGS Break up'!#REF!,'COGS Break up'!#REF!,Sales4[[#This Row],[Material]],'COGS Break up'!#REF!,'MIS Working'!$AP$1)</f>
        <v>#REF!</v>
      </c>
      <c r="AQ403" s="72" t="e">
        <f>SUMIFS('COGS Break up'!#REF!,'COGS Break up'!#REF!,Sales4[[#This Row],[Material]],'COGS Break up'!#REF!,'MIS Working'!$AQ$1)</f>
        <v>#REF!</v>
      </c>
      <c r="AR403" s="72">
        <f>Sales4[[#This Row],[Droppage per unit]]</f>
        <v>0</v>
      </c>
      <c r="AS403" s="15" t="e">
        <f>AO403*Sales4[[#This Row],[Billed Quantity]]</f>
        <v>#REF!</v>
      </c>
      <c r="AT403" s="72" t="e">
        <f>AP403*Sales4[[#This Row],[Billed Quantity]]</f>
        <v>#REF!</v>
      </c>
      <c r="AU403" s="72" t="e">
        <f>AQ403*Sales4[[#This Row],[Billed Quantity]]</f>
        <v>#REF!</v>
      </c>
      <c r="AV403" s="72">
        <f>AR403*Sales4[[#This Row],[Billed Quantity]]</f>
        <v>0</v>
      </c>
    </row>
    <row r="404" spans="1:48" x14ac:dyDescent="0.3">
      <c r="A404" s="1" t="s">
        <v>479</v>
      </c>
      <c r="B404" s="2">
        <v>45904</v>
      </c>
      <c r="C404" s="1">
        <v>3271266829</v>
      </c>
      <c r="D404" s="1" t="s">
        <v>362</v>
      </c>
      <c r="E404" s="1" t="s">
        <v>363</v>
      </c>
      <c r="F404" s="1" t="s">
        <v>18</v>
      </c>
      <c r="G404" s="1" t="s">
        <v>19</v>
      </c>
      <c r="H404" s="1" t="s">
        <v>483</v>
      </c>
      <c r="I404" s="3">
        <v>525</v>
      </c>
      <c r="J404" s="4">
        <v>384882.75</v>
      </c>
      <c r="K404" s="3">
        <v>525</v>
      </c>
      <c r="L404" s="3">
        <v>525</v>
      </c>
      <c r="M404" s="2">
        <v>45904</v>
      </c>
      <c r="N404" s="4">
        <v>452676</v>
      </c>
      <c r="O404" s="1" t="s">
        <v>21</v>
      </c>
      <c r="P404" s="1" t="s">
        <v>22</v>
      </c>
      <c r="Q404" s="1">
        <v>1</v>
      </c>
      <c r="R404" s="1" t="str">
        <f>VLOOKUP(Sales4[[#This Row],[Material type]],Master!$H$3:$I$8,2,0)</f>
        <v>Finished Goods</v>
      </c>
      <c r="S404" s="1" t="str">
        <f>VLOOKUP(Sales4[[#This Row],[Material Group]],Master!B:C,2,0)</f>
        <v>FG-PCB-MG</v>
      </c>
      <c r="T404" s="1" t="str">
        <f>VLOOKUP(Sales4[[#This Row],[Material Group Descrip]],Master!E:F,2,0)</f>
        <v>FG-PCB-MG</v>
      </c>
      <c r="U404" s="9" t="b">
        <f ca="1">(TODAY()-1)=Sales4[[#This Row],[Billing Date]]</f>
        <v>0</v>
      </c>
      <c r="V404" s="10" t="e">
        <f>Sales4[[#This Row],[Net Value]]-Sales4[[#This Row],[PGI COST]]</f>
        <v>#REF!</v>
      </c>
      <c r="W404" s="11" t="e">
        <f>Sales4[[#This Row],[Gross Margin]]/Sales4[[#This Row],[Net Value]]</f>
        <v>#REF!</v>
      </c>
      <c r="X404" s="1" t="str">
        <f>TEXT(Sales4[[#This Row],[Billing Date]],"mmmm-yy")</f>
        <v>September-25</v>
      </c>
      <c r="Y404" s="1">
        <f>Sales4[[#This Row],[Net Value]]/Sales4[[#This Row],[Billed Quantity]]</f>
        <v>862.24</v>
      </c>
      <c r="Z404" s="117">
        <f>Sales4[[#This Row],[Actual delivery qty]]</f>
        <v>525</v>
      </c>
      <c r="AA404" s="12" t="e">
        <f>SUM(Sales4[[#This Row],[BOM Cost]:[Other Conversion cost pu]])</f>
        <v>#REF!</v>
      </c>
      <c r="AB40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0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04" s="12">
        <f>IFERROR(VLOOKUP(Sales4[[#This Row],[Material]],'COGS Break up'!#REF!,5,0),0)</f>
        <v>0</v>
      </c>
      <c r="AE40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04" s="48" t="e">
        <f>Sales4[[#This Row],[PGI per unit]]-Sales4[[#This Row],[BOM Cost]]-Sales4[[#This Row],[Labour cost per unit]]-Sales4[[#This Row],[Other Conversion cost pu]]</f>
        <v>#REF!</v>
      </c>
      <c r="AG404" s="48" t="e">
        <f>Sales4[[#This Row],[BOM Cost2]]+Sales4[[#This Row],[Labour Cost]]+Sales4[[#This Row],[Other conversion cost]]</f>
        <v>#REF!</v>
      </c>
      <c r="AH404" s="12" t="e">
        <f>Sales4[[#This Row],[Billed Quantity]]*Sales4[[#This Row],[BOM Cost]]</f>
        <v>#REF!</v>
      </c>
      <c r="AI404" s="12" t="e">
        <f>Sales4[[#This Row],[Billed Quantity]]*Sales4[[#This Row],[Labour cost per unit]]</f>
        <v>#REF!</v>
      </c>
      <c r="AJ404" s="12">
        <f>Sales4[[#This Row],[Droppage per unit]]*Sales4[[#This Row],[Billed Quantity]]</f>
        <v>0</v>
      </c>
      <c r="AK404" s="12" t="e">
        <f>Sales4[[#This Row],[Billed Quantity]]*Sales4[[#This Row],[Other Conversion cost pu]]</f>
        <v>#REF!</v>
      </c>
      <c r="AL404" s="48" t="e">
        <f>Sales4[[#This Row],[PGI Amount]]-Sales4[[#This Row],[BOM Cost2]]-Sales4[[#This Row],[Labour Cost]]-Sales4[[#This Row],[Other conversion cost]]</f>
        <v>#REF!</v>
      </c>
      <c r="AM404" s="121" t="e">
        <f>1-Sales4[[#This Row],[PGI COST]]/Sales4[[#This Row],[Net Value]]</f>
        <v>#REF!</v>
      </c>
      <c r="AN404" s="1">
        <f>Sales4[[#This Row],[PGI Amount]]/Sales4[[#This Row],[Billed Quantity]]</f>
        <v>733.11</v>
      </c>
      <c r="AO404" s="72" t="e">
        <f>SUMIFS('COGS Break up'!#REF!,'COGS Break up'!#REF!,Sales4[[#This Row],[Material]],'COGS Break up'!#REF!,'MIS Working'!$AO$1)</f>
        <v>#REF!</v>
      </c>
      <c r="AP404" s="72" t="e">
        <f>SUMIFS('COGS Break up'!#REF!,'COGS Break up'!#REF!,Sales4[[#This Row],[Material]],'COGS Break up'!#REF!,'MIS Working'!$AP$1)</f>
        <v>#REF!</v>
      </c>
      <c r="AQ404" s="72" t="e">
        <f>SUMIFS('COGS Break up'!#REF!,'COGS Break up'!#REF!,Sales4[[#This Row],[Material]],'COGS Break up'!#REF!,'MIS Working'!$AQ$1)</f>
        <v>#REF!</v>
      </c>
      <c r="AR404" s="72">
        <f>Sales4[[#This Row],[Droppage per unit]]</f>
        <v>0</v>
      </c>
      <c r="AS404" s="15" t="e">
        <f>AO404*Sales4[[#This Row],[Billed Quantity]]</f>
        <v>#REF!</v>
      </c>
      <c r="AT404" s="72" t="e">
        <f>AP404*Sales4[[#This Row],[Billed Quantity]]</f>
        <v>#REF!</v>
      </c>
      <c r="AU404" s="72" t="e">
        <f>AQ404*Sales4[[#This Row],[Billed Quantity]]</f>
        <v>#REF!</v>
      </c>
      <c r="AV404" s="72">
        <f>AR404*Sales4[[#This Row],[Billed Quantity]]</f>
        <v>0</v>
      </c>
    </row>
    <row r="405" spans="1:48" x14ac:dyDescent="0.3">
      <c r="A405" s="1" t="s">
        <v>1294</v>
      </c>
      <c r="B405" s="2">
        <v>45904</v>
      </c>
      <c r="C405" s="1">
        <v>3271267070</v>
      </c>
      <c r="D405" s="1" t="s">
        <v>568</v>
      </c>
      <c r="E405" s="1" t="s">
        <v>594</v>
      </c>
      <c r="F405" s="1" t="s">
        <v>18</v>
      </c>
      <c r="G405" s="1" t="s">
        <v>19</v>
      </c>
      <c r="H405" s="1" t="s">
        <v>27</v>
      </c>
      <c r="I405" s="3">
        <v>5000</v>
      </c>
      <c r="J405" s="4">
        <v>97950</v>
      </c>
      <c r="K405" s="3">
        <v>5000</v>
      </c>
      <c r="L405" s="3">
        <v>5000</v>
      </c>
      <c r="M405" s="2">
        <v>45904</v>
      </c>
      <c r="N405" s="4">
        <v>71700</v>
      </c>
      <c r="O405" s="1" t="s">
        <v>21</v>
      </c>
      <c r="P405" s="1" t="s">
        <v>22</v>
      </c>
      <c r="Q405" s="1">
        <v>1</v>
      </c>
      <c r="R405" s="1" t="str">
        <f>VLOOKUP(Sales4[[#This Row],[Material type]],Master!$H$3:$I$8,2,0)</f>
        <v>Finished Goods</v>
      </c>
      <c r="S405" s="1" t="str">
        <f>VLOOKUP(Sales4[[#This Row],[Material Group]],Master!B:C,2,0)</f>
        <v>FG-PCB-CF</v>
      </c>
      <c r="T405" s="1" t="str">
        <f>VLOOKUP(Sales4[[#This Row],[Material Group Descrip]],Master!E:F,2,0)</f>
        <v>FG-PCB-CF</v>
      </c>
      <c r="U405" s="9" t="b">
        <f ca="1">(TODAY()-1)=Sales4[[#This Row],[Billing Date]]</f>
        <v>0</v>
      </c>
      <c r="V405" s="10" t="e">
        <f>Sales4[[#This Row],[Net Value]]-Sales4[[#This Row],[PGI COST]]</f>
        <v>#REF!</v>
      </c>
      <c r="W405" s="11" t="e">
        <f>Sales4[[#This Row],[Gross Margin]]/Sales4[[#This Row],[Net Value]]</f>
        <v>#REF!</v>
      </c>
      <c r="X405" s="1" t="str">
        <f>TEXT(Sales4[[#This Row],[Billing Date]],"mmmm-yy")</f>
        <v>September-25</v>
      </c>
      <c r="Y405" s="1">
        <f>Sales4[[#This Row],[Net Value]]/Sales4[[#This Row],[Billed Quantity]]</f>
        <v>14.34</v>
      </c>
      <c r="Z405" s="117">
        <f>Sales4[[#This Row],[Actual delivery qty]]</f>
        <v>5000</v>
      </c>
      <c r="AA405" s="12" t="e">
        <f>SUM(Sales4[[#This Row],[BOM Cost]:[Other Conversion cost pu]])</f>
        <v>#REF!</v>
      </c>
      <c r="AB40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0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05" s="12">
        <f>IFERROR(VLOOKUP(Sales4[[#This Row],[Material]],'COGS Break up'!#REF!,5,0),0)</f>
        <v>0</v>
      </c>
      <c r="AE40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05" s="48" t="e">
        <f>Sales4[[#This Row],[PGI per unit]]-Sales4[[#This Row],[BOM Cost]]-Sales4[[#This Row],[Labour cost per unit]]-Sales4[[#This Row],[Other Conversion cost pu]]</f>
        <v>#REF!</v>
      </c>
      <c r="AG405" s="48" t="e">
        <f>Sales4[[#This Row],[BOM Cost2]]+Sales4[[#This Row],[Labour Cost]]+Sales4[[#This Row],[Other conversion cost]]</f>
        <v>#REF!</v>
      </c>
      <c r="AH405" s="12" t="e">
        <f>Sales4[[#This Row],[Billed Quantity]]*Sales4[[#This Row],[BOM Cost]]</f>
        <v>#REF!</v>
      </c>
      <c r="AI405" s="12" t="e">
        <f>Sales4[[#This Row],[Billed Quantity]]*Sales4[[#This Row],[Labour cost per unit]]</f>
        <v>#REF!</v>
      </c>
      <c r="AJ405" s="12">
        <f>Sales4[[#This Row],[Droppage per unit]]*Sales4[[#This Row],[Billed Quantity]]</f>
        <v>0</v>
      </c>
      <c r="AK405" s="12" t="e">
        <f>Sales4[[#This Row],[Billed Quantity]]*Sales4[[#This Row],[Other Conversion cost pu]]</f>
        <v>#REF!</v>
      </c>
      <c r="AL405" s="48" t="e">
        <f>Sales4[[#This Row],[PGI Amount]]-Sales4[[#This Row],[BOM Cost2]]-Sales4[[#This Row],[Labour Cost]]-Sales4[[#This Row],[Other conversion cost]]</f>
        <v>#REF!</v>
      </c>
      <c r="AM405" s="121" t="e">
        <f>1-Sales4[[#This Row],[PGI COST]]/Sales4[[#This Row],[Net Value]]</f>
        <v>#REF!</v>
      </c>
      <c r="AN405" s="1">
        <f>Sales4[[#This Row],[PGI Amount]]/Sales4[[#This Row],[Billed Quantity]]</f>
        <v>19.59</v>
      </c>
      <c r="AO405" s="72" t="e">
        <f>SUMIFS('COGS Break up'!#REF!,'COGS Break up'!#REF!,Sales4[[#This Row],[Material]],'COGS Break up'!#REF!,'MIS Working'!$AO$1)</f>
        <v>#REF!</v>
      </c>
      <c r="AP405" s="72" t="e">
        <f>SUMIFS('COGS Break up'!#REF!,'COGS Break up'!#REF!,Sales4[[#This Row],[Material]],'COGS Break up'!#REF!,'MIS Working'!$AP$1)</f>
        <v>#REF!</v>
      </c>
      <c r="AQ405" s="72" t="e">
        <f>SUMIFS('COGS Break up'!#REF!,'COGS Break up'!#REF!,Sales4[[#This Row],[Material]],'COGS Break up'!#REF!,'MIS Working'!$AQ$1)</f>
        <v>#REF!</v>
      </c>
      <c r="AR405" s="72">
        <f>Sales4[[#This Row],[Droppage per unit]]</f>
        <v>0</v>
      </c>
      <c r="AS405" s="15" t="e">
        <f>AO405*Sales4[[#This Row],[Billed Quantity]]</f>
        <v>#REF!</v>
      </c>
      <c r="AT405" s="72" t="e">
        <f>AP405*Sales4[[#This Row],[Billed Quantity]]</f>
        <v>#REF!</v>
      </c>
      <c r="AU405" s="72" t="e">
        <f>AQ405*Sales4[[#This Row],[Billed Quantity]]</f>
        <v>#REF!</v>
      </c>
      <c r="AV405" s="72">
        <f>AR405*Sales4[[#This Row],[Billed Quantity]]</f>
        <v>0</v>
      </c>
    </row>
    <row r="406" spans="1:48" x14ac:dyDescent="0.3">
      <c r="A406" s="1" t="s">
        <v>479</v>
      </c>
      <c r="B406" s="2">
        <v>45904</v>
      </c>
      <c r="C406" s="1">
        <v>3271266844</v>
      </c>
      <c r="D406" s="1" t="s">
        <v>38</v>
      </c>
      <c r="E406" s="1" t="s">
        <v>39</v>
      </c>
      <c r="F406" s="1" t="s">
        <v>18</v>
      </c>
      <c r="G406" s="1" t="s">
        <v>19</v>
      </c>
      <c r="H406" s="1" t="s">
        <v>27</v>
      </c>
      <c r="I406" s="3">
        <v>1120</v>
      </c>
      <c r="J406" s="4">
        <v>368995.2</v>
      </c>
      <c r="K406" s="3">
        <v>1120</v>
      </c>
      <c r="L406" s="3">
        <v>1120</v>
      </c>
      <c r="M406" s="2">
        <v>45904</v>
      </c>
      <c r="N406" s="4">
        <v>401284.8</v>
      </c>
      <c r="O406" s="1" t="s">
        <v>21</v>
      </c>
      <c r="P406" s="1" t="s">
        <v>22</v>
      </c>
      <c r="Q406" s="1">
        <v>1</v>
      </c>
      <c r="R406" s="1" t="str">
        <f>VLOOKUP(Sales4[[#This Row],[Material type]],Master!$H$3:$I$8,2,0)</f>
        <v>Finished Goods</v>
      </c>
      <c r="S406" s="1" t="str">
        <f>VLOOKUP(Sales4[[#This Row],[Material Group]],Master!B:C,2,0)</f>
        <v>FG-PCB-CF</v>
      </c>
      <c r="T406" s="1" t="str">
        <f>VLOOKUP(Sales4[[#This Row],[Material Group Descrip]],Master!E:F,2,0)</f>
        <v>FG-PCB-CF</v>
      </c>
      <c r="U406" s="9" t="b">
        <f ca="1">(TODAY()-1)=Sales4[[#This Row],[Billing Date]]</f>
        <v>0</v>
      </c>
      <c r="V406" s="10" t="e">
        <f>Sales4[[#This Row],[Net Value]]-Sales4[[#This Row],[PGI COST]]</f>
        <v>#REF!</v>
      </c>
      <c r="W406" s="11" t="e">
        <f>Sales4[[#This Row],[Gross Margin]]/Sales4[[#This Row],[Net Value]]</f>
        <v>#REF!</v>
      </c>
      <c r="X406" s="1" t="str">
        <f>TEXT(Sales4[[#This Row],[Billing Date]],"mmmm-yy")</f>
        <v>September-25</v>
      </c>
      <c r="Y406" s="1">
        <f>Sales4[[#This Row],[Net Value]]/Sales4[[#This Row],[Billed Quantity]]</f>
        <v>358.28999999999996</v>
      </c>
      <c r="Z406" s="117">
        <f>Sales4[[#This Row],[Actual delivery qty]]</f>
        <v>1120</v>
      </c>
      <c r="AA406" s="12" t="e">
        <f>SUM(Sales4[[#This Row],[BOM Cost]:[Other Conversion cost pu]])</f>
        <v>#REF!</v>
      </c>
      <c r="AB40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0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06" s="12">
        <f>IFERROR(VLOOKUP(Sales4[[#This Row],[Material]],'COGS Break up'!#REF!,5,0),0)</f>
        <v>0</v>
      </c>
      <c r="AE40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06" s="48" t="e">
        <f>Sales4[[#This Row],[PGI per unit]]-Sales4[[#This Row],[BOM Cost]]-Sales4[[#This Row],[Labour cost per unit]]-Sales4[[#This Row],[Other Conversion cost pu]]</f>
        <v>#REF!</v>
      </c>
      <c r="AG406" s="48" t="e">
        <f>Sales4[[#This Row],[BOM Cost2]]+Sales4[[#This Row],[Labour Cost]]+Sales4[[#This Row],[Other conversion cost]]</f>
        <v>#REF!</v>
      </c>
      <c r="AH406" s="12" t="e">
        <f>Sales4[[#This Row],[Billed Quantity]]*Sales4[[#This Row],[BOM Cost]]</f>
        <v>#REF!</v>
      </c>
      <c r="AI406" s="12" t="e">
        <f>Sales4[[#This Row],[Billed Quantity]]*Sales4[[#This Row],[Labour cost per unit]]</f>
        <v>#REF!</v>
      </c>
      <c r="AJ406" s="12">
        <f>Sales4[[#This Row],[Droppage per unit]]*Sales4[[#This Row],[Billed Quantity]]</f>
        <v>0</v>
      </c>
      <c r="AK406" s="12" t="e">
        <f>Sales4[[#This Row],[Billed Quantity]]*Sales4[[#This Row],[Other Conversion cost pu]]</f>
        <v>#REF!</v>
      </c>
      <c r="AL406" s="48" t="e">
        <f>Sales4[[#This Row],[PGI Amount]]-Sales4[[#This Row],[BOM Cost2]]-Sales4[[#This Row],[Labour Cost]]-Sales4[[#This Row],[Other conversion cost]]</f>
        <v>#REF!</v>
      </c>
      <c r="AM406" s="121" t="e">
        <f>1-Sales4[[#This Row],[PGI COST]]/Sales4[[#This Row],[Net Value]]</f>
        <v>#REF!</v>
      </c>
      <c r="AN406" s="1">
        <f>Sales4[[#This Row],[PGI Amount]]/Sales4[[#This Row],[Billed Quantity]]</f>
        <v>329.46000000000004</v>
      </c>
      <c r="AO406" s="72" t="e">
        <f>SUMIFS('COGS Break up'!#REF!,'COGS Break up'!#REF!,Sales4[[#This Row],[Material]],'COGS Break up'!#REF!,'MIS Working'!$AO$1)</f>
        <v>#REF!</v>
      </c>
      <c r="AP406" s="72" t="e">
        <f>SUMIFS('COGS Break up'!#REF!,'COGS Break up'!#REF!,Sales4[[#This Row],[Material]],'COGS Break up'!#REF!,'MIS Working'!$AP$1)</f>
        <v>#REF!</v>
      </c>
      <c r="AQ406" s="72" t="e">
        <f>SUMIFS('COGS Break up'!#REF!,'COGS Break up'!#REF!,Sales4[[#This Row],[Material]],'COGS Break up'!#REF!,'MIS Working'!$AQ$1)</f>
        <v>#REF!</v>
      </c>
      <c r="AR406" s="72">
        <f>Sales4[[#This Row],[Droppage per unit]]</f>
        <v>0</v>
      </c>
      <c r="AS406" s="15" t="e">
        <f>AO406*Sales4[[#This Row],[Billed Quantity]]</f>
        <v>#REF!</v>
      </c>
      <c r="AT406" s="72" t="e">
        <f>AP406*Sales4[[#This Row],[Billed Quantity]]</f>
        <v>#REF!</v>
      </c>
      <c r="AU406" s="72" t="e">
        <f>AQ406*Sales4[[#This Row],[Billed Quantity]]</f>
        <v>#REF!</v>
      </c>
      <c r="AV406" s="72">
        <f>AR406*Sales4[[#This Row],[Billed Quantity]]</f>
        <v>0</v>
      </c>
    </row>
    <row r="407" spans="1:48" x14ac:dyDescent="0.3">
      <c r="A407" s="1" t="s">
        <v>479</v>
      </c>
      <c r="B407" s="2">
        <v>45904</v>
      </c>
      <c r="C407" s="1">
        <v>3271267094</v>
      </c>
      <c r="D407" s="1" t="s">
        <v>38</v>
      </c>
      <c r="E407" s="1" t="s">
        <v>39</v>
      </c>
      <c r="F407" s="1" t="s">
        <v>18</v>
      </c>
      <c r="G407" s="1" t="s">
        <v>19</v>
      </c>
      <c r="H407" s="1" t="s">
        <v>27</v>
      </c>
      <c r="I407" s="3">
        <v>2275</v>
      </c>
      <c r="J407" s="4">
        <v>749521.5</v>
      </c>
      <c r="K407" s="3">
        <v>2275</v>
      </c>
      <c r="L407" s="3">
        <v>2275</v>
      </c>
      <c r="M407" s="2">
        <v>45904</v>
      </c>
      <c r="N407" s="4">
        <v>815109.75</v>
      </c>
      <c r="O407" s="1" t="s">
        <v>21</v>
      </c>
      <c r="P407" s="1" t="s">
        <v>22</v>
      </c>
      <c r="Q407" s="1">
        <v>1</v>
      </c>
      <c r="R407" s="1" t="str">
        <f>VLOOKUP(Sales4[[#This Row],[Material type]],Master!$H$3:$I$8,2,0)</f>
        <v>Finished Goods</v>
      </c>
      <c r="S407" s="1" t="str">
        <f>VLOOKUP(Sales4[[#This Row],[Material Group]],Master!B:C,2,0)</f>
        <v>FG-PCB-CF</v>
      </c>
      <c r="T407" s="1" t="str">
        <f>VLOOKUP(Sales4[[#This Row],[Material Group Descrip]],Master!E:F,2,0)</f>
        <v>FG-PCB-CF</v>
      </c>
      <c r="U407" s="9" t="b">
        <f ca="1">(TODAY()-1)=Sales4[[#This Row],[Billing Date]]</f>
        <v>0</v>
      </c>
      <c r="V407" s="10" t="e">
        <f>Sales4[[#This Row],[Net Value]]-Sales4[[#This Row],[PGI COST]]</f>
        <v>#REF!</v>
      </c>
      <c r="W407" s="11" t="e">
        <f>Sales4[[#This Row],[Gross Margin]]/Sales4[[#This Row],[Net Value]]</f>
        <v>#REF!</v>
      </c>
      <c r="X407" s="1" t="str">
        <f>TEXT(Sales4[[#This Row],[Billing Date]],"mmmm-yy")</f>
        <v>September-25</v>
      </c>
      <c r="Y407" s="1">
        <f>Sales4[[#This Row],[Net Value]]/Sales4[[#This Row],[Billed Quantity]]</f>
        <v>358.29</v>
      </c>
      <c r="Z407" s="117">
        <f>Sales4[[#This Row],[Actual delivery qty]]</f>
        <v>2275</v>
      </c>
      <c r="AA407" s="12" t="e">
        <f>SUM(Sales4[[#This Row],[BOM Cost]:[Other Conversion cost pu]])</f>
        <v>#REF!</v>
      </c>
      <c r="AB40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0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07" s="12">
        <f>IFERROR(VLOOKUP(Sales4[[#This Row],[Material]],'COGS Break up'!#REF!,5,0),0)</f>
        <v>0</v>
      </c>
      <c r="AE40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07" s="48" t="e">
        <f>Sales4[[#This Row],[PGI per unit]]-Sales4[[#This Row],[BOM Cost]]-Sales4[[#This Row],[Labour cost per unit]]-Sales4[[#This Row],[Other Conversion cost pu]]</f>
        <v>#REF!</v>
      </c>
      <c r="AG407" s="48" t="e">
        <f>Sales4[[#This Row],[BOM Cost2]]+Sales4[[#This Row],[Labour Cost]]+Sales4[[#This Row],[Other conversion cost]]</f>
        <v>#REF!</v>
      </c>
      <c r="AH407" s="12" t="e">
        <f>Sales4[[#This Row],[Billed Quantity]]*Sales4[[#This Row],[BOM Cost]]</f>
        <v>#REF!</v>
      </c>
      <c r="AI407" s="12" t="e">
        <f>Sales4[[#This Row],[Billed Quantity]]*Sales4[[#This Row],[Labour cost per unit]]</f>
        <v>#REF!</v>
      </c>
      <c r="AJ407" s="12">
        <f>Sales4[[#This Row],[Droppage per unit]]*Sales4[[#This Row],[Billed Quantity]]</f>
        <v>0</v>
      </c>
      <c r="AK407" s="12" t="e">
        <f>Sales4[[#This Row],[Billed Quantity]]*Sales4[[#This Row],[Other Conversion cost pu]]</f>
        <v>#REF!</v>
      </c>
      <c r="AL407" s="48" t="e">
        <f>Sales4[[#This Row],[PGI Amount]]-Sales4[[#This Row],[BOM Cost2]]-Sales4[[#This Row],[Labour Cost]]-Sales4[[#This Row],[Other conversion cost]]</f>
        <v>#REF!</v>
      </c>
      <c r="AM407" s="121" t="e">
        <f>1-Sales4[[#This Row],[PGI COST]]/Sales4[[#This Row],[Net Value]]</f>
        <v>#REF!</v>
      </c>
      <c r="AN407" s="1">
        <f>Sales4[[#This Row],[PGI Amount]]/Sales4[[#This Row],[Billed Quantity]]</f>
        <v>329.46</v>
      </c>
      <c r="AO407" s="72" t="e">
        <f>SUMIFS('COGS Break up'!#REF!,'COGS Break up'!#REF!,Sales4[[#This Row],[Material]],'COGS Break up'!#REF!,'MIS Working'!$AO$1)</f>
        <v>#REF!</v>
      </c>
      <c r="AP407" s="72" t="e">
        <f>SUMIFS('COGS Break up'!#REF!,'COGS Break up'!#REF!,Sales4[[#This Row],[Material]],'COGS Break up'!#REF!,'MIS Working'!$AP$1)</f>
        <v>#REF!</v>
      </c>
      <c r="AQ407" s="72" t="e">
        <f>SUMIFS('COGS Break up'!#REF!,'COGS Break up'!#REF!,Sales4[[#This Row],[Material]],'COGS Break up'!#REF!,'MIS Working'!$AQ$1)</f>
        <v>#REF!</v>
      </c>
      <c r="AR407" s="72">
        <f>Sales4[[#This Row],[Droppage per unit]]</f>
        <v>0</v>
      </c>
      <c r="AS407" s="15" t="e">
        <f>AO407*Sales4[[#This Row],[Billed Quantity]]</f>
        <v>#REF!</v>
      </c>
      <c r="AT407" s="72" t="e">
        <f>AP407*Sales4[[#This Row],[Billed Quantity]]</f>
        <v>#REF!</v>
      </c>
      <c r="AU407" s="72" t="e">
        <f>AQ407*Sales4[[#This Row],[Billed Quantity]]</f>
        <v>#REF!</v>
      </c>
      <c r="AV407" s="72">
        <f>AR407*Sales4[[#This Row],[Billed Quantity]]</f>
        <v>0</v>
      </c>
    </row>
    <row r="408" spans="1:48" x14ac:dyDescent="0.3">
      <c r="A408" s="1" t="s">
        <v>479</v>
      </c>
      <c r="B408" s="2">
        <v>45904</v>
      </c>
      <c r="C408" s="1">
        <v>3271267094</v>
      </c>
      <c r="D408" s="1" t="s">
        <v>23</v>
      </c>
      <c r="E408" s="1" t="s">
        <v>24</v>
      </c>
      <c r="F408" s="1" t="s">
        <v>18</v>
      </c>
      <c r="G408" s="1" t="s">
        <v>19</v>
      </c>
      <c r="H408" s="1" t="s">
        <v>27</v>
      </c>
      <c r="I408" s="3">
        <v>420</v>
      </c>
      <c r="J408" s="4">
        <v>178260.6</v>
      </c>
      <c r="K408" s="3">
        <v>420</v>
      </c>
      <c r="L408" s="3">
        <v>420</v>
      </c>
      <c r="M408" s="2">
        <v>45904</v>
      </c>
      <c r="N408" s="4">
        <v>202927.2</v>
      </c>
      <c r="O408" s="1" t="s">
        <v>21</v>
      </c>
      <c r="P408" s="1" t="s">
        <v>22</v>
      </c>
      <c r="Q408" s="1">
        <v>1</v>
      </c>
      <c r="R408" s="1" t="str">
        <f>VLOOKUP(Sales4[[#This Row],[Material type]],Master!$H$3:$I$8,2,0)</f>
        <v>Finished Goods</v>
      </c>
      <c r="S408" s="1" t="str">
        <f>VLOOKUP(Sales4[[#This Row],[Material Group]],Master!B:C,2,0)</f>
        <v>FG-PCB-CF</v>
      </c>
      <c r="T408" s="1" t="str">
        <f>VLOOKUP(Sales4[[#This Row],[Material Group Descrip]],Master!E:F,2,0)</f>
        <v>FG-PCB-CF</v>
      </c>
      <c r="U408" s="9" t="b">
        <f ca="1">(TODAY()-1)=Sales4[[#This Row],[Billing Date]]</f>
        <v>0</v>
      </c>
      <c r="V408" s="10" t="e">
        <f>Sales4[[#This Row],[Net Value]]-Sales4[[#This Row],[PGI COST]]</f>
        <v>#REF!</v>
      </c>
      <c r="W408" s="11" t="e">
        <f>Sales4[[#This Row],[Gross Margin]]/Sales4[[#This Row],[Net Value]]</f>
        <v>#REF!</v>
      </c>
      <c r="X408" s="1" t="str">
        <f>TEXT(Sales4[[#This Row],[Billing Date]],"mmmm-yy")</f>
        <v>September-25</v>
      </c>
      <c r="Y408" s="1">
        <f>Sales4[[#This Row],[Net Value]]/Sales4[[#This Row],[Billed Quantity]]</f>
        <v>483.16</v>
      </c>
      <c r="Z408" s="117">
        <f>Sales4[[#This Row],[Actual delivery qty]]</f>
        <v>420</v>
      </c>
      <c r="AA408" s="12" t="e">
        <f>SUM(Sales4[[#This Row],[BOM Cost]:[Other Conversion cost pu]])</f>
        <v>#REF!</v>
      </c>
      <c r="AB40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0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08" s="12">
        <f>IFERROR(VLOOKUP(Sales4[[#This Row],[Material]],'COGS Break up'!#REF!,5,0),0)</f>
        <v>0</v>
      </c>
      <c r="AE40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08" s="48" t="e">
        <f>Sales4[[#This Row],[PGI per unit]]-Sales4[[#This Row],[BOM Cost]]-Sales4[[#This Row],[Labour cost per unit]]-Sales4[[#This Row],[Other Conversion cost pu]]</f>
        <v>#REF!</v>
      </c>
      <c r="AG408" s="48" t="e">
        <f>Sales4[[#This Row],[BOM Cost2]]+Sales4[[#This Row],[Labour Cost]]+Sales4[[#This Row],[Other conversion cost]]</f>
        <v>#REF!</v>
      </c>
      <c r="AH408" s="12" t="e">
        <f>Sales4[[#This Row],[Billed Quantity]]*Sales4[[#This Row],[BOM Cost]]</f>
        <v>#REF!</v>
      </c>
      <c r="AI408" s="12" t="e">
        <f>Sales4[[#This Row],[Billed Quantity]]*Sales4[[#This Row],[Labour cost per unit]]</f>
        <v>#REF!</v>
      </c>
      <c r="AJ408" s="12">
        <f>Sales4[[#This Row],[Droppage per unit]]*Sales4[[#This Row],[Billed Quantity]]</f>
        <v>0</v>
      </c>
      <c r="AK408" s="12" t="e">
        <f>Sales4[[#This Row],[Billed Quantity]]*Sales4[[#This Row],[Other Conversion cost pu]]</f>
        <v>#REF!</v>
      </c>
      <c r="AL408" s="48" t="e">
        <f>Sales4[[#This Row],[PGI Amount]]-Sales4[[#This Row],[BOM Cost2]]-Sales4[[#This Row],[Labour Cost]]-Sales4[[#This Row],[Other conversion cost]]</f>
        <v>#REF!</v>
      </c>
      <c r="AM408" s="121" t="e">
        <f>1-Sales4[[#This Row],[PGI COST]]/Sales4[[#This Row],[Net Value]]</f>
        <v>#REF!</v>
      </c>
      <c r="AN408" s="1">
        <f>Sales4[[#This Row],[PGI Amount]]/Sales4[[#This Row],[Billed Quantity]]</f>
        <v>424.43</v>
      </c>
      <c r="AO408" s="72" t="e">
        <f>SUMIFS('COGS Break up'!#REF!,'COGS Break up'!#REF!,Sales4[[#This Row],[Material]],'COGS Break up'!#REF!,'MIS Working'!$AO$1)</f>
        <v>#REF!</v>
      </c>
      <c r="AP408" s="72" t="e">
        <f>SUMIFS('COGS Break up'!#REF!,'COGS Break up'!#REF!,Sales4[[#This Row],[Material]],'COGS Break up'!#REF!,'MIS Working'!$AP$1)</f>
        <v>#REF!</v>
      </c>
      <c r="AQ408" s="72" t="e">
        <f>SUMIFS('COGS Break up'!#REF!,'COGS Break up'!#REF!,Sales4[[#This Row],[Material]],'COGS Break up'!#REF!,'MIS Working'!$AQ$1)</f>
        <v>#REF!</v>
      </c>
      <c r="AR408" s="72">
        <f>Sales4[[#This Row],[Droppage per unit]]</f>
        <v>0</v>
      </c>
      <c r="AS408" s="15" t="e">
        <f>AO408*Sales4[[#This Row],[Billed Quantity]]</f>
        <v>#REF!</v>
      </c>
      <c r="AT408" s="72" t="e">
        <f>AP408*Sales4[[#This Row],[Billed Quantity]]</f>
        <v>#REF!</v>
      </c>
      <c r="AU408" s="72" t="e">
        <f>AQ408*Sales4[[#This Row],[Billed Quantity]]</f>
        <v>#REF!</v>
      </c>
      <c r="AV408" s="72">
        <f>AR408*Sales4[[#This Row],[Billed Quantity]]</f>
        <v>0</v>
      </c>
    </row>
    <row r="409" spans="1:48" x14ac:dyDescent="0.3">
      <c r="A409" s="1" t="s">
        <v>479</v>
      </c>
      <c r="B409" s="2">
        <v>45904</v>
      </c>
      <c r="C409" s="1">
        <v>3271266844</v>
      </c>
      <c r="D409" s="1" t="s">
        <v>23</v>
      </c>
      <c r="E409" s="1" t="s">
        <v>24</v>
      </c>
      <c r="F409" s="1" t="s">
        <v>18</v>
      </c>
      <c r="G409" s="1" t="s">
        <v>19</v>
      </c>
      <c r="H409" s="1" t="s">
        <v>27</v>
      </c>
      <c r="I409" s="3">
        <v>840</v>
      </c>
      <c r="J409" s="4">
        <v>356521.2</v>
      </c>
      <c r="K409" s="3">
        <v>840</v>
      </c>
      <c r="L409" s="3">
        <v>840</v>
      </c>
      <c r="M409" s="2">
        <v>45904</v>
      </c>
      <c r="N409" s="4">
        <v>405854.4</v>
      </c>
      <c r="O409" s="1" t="s">
        <v>21</v>
      </c>
      <c r="P409" s="1" t="s">
        <v>22</v>
      </c>
      <c r="Q409" s="1">
        <v>1</v>
      </c>
      <c r="R409" s="1" t="str">
        <f>VLOOKUP(Sales4[[#This Row],[Material type]],Master!$H$3:$I$8,2,0)</f>
        <v>Finished Goods</v>
      </c>
      <c r="S409" s="1" t="str">
        <f>VLOOKUP(Sales4[[#This Row],[Material Group]],Master!B:C,2,0)</f>
        <v>FG-PCB-CF</v>
      </c>
      <c r="T409" s="1" t="str">
        <f>VLOOKUP(Sales4[[#This Row],[Material Group Descrip]],Master!E:F,2,0)</f>
        <v>FG-PCB-CF</v>
      </c>
      <c r="U409" s="9" t="b">
        <f ca="1">(TODAY()-1)=Sales4[[#This Row],[Billing Date]]</f>
        <v>0</v>
      </c>
      <c r="V409" s="10" t="e">
        <f>Sales4[[#This Row],[Net Value]]-Sales4[[#This Row],[PGI COST]]</f>
        <v>#REF!</v>
      </c>
      <c r="W409" s="11" t="e">
        <f>Sales4[[#This Row],[Gross Margin]]/Sales4[[#This Row],[Net Value]]</f>
        <v>#REF!</v>
      </c>
      <c r="X409" s="1" t="str">
        <f>TEXT(Sales4[[#This Row],[Billing Date]],"mmmm-yy")</f>
        <v>September-25</v>
      </c>
      <c r="Y409" s="1">
        <f>Sales4[[#This Row],[Net Value]]/Sales4[[#This Row],[Billed Quantity]]</f>
        <v>483.16</v>
      </c>
      <c r="Z409" s="117">
        <f>Sales4[[#This Row],[Actual delivery qty]]</f>
        <v>840</v>
      </c>
      <c r="AA409" s="12" t="e">
        <f>SUM(Sales4[[#This Row],[BOM Cost]:[Other Conversion cost pu]])</f>
        <v>#REF!</v>
      </c>
      <c r="AB40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0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09" s="12">
        <f>IFERROR(VLOOKUP(Sales4[[#This Row],[Material]],'COGS Break up'!#REF!,5,0),0)</f>
        <v>0</v>
      </c>
      <c r="AE40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09" s="48" t="e">
        <f>Sales4[[#This Row],[PGI per unit]]-Sales4[[#This Row],[BOM Cost]]-Sales4[[#This Row],[Labour cost per unit]]-Sales4[[#This Row],[Other Conversion cost pu]]</f>
        <v>#REF!</v>
      </c>
      <c r="AG409" s="48" t="e">
        <f>Sales4[[#This Row],[BOM Cost2]]+Sales4[[#This Row],[Labour Cost]]+Sales4[[#This Row],[Other conversion cost]]</f>
        <v>#REF!</v>
      </c>
      <c r="AH409" s="12" t="e">
        <f>Sales4[[#This Row],[Billed Quantity]]*Sales4[[#This Row],[BOM Cost]]</f>
        <v>#REF!</v>
      </c>
      <c r="AI409" s="12" t="e">
        <f>Sales4[[#This Row],[Billed Quantity]]*Sales4[[#This Row],[Labour cost per unit]]</f>
        <v>#REF!</v>
      </c>
      <c r="AJ409" s="12">
        <f>Sales4[[#This Row],[Droppage per unit]]*Sales4[[#This Row],[Billed Quantity]]</f>
        <v>0</v>
      </c>
      <c r="AK409" s="12" t="e">
        <f>Sales4[[#This Row],[Billed Quantity]]*Sales4[[#This Row],[Other Conversion cost pu]]</f>
        <v>#REF!</v>
      </c>
      <c r="AL409" s="48" t="e">
        <f>Sales4[[#This Row],[PGI Amount]]-Sales4[[#This Row],[BOM Cost2]]-Sales4[[#This Row],[Labour Cost]]-Sales4[[#This Row],[Other conversion cost]]</f>
        <v>#REF!</v>
      </c>
      <c r="AM409" s="121" t="e">
        <f>1-Sales4[[#This Row],[PGI COST]]/Sales4[[#This Row],[Net Value]]</f>
        <v>#REF!</v>
      </c>
      <c r="AN409" s="1">
        <f>Sales4[[#This Row],[PGI Amount]]/Sales4[[#This Row],[Billed Quantity]]</f>
        <v>424.43</v>
      </c>
      <c r="AO409" s="72" t="e">
        <f>SUMIFS('COGS Break up'!#REF!,'COGS Break up'!#REF!,Sales4[[#This Row],[Material]],'COGS Break up'!#REF!,'MIS Working'!$AO$1)</f>
        <v>#REF!</v>
      </c>
      <c r="AP409" s="72" t="e">
        <f>SUMIFS('COGS Break up'!#REF!,'COGS Break up'!#REF!,Sales4[[#This Row],[Material]],'COGS Break up'!#REF!,'MIS Working'!$AP$1)</f>
        <v>#REF!</v>
      </c>
      <c r="AQ409" s="72" t="e">
        <f>SUMIFS('COGS Break up'!#REF!,'COGS Break up'!#REF!,Sales4[[#This Row],[Material]],'COGS Break up'!#REF!,'MIS Working'!$AQ$1)</f>
        <v>#REF!</v>
      </c>
      <c r="AR409" s="72">
        <f>Sales4[[#This Row],[Droppage per unit]]</f>
        <v>0</v>
      </c>
      <c r="AS409" s="15" t="e">
        <f>AO409*Sales4[[#This Row],[Billed Quantity]]</f>
        <v>#REF!</v>
      </c>
      <c r="AT409" s="72" t="e">
        <f>AP409*Sales4[[#This Row],[Billed Quantity]]</f>
        <v>#REF!</v>
      </c>
      <c r="AU409" s="72" t="e">
        <f>AQ409*Sales4[[#This Row],[Billed Quantity]]</f>
        <v>#REF!</v>
      </c>
      <c r="AV409" s="72">
        <f>AR409*Sales4[[#This Row],[Billed Quantity]]</f>
        <v>0</v>
      </c>
    </row>
    <row r="410" spans="1:48" x14ac:dyDescent="0.3">
      <c r="A410" s="1" t="s">
        <v>479</v>
      </c>
      <c r="B410" s="2">
        <v>45904</v>
      </c>
      <c r="C410" s="1">
        <v>3271267094</v>
      </c>
      <c r="D410" s="1" t="s">
        <v>362</v>
      </c>
      <c r="E410" s="1" t="s">
        <v>363</v>
      </c>
      <c r="F410" s="1" t="s">
        <v>18</v>
      </c>
      <c r="G410" s="1" t="s">
        <v>19</v>
      </c>
      <c r="H410" s="1" t="s">
        <v>483</v>
      </c>
      <c r="I410" s="3">
        <v>490</v>
      </c>
      <c r="J410" s="4">
        <v>359223.9</v>
      </c>
      <c r="K410" s="3">
        <v>490</v>
      </c>
      <c r="L410" s="3">
        <v>490</v>
      </c>
      <c r="M410" s="2">
        <v>45904</v>
      </c>
      <c r="N410" s="4">
        <v>422497.6</v>
      </c>
      <c r="O410" s="1" t="s">
        <v>21</v>
      </c>
      <c r="P410" s="1" t="s">
        <v>22</v>
      </c>
      <c r="Q410" s="1">
        <v>1</v>
      </c>
      <c r="R410" s="1" t="str">
        <f>VLOOKUP(Sales4[[#This Row],[Material type]],Master!$H$3:$I$8,2,0)</f>
        <v>Finished Goods</v>
      </c>
      <c r="S410" s="1" t="str">
        <f>VLOOKUP(Sales4[[#This Row],[Material Group]],Master!B:C,2,0)</f>
        <v>FG-PCB-MG</v>
      </c>
      <c r="T410" s="1" t="str">
        <f>VLOOKUP(Sales4[[#This Row],[Material Group Descrip]],Master!E:F,2,0)</f>
        <v>FG-PCB-MG</v>
      </c>
      <c r="U410" s="9" t="b">
        <f ca="1">(TODAY()-1)=Sales4[[#This Row],[Billing Date]]</f>
        <v>0</v>
      </c>
      <c r="V410" s="10" t="e">
        <f>Sales4[[#This Row],[Net Value]]-Sales4[[#This Row],[PGI COST]]</f>
        <v>#REF!</v>
      </c>
      <c r="W410" s="11" t="e">
        <f>Sales4[[#This Row],[Gross Margin]]/Sales4[[#This Row],[Net Value]]</f>
        <v>#REF!</v>
      </c>
      <c r="X410" s="1" t="str">
        <f>TEXT(Sales4[[#This Row],[Billing Date]],"mmmm-yy")</f>
        <v>September-25</v>
      </c>
      <c r="Y410" s="1">
        <f>Sales4[[#This Row],[Net Value]]/Sales4[[#This Row],[Billed Quantity]]</f>
        <v>862.24</v>
      </c>
      <c r="Z410" s="117">
        <f>Sales4[[#This Row],[Actual delivery qty]]</f>
        <v>490</v>
      </c>
      <c r="AA410" s="12" t="e">
        <f>SUM(Sales4[[#This Row],[BOM Cost]:[Other Conversion cost pu]])</f>
        <v>#REF!</v>
      </c>
      <c r="AB41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1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10" s="12">
        <f>IFERROR(VLOOKUP(Sales4[[#This Row],[Material]],'COGS Break up'!#REF!,5,0),0)</f>
        <v>0</v>
      </c>
      <c r="AE41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10" s="48" t="e">
        <f>Sales4[[#This Row],[PGI per unit]]-Sales4[[#This Row],[BOM Cost]]-Sales4[[#This Row],[Labour cost per unit]]-Sales4[[#This Row],[Other Conversion cost pu]]</f>
        <v>#REF!</v>
      </c>
      <c r="AG410" s="48" t="e">
        <f>Sales4[[#This Row],[BOM Cost2]]+Sales4[[#This Row],[Labour Cost]]+Sales4[[#This Row],[Other conversion cost]]</f>
        <v>#REF!</v>
      </c>
      <c r="AH410" s="12" t="e">
        <f>Sales4[[#This Row],[Billed Quantity]]*Sales4[[#This Row],[BOM Cost]]</f>
        <v>#REF!</v>
      </c>
      <c r="AI410" s="12" t="e">
        <f>Sales4[[#This Row],[Billed Quantity]]*Sales4[[#This Row],[Labour cost per unit]]</f>
        <v>#REF!</v>
      </c>
      <c r="AJ410" s="12">
        <f>Sales4[[#This Row],[Droppage per unit]]*Sales4[[#This Row],[Billed Quantity]]</f>
        <v>0</v>
      </c>
      <c r="AK410" s="12" t="e">
        <f>Sales4[[#This Row],[Billed Quantity]]*Sales4[[#This Row],[Other Conversion cost pu]]</f>
        <v>#REF!</v>
      </c>
      <c r="AL410" s="48" t="e">
        <f>Sales4[[#This Row],[PGI Amount]]-Sales4[[#This Row],[BOM Cost2]]-Sales4[[#This Row],[Labour Cost]]-Sales4[[#This Row],[Other conversion cost]]</f>
        <v>#REF!</v>
      </c>
      <c r="AM410" s="121" t="e">
        <f>1-Sales4[[#This Row],[PGI COST]]/Sales4[[#This Row],[Net Value]]</f>
        <v>#REF!</v>
      </c>
      <c r="AN410" s="1">
        <f>Sales4[[#This Row],[PGI Amount]]/Sales4[[#This Row],[Billed Quantity]]</f>
        <v>733.11</v>
      </c>
      <c r="AO410" s="72" t="e">
        <f>SUMIFS('COGS Break up'!#REF!,'COGS Break up'!#REF!,Sales4[[#This Row],[Material]],'COGS Break up'!#REF!,'MIS Working'!$AO$1)</f>
        <v>#REF!</v>
      </c>
      <c r="AP410" s="72" t="e">
        <f>SUMIFS('COGS Break up'!#REF!,'COGS Break up'!#REF!,Sales4[[#This Row],[Material]],'COGS Break up'!#REF!,'MIS Working'!$AP$1)</f>
        <v>#REF!</v>
      </c>
      <c r="AQ410" s="72" t="e">
        <f>SUMIFS('COGS Break up'!#REF!,'COGS Break up'!#REF!,Sales4[[#This Row],[Material]],'COGS Break up'!#REF!,'MIS Working'!$AQ$1)</f>
        <v>#REF!</v>
      </c>
      <c r="AR410" s="72">
        <f>Sales4[[#This Row],[Droppage per unit]]</f>
        <v>0</v>
      </c>
      <c r="AS410" s="15" t="e">
        <f>AO410*Sales4[[#This Row],[Billed Quantity]]</f>
        <v>#REF!</v>
      </c>
      <c r="AT410" s="72" t="e">
        <f>AP410*Sales4[[#This Row],[Billed Quantity]]</f>
        <v>#REF!</v>
      </c>
      <c r="AU410" s="72" t="e">
        <f>AQ410*Sales4[[#This Row],[Billed Quantity]]</f>
        <v>#REF!</v>
      </c>
      <c r="AV410" s="72">
        <f>AR410*Sales4[[#This Row],[Billed Quantity]]</f>
        <v>0</v>
      </c>
    </row>
    <row r="411" spans="1:48" x14ac:dyDescent="0.3">
      <c r="A411" s="1" t="s">
        <v>479</v>
      </c>
      <c r="B411" s="2">
        <v>45904</v>
      </c>
      <c r="C411" s="1">
        <v>3271267094</v>
      </c>
      <c r="D411" s="1" t="s">
        <v>364</v>
      </c>
      <c r="E411" s="1" t="s">
        <v>365</v>
      </c>
      <c r="F411" s="1" t="s">
        <v>18</v>
      </c>
      <c r="G411" s="1" t="s">
        <v>19</v>
      </c>
      <c r="H411" s="1" t="s">
        <v>771</v>
      </c>
      <c r="I411" s="3">
        <v>210</v>
      </c>
      <c r="J411" s="4">
        <v>22896.3</v>
      </c>
      <c r="K411" s="3">
        <v>210</v>
      </c>
      <c r="L411" s="3">
        <v>210</v>
      </c>
      <c r="M411" s="2">
        <v>45904</v>
      </c>
      <c r="N411" s="4">
        <v>21260.400000000001</v>
      </c>
      <c r="O411" s="1" t="s">
        <v>21</v>
      </c>
      <c r="P411" s="1" t="s">
        <v>22</v>
      </c>
      <c r="Q411" s="1">
        <v>1</v>
      </c>
      <c r="R411" s="1" t="str">
        <f>VLOOKUP(Sales4[[#This Row],[Material type]],Master!$H$3:$I$8,2,0)</f>
        <v>Finished Goods</v>
      </c>
      <c r="S411" s="1" t="str">
        <f>VLOOKUP(Sales4[[#This Row],[Material Group]],Master!B:C,2,0)</f>
        <v>FG-PCB-MG Interface</v>
      </c>
      <c r="T411" s="1" t="str">
        <f>VLOOKUP(Sales4[[#This Row],[Material Group Descrip]],Master!E:F,2,0)</f>
        <v>FG-PCB-MG</v>
      </c>
      <c r="U411" s="9" t="b">
        <f ca="1">(TODAY()-1)=Sales4[[#This Row],[Billing Date]]</f>
        <v>0</v>
      </c>
      <c r="V411" s="10" t="e">
        <f>Sales4[[#This Row],[Net Value]]-Sales4[[#This Row],[PGI COST]]</f>
        <v>#REF!</v>
      </c>
      <c r="W411" s="11" t="e">
        <f>Sales4[[#This Row],[Gross Margin]]/Sales4[[#This Row],[Net Value]]</f>
        <v>#REF!</v>
      </c>
      <c r="X411" s="1" t="str">
        <f>TEXT(Sales4[[#This Row],[Billing Date]],"mmmm-yy")</f>
        <v>September-25</v>
      </c>
      <c r="Y411" s="1">
        <f>Sales4[[#This Row],[Net Value]]/Sales4[[#This Row],[Billed Quantity]]</f>
        <v>101.24000000000001</v>
      </c>
      <c r="Z411" s="117"/>
      <c r="AA411" s="12" t="e">
        <f>SUM(Sales4[[#This Row],[BOM Cost]:[Other Conversion cost pu]])</f>
        <v>#REF!</v>
      </c>
      <c r="AB41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1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11" s="12">
        <f>IFERROR(VLOOKUP(Sales4[[#This Row],[Material]],'COGS Break up'!#REF!,5,0),0)</f>
        <v>0</v>
      </c>
      <c r="AE41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11" s="48" t="e">
        <f>Sales4[[#This Row],[PGI per unit]]-Sales4[[#This Row],[BOM Cost]]-Sales4[[#This Row],[Labour cost per unit]]-Sales4[[#This Row],[Other Conversion cost pu]]</f>
        <v>#REF!</v>
      </c>
      <c r="AG411" s="48" t="e">
        <f>Sales4[[#This Row],[BOM Cost2]]+Sales4[[#This Row],[Labour Cost]]+Sales4[[#This Row],[Other conversion cost]]</f>
        <v>#REF!</v>
      </c>
      <c r="AH411" s="12" t="e">
        <f>Sales4[[#This Row],[Billed Quantity]]*Sales4[[#This Row],[BOM Cost]]</f>
        <v>#REF!</v>
      </c>
      <c r="AI411" s="12" t="e">
        <f>Sales4[[#This Row],[Billed Quantity]]*Sales4[[#This Row],[Labour cost per unit]]</f>
        <v>#REF!</v>
      </c>
      <c r="AJ411" s="12">
        <f>Sales4[[#This Row],[Droppage per unit]]*Sales4[[#This Row],[Billed Quantity]]</f>
        <v>0</v>
      </c>
      <c r="AK411" s="12" t="e">
        <f>Sales4[[#This Row],[Billed Quantity]]*Sales4[[#This Row],[Other Conversion cost pu]]</f>
        <v>#REF!</v>
      </c>
      <c r="AL411" s="48" t="e">
        <f>Sales4[[#This Row],[PGI Amount]]-Sales4[[#This Row],[BOM Cost2]]-Sales4[[#This Row],[Labour Cost]]-Sales4[[#This Row],[Other conversion cost]]</f>
        <v>#REF!</v>
      </c>
      <c r="AM411" s="121" t="e">
        <f>1-Sales4[[#This Row],[PGI COST]]/Sales4[[#This Row],[Net Value]]</f>
        <v>#REF!</v>
      </c>
      <c r="AN411" s="1">
        <f>Sales4[[#This Row],[PGI Amount]]/Sales4[[#This Row],[Billed Quantity]]</f>
        <v>109.03</v>
      </c>
      <c r="AO411" s="72" t="e">
        <f>SUMIFS('COGS Break up'!#REF!,'COGS Break up'!#REF!,Sales4[[#This Row],[Material]],'COGS Break up'!#REF!,'MIS Working'!$AO$1)</f>
        <v>#REF!</v>
      </c>
      <c r="AP411" s="72" t="e">
        <f>SUMIFS('COGS Break up'!#REF!,'COGS Break up'!#REF!,Sales4[[#This Row],[Material]],'COGS Break up'!#REF!,'MIS Working'!$AP$1)</f>
        <v>#REF!</v>
      </c>
      <c r="AQ411" s="72" t="e">
        <f>SUMIFS('COGS Break up'!#REF!,'COGS Break up'!#REF!,Sales4[[#This Row],[Material]],'COGS Break up'!#REF!,'MIS Working'!$AQ$1)</f>
        <v>#REF!</v>
      </c>
      <c r="AR411" s="72">
        <f>Sales4[[#This Row],[Droppage per unit]]</f>
        <v>0</v>
      </c>
      <c r="AS411" s="15" t="e">
        <f>AO411*Sales4[[#This Row],[Billed Quantity]]</f>
        <v>#REF!</v>
      </c>
      <c r="AT411" s="72" t="e">
        <f>AP411*Sales4[[#This Row],[Billed Quantity]]</f>
        <v>#REF!</v>
      </c>
      <c r="AU411" s="72" t="e">
        <f>AQ411*Sales4[[#This Row],[Billed Quantity]]</f>
        <v>#REF!</v>
      </c>
      <c r="AV411" s="72">
        <f>AR411*Sales4[[#This Row],[Billed Quantity]]</f>
        <v>0</v>
      </c>
    </row>
    <row r="412" spans="1:48" x14ac:dyDescent="0.3">
      <c r="A412" s="1" t="s">
        <v>479</v>
      </c>
      <c r="B412" s="2">
        <v>45904</v>
      </c>
      <c r="C412" s="1">
        <v>3271267179</v>
      </c>
      <c r="D412" s="1" t="s">
        <v>46</v>
      </c>
      <c r="E412" s="1" t="s">
        <v>47</v>
      </c>
      <c r="F412" s="1" t="s">
        <v>18</v>
      </c>
      <c r="G412" s="1" t="s">
        <v>19</v>
      </c>
      <c r="H412" s="1" t="s">
        <v>27</v>
      </c>
      <c r="I412" s="3">
        <v>1855</v>
      </c>
      <c r="J412" s="4">
        <v>611092.65</v>
      </c>
      <c r="K412" s="3">
        <v>1855</v>
      </c>
      <c r="L412" s="3">
        <v>1855</v>
      </c>
      <c r="M412" s="2">
        <v>45904</v>
      </c>
      <c r="N412" s="4">
        <v>664627.94999999995</v>
      </c>
      <c r="O412" s="1" t="s">
        <v>21</v>
      </c>
      <c r="P412" s="1" t="s">
        <v>22</v>
      </c>
      <c r="Q412" s="1">
        <v>1</v>
      </c>
      <c r="R412" s="1" t="str">
        <f>VLOOKUP(Sales4[[#This Row],[Material type]],Master!$H$3:$I$8,2,0)</f>
        <v>Finished Goods</v>
      </c>
      <c r="S412" s="1" t="str">
        <f>VLOOKUP(Sales4[[#This Row],[Material Group]],Master!B:C,2,0)</f>
        <v>FG-PCB-CF</v>
      </c>
      <c r="T412" s="1" t="str">
        <f>VLOOKUP(Sales4[[#This Row],[Material Group Descrip]],Master!E:F,2,0)</f>
        <v>FG-PCB-CF</v>
      </c>
      <c r="U412" s="9" t="b">
        <f ca="1">(TODAY()-1)=Sales4[[#This Row],[Billing Date]]</f>
        <v>0</v>
      </c>
      <c r="V412" s="10" t="e">
        <f>Sales4[[#This Row],[Net Value]]-Sales4[[#This Row],[PGI COST]]</f>
        <v>#REF!</v>
      </c>
      <c r="W412" s="11" t="e">
        <f>Sales4[[#This Row],[Gross Margin]]/Sales4[[#This Row],[Net Value]]</f>
        <v>#REF!</v>
      </c>
      <c r="X412" s="1" t="str">
        <f>TEXT(Sales4[[#This Row],[Billing Date]],"mmmm-yy")</f>
        <v>September-25</v>
      </c>
      <c r="Y412" s="1">
        <f>Sales4[[#This Row],[Net Value]]/Sales4[[#This Row],[Billed Quantity]]</f>
        <v>358.28999999999996</v>
      </c>
      <c r="Z412" s="117">
        <f>Sales4[[#This Row],[Actual delivery qty]]</f>
        <v>1855</v>
      </c>
      <c r="AA412" s="12" t="e">
        <f>SUM(Sales4[[#This Row],[BOM Cost]:[Other Conversion cost pu]])</f>
        <v>#REF!</v>
      </c>
      <c r="AB41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1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12" s="12">
        <f>IFERROR(VLOOKUP(Sales4[[#This Row],[Material]],'COGS Break up'!#REF!,5,0),0)</f>
        <v>0</v>
      </c>
      <c r="AE41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12" s="48" t="e">
        <f>Sales4[[#This Row],[PGI per unit]]-Sales4[[#This Row],[BOM Cost]]-Sales4[[#This Row],[Labour cost per unit]]-Sales4[[#This Row],[Other Conversion cost pu]]</f>
        <v>#REF!</v>
      </c>
      <c r="AG412" s="48" t="e">
        <f>Sales4[[#This Row],[BOM Cost2]]+Sales4[[#This Row],[Labour Cost]]+Sales4[[#This Row],[Other conversion cost]]</f>
        <v>#REF!</v>
      </c>
      <c r="AH412" s="12" t="e">
        <f>Sales4[[#This Row],[Billed Quantity]]*Sales4[[#This Row],[BOM Cost]]</f>
        <v>#REF!</v>
      </c>
      <c r="AI412" s="12" t="e">
        <f>Sales4[[#This Row],[Billed Quantity]]*Sales4[[#This Row],[Labour cost per unit]]</f>
        <v>#REF!</v>
      </c>
      <c r="AJ412" s="12">
        <f>Sales4[[#This Row],[Droppage per unit]]*Sales4[[#This Row],[Billed Quantity]]</f>
        <v>0</v>
      </c>
      <c r="AK412" s="12" t="e">
        <f>Sales4[[#This Row],[Billed Quantity]]*Sales4[[#This Row],[Other Conversion cost pu]]</f>
        <v>#REF!</v>
      </c>
      <c r="AL412" s="48" t="e">
        <f>Sales4[[#This Row],[PGI Amount]]-Sales4[[#This Row],[BOM Cost2]]-Sales4[[#This Row],[Labour Cost]]-Sales4[[#This Row],[Other conversion cost]]</f>
        <v>#REF!</v>
      </c>
      <c r="AM412" s="121" t="e">
        <f>1-Sales4[[#This Row],[PGI COST]]/Sales4[[#This Row],[Net Value]]</f>
        <v>#REF!</v>
      </c>
      <c r="AN412" s="1">
        <f>Sales4[[#This Row],[PGI Amount]]/Sales4[[#This Row],[Billed Quantity]]</f>
        <v>329.43</v>
      </c>
      <c r="AO412" s="72" t="e">
        <f>SUMIFS('COGS Break up'!#REF!,'COGS Break up'!#REF!,Sales4[[#This Row],[Material]],'COGS Break up'!#REF!,'MIS Working'!$AO$1)</f>
        <v>#REF!</v>
      </c>
      <c r="AP412" s="72" t="e">
        <f>SUMIFS('COGS Break up'!#REF!,'COGS Break up'!#REF!,Sales4[[#This Row],[Material]],'COGS Break up'!#REF!,'MIS Working'!$AP$1)</f>
        <v>#REF!</v>
      </c>
      <c r="AQ412" s="72" t="e">
        <f>SUMIFS('COGS Break up'!#REF!,'COGS Break up'!#REF!,Sales4[[#This Row],[Material]],'COGS Break up'!#REF!,'MIS Working'!$AQ$1)</f>
        <v>#REF!</v>
      </c>
      <c r="AR412" s="72">
        <f>Sales4[[#This Row],[Droppage per unit]]</f>
        <v>0</v>
      </c>
      <c r="AS412" s="15" t="e">
        <f>AO412*Sales4[[#This Row],[Billed Quantity]]</f>
        <v>#REF!</v>
      </c>
      <c r="AT412" s="72" t="e">
        <f>AP412*Sales4[[#This Row],[Billed Quantity]]</f>
        <v>#REF!</v>
      </c>
      <c r="AU412" s="72" t="e">
        <f>AQ412*Sales4[[#This Row],[Billed Quantity]]</f>
        <v>#REF!</v>
      </c>
      <c r="AV412" s="72">
        <f>AR412*Sales4[[#This Row],[Billed Quantity]]</f>
        <v>0</v>
      </c>
    </row>
    <row r="413" spans="1:48" x14ac:dyDescent="0.3">
      <c r="A413" s="1" t="s">
        <v>479</v>
      </c>
      <c r="B413" s="2">
        <v>45904</v>
      </c>
      <c r="C413" s="1">
        <v>3271266845</v>
      </c>
      <c r="D413" s="1" t="s">
        <v>32</v>
      </c>
      <c r="E413" s="1" t="s">
        <v>33</v>
      </c>
      <c r="F413" s="1" t="s">
        <v>18</v>
      </c>
      <c r="G413" s="1" t="s">
        <v>34</v>
      </c>
      <c r="H413" s="1" t="s">
        <v>772</v>
      </c>
      <c r="I413" s="3">
        <v>84</v>
      </c>
      <c r="J413" s="4">
        <v>16030.56</v>
      </c>
      <c r="K413" s="3">
        <v>84</v>
      </c>
      <c r="L413" s="3">
        <v>84</v>
      </c>
      <c r="M413" s="2">
        <v>45904</v>
      </c>
      <c r="N413" s="4">
        <v>17451.84</v>
      </c>
      <c r="O413" s="1" t="s">
        <v>21</v>
      </c>
      <c r="P413" s="1" t="s">
        <v>22</v>
      </c>
      <c r="Q413" s="1">
        <v>1</v>
      </c>
      <c r="R413" s="1" t="str">
        <f>VLOOKUP(Sales4[[#This Row],[Material type]],Master!$H$3:$I$8,2,0)</f>
        <v>Semi-Finished Goods</v>
      </c>
      <c r="S413" s="1" t="str">
        <f>VLOOKUP(Sales4[[#This Row],[Material Group]],Master!B:C,2,0)</f>
        <v>SFG-GV5 Stator</v>
      </c>
      <c r="T413" s="1" t="str">
        <f>VLOOKUP(Sales4[[#This Row],[Material Group Descrip]],Master!E:F,2,0)</f>
        <v>Sub Ass.-Mech Stator</v>
      </c>
      <c r="U413" s="9" t="b">
        <f ca="1">(TODAY()-1)=Sales4[[#This Row],[Billing Date]]</f>
        <v>0</v>
      </c>
      <c r="V413" s="10" t="e">
        <f>Sales4[[#This Row],[Net Value]]-Sales4[[#This Row],[PGI COST]]</f>
        <v>#REF!</v>
      </c>
      <c r="W413" s="11" t="e">
        <f>Sales4[[#This Row],[Gross Margin]]/Sales4[[#This Row],[Net Value]]</f>
        <v>#REF!</v>
      </c>
      <c r="X413" s="1" t="str">
        <f>TEXT(Sales4[[#This Row],[Billing Date]],"mmmm-yy")</f>
        <v>September-25</v>
      </c>
      <c r="Y413" s="1">
        <f>Sales4[[#This Row],[Net Value]]/Sales4[[#This Row],[Billed Quantity]]</f>
        <v>207.76</v>
      </c>
      <c r="Z413" s="117">
        <f>Sales4[[#This Row],[Actual delivery qty]]</f>
        <v>84</v>
      </c>
      <c r="AA413" s="12" t="e">
        <f>SUM(Sales4[[#This Row],[BOM Cost]:[Other Conversion cost pu]])</f>
        <v>#REF!</v>
      </c>
      <c r="AB41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1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13" s="12">
        <f>IFERROR(VLOOKUP(Sales4[[#This Row],[Material]],'COGS Break up'!#REF!,5,0),0)</f>
        <v>0</v>
      </c>
      <c r="AE41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13" s="48" t="e">
        <f>Sales4[[#This Row],[PGI per unit]]-Sales4[[#This Row],[BOM Cost]]-Sales4[[#This Row],[Labour cost per unit]]-Sales4[[#This Row],[Other Conversion cost pu]]</f>
        <v>#REF!</v>
      </c>
      <c r="AG413" s="48" t="e">
        <f>Sales4[[#This Row],[BOM Cost2]]+Sales4[[#This Row],[Labour Cost]]+Sales4[[#This Row],[Other conversion cost]]</f>
        <v>#REF!</v>
      </c>
      <c r="AH413" s="12" t="e">
        <f>Sales4[[#This Row],[Billed Quantity]]*Sales4[[#This Row],[BOM Cost]]</f>
        <v>#REF!</v>
      </c>
      <c r="AI413" s="12" t="e">
        <f>Sales4[[#This Row],[Billed Quantity]]*Sales4[[#This Row],[Labour cost per unit]]</f>
        <v>#REF!</v>
      </c>
      <c r="AJ413" s="12">
        <f>Sales4[[#This Row],[Droppage per unit]]*Sales4[[#This Row],[Billed Quantity]]</f>
        <v>0</v>
      </c>
      <c r="AK413" s="12" t="e">
        <f>Sales4[[#This Row],[Billed Quantity]]*Sales4[[#This Row],[Other Conversion cost pu]]</f>
        <v>#REF!</v>
      </c>
      <c r="AL413" s="48" t="e">
        <f>Sales4[[#This Row],[PGI Amount]]-Sales4[[#This Row],[BOM Cost2]]-Sales4[[#This Row],[Labour Cost]]-Sales4[[#This Row],[Other conversion cost]]</f>
        <v>#REF!</v>
      </c>
      <c r="AM413" s="121" t="e">
        <f>1-Sales4[[#This Row],[PGI COST]]/Sales4[[#This Row],[Net Value]]</f>
        <v>#REF!</v>
      </c>
      <c r="AN413" s="1">
        <f>Sales4[[#This Row],[PGI Amount]]/Sales4[[#This Row],[Billed Quantity]]</f>
        <v>190.84</v>
      </c>
      <c r="AO413" s="72" t="e">
        <f>SUMIFS('COGS Break up'!#REF!,'COGS Break up'!#REF!,Sales4[[#This Row],[Material]],'COGS Break up'!#REF!,'MIS Working'!$AO$1)</f>
        <v>#REF!</v>
      </c>
      <c r="AP413" s="72" t="e">
        <f>SUMIFS('COGS Break up'!#REF!,'COGS Break up'!#REF!,Sales4[[#This Row],[Material]],'COGS Break up'!#REF!,'MIS Working'!$AP$1)</f>
        <v>#REF!</v>
      </c>
      <c r="AQ413" s="72" t="e">
        <f>SUMIFS('COGS Break up'!#REF!,'COGS Break up'!#REF!,Sales4[[#This Row],[Material]],'COGS Break up'!#REF!,'MIS Working'!$AQ$1)</f>
        <v>#REF!</v>
      </c>
      <c r="AR413" s="72">
        <f>Sales4[[#This Row],[Droppage per unit]]</f>
        <v>0</v>
      </c>
      <c r="AS413" s="15" t="e">
        <f>AO413*Sales4[[#This Row],[Billed Quantity]]</f>
        <v>#REF!</v>
      </c>
      <c r="AT413" s="72" t="e">
        <f>AP413*Sales4[[#This Row],[Billed Quantity]]</f>
        <v>#REF!</v>
      </c>
      <c r="AU413" s="72" t="e">
        <f>AQ413*Sales4[[#This Row],[Billed Quantity]]</f>
        <v>#REF!</v>
      </c>
      <c r="AV413" s="72">
        <f>AR413*Sales4[[#This Row],[Billed Quantity]]</f>
        <v>0</v>
      </c>
    </row>
    <row r="414" spans="1:48" x14ac:dyDescent="0.3">
      <c r="A414" s="1" t="s">
        <v>479</v>
      </c>
      <c r="B414" s="2">
        <v>45904</v>
      </c>
      <c r="C414" s="1">
        <v>3271267095</v>
      </c>
      <c r="D414" s="1" t="s">
        <v>595</v>
      </c>
      <c r="E414" s="1" t="s">
        <v>596</v>
      </c>
      <c r="F414" s="1" t="s">
        <v>18</v>
      </c>
      <c r="G414" s="1" t="s">
        <v>34</v>
      </c>
      <c r="H414" s="1" t="s">
        <v>772</v>
      </c>
      <c r="I414" s="3">
        <v>664</v>
      </c>
      <c r="J414" s="4">
        <v>83000</v>
      </c>
      <c r="K414" s="3">
        <v>664</v>
      </c>
      <c r="L414" s="3">
        <v>664</v>
      </c>
      <c r="M414" s="2">
        <v>45904</v>
      </c>
      <c r="N414" s="4">
        <v>87906.96</v>
      </c>
      <c r="O414" s="1" t="s">
        <v>21</v>
      </c>
      <c r="P414" s="1" t="s">
        <v>22</v>
      </c>
      <c r="Q414" s="1">
        <v>1</v>
      </c>
      <c r="R414" s="1" t="str">
        <f>VLOOKUP(Sales4[[#This Row],[Material type]],Master!$H$3:$I$8,2,0)</f>
        <v>Semi-Finished Goods</v>
      </c>
      <c r="S414" s="1" t="str">
        <f>VLOOKUP(Sales4[[#This Row],[Material Group]],Master!B:C,2,0)</f>
        <v>SFG-GV5 Stator</v>
      </c>
      <c r="T414" s="1" t="str">
        <f>VLOOKUP(Sales4[[#This Row],[Material Group Descrip]],Master!E:F,2,0)</f>
        <v>Sub Ass.-Mech Stator</v>
      </c>
      <c r="U414" s="9" t="b">
        <f ca="1">(TODAY()-1)=Sales4[[#This Row],[Billing Date]]</f>
        <v>0</v>
      </c>
      <c r="V414" s="10" t="e">
        <f>Sales4[[#This Row],[Net Value]]-Sales4[[#This Row],[PGI COST]]</f>
        <v>#REF!</v>
      </c>
      <c r="W414" s="11" t="e">
        <f>Sales4[[#This Row],[Gross Margin]]/Sales4[[#This Row],[Net Value]]</f>
        <v>#REF!</v>
      </c>
      <c r="X414" s="1" t="str">
        <f>TEXT(Sales4[[#This Row],[Billing Date]],"mmmm-yy")</f>
        <v>September-25</v>
      </c>
      <c r="Y414" s="1">
        <f>Sales4[[#This Row],[Net Value]]/Sales4[[#This Row],[Billed Quantity]]</f>
        <v>132.39000000000001</v>
      </c>
      <c r="Z414" s="117">
        <f>Sales4[[#This Row],[Actual delivery qty]]</f>
        <v>664</v>
      </c>
      <c r="AA414" s="12" t="e">
        <f>SUM(Sales4[[#This Row],[BOM Cost]:[Other Conversion cost pu]])</f>
        <v>#REF!</v>
      </c>
      <c r="AB41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1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14" s="12">
        <f>IFERROR(VLOOKUP(Sales4[[#This Row],[Material]],'COGS Break up'!#REF!,5,0),0)</f>
        <v>0</v>
      </c>
      <c r="AE41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14" s="48" t="e">
        <f>Sales4[[#This Row],[PGI per unit]]-Sales4[[#This Row],[BOM Cost]]-Sales4[[#This Row],[Labour cost per unit]]-Sales4[[#This Row],[Other Conversion cost pu]]</f>
        <v>#REF!</v>
      </c>
      <c r="AG414" s="48" t="e">
        <f>Sales4[[#This Row],[BOM Cost2]]+Sales4[[#This Row],[Labour Cost]]+Sales4[[#This Row],[Other conversion cost]]</f>
        <v>#REF!</v>
      </c>
      <c r="AH414" s="12" t="e">
        <f>Sales4[[#This Row],[Billed Quantity]]*Sales4[[#This Row],[BOM Cost]]</f>
        <v>#REF!</v>
      </c>
      <c r="AI414" s="12" t="e">
        <f>Sales4[[#This Row],[Billed Quantity]]*Sales4[[#This Row],[Labour cost per unit]]</f>
        <v>#REF!</v>
      </c>
      <c r="AJ414" s="12">
        <f>Sales4[[#This Row],[Droppage per unit]]*Sales4[[#This Row],[Billed Quantity]]</f>
        <v>0</v>
      </c>
      <c r="AK414" s="12" t="e">
        <f>Sales4[[#This Row],[Billed Quantity]]*Sales4[[#This Row],[Other Conversion cost pu]]</f>
        <v>#REF!</v>
      </c>
      <c r="AL414" s="48" t="e">
        <f>Sales4[[#This Row],[PGI Amount]]-Sales4[[#This Row],[BOM Cost2]]-Sales4[[#This Row],[Labour Cost]]-Sales4[[#This Row],[Other conversion cost]]</f>
        <v>#REF!</v>
      </c>
      <c r="AM414" s="121" t="e">
        <f>1-Sales4[[#This Row],[PGI COST]]/Sales4[[#This Row],[Net Value]]</f>
        <v>#REF!</v>
      </c>
      <c r="AN414" s="1">
        <f>Sales4[[#This Row],[PGI Amount]]/Sales4[[#This Row],[Billed Quantity]]</f>
        <v>125</v>
      </c>
      <c r="AO414" s="72" t="e">
        <f>SUMIFS('COGS Break up'!#REF!,'COGS Break up'!#REF!,Sales4[[#This Row],[Material]],'COGS Break up'!#REF!,'MIS Working'!$AO$1)</f>
        <v>#REF!</v>
      </c>
      <c r="AP414" s="72" t="e">
        <f>SUMIFS('COGS Break up'!#REF!,'COGS Break up'!#REF!,Sales4[[#This Row],[Material]],'COGS Break up'!#REF!,'MIS Working'!$AP$1)</f>
        <v>#REF!</v>
      </c>
      <c r="AQ414" s="72" t="e">
        <f>SUMIFS('COGS Break up'!#REF!,'COGS Break up'!#REF!,Sales4[[#This Row],[Material]],'COGS Break up'!#REF!,'MIS Working'!$AQ$1)</f>
        <v>#REF!</v>
      </c>
      <c r="AR414" s="72">
        <f>Sales4[[#This Row],[Droppage per unit]]</f>
        <v>0</v>
      </c>
      <c r="AS414" s="15" t="e">
        <f>AO414*Sales4[[#This Row],[Billed Quantity]]</f>
        <v>#REF!</v>
      </c>
      <c r="AT414" s="72" t="e">
        <f>AP414*Sales4[[#This Row],[Billed Quantity]]</f>
        <v>#REF!</v>
      </c>
      <c r="AU414" s="72" t="e">
        <f>AQ414*Sales4[[#This Row],[Billed Quantity]]</f>
        <v>#REF!</v>
      </c>
      <c r="AV414" s="72">
        <f>AR414*Sales4[[#This Row],[Billed Quantity]]</f>
        <v>0</v>
      </c>
    </row>
    <row r="415" spans="1:48" x14ac:dyDescent="0.3">
      <c r="A415" s="1" t="s">
        <v>479</v>
      </c>
      <c r="B415" s="2">
        <v>45903</v>
      </c>
      <c r="C415" s="1">
        <v>3271266473</v>
      </c>
      <c r="D415" s="1" t="s">
        <v>595</v>
      </c>
      <c r="E415" s="1" t="s">
        <v>596</v>
      </c>
      <c r="F415" s="1" t="s">
        <v>18</v>
      </c>
      <c r="G415" s="1" t="s">
        <v>34</v>
      </c>
      <c r="H415" s="1" t="s">
        <v>772</v>
      </c>
      <c r="I415" s="3">
        <v>760</v>
      </c>
      <c r="J415" s="4">
        <v>95000</v>
      </c>
      <c r="K415" s="3">
        <v>760</v>
      </c>
      <c r="L415" s="3">
        <v>760</v>
      </c>
      <c r="M415" s="2">
        <v>45903</v>
      </c>
      <c r="N415" s="4">
        <v>100616.4</v>
      </c>
      <c r="O415" s="1" t="s">
        <v>21</v>
      </c>
      <c r="P415" s="1" t="s">
        <v>22</v>
      </c>
      <c r="Q415" s="1">
        <v>1</v>
      </c>
      <c r="R415" s="1" t="str">
        <f>VLOOKUP(Sales4[[#This Row],[Material type]],Master!$H$3:$I$8,2,0)</f>
        <v>Semi-Finished Goods</v>
      </c>
      <c r="S415" s="1" t="str">
        <f>VLOOKUP(Sales4[[#This Row],[Material Group]],Master!B:C,2,0)</f>
        <v>SFG-GV5 Stator</v>
      </c>
      <c r="T415" s="1" t="str">
        <f>VLOOKUP(Sales4[[#This Row],[Material Group Descrip]],Master!E:F,2,0)</f>
        <v>Sub Ass.-Mech Stator</v>
      </c>
      <c r="U415" s="9" t="b">
        <f ca="1">(TODAY()-1)=Sales4[[#This Row],[Billing Date]]</f>
        <v>0</v>
      </c>
      <c r="V415" s="10" t="e">
        <f>Sales4[[#This Row],[Net Value]]-Sales4[[#This Row],[PGI COST]]</f>
        <v>#REF!</v>
      </c>
      <c r="W415" s="11" t="e">
        <f>Sales4[[#This Row],[Gross Margin]]/Sales4[[#This Row],[Net Value]]</f>
        <v>#REF!</v>
      </c>
      <c r="X415" s="1" t="str">
        <f>TEXT(Sales4[[#This Row],[Billing Date]],"mmmm-yy")</f>
        <v>September-25</v>
      </c>
      <c r="Y415" s="1">
        <f>Sales4[[#This Row],[Net Value]]/Sales4[[#This Row],[Billed Quantity]]</f>
        <v>132.38999999999999</v>
      </c>
      <c r="Z415" s="117">
        <f>Sales4[[#This Row],[Actual delivery qty]]</f>
        <v>760</v>
      </c>
      <c r="AA415" s="12" t="e">
        <f>SUM(Sales4[[#This Row],[BOM Cost]:[Other Conversion cost pu]])</f>
        <v>#REF!</v>
      </c>
      <c r="AB41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1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15" s="12">
        <f>IFERROR(VLOOKUP(Sales4[[#This Row],[Material]],'COGS Break up'!#REF!,5,0),0)</f>
        <v>0</v>
      </c>
      <c r="AE41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15" s="48" t="e">
        <f>Sales4[[#This Row],[PGI per unit]]-Sales4[[#This Row],[BOM Cost]]-Sales4[[#This Row],[Labour cost per unit]]-Sales4[[#This Row],[Other Conversion cost pu]]</f>
        <v>#REF!</v>
      </c>
      <c r="AG415" s="48" t="e">
        <f>Sales4[[#This Row],[BOM Cost2]]+Sales4[[#This Row],[Labour Cost]]+Sales4[[#This Row],[Other conversion cost]]</f>
        <v>#REF!</v>
      </c>
      <c r="AH415" s="12" t="e">
        <f>Sales4[[#This Row],[Billed Quantity]]*Sales4[[#This Row],[BOM Cost]]</f>
        <v>#REF!</v>
      </c>
      <c r="AI415" s="12" t="e">
        <f>Sales4[[#This Row],[Billed Quantity]]*Sales4[[#This Row],[Labour cost per unit]]</f>
        <v>#REF!</v>
      </c>
      <c r="AJ415" s="12">
        <f>Sales4[[#This Row],[Droppage per unit]]*Sales4[[#This Row],[Billed Quantity]]</f>
        <v>0</v>
      </c>
      <c r="AK415" s="12" t="e">
        <f>Sales4[[#This Row],[Billed Quantity]]*Sales4[[#This Row],[Other Conversion cost pu]]</f>
        <v>#REF!</v>
      </c>
      <c r="AL415" s="48" t="e">
        <f>Sales4[[#This Row],[PGI Amount]]-Sales4[[#This Row],[BOM Cost2]]-Sales4[[#This Row],[Labour Cost]]-Sales4[[#This Row],[Other conversion cost]]</f>
        <v>#REF!</v>
      </c>
      <c r="AM415" s="121" t="e">
        <f>1-Sales4[[#This Row],[PGI COST]]/Sales4[[#This Row],[Net Value]]</f>
        <v>#REF!</v>
      </c>
      <c r="AN415" s="1">
        <f>Sales4[[#This Row],[PGI Amount]]/Sales4[[#This Row],[Billed Quantity]]</f>
        <v>125</v>
      </c>
      <c r="AO415" s="72" t="e">
        <f>SUMIFS('COGS Break up'!#REF!,'COGS Break up'!#REF!,Sales4[[#This Row],[Material]],'COGS Break up'!#REF!,'MIS Working'!$AO$1)</f>
        <v>#REF!</v>
      </c>
      <c r="AP415" s="72" t="e">
        <f>SUMIFS('COGS Break up'!#REF!,'COGS Break up'!#REF!,Sales4[[#This Row],[Material]],'COGS Break up'!#REF!,'MIS Working'!$AP$1)</f>
        <v>#REF!</v>
      </c>
      <c r="AQ415" s="72" t="e">
        <f>SUMIFS('COGS Break up'!#REF!,'COGS Break up'!#REF!,Sales4[[#This Row],[Material]],'COGS Break up'!#REF!,'MIS Working'!$AQ$1)</f>
        <v>#REF!</v>
      </c>
      <c r="AR415" s="72">
        <f>Sales4[[#This Row],[Droppage per unit]]</f>
        <v>0</v>
      </c>
      <c r="AS415" s="15" t="e">
        <f>AO415*Sales4[[#This Row],[Billed Quantity]]</f>
        <v>#REF!</v>
      </c>
      <c r="AT415" s="72" t="e">
        <f>AP415*Sales4[[#This Row],[Billed Quantity]]</f>
        <v>#REF!</v>
      </c>
      <c r="AU415" s="72" t="e">
        <f>AQ415*Sales4[[#This Row],[Billed Quantity]]</f>
        <v>#REF!</v>
      </c>
      <c r="AV415" s="72">
        <f>AR415*Sales4[[#This Row],[Billed Quantity]]</f>
        <v>0</v>
      </c>
    </row>
    <row r="416" spans="1:48" x14ac:dyDescent="0.3">
      <c r="A416" s="1" t="s">
        <v>479</v>
      </c>
      <c r="B416" s="2">
        <v>45903</v>
      </c>
      <c r="C416" s="1">
        <v>3271266425</v>
      </c>
      <c r="D416" s="1" t="s">
        <v>595</v>
      </c>
      <c r="E416" s="1" t="s">
        <v>596</v>
      </c>
      <c r="F416" s="1" t="s">
        <v>18</v>
      </c>
      <c r="G416" s="1" t="s">
        <v>34</v>
      </c>
      <c r="H416" s="1" t="s">
        <v>772</v>
      </c>
      <c r="I416" s="3">
        <v>1116</v>
      </c>
      <c r="J416" s="4">
        <v>139500</v>
      </c>
      <c r="K416" s="3">
        <v>1116</v>
      </c>
      <c r="L416" s="3">
        <v>1116</v>
      </c>
      <c r="M416" s="2">
        <v>45903</v>
      </c>
      <c r="N416" s="4">
        <v>147747.24</v>
      </c>
      <c r="O416" s="1" t="s">
        <v>21</v>
      </c>
      <c r="P416" s="1" t="s">
        <v>22</v>
      </c>
      <c r="Q416" s="1">
        <v>1</v>
      </c>
      <c r="R416" s="1" t="str">
        <f>VLOOKUP(Sales4[[#This Row],[Material type]],Master!$H$3:$I$8,2,0)</f>
        <v>Semi-Finished Goods</v>
      </c>
      <c r="S416" s="1" t="str">
        <f>VLOOKUP(Sales4[[#This Row],[Material Group]],Master!B:C,2,0)</f>
        <v>SFG-GV5 Stator</v>
      </c>
      <c r="T416" s="1" t="str">
        <f>VLOOKUP(Sales4[[#This Row],[Material Group Descrip]],Master!E:F,2,0)</f>
        <v>Sub Ass.-Mech Stator</v>
      </c>
      <c r="U416" s="9" t="b">
        <f ca="1">(TODAY()-1)=Sales4[[#This Row],[Billing Date]]</f>
        <v>0</v>
      </c>
      <c r="V416" s="10" t="e">
        <f>Sales4[[#This Row],[Net Value]]-Sales4[[#This Row],[PGI COST]]</f>
        <v>#REF!</v>
      </c>
      <c r="W416" s="11" t="e">
        <f>Sales4[[#This Row],[Gross Margin]]/Sales4[[#This Row],[Net Value]]</f>
        <v>#REF!</v>
      </c>
      <c r="X416" s="1" t="str">
        <f>TEXT(Sales4[[#This Row],[Billing Date]],"mmmm-yy")</f>
        <v>September-25</v>
      </c>
      <c r="Y416" s="1">
        <f>Sales4[[#This Row],[Net Value]]/Sales4[[#This Row],[Billed Quantity]]</f>
        <v>132.38999999999999</v>
      </c>
      <c r="Z416" s="117">
        <f>Sales4[[#This Row],[Actual delivery qty]]</f>
        <v>1116</v>
      </c>
      <c r="AA416" s="12" t="e">
        <f>SUM(Sales4[[#This Row],[BOM Cost]:[Other Conversion cost pu]])</f>
        <v>#REF!</v>
      </c>
      <c r="AB41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1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16" s="12">
        <f>IFERROR(VLOOKUP(Sales4[[#This Row],[Material]],'COGS Break up'!#REF!,5,0),0)</f>
        <v>0</v>
      </c>
      <c r="AE41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16" s="48" t="e">
        <f>Sales4[[#This Row],[PGI per unit]]-Sales4[[#This Row],[BOM Cost]]-Sales4[[#This Row],[Labour cost per unit]]-Sales4[[#This Row],[Other Conversion cost pu]]</f>
        <v>#REF!</v>
      </c>
      <c r="AG416" s="48" t="e">
        <f>Sales4[[#This Row],[BOM Cost2]]+Sales4[[#This Row],[Labour Cost]]+Sales4[[#This Row],[Other conversion cost]]</f>
        <v>#REF!</v>
      </c>
      <c r="AH416" s="12" t="e">
        <f>Sales4[[#This Row],[Billed Quantity]]*Sales4[[#This Row],[BOM Cost]]</f>
        <v>#REF!</v>
      </c>
      <c r="AI416" s="12" t="e">
        <f>Sales4[[#This Row],[Billed Quantity]]*Sales4[[#This Row],[Labour cost per unit]]</f>
        <v>#REF!</v>
      </c>
      <c r="AJ416" s="12">
        <f>Sales4[[#This Row],[Droppage per unit]]*Sales4[[#This Row],[Billed Quantity]]</f>
        <v>0</v>
      </c>
      <c r="AK416" s="12" t="e">
        <f>Sales4[[#This Row],[Billed Quantity]]*Sales4[[#This Row],[Other Conversion cost pu]]</f>
        <v>#REF!</v>
      </c>
      <c r="AL416" s="48" t="e">
        <f>Sales4[[#This Row],[PGI Amount]]-Sales4[[#This Row],[BOM Cost2]]-Sales4[[#This Row],[Labour Cost]]-Sales4[[#This Row],[Other conversion cost]]</f>
        <v>#REF!</v>
      </c>
      <c r="AM416" s="121" t="e">
        <f>1-Sales4[[#This Row],[PGI COST]]/Sales4[[#This Row],[Net Value]]</f>
        <v>#REF!</v>
      </c>
      <c r="AN416" s="1">
        <f>Sales4[[#This Row],[PGI Amount]]/Sales4[[#This Row],[Billed Quantity]]</f>
        <v>125</v>
      </c>
      <c r="AO416" s="72" t="e">
        <f>SUMIFS('COGS Break up'!#REF!,'COGS Break up'!#REF!,Sales4[[#This Row],[Material]],'COGS Break up'!#REF!,'MIS Working'!$AO$1)</f>
        <v>#REF!</v>
      </c>
      <c r="AP416" s="72" t="e">
        <f>SUMIFS('COGS Break up'!#REF!,'COGS Break up'!#REF!,Sales4[[#This Row],[Material]],'COGS Break up'!#REF!,'MIS Working'!$AP$1)</f>
        <v>#REF!</v>
      </c>
      <c r="AQ416" s="72" t="e">
        <f>SUMIFS('COGS Break up'!#REF!,'COGS Break up'!#REF!,Sales4[[#This Row],[Material]],'COGS Break up'!#REF!,'MIS Working'!$AQ$1)</f>
        <v>#REF!</v>
      </c>
      <c r="AR416" s="72">
        <f>Sales4[[#This Row],[Droppage per unit]]</f>
        <v>0</v>
      </c>
      <c r="AS416" s="15" t="e">
        <f>AO416*Sales4[[#This Row],[Billed Quantity]]</f>
        <v>#REF!</v>
      </c>
      <c r="AT416" s="72" t="e">
        <f>AP416*Sales4[[#This Row],[Billed Quantity]]</f>
        <v>#REF!</v>
      </c>
      <c r="AU416" s="72" t="e">
        <f>AQ416*Sales4[[#This Row],[Billed Quantity]]</f>
        <v>#REF!</v>
      </c>
      <c r="AV416" s="72">
        <f>AR416*Sales4[[#This Row],[Billed Quantity]]</f>
        <v>0</v>
      </c>
    </row>
    <row r="417" spans="1:48" x14ac:dyDescent="0.3">
      <c r="A417" s="1" t="s">
        <v>1291</v>
      </c>
      <c r="B417" s="2">
        <v>45903</v>
      </c>
      <c r="C417" s="1">
        <v>3271266485</v>
      </c>
      <c r="D417" s="1" t="s">
        <v>36</v>
      </c>
      <c r="E417" s="1" t="s">
        <v>37</v>
      </c>
      <c r="F417" s="1" t="s">
        <v>18</v>
      </c>
      <c r="G417" s="1" t="s">
        <v>19</v>
      </c>
      <c r="H417" s="1" t="s">
        <v>20</v>
      </c>
      <c r="I417" s="3">
        <v>2000</v>
      </c>
      <c r="J417" s="4">
        <v>941480</v>
      </c>
      <c r="K417" s="3">
        <v>2000</v>
      </c>
      <c r="L417" s="3">
        <v>2000</v>
      </c>
      <c r="M417" s="2">
        <v>45903</v>
      </c>
      <c r="N417" s="4">
        <v>1318620</v>
      </c>
      <c r="O417" s="1" t="s">
        <v>21</v>
      </c>
      <c r="P417" s="1" t="s">
        <v>22</v>
      </c>
      <c r="Q417" s="1">
        <v>1</v>
      </c>
      <c r="R417" s="1" t="str">
        <f>VLOOKUP(Sales4[[#This Row],[Material type]],Master!$H$3:$I$8,2,0)</f>
        <v>Finished Goods</v>
      </c>
      <c r="S417" s="1" t="str">
        <f>VLOOKUP(Sales4[[#This Row],[Material Group]],Master!B:C,2,0)</f>
        <v>FG-PCB-Ref</v>
      </c>
      <c r="T417" s="1" t="str">
        <f>VLOOKUP(Sales4[[#This Row],[Material Group Descrip]],Master!E:F,2,0)</f>
        <v>FG-PCB-Ref</v>
      </c>
      <c r="U417" s="9" t="b">
        <f ca="1">(TODAY()-1)=Sales4[[#This Row],[Billing Date]]</f>
        <v>0</v>
      </c>
      <c r="V417" s="10" t="e">
        <f>Sales4[[#This Row],[Net Value]]-Sales4[[#This Row],[PGI COST]]</f>
        <v>#REF!</v>
      </c>
      <c r="W417" s="11" t="e">
        <f>Sales4[[#This Row],[Gross Margin]]/Sales4[[#This Row],[Net Value]]</f>
        <v>#REF!</v>
      </c>
      <c r="X417" s="1" t="str">
        <f>TEXT(Sales4[[#This Row],[Billing Date]],"mmmm-yy")</f>
        <v>September-25</v>
      </c>
      <c r="Y417" s="1">
        <f>Sales4[[#This Row],[Net Value]]/Sales4[[#This Row],[Billed Quantity]]</f>
        <v>659.31</v>
      </c>
      <c r="Z417" s="117">
        <f>Sales4[[#This Row],[Actual delivery qty]]</f>
        <v>2000</v>
      </c>
      <c r="AA417" s="12" t="e">
        <f>SUM(Sales4[[#This Row],[BOM Cost]:[Other Conversion cost pu]])</f>
        <v>#REF!</v>
      </c>
      <c r="AB41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1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17" s="12">
        <f>IFERROR(VLOOKUP(Sales4[[#This Row],[Material]],'COGS Break up'!#REF!,5,0),0)</f>
        <v>0</v>
      </c>
      <c r="AE41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17" s="48" t="e">
        <f>Sales4[[#This Row],[PGI per unit]]-Sales4[[#This Row],[BOM Cost]]-Sales4[[#This Row],[Labour cost per unit]]-Sales4[[#This Row],[Other Conversion cost pu]]</f>
        <v>#REF!</v>
      </c>
      <c r="AG417" s="48" t="e">
        <f>Sales4[[#This Row],[BOM Cost2]]+Sales4[[#This Row],[Labour Cost]]+Sales4[[#This Row],[Other conversion cost]]</f>
        <v>#REF!</v>
      </c>
      <c r="AH417" s="12" t="e">
        <f>Sales4[[#This Row],[Billed Quantity]]*Sales4[[#This Row],[BOM Cost]]</f>
        <v>#REF!</v>
      </c>
      <c r="AI417" s="12" t="e">
        <f>Sales4[[#This Row],[Billed Quantity]]*Sales4[[#This Row],[Labour cost per unit]]</f>
        <v>#REF!</v>
      </c>
      <c r="AJ417" s="12">
        <f>Sales4[[#This Row],[Droppage per unit]]*Sales4[[#This Row],[Billed Quantity]]</f>
        <v>0</v>
      </c>
      <c r="AK417" s="12" t="e">
        <f>Sales4[[#This Row],[Billed Quantity]]*Sales4[[#This Row],[Other Conversion cost pu]]</f>
        <v>#REF!</v>
      </c>
      <c r="AL417" s="48" t="e">
        <f>Sales4[[#This Row],[PGI Amount]]-Sales4[[#This Row],[BOM Cost2]]-Sales4[[#This Row],[Labour Cost]]-Sales4[[#This Row],[Other conversion cost]]</f>
        <v>#REF!</v>
      </c>
      <c r="AM417" s="121" t="e">
        <f>1-Sales4[[#This Row],[PGI COST]]/Sales4[[#This Row],[Net Value]]</f>
        <v>#REF!</v>
      </c>
      <c r="AN417" s="1">
        <f>Sales4[[#This Row],[PGI Amount]]/Sales4[[#This Row],[Billed Quantity]]</f>
        <v>470.74</v>
      </c>
      <c r="AO417" s="72" t="e">
        <f>SUMIFS('COGS Break up'!#REF!,'COGS Break up'!#REF!,Sales4[[#This Row],[Material]],'COGS Break up'!#REF!,'MIS Working'!$AO$1)</f>
        <v>#REF!</v>
      </c>
      <c r="AP417" s="72" t="e">
        <f>SUMIFS('COGS Break up'!#REF!,'COGS Break up'!#REF!,Sales4[[#This Row],[Material]],'COGS Break up'!#REF!,'MIS Working'!$AP$1)</f>
        <v>#REF!</v>
      </c>
      <c r="AQ417" s="72" t="e">
        <f>SUMIFS('COGS Break up'!#REF!,'COGS Break up'!#REF!,Sales4[[#This Row],[Material]],'COGS Break up'!#REF!,'MIS Working'!$AQ$1)</f>
        <v>#REF!</v>
      </c>
      <c r="AR417" s="72">
        <f>Sales4[[#This Row],[Droppage per unit]]</f>
        <v>0</v>
      </c>
      <c r="AS417" s="15" t="e">
        <f>AO417*Sales4[[#This Row],[Billed Quantity]]</f>
        <v>#REF!</v>
      </c>
      <c r="AT417" s="72" t="e">
        <f>AP417*Sales4[[#This Row],[Billed Quantity]]</f>
        <v>#REF!</v>
      </c>
      <c r="AU417" s="72" t="e">
        <f>AQ417*Sales4[[#This Row],[Billed Quantity]]</f>
        <v>#REF!</v>
      </c>
      <c r="AV417" s="72">
        <f>AR417*Sales4[[#This Row],[Billed Quantity]]</f>
        <v>0</v>
      </c>
    </row>
    <row r="418" spans="1:48" x14ac:dyDescent="0.3">
      <c r="A418" s="1" t="s">
        <v>479</v>
      </c>
      <c r="B418" s="2">
        <v>45903</v>
      </c>
      <c r="C418" s="1">
        <v>3271266470</v>
      </c>
      <c r="D418" s="1" t="s">
        <v>38</v>
      </c>
      <c r="E418" s="1" t="s">
        <v>39</v>
      </c>
      <c r="F418" s="1" t="s">
        <v>18</v>
      </c>
      <c r="G418" s="1" t="s">
        <v>19</v>
      </c>
      <c r="H418" s="1" t="s">
        <v>27</v>
      </c>
      <c r="I418" s="3">
        <v>2240</v>
      </c>
      <c r="J418" s="4">
        <v>737990.4</v>
      </c>
      <c r="K418" s="3">
        <v>2240</v>
      </c>
      <c r="L418" s="3">
        <v>2240</v>
      </c>
      <c r="M418" s="2">
        <v>45903</v>
      </c>
      <c r="N418" s="4">
        <v>802569.6</v>
      </c>
      <c r="O418" s="1" t="s">
        <v>21</v>
      </c>
      <c r="P418" s="1" t="s">
        <v>22</v>
      </c>
      <c r="Q418" s="1">
        <v>1</v>
      </c>
      <c r="R418" s="1" t="str">
        <f>VLOOKUP(Sales4[[#This Row],[Material type]],Master!$H$3:$I$8,2,0)</f>
        <v>Finished Goods</v>
      </c>
      <c r="S418" s="1" t="str">
        <f>VLOOKUP(Sales4[[#This Row],[Material Group]],Master!B:C,2,0)</f>
        <v>FG-PCB-CF</v>
      </c>
      <c r="T418" s="1" t="str">
        <f>VLOOKUP(Sales4[[#This Row],[Material Group Descrip]],Master!E:F,2,0)</f>
        <v>FG-PCB-CF</v>
      </c>
      <c r="U418" s="9" t="b">
        <f ca="1">(TODAY()-1)=Sales4[[#This Row],[Billing Date]]</f>
        <v>0</v>
      </c>
      <c r="V418" s="10" t="e">
        <f>Sales4[[#This Row],[Net Value]]-Sales4[[#This Row],[PGI COST]]</f>
        <v>#REF!</v>
      </c>
      <c r="W418" s="11" t="e">
        <f>Sales4[[#This Row],[Gross Margin]]/Sales4[[#This Row],[Net Value]]</f>
        <v>#REF!</v>
      </c>
      <c r="X418" s="1" t="str">
        <f>TEXT(Sales4[[#This Row],[Billing Date]],"mmmm-yy")</f>
        <v>September-25</v>
      </c>
      <c r="Y418" s="1">
        <f>Sales4[[#This Row],[Net Value]]/Sales4[[#This Row],[Billed Quantity]]</f>
        <v>358.28999999999996</v>
      </c>
      <c r="Z418" s="117">
        <f>Sales4[[#This Row],[Actual delivery qty]]</f>
        <v>2240</v>
      </c>
      <c r="AA418" s="12" t="e">
        <f>SUM(Sales4[[#This Row],[BOM Cost]:[Other Conversion cost pu]])</f>
        <v>#REF!</v>
      </c>
      <c r="AB41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1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18" s="12">
        <f>IFERROR(VLOOKUP(Sales4[[#This Row],[Material]],'COGS Break up'!#REF!,5,0),0)</f>
        <v>0</v>
      </c>
      <c r="AE41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18" s="48" t="e">
        <f>Sales4[[#This Row],[PGI per unit]]-Sales4[[#This Row],[BOM Cost]]-Sales4[[#This Row],[Labour cost per unit]]-Sales4[[#This Row],[Other Conversion cost pu]]</f>
        <v>#REF!</v>
      </c>
      <c r="AG418" s="48" t="e">
        <f>Sales4[[#This Row],[BOM Cost2]]+Sales4[[#This Row],[Labour Cost]]+Sales4[[#This Row],[Other conversion cost]]</f>
        <v>#REF!</v>
      </c>
      <c r="AH418" s="12" t="e">
        <f>Sales4[[#This Row],[Billed Quantity]]*Sales4[[#This Row],[BOM Cost]]</f>
        <v>#REF!</v>
      </c>
      <c r="AI418" s="12" t="e">
        <f>Sales4[[#This Row],[Billed Quantity]]*Sales4[[#This Row],[Labour cost per unit]]</f>
        <v>#REF!</v>
      </c>
      <c r="AJ418" s="12">
        <f>Sales4[[#This Row],[Droppage per unit]]*Sales4[[#This Row],[Billed Quantity]]</f>
        <v>0</v>
      </c>
      <c r="AK418" s="12" t="e">
        <f>Sales4[[#This Row],[Billed Quantity]]*Sales4[[#This Row],[Other Conversion cost pu]]</f>
        <v>#REF!</v>
      </c>
      <c r="AL418" s="48" t="e">
        <f>Sales4[[#This Row],[PGI Amount]]-Sales4[[#This Row],[BOM Cost2]]-Sales4[[#This Row],[Labour Cost]]-Sales4[[#This Row],[Other conversion cost]]</f>
        <v>#REF!</v>
      </c>
      <c r="AM418" s="121" t="e">
        <f>1-Sales4[[#This Row],[PGI COST]]/Sales4[[#This Row],[Net Value]]</f>
        <v>#REF!</v>
      </c>
      <c r="AN418" s="1">
        <f>Sales4[[#This Row],[PGI Amount]]/Sales4[[#This Row],[Billed Quantity]]</f>
        <v>329.46000000000004</v>
      </c>
      <c r="AO418" s="72" t="e">
        <f>SUMIFS('COGS Break up'!#REF!,'COGS Break up'!#REF!,Sales4[[#This Row],[Material]],'COGS Break up'!#REF!,'MIS Working'!$AO$1)</f>
        <v>#REF!</v>
      </c>
      <c r="AP418" s="72" t="e">
        <f>SUMIFS('COGS Break up'!#REF!,'COGS Break up'!#REF!,Sales4[[#This Row],[Material]],'COGS Break up'!#REF!,'MIS Working'!$AP$1)</f>
        <v>#REF!</v>
      </c>
      <c r="AQ418" s="72" t="e">
        <f>SUMIFS('COGS Break up'!#REF!,'COGS Break up'!#REF!,Sales4[[#This Row],[Material]],'COGS Break up'!#REF!,'MIS Working'!$AQ$1)</f>
        <v>#REF!</v>
      </c>
      <c r="AR418" s="72">
        <f>Sales4[[#This Row],[Droppage per unit]]</f>
        <v>0</v>
      </c>
      <c r="AS418" s="15" t="e">
        <f>AO418*Sales4[[#This Row],[Billed Quantity]]</f>
        <v>#REF!</v>
      </c>
      <c r="AT418" s="72" t="e">
        <f>AP418*Sales4[[#This Row],[Billed Quantity]]</f>
        <v>#REF!</v>
      </c>
      <c r="AU418" s="72" t="e">
        <f>AQ418*Sales4[[#This Row],[Billed Quantity]]</f>
        <v>#REF!</v>
      </c>
      <c r="AV418" s="72">
        <f>AR418*Sales4[[#This Row],[Billed Quantity]]</f>
        <v>0</v>
      </c>
    </row>
    <row r="419" spans="1:48" x14ac:dyDescent="0.3">
      <c r="A419" s="1" t="s">
        <v>479</v>
      </c>
      <c r="B419" s="2">
        <v>45903</v>
      </c>
      <c r="C419" s="1">
        <v>3271266358</v>
      </c>
      <c r="D419" s="1" t="s">
        <v>38</v>
      </c>
      <c r="E419" s="1" t="s">
        <v>39</v>
      </c>
      <c r="F419" s="1" t="s">
        <v>18</v>
      </c>
      <c r="G419" s="1" t="s">
        <v>19</v>
      </c>
      <c r="H419" s="1" t="s">
        <v>27</v>
      </c>
      <c r="I419" s="3">
        <v>1960</v>
      </c>
      <c r="J419" s="4">
        <v>645741.6</v>
      </c>
      <c r="K419" s="3">
        <v>1960</v>
      </c>
      <c r="L419" s="3">
        <v>1960</v>
      </c>
      <c r="M419" s="2">
        <v>45903</v>
      </c>
      <c r="N419" s="4">
        <v>702248.4</v>
      </c>
      <c r="O419" s="1" t="s">
        <v>21</v>
      </c>
      <c r="P419" s="1" t="s">
        <v>22</v>
      </c>
      <c r="Q419" s="1">
        <v>1</v>
      </c>
      <c r="R419" s="1" t="str">
        <f>VLOOKUP(Sales4[[#This Row],[Material type]],Master!$H$3:$I$8,2,0)</f>
        <v>Finished Goods</v>
      </c>
      <c r="S419" s="1" t="str">
        <f>VLOOKUP(Sales4[[#This Row],[Material Group]],Master!B:C,2,0)</f>
        <v>FG-PCB-CF</v>
      </c>
      <c r="T419" s="1" t="str">
        <f>VLOOKUP(Sales4[[#This Row],[Material Group Descrip]],Master!E:F,2,0)</f>
        <v>FG-PCB-CF</v>
      </c>
      <c r="U419" s="9" t="b">
        <f ca="1">(TODAY()-1)=Sales4[[#This Row],[Billing Date]]</f>
        <v>0</v>
      </c>
      <c r="V419" s="10" t="e">
        <f>Sales4[[#This Row],[Net Value]]-Sales4[[#This Row],[PGI COST]]</f>
        <v>#REF!</v>
      </c>
      <c r="W419" s="11" t="e">
        <f>Sales4[[#This Row],[Gross Margin]]/Sales4[[#This Row],[Net Value]]</f>
        <v>#REF!</v>
      </c>
      <c r="X419" s="1" t="str">
        <f>TEXT(Sales4[[#This Row],[Billing Date]],"mmmm-yy")</f>
        <v>September-25</v>
      </c>
      <c r="Y419" s="1">
        <f>Sales4[[#This Row],[Net Value]]/Sales4[[#This Row],[Billed Quantity]]</f>
        <v>358.29</v>
      </c>
      <c r="Z419" s="117">
        <f>Sales4[[#This Row],[Actual delivery qty]]</f>
        <v>1960</v>
      </c>
      <c r="AA419" s="12" t="e">
        <f>SUM(Sales4[[#This Row],[BOM Cost]:[Other Conversion cost pu]])</f>
        <v>#REF!</v>
      </c>
      <c r="AB41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1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19" s="12">
        <f>IFERROR(VLOOKUP(Sales4[[#This Row],[Material]],'COGS Break up'!#REF!,5,0),0)</f>
        <v>0</v>
      </c>
      <c r="AE41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19" s="48" t="e">
        <f>Sales4[[#This Row],[PGI per unit]]-Sales4[[#This Row],[BOM Cost]]-Sales4[[#This Row],[Labour cost per unit]]-Sales4[[#This Row],[Other Conversion cost pu]]</f>
        <v>#REF!</v>
      </c>
      <c r="AG419" s="48" t="e">
        <f>Sales4[[#This Row],[BOM Cost2]]+Sales4[[#This Row],[Labour Cost]]+Sales4[[#This Row],[Other conversion cost]]</f>
        <v>#REF!</v>
      </c>
      <c r="AH419" s="12" t="e">
        <f>Sales4[[#This Row],[Billed Quantity]]*Sales4[[#This Row],[BOM Cost]]</f>
        <v>#REF!</v>
      </c>
      <c r="AI419" s="12" t="e">
        <f>Sales4[[#This Row],[Billed Quantity]]*Sales4[[#This Row],[Labour cost per unit]]</f>
        <v>#REF!</v>
      </c>
      <c r="AJ419" s="12">
        <f>Sales4[[#This Row],[Droppage per unit]]*Sales4[[#This Row],[Billed Quantity]]</f>
        <v>0</v>
      </c>
      <c r="AK419" s="12" t="e">
        <f>Sales4[[#This Row],[Billed Quantity]]*Sales4[[#This Row],[Other Conversion cost pu]]</f>
        <v>#REF!</v>
      </c>
      <c r="AL419" s="48" t="e">
        <f>Sales4[[#This Row],[PGI Amount]]-Sales4[[#This Row],[BOM Cost2]]-Sales4[[#This Row],[Labour Cost]]-Sales4[[#This Row],[Other conversion cost]]</f>
        <v>#REF!</v>
      </c>
      <c r="AM419" s="121" t="e">
        <f>1-Sales4[[#This Row],[PGI COST]]/Sales4[[#This Row],[Net Value]]</f>
        <v>#REF!</v>
      </c>
      <c r="AN419" s="1">
        <f>Sales4[[#This Row],[PGI Amount]]/Sales4[[#This Row],[Billed Quantity]]</f>
        <v>329.46</v>
      </c>
      <c r="AO419" s="72" t="e">
        <f>SUMIFS('COGS Break up'!#REF!,'COGS Break up'!#REF!,Sales4[[#This Row],[Material]],'COGS Break up'!#REF!,'MIS Working'!$AO$1)</f>
        <v>#REF!</v>
      </c>
      <c r="AP419" s="72" t="e">
        <f>SUMIFS('COGS Break up'!#REF!,'COGS Break up'!#REF!,Sales4[[#This Row],[Material]],'COGS Break up'!#REF!,'MIS Working'!$AP$1)</f>
        <v>#REF!</v>
      </c>
      <c r="AQ419" s="72" t="e">
        <f>SUMIFS('COGS Break up'!#REF!,'COGS Break up'!#REF!,Sales4[[#This Row],[Material]],'COGS Break up'!#REF!,'MIS Working'!$AQ$1)</f>
        <v>#REF!</v>
      </c>
      <c r="AR419" s="72">
        <f>Sales4[[#This Row],[Droppage per unit]]</f>
        <v>0</v>
      </c>
      <c r="AS419" s="15" t="e">
        <f>AO419*Sales4[[#This Row],[Billed Quantity]]</f>
        <v>#REF!</v>
      </c>
      <c r="AT419" s="72" t="e">
        <f>AP419*Sales4[[#This Row],[Billed Quantity]]</f>
        <v>#REF!</v>
      </c>
      <c r="AU419" s="72" t="e">
        <f>AQ419*Sales4[[#This Row],[Billed Quantity]]</f>
        <v>#REF!</v>
      </c>
      <c r="AV419" s="72">
        <f>AR419*Sales4[[#This Row],[Billed Quantity]]</f>
        <v>0</v>
      </c>
    </row>
    <row r="420" spans="1:48" x14ac:dyDescent="0.3">
      <c r="A420" s="1" t="s">
        <v>479</v>
      </c>
      <c r="B420" s="2">
        <v>45903</v>
      </c>
      <c r="C420" s="1">
        <v>3271266828</v>
      </c>
      <c r="D420" s="1" t="s">
        <v>38</v>
      </c>
      <c r="E420" s="1" t="s">
        <v>39</v>
      </c>
      <c r="F420" s="1" t="s">
        <v>18</v>
      </c>
      <c r="G420" s="1" t="s">
        <v>19</v>
      </c>
      <c r="H420" s="1" t="s">
        <v>27</v>
      </c>
      <c r="I420" s="3">
        <v>1120</v>
      </c>
      <c r="J420" s="4">
        <v>368995.2</v>
      </c>
      <c r="K420" s="3">
        <v>1120</v>
      </c>
      <c r="L420" s="3">
        <v>1120</v>
      </c>
      <c r="M420" s="2">
        <v>45903</v>
      </c>
      <c r="N420" s="4">
        <v>401284.8</v>
      </c>
      <c r="O420" s="1" t="s">
        <v>21</v>
      </c>
      <c r="P420" s="1" t="s">
        <v>22</v>
      </c>
      <c r="Q420" s="1">
        <v>1</v>
      </c>
      <c r="R420" s="1" t="str">
        <f>VLOOKUP(Sales4[[#This Row],[Material type]],Master!$H$3:$I$8,2,0)</f>
        <v>Finished Goods</v>
      </c>
      <c r="S420" s="1" t="str">
        <f>VLOOKUP(Sales4[[#This Row],[Material Group]],Master!B:C,2,0)</f>
        <v>FG-PCB-CF</v>
      </c>
      <c r="T420" s="1" t="str">
        <f>VLOOKUP(Sales4[[#This Row],[Material Group Descrip]],Master!E:F,2,0)</f>
        <v>FG-PCB-CF</v>
      </c>
      <c r="U420" s="9" t="b">
        <f ca="1">(TODAY()-1)=Sales4[[#This Row],[Billing Date]]</f>
        <v>0</v>
      </c>
      <c r="V420" s="10" t="e">
        <f>Sales4[[#This Row],[Net Value]]-Sales4[[#This Row],[PGI COST]]</f>
        <v>#REF!</v>
      </c>
      <c r="W420" s="11" t="e">
        <f>Sales4[[#This Row],[Gross Margin]]/Sales4[[#This Row],[Net Value]]</f>
        <v>#REF!</v>
      </c>
      <c r="X420" s="1" t="str">
        <f>TEXT(Sales4[[#This Row],[Billing Date]],"mmmm-yy")</f>
        <v>September-25</v>
      </c>
      <c r="Y420" s="1">
        <f>Sales4[[#This Row],[Net Value]]/Sales4[[#This Row],[Billed Quantity]]</f>
        <v>358.28999999999996</v>
      </c>
      <c r="Z420" s="117">
        <f>Sales4[[#This Row],[Actual delivery qty]]</f>
        <v>1120</v>
      </c>
      <c r="AA420" s="12" t="e">
        <f>SUM(Sales4[[#This Row],[BOM Cost]:[Other Conversion cost pu]])</f>
        <v>#REF!</v>
      </c>
      <c r="AB42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2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20" s="12">
        <f>IFERROR(VLOOKUP(Sales4[[#This Row],[Material]],'COGS Break up'!#REF!,5,0),0)</f>
        <v>0</v>
      </c>
      <c r="AE42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20" s="48" t="e">
        <f>Sales4[[#This Row],[PGI per unit]]-Sales4[[#This Row],[BOM Cost]]-Sales4[[#This Row],[Labour cost per unit]]-Sales4[[#This Row],[Other Conversion cost pu]]</f>
        <v>#REF!</v>
      </c>
      <c r="AG420" s="48" t="e">
        <f>Sales4[[#This Row],[BOM Cost2]]+Sales4[[#This Row],[Labour Cost]]+Sales4[[#This Row],[Other conversion cost]]</f>
        <v>#REF!</v>
      </c>
      <c r="AH420" s="12" t="e">
        <f>Sales4[[#This Row],[Billed Quantity]]*Sales4[[#This Row],[BOM Cost]]</f>
        <v>#REF!</v>
      </c>
      <c r="AI420" s="12" t="e">
        <f>Sales4[[#This Row],[Billed Quantity]]*Sales4[[#This Row],[Labour cost per unit]]</f>
        <v>#REF!</v>
      </c>
      <c r="AJ420" s="12">
        <f>Sales4[[#This Row],[Droppage per unit]]*Sales4[[#This Row],[Billed Quantity]]</f>
        <v>0</v>
      </c>
      <c r="AK420" s="12" t="e">
        <f>Sales4[[#This Row],[Billed Quantity]]*Sales4[[#This Row],[Other Conversion cost pu]]</f>
        <v>#REF!</v>
      </c>
      <c r="AL420" s="48" t="e">
        <f>Sales4[[#This Row],[PGI Amount]]-Sales4[[#This Row],[BOM Cost2]]-Sales4[[#This Row],[Labour Cost]]-Sales4[[#This Row],[Other conversion cost]]</f>
        <v>#REF!</v>
      </c>
      <c r="AM420" s="121" t="e">
        <f>1-Sales4[[#This Row],[PGI COST]]/Sales4[[#This Row],[Net Value]]</f>
        <v>#REF!</v>
      </c>
      <c r="AN420" s="1">
        <f>Sales4[[#This Row],[PGI Amount]]/Sales4[[#This Row],[Billed Quantity]]</f>
        <v>329.46000000000004</v>
      </c>
      <c r="AO420" s="72" t="e">
        <f>SUMIFS('COGS Break up'!#REF!,'COGS Break up'!#REF!,Sales4[[#This Row],[Material]],'COGS Break up'!#REF!,'MIS Working'!$AO$1)</f>
        <v>#REF!</v>
      </c>
      <c r="AP420" s="72" t="e">
        <f>SUMIFS('COGS Break up'!#REF!,'COGS Break up'!#REF!,Sales4[[#This Row],[Material]],'COGS Break up'!#REF!,'MIS Working'!$AP$1)</f>
        <v>#REF!</v>
      </c>
      <c r="AQ420" s="72" t="e">
        <f>SUMIFS('COGS Break up'!#REF!,'COGS Break up'!#REF!,Sales4[[#This Row],[Material]],'COGS Break up'!#REF!,'MIS Working'!$AQ$1)</f>
        <v>#REF!</v>
      </c>
      <c r="AR420" s="72">
        <f>Sales4[[#This Row],[Droppage per unit]]</f>
        <v>0</v>
      </c>
      <c r="AS420" s="15" t="e">
        <f>AO420*Sales4[[#This Row],[Billed Quantity]]</f>
        <v>#REF!</v>
      </c>
      <c r="AT420" s="72" t="e">
        <f>AP420*Sales4[[#This Row],[Billed Quantity]]</f>
        <v>#REF!</v>
      </c>
      <c r="AU420" s="72" t="e">
        <f>AQ420*Sales4[[#This Row],[Billed Quantity]]</f>
        <v>#REF!</v>
      </c>
      <c r="AV420" s="72">
        <f>AR420*Sales4[[#This Row],[Billed Quantity]]</f>
        <v>0</v>
      </c>
    </row>
    <row r="421" spans="1:48" x14ac:dyDescent="0.3">
      <c r="A421" s="1" t="s">
        <v>479</v>
      </c>
      <c r="B421" s="2">
        <v>45903</v>
      </c>
      <c r="C421" s="1">
        <v>3271266470</v>
      </c>
      <c r="D421" s="1" t="s">
        <v>28</v>
      </c>
      <c r="E421" s="1" t="s">
        <v>29</v>
      </c>
      <c r="F421" s="1" t="s">
        <v>18</v>
      </c>
      <c r="G421" s="1" t="s">
        <v>19</v>
      </c>
      <c r="H421" s="1" t="s">
        <v>27</v>
      </c>
      <c r="I421" s="3">
        <v>420</v>
      </c>
      <c r="J421" s="4">
        <v>139990.20000000001</v>
      </c>
      <c r="K421" s="3">
        <v>420</v>
      </c>
      <c r="L421" s="3">
        <v>420</v>
      </c>
      <c r="M421" s="2">
        <v>45903</v>
      </c>
      <c r="N421" s="4">
        <v>148801.79999999999</v>
      </c>
      <c r="O421" s="1" t="s">
        <v>21</v>
      </c>
      <c r="P421" s="1" t="s">
        <v>22</v>
      </c>
      <c r="Q421" s="1">
        <v>1</v>
      </c>
      <c r="R421" s="1" t="str">
        <f>VLOOKUP(Sales4[[#This Row],[Material type]],Master!$H$3:$I$8,2,0)</f>
        <v>Finished Goods</v>
      </c>
      <c r="S421" s="1" t="str">
        <f>VLOOKUP(Sales4[[#This Row],[Material Group]],Master!B:C,2,0)</f>
        <v>FG-PCB-CF</v>
      </c>
      <c r="T421" s="1" t="str">
        <f>VLOOKUP(Sales4[[#This Row],[Material Group Descrip]],Master!E:F,2,0)</f>
        <v>FG-PCB-CF</v>
      </c>
      <c r="U421" s="9" t="b">
        <f ca="1">(TODAY()-1)=Sales4[[#This Row],[Billing Date]]</f>
        <v>0</v>
      </c>
      <c r="V421" s="10" t="e">
        <f>Sales4[[#This Row],[Net Value]]-Sales4[[#This Row],[PGI COST]]</f>
        <v>#REF!</v>
      </c>
      <c r="W421" s="11" t="e">
        <f>Sales4[[#This Row],[Gross Margin]]/Sales4[[#This Row],[Net Value]]</f>
        <v>#REF!</v>
      </c>
      <c r="X421" s="1" t="str">
        <f>TEXT(Sales4[[#This Row],[Billing Date]],"mmmm-yy")</f>
        <v>September-25</v>
      </c>
      <c r="Y421" s="1">
        <f>Sales4[[#This Row],[Net Value]]/Sales4[[#This Row],[Billed Quantity]]</f>
        <v>354.28999999999996</v>
      </c>
      <c r="Z421" s="117">
        <f>Sales4[[#This Row],[Actual delivery qty]]</f>
        <v>420</v>
      </c>
      <c r="AA421" s="12" t="e">
        <f>SUM(Sales4[[#This Row],[BOM Cost]:[Other Conversion cost pu]])</f>
        <v>#REF!</v>
      </c>
      <c r="AB42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2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21" s="12">
        <f>IFERROR(VLOOKUP(Sales4[[#This Row],[Material]],'COGS Break up'!#REF!,5,0),0)</f>
        <v>0</v>
      </c>
      <c r="AE42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21" s="48" t="e">
        <f>Sales4[[#This Row],[PGI per unit]]-Sales4[[#This Row],[BOM Cost]]-Sales4[[#This Row],[Labour cost per unit]]-Sales4[[#This Row],[Other Conversion cost pu]]</f>
        <v>#REF!</v>
      </c>
      <c r="AG421" s="48" t="e">
        <f>Sales4[[#This Row],[BOM Cost2]]+Sales4[[#This Row],[Labour Cost]]+Sales4[[#This Row],[Other conversion cost]]</f>
        <v>#REF!</v>
      </c>
      <c r="AH421" s="12" t="e">
        <f>Sales4[[#This Row],[Billed Quantity]]*Sales4[[#This Row],[BOM Cost]]</f>
        <v>#REF!</v>
      </c>
      <c r="AI421" s="12" t="e">
        <f>Sales4[[#This Row],[Billed Quantity]]*Sales4[[#This Row],[Labour cost per unit]]</f>
        <v>#REF!</v>
      </c>
      <c r="AJ421" s="12">
        <f>Sales4[[#This Row],[Droppage per unit]]*Sales4[[#This Row],[Billed Quantity]]</f>
        <v>0</v>
      </c>
      <c r="AK421" s="12" t="e">
        <f>Sales4[[#This Row],[Billed Quantity]]*Sales4[[#This Row],[Other Conversion cost pu]]</f>
        <v>#REF!</v>
      </c>
      <c r="AL421" s="48" t="e">
        <f>Sales4[[#This Row],[PGI Amount]]-Sales4[[#This Row],[BOM Cost2]]-Sales4[[#This Row],[Labour Cost]]-Sales4[[#This Row],[Other conversion cost]]</f>
        <v>#REF!</v>
      </c>
      <c r="AM421" s="121" t="e">
        <f>1-Sales4[[#This Row],[PGI COST]]/Sales4[[#This Row],[Net Value]]</f>
        <v>#REF!</v>
      </c>
      <c r="AN421" s="1">
        <f>Sales4[[#This Row],[PGI Amount]]/Sales4[[#This Row],[Billed Quantity]]</f>
        <v>333.31</v>
      </c>
      <c r="AO421" s="72" t="e">
        <f>SUMIFS('COGS Break up'!#REF!,'COGS Break up'!#REF!,Sales4[[#This Row],[Material]],'COGS Break up'!#REF!,'MIS Working'!$AO$1)</f>
        <v>#REF!</v>
      </c>
      <c r="AP421" s="72" t="e">
        <f>SUMIFS('COGS Break up'!#REF!,'COGS Break up'!#REF!,Sales4[[#This Row],[Material]],'COGS Break up'!#REF!,'MIS Working'!$AP$1)</f>
        <v>#REF!</v>
      </c>
      <c r="AQ421" s="72" t="e">
        <f>SUMIFS('COGS Break up'!#REF!,'COGS Break up'!#REF!,Sales4[[#This Row],[Material]],'COGS Break up'!#REF!,'MIS Working'!$AQ$1)</f>
        <v>#REF!</v>
      </c>
      <c r="AR421" s="72">
        <f>Sales4[[#This Row],[Droppage per unit]]</f>
        <v>0</v>
      </c>
      <c r="AS421" s="15" t="e">
        <f>AO421*Sales4[[#This Row],[Billed Quantity]]</f>
        <v>#REF!</v>
      </c>
      <c r="AT421" s="72" t="e">
        <f>AP421*Sales4[[#This Row],[Billed Quantity]]</f>
        <v>#REF!</v>
      </c>
      <c r="AU421" s="72" t="e">
        <f>AQ421*Sales4[[#This Row],[Billed Quantity]]</f>
        <v>#REF!</v>
      </c>
      <c r="AV421" s="72">
        <f>AR421*Sales4[[#This Row],[Billed Quantity]]</f>
        <v>0</v>
      </c>
    </row>
    <row r="422" spans="1:48" x14ac:dyDescent="0.3">
      <c r="A422" s="1" t="s">
        <v>479</v>
      </c>
      <c r="B422" s="2">
        <v>45903</v>
      </c>
      <c r="C422" s="1">
        <v>3271266358</v>
      </c>
      <c r="D422" s="1" t="s">
        <v>362</v>
      </c>
      <c r="E422" s="1" t="s">
        <v>363</v>
      </c>
      <c r="F422" s="1" t="s">
        <v>18</v>
      </c>
      <c r="G422" s="1" t="s">
        <v>19</v>
      </c>
      <c r="H422" s="1" t="s">
        <v>483</v>
      </c>
      <c r="I422" s="3">
        <v>385</v>
      </c>
      <c r="J422" s="4">
        <v>282247.34999999998</v>
      </c>
      <c r="K422" s="3">
        <v>385</v>
      </c>
      <c r="L422" s="3">
        <v>385</v>
      </c>
      <c r="M422" s="2">
        <v>45903</v>
      </c>
      <c r="N422" s="4">
        <v>331962.40000000002</v>
      </c>
      <c r="O422" s="1" t="s">
        <v>21</v>
      </c>
      <c r="P422" s="1" t="s">
        <v>22</v>
      </c>
      <c r="Q422" s="1">
        <v>1</v>
      </c>
      <c r="R422" s="1" t="str">
        <f>VLOOKUP(Sales4[[#This Row],[Material type]],Master!$H$3:$I$8,2,0)</f>
        <v>Finished Goods</v>
      </c>
      <c r="S422" s="1" t="str">
        <f>VLOOKUP(Sales4[[#This Row],[Material Group]],Master!B:C,2,0)</f>
        <v>FG-PCB-MG</v>
      </c>
      <c r="T422" s="1" t="str">
        <f>VLOOKUP(Sales4[[#This Row],[Material Group Descrip]],Master!E:F,2,0)</f>
        <v>FG-PCB-MG</v>
      </c>
      <c r="U422" s="9" t="b">
        <f ca="1">(TODAY()-1)=Sales4[[#This Row],[Billing Date]]</f>
        <v>0</v>
      </c>
      <c r="V422" s="10" t="e">
        <f>Sales4[[#This Row],[Net Value]]-Sales4[[#This Row],[PGI COST]]</f>
        <v>#REF!</v>
      </c>
      <c r="W422" s="11" t="e">
        <f>Sales4[[#This Row],[Gross Margin]]/Sales4[[#This Row],[Net Value]]</f>
        <v>#REF!</v>
      </c>
      <c r="X422" s="1" t="str">
        <f>TEXT(Sales4[[#This Row],[Billing Date]],"mmmm-yy")</f>
        <v>September-25</v>
      </c>
      <c r="Y422" s="1">
        <f>Sales4[[#This Row],[Net Value]]/Sales4[[#This Row],[Billed Quantity]]</f>
        <v>862.24</v>
      </c>
      <c r="Z422" s="117">
        <f>Sales4[[#This Row],[Actual delivery qty]]</f>
        <v>385</v>
      </c>
      <c r="AA422" s="12" t="e">
        <f>SUM(Sales4[[#This Row],[BOM Cost]:[Other Conversion cost pu]])</f>
        <v>#REF!</v>
      </c>
      <c r="AB42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2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22" s="12">
        <f>IFERROR(VLOOKUP(Sales4[[#This Row],[Material]],'COGS Break up'!#REF!,5,0),0)</f>
        <v>0</v>
      </c>
      <c r="AE42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22" s="48" t="e">
        <f>Sales4[[#This Row],[PGI per unit]]-Sales4[[#This Row],[BOM Cost]]-Sales4[[#This Row],[Labour cost per unit]]-Sales4[[#This Row],[Other Conversion cost pu]]</f>
        <v>#REF!</v>
      </c>
      <c r="AG422" s="48" t="e">
        <f>Sales4[[#This Row],[BOM Cost2]]+Sales4[[#This Row],[Labour Cost]]+Sales4[[#This Row],[Other conversion cost]]</f>
        <v>#REF!</v>
      </c>
      <c r="AH422" s="12" t="e">
        <f>Sales4[[#This Row],[Billed Quantity]]*Sales4[[#This Row],[BOM Cost]]</f>
        <v>#REF!</v>
      </c>
      <c r="AI422" s="12" t="e">
        <f>Sales4[[#This Row],[Billed Quantity]]*Sales4[[#This Row],[Labour cost per unit]]</f>
        <v>#REF!</v>
      </c>
      <c r="AJ422" s="12">
        <f>Sales4[[#This Row],[Droppage per unit]]*Sales4[[#This Row],[Billed Quantity]]</f>
        <v>0</v>
      </c>
      <c r="AK422" s="12" t="e">
        <f>Sales4[[#This Row],[Billed Quantity]]*Sales4[[#This Row],[Other Conversion cost pu]]</f>
        <v>#REF!</v>
      </c>
      <c r="AL422" s="48" t="e">
        <f>Sales4[[#This Row],[PGI Amount]]-Sales4[[#This Row],[BOM Cost2]]-Sales4[[#This Row],[Labour Cost]]-Sales4[[#This Row],[Other conversion cost]]</f>
        <v>#REF!</v>
      </c>
      <c r="AM422" s="121" t="e">
        <f>1-Sales4[[#This Row],[PGI COST]]/Sales4[[#This Row],[Net Value]]</f>
        <v>#REF!</v>
      </c>
      <c r="AN422" s="1">
        <f>Sales4[[#This Row],[PGI Amount]]/Sales4[[#This Row],[Billed Quantity]]</f>
        <v>733.1099999999999</v>
      </c>
      <c r="AO422" s="72" t="e">
        <f>SUMIFS('COGS Break up'!#REF!,'COGS Break up'!#REF!,Sales4[[#This Row],[Material]],'COGS Break up'!#REF!,'MIS Working'!$AO$1)</f>
        <v>#REF!</v>
      </c>
      <c r="AP422" s="72" t="e">
        <f>SUMIFS('COGS Break up'!#REF!,'COGS Break up'!#REF!,Sales4[[#This Row],[Material]],'COGS Break up'!#REF!,'MIS Working'!$AP$1)</f>
        <v>#REF!</v>
      </c>
      <c r="AQ422" s="72" t="e">
        <f>SUMIFS('COGS Break up'!#REF!,'COGS Break up'!#REF!,Sales4[[#This Row],[Material]],'COGS Break up'!#REF!,'MIS Working'!$AQ$1)</f>
        <v>#REF!</v>
      </c>
      <c r="AR422" s="72">
        <f>Sales4[[#This Row],[Droppage per unit]]</f>
        <v>0</v>
      </c>
      <c r="AS422" s="15" t="e">
        <f>AO422*Sales4[[#This Row],[Billed Quantity]]</f>
        <v>#REF!</v>
      </c>
      <c r="AT422" s="72" t="e">
        <f>AP422*Sales4[[#This Row],[Billed Quantity]]</f>
        <v>#REF!</v>
      </c>
      <c r="AU422" s="72" t="e">
        <f>AQ422*Sales4[[#This Row],[Billed Quantity]]</f>
        <v>#REF!</v>
      </c>
      <c r="AV422" s="72">
        <f>AR422*Sales4[[#This Row],[Billed Quantity]]</f>
        <v>0</v>
      </c>
    </row>
    <row r="423" spans="1:48" x14ac:dyDescent="0.3">
      <c r="A423" s="1" t="s">
        <v>479</v>
      </c>
      <c r="B423" s="2">
        <v>45903</v>
      </c>
      <c r="C423" s="1">
        <v>3271266470</v>
      </c>
      <c r="D423" s="1" t="s">
        <v>362</v>
      </c>
      <c r="E423" s="1" t="s">
        <v>363</v>
      </c>
      <c r="F423" s="1" t="s">
        <v>18</v>
      </c>
      <c r="G423" s="1" t="s">
        <v>19</v>
      </c>
      <c r="H423" s="1" t="s">
        <v>483</v>
      </c>
      <c r="I423" s="3">
        <v>280</v>
      </c>
      <c r="J423" s="4">
        <v>205270.8</v>
      </c>
      <c r="K423" s="3">
        <v>280</v>
      </c>
      <c r="L423" s="3">
        <v>280</v>
      </c>
      <c r="M423" s="2">
        <v>45903</v>
      </c>
      <c r="N423" s="4">
        <v>241427.20000000001</v>
      </c>
      <c r="O423" s="1" t="s">
        <v>21</v>
      </c>
      <c r="P423" s="1" t="s">
        <v>22</v>
      </c>
      <c r="Q423" s="1">
        <v>1</v>
      </c>
      <c r="R423" s="1" t="str">
        <f>VLOOKUP(Sales4[[#This Row],[Material type]],Master!$H$3:$I$8,2,0)</f>
        <v>Finished Goods</v>
      </c>
      <c r="S423" s="1" t="str">
        <f>VLOOKUP(Sales4[[#This Row],[Material Group]],Master!B:C,2,0)</f>
        <v>FG-PCB-MG</v>
      </c>
      <c r="T423" s="1" t="str">
        <f>VLOOKUP(Sales4[[#This Row],[Material Group Descrip]],Master!E:F,2,0)</f>
        <v>FG-PCB-MG</v>
      </c>
      <c r="U423" s="9" t="b">
        <f ca="1">(TODAY()-1)=Sales4[[#This Row],[Billing Date]]</f>
        <v>0</v>
      </c>
      <c r="V423" s="10" t="e">
        <f>Sales4[[#This Row],[Net Value]]-Sales4[[#This Row],[PGI COST]]</f>
        <v>#REF!</v>
      </c>
      <c r="W423" s="11" t="e">
        <f>Sales4[[#This Row],[Gross Margin]]/Sales4[[#This Row],[Net Value]]</f>
        <v>#REF!</v>
      </c>
      <c r="X423" s="1" t="str">
        <f>TEXT(Sales4[[#This Row],[Billing Date]],"mmmm-yy")</f>
        <v>September-25</v>
      </c>
      <c r="Y423" s="1">
        <f>Sales4[[#This Row],[Net Value]]/Sales4[[#This Row],[Billed Quantity]]</f>
        <v>862.24</v>
      </c>
      <c r="Z423" s="117">
        <f>Sales4[[#This Row],[Actual delivery qty]]</f>
        <v>280</v>
      </c>
      <c r="AA423" s="12" t="e">
        <f>SUM(Sales4[[#This Row],[BOM Cost]:[Other Conversion cost pu]])</f>
        <v>#REF!</v>
      </c>
      <c r="AB42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2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23" s="12">
        <f>IFERROR(VLOOKUP(Sales4[[#This Row],[Material]],'COGS Break up'!#REF!,5,0),0)</f>
        <v>0</v>
      </c>
      <c r="AE42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23" s="48" t="e">
        <f>Sales4[[#This Row],[PGI per unit]]-Sales4[[#This Row],[BOM Cost]]-Sales4[[#This Row],[Labour cost per unit]]-Sales4[[#This Row],[Other Conversion cost pu]]</f>
        <v>#REF!</v>
      </c>
      <c r="AG423" s="48" t="e">
        <f>Sales4[[#This Row],[BOM Cost2]]+Sales4[[#This Row],[Labour Cost]]+Sales4[[#This Row],[Other conversion cost]]</f>
        <v>#REF!</v>
      </c>
      <c r="AH423" s="12" t="e">
        <f>Sales4[[#This Row],[Billed Quantity]]*Sales4[[#This Row],[BOM Cost]]</f>
        <v>#REF!</v>
      </c>
      <c r="AI423" s="12" t="e">
        <f>Sales4[[#This Row],[Billed Quantity]]*Sales4[[#This Row],[Labour cost per unit]]</f>
        <v>#REF!</v>
      </c>
      <c r="AJ423" s="12">
        <f>Sales4[[#This Row],[Droppage per unit]]*Sales4[[#This Row],[Billed Quantity]]</f>
        <v>0</v>
      </c>
      <c r="AK423" s="12" t="e">
        <f>Sales4[[#This Row],[Billed Quantity]]*Sales4[[#This Row],[Other Conversion cost pu]]</f>
        <v>#REF!</v>
      </c>
      <c r="AL423" s="48" t="e">
        <f>Sales4[[#This Row],[PGI Amount]]-Sales4[[#This Row],[BOM Cost2]]-Sales4[[#This Row],[Labour Cost]]-Sales4[[#This Row],[Other conversion cost]]</f>
        <v>#REF!</v>
      </c>
      <c r="AM423" s="121" t="e">
        <f>1-Sales4[[#This Row],[PGI COST]]/Sales4[[#This Row],[Net Value]]</f>
        <v>#REF!</v>
      </c>
      <c r="AN423" s="1">
        <f>Sales4[[#This Row],[PGI Amount]]/Sales4[[#This Row],[Billed Quantity]]</f>
        <v>733.11</v>
      </c>
      <c r="AO423" s="72" t="e">
        <f>SUMIFS('COGS Break up'!#REF!,'COGS Break up'!#REF!,Sales4[[#This Row],[Material]],'COGS Break up'!#REF!,'MIS Working'!$AO$1)</f>
        <v>#REF!</v>
      </c>
      <c r="AP423" s="72" t="e">
        <f>SUMIFS('COGS Break up'!#REF!,'COGS Break up'!#REF!,Sales4[[#This Row],[Material]],'COGS Break up'!#REF!,'MIS Working'!$AP$1)</f>
        <v>#REF!</v>
      </c>
      <c r="AQ423" s="72" t="e">
        <f>SUMIFS('COGS Break up'!#REF!,'COGS Break up'!#REF!,Sales4[[#This Row],[Material]],'COGS Break up'!#REF!,'MIS Working'!$AQ$1)</f>
        <v>#REF!</v>
      </c>
      <c r="AR423" s="72">
        <f>Sales4[[#This Row],[Droppage per unit]]</f>
        <v>0</v>
      </c>
      <c r="AS423" s="15" t="e">
        <f>AO423*Sales4[[#This Row],[Billed Quantity]]</f>
        <v>#REF!</v>
      </c>
      <c r="AT423" s="72" t="e">
        <f>AP423*Sales4[[#This Row],[Billed Quantity]]</f>
        <v>#REF!</v>
      </c>
      <c r="AU423" s="72" t="e">
        <f>AQ423*Sales4[[#This Row],[Billed Quantity]]</f>
        <v>#REF!</v>
      </c>
      <c r="AV423" s="72">
        <f>AR423*Sales4[[#This Row],[Billed Quantity]]</f>
        <v>0</v>
      </c>
    </row>
    <row r="424" spans="1:48" x14ac:dyDescent="0.3">
      <c r="A424" s="1" t="s">
        <v>479</v>
      </c>
      <c r="B424" s="2">
        <v>45903</v>
      </c>
      <c r="C424" s="1">
        <v>3271266470</v>
      </c>
      <c r="D424" s="1" t="s">
        <v>364</v>
      </c>
      <c r="E424" s="1" t="s">
        <v>365</v>
      </c>
      <c r="F424" s="1" t="s">
        <v>18</v>
      </c>
      <c r="G424" s="1" t="s">
        <v>19</v>
      </c>
      <c r="H424" s="1" t="s">
        <v>771</v>
      </c>
      <c r="I424" s="3">
        <v>105</v>
      </c>
      <c r="J424" s="4">
        <v>11448.15</v>
      </c>
      <c r="K424" s="3">
        <v>105</v>
      </c>
      <c r="L424" s="3">
        <v>105</v>
      </c>
      <c r="M424" s="2">
        <v>45903</v>
      </c>
      <c r="N424" s="4">
        <v>10630.2</v>
      </c>
      <c r="O424" s="1" t="s">
        <v>21</v>
      </c>
      <c r="P424" s="1" t="s">
        <v>22</v>
      </c>
      <c r="Q424" s="1">
        <v>1</v>
      </c>
      <c r="R424" s="1" t="str">
        <f>VLOOKUP(Sales4[[#This Row],[Material type]],Master!$H$3:$I$8,2,0)</f>
        <v>Finished Goods</v>
      </c>
      <c r="S424" s="1" t="str">
        <f>VLOOKUP(Sales4[[#This Row],[Material Group]],Master!B:C,2,0)</f>
        <v>FG-PCB-MG Interface</v>
      </c>
      <c r="T424" s="1" t="str">
        <f>VLOOKUP(Sales4[[#This Row],[Material Group Descrip]],Master!E:F,2,0)</f>
        <v>FG-PCB-MG</v>
      </c>
      <c r="U424" s="9" t="b">
        <f ca="1">(TODAY()-1)=Sales4[[#This Row],[Billing Date]]</f>
        <v>0</v>
      </c>
      <c r="V424" s="10" t="e">
        <f>Sales4[[#This Row],[Net Value]]-Sales4[[#This Row],[PGI COST]]</f>
        <v>#REF!</v>
      </c>
      <c r="W424" s="11" t="e">
        <f>Sales4[[#This Row],[Gross Margin]]/Sales4[[#This Row],[Net Value]]</f>
        <v>#REF!</v>
      </c>
      <c r="X424" s="1" t="str">
        <f>TEXT(Sales4[[#This Row],[Billing Date]],"mmmm-yy")</f>
        <v>September-25</v>
      </c>
      <c r="Y424" s="1">
        <f>Sales4[[#This Row],[Net Value]]/Sales4[[#This Row],[Billed Quantity]]</f>
        <v>101.24000000000001</v>
      </c>
      <c r="Z424" s="117"/>
      <c r="AA424" s="12" t="e">
        <f>SUM(Sales4[[#This Row],[BOM Cost]:[Other Conversion cost pu]])</f>
        <v>#REF!</v>
      </c>
      <c r="AB42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2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24" s="12">
        <f>IFERROR(VLOOKUP(Sales4[[#This Row],[Material]],'COGS Break up'!#REF!,5,0),0)</f>
        <v>0</v>
      </c>
      <c r="AE42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24" s="48" t="e">
        <f>Sales4[[#This Row],[PGI per unit]]-Sales4[[#This Row],[BOM Cost]]-Sales4[[#This Row],[Labour cost per unit]]-Sales4[[#This Row],[Other Conversion cost pu]]</f>
        <v>#REF!</v>
      </c>
      <c r="AG424" s="48" t="e">
        <f>Sales4[[#This Row],[BOM Cost2]]+Sales4[[#This Row],[Labour Cost]]+Sales4[[#This Row],[Other conversion cost]]</f>
        <v>#REF!</v>
      </c>
      <c r="AH424" s="12" t="e">
        <f>Sales4[[#This Row],[Billed Quantity]]*Sales4[[#This Row],[BOM Cost]]</f>
        <v>#REF!</v>
      </c>
      <c r="AI424" s="12" t="e">
        <f>Sales4[[#This Row],[Billed Quantity]]*Sales4[[#This Row],[Labour cost per unit]]</f>
        <v>#REF!</v>
      </c>
      <c r="AJ424" s="12">
        <f>Sales4[[#This Row],[Droppage per unit]]*Sales4[[#This Row],[Billed Quantity]]</f>
        <v>0</v>
      </c>
      <c r="AK424" s="12" t="e">
        <f>Sales4[[#This Row],[Billed Quantity]]*Sales4[[#This Row],[Other Conversion cost pu]]</f>
        <v>#REF!</v>
      </c>
      <c r="AL424" s="48" t="e">
        <f>Sales4[[#This Row],[PGI Amount]]-Sales4[[#This Row],[BOM Cost2]]-Sales4[[#This Row],[Labour Cost]]-Sales4[[#This Row],[Other conversion cost]]</f>
        <v>#REF!</v>
      </c>
      <c r="AM424" s="121" t="e">
        <f>1-Sales4[[#This Row],[PGI COST]]/Sales4[[#This Row],[Net Value]]</f>
        <v>#REF!</v>
      </c>
      <c r="AN424" s="1">
        <f>Sales4[[#This Row],[PGI Amount]]/Sales4[[#This Row],[Billed Quantity]]</f>
        <v>109.03</v>
      </c>
      <c r="AO424" s="72" t="e">
        <f>SUMIFS('COGS Break up'!#REF!,'COGS Break up'!#REF!,Sales4[[#This Row],[Material]],'COGS Break up'!#REF!,'MIS Working'!$AO$1)</f>
        <v>#REF!</v>
      </c>
      <c r="AP424" s="72" t="e">
        <f>SUMIFS('COGS Break up'!#REF!,'COGS Break up'!#REF!,Sales4[[#This Row],[Material]],'COGS Break up'!#REF!,'MIS Working'!$AP$1)</f>
        <v>#REF!</v>
      </c>
      <c r="AQ424" s="72" t="e">
        <f>SUMIFS('COGS Break up'!#REF!,'COGS Break up'!#REF!,Sales4[[#This Row],[Material]],'COGS Break up'!#REF!,'MIS Working'!$AQ$1)</f>
        <v>#REF!</v>
      </c>
      <c r="AR424" s="72">
        <f>Sales4[[#This Row],[Droppage per unit]]</f>
        <v>0</v>
      </c>
      <c r="AS424" s="15" t="e">
        <f>AO424*Sales4[[#This Row],[Billed Quantity]]</f>
        <v>#REF!</v>
      </c>
      <c r="AT424" s="72" t="e">
        <f>AP424*Sales4[[#This Row],[Billed Quantity]]</f>
        <v>#REF!</v>
      </c>
      <c r="AU424" s="72" t="e">
        <f>AQ424*Sales4[[#This Row],[Billed Quantity]]</f>
        <v>#REF!</v>
      </c>
      <c r="AV424" s="72">
        <f>AR424*Sales4[[#This Row],[Billed Quantity]]</f>
        <v>0</v>
      </c>
    </row>
    <row r="425" spans="1:48" x14ac:dyDescent="0.3">
      <c r="A425" s="1" t="s">
        <v>479</v>
      </c>
      <c r="B425" s="2">
        <v>45903</v>
      </c>
      <c r="C425" s="1">
        <v>3271266470</v>
      </c>
      <c r="D425" s="1" t="s">
        <v>46</v>
      </c>
      <c r="E425" s="1" t="s">
        <v>47</v>
      </c>
      <c r="F425" s="1" t="s">
        <v>18</v>
      </c>
      <c r="G425" s="1" t="s">
        <v>19</v>
      </c>
      <c r="H425" s="1" t="s">
        <v>27</v>
      </c>
      <c r="I425" s="3">
        <v>245</v>
      </c>
      <c r="J425" s="4">
        <v>80710.350000000006</v>
      </c>
      <c r="K425" s="3">
        <v>245</v>
      </c>
      <c r="L425" s="3">
        <v>245</v>
      </c>
      <c r="M425" s="2">
        <v>45903</v>
      </c>
      <c r="N425" s="4">
        <v>87781.05</v>
      </c>
      <c r="O425" s="1" t="s">
        <v>21</v>
      </c>
      <c r="P425" s="1" t="s">
        <v>22</v>
      </c>
      <c r="Q425" s="1">
        <v>1</v>
      </c>
      <c r="R425" s="1" t="str">
        <f>VLOOKUP(Sales4[[#This Row],[Material type]],Master!$H$3:$I$8,2,0)</f>
        <v>Finished Goods</v>
      </c>
      <c r="S425" s="1" t="str">
        <f>VLOOKUP(Sales4[[#This Row],[Material Group]],Master!B:C,2,0)</f>
        <v>FG-PCB-CF</v>
      </c>
      <c r="T425" s="1" t="str">
        <f>VLOOKUP(Sales4[[#This Row],[Material Group Descrip]],Master!E:F,2,0)</f>
        <v>FG-PCB-CF</v>
      </c>
      <c r="U425" s="9" t="b">
        <f ca="1">(TODAY()-1)=Sales4[[#This Row],[Billing Date]]</f>
        <v>0</v>
      </c>
      <c r="V425" s="10" t="e">
        <f>Sales4[[#This Row],[Net Value]]-Sales4[[#This Row],[PGI COST]]</f>
        <v>#REF!</v>
      </c>
      <c r="W425" s="11" t="e">
        <f>Sales4[[#This Row],[Gross Margin]]/Sales4[[#This Row],[Net Value]]</f>
        <v>#REF!</v>
      </c>
      <c r="X425" s="1" t="str">
        <f>TEXT(Sales4[[#This Row],[Billing Date]],"mmmm-yy")</f>
        <v>September-25</v>
      </c>
      <c r="Y425" s="1">
        <f>Sales4[[#This Row],[Net Value]]/Sales4[[#This Row],[Billed Quantity]]</f>
        <v>358.29</v>
      </c>
      <c r="Z425" s="117">
        <f>Sales4[[#This Row],[Actual delivery qty]]</f>
        <v>245</v>
      </c>
      <c r="AA425" s="12" t="e">
        <f>SUM(Sales4[[#This Row],[BOM Cost]:[Other Conversion cost pu]])</f>
        <v>#REF!</v>
      </c>
      <c r="AB42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2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25" s="12">
        <f>IFERROR(VLOOKUP(Sales4[[#This Row],[Material]],'COGS Break up'!#REF!,5,0),0)</f>
        <v>0</v>
      </c>
      <c r="AE42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25" s="48" t="e">
        <f>Sales4[[#This Row],[PGI per unit]]-Sales4[[#This Row],[BOM Cost]]-Sales4[[#This Row],[Labour cost per unit]]-Sales4[[#This Row],[Other Conversion cost pu]]</f>
        <v>#REF!</v>
      </c>
      <c r="AG425" s="48" t="e">
        <f>Sales4[[#This Row],[BOM Cost2]]+Sales4[[#This Row],[Labour Cost]]+Sales4[[#This Row],[Other conversion cost]]</f>
        <v>#REF!</v>
      </c>
      <c r="AH425" s="12" t="e">
        <f>Sales4[[#This Row],[Billed Quantity]]*Sales4[[#This Row],[BOM Cost]]</f>
        <v>#REF!</v>
      </c>
      <c r="AI425" s="12" t="e">
        <f>Sales4[[#This Row],[Billed Quantity]]*Sales4[[#This Row],[Labour cost per unit]]</f>
        <v>#REF!</v>
      </c>
      <c r="AJ425" s="12">
        <f>Sales4[[#This Row],[Droppage per unit]]*Sales4[[#This Row],[Billed Quantity]]</f>
        <v>0</v>
      </c>
      <c r="AK425" s="12" t="e">
        <f>Sales4[[#This Row],[Billed Quantity]]*Sales4[[#This Row],[Other Conversion cost pu]]</f>
        <v>#REF!</v>
      </c>
      <c r="AL425" s="48" t="e">
        <f>Sales4[[#This Row],[PGI Amount]]-Sales4[[#This Row],[BOM Cost2]]-Sales4[[#This Row],[Labour Cost]]-Sales4[[#This Row],[Other conversion cost]]</f>
        <v>#REF!</v>
      </c>
      <c r="AM425" s="121" t="e">
        <f>1-Sales4[[#This Row],[PGI COST]]/Sales4[[#This Row],[Net Value]]</f>
        <v>#REF!</v>
      </c>
      <c r="AN425" s="1">
        <f>Sales4[[#This Row],[PGI Amount]]/Sales4[[#This Row],[Billed Quantity]]</f>
        <v>329.43</v>
      </c>
      <c r="AO425" s="72" t="e">
        <f>SUMIFS('COGS Break up'!#REF!,'COGS Break up'!#REF!,Sales4[[#This Row],[Material]],'COGS Break up'!#REF!,'MIS Working'!$AO$1)</f>
        <v>#REF!</v>
      </c>
      <c r="AP425" s="72" t="e">
        <f>SUMIFS('COGS Break up'!#REF!,'COGS Break up'!#REF!,Sales4[[#This Row],[Material]],'COGS Break up'!#REF!,'MIS Working'!$AP$1)</f>
        <v>#REF!</v>
      </c>
      <c r="AQ425" s="72" t="e">
        <f>SUMIFS('COGS Break up'!#REF!,'COGS Break up'!#REF!,Sales4[[#This Row],[Material]],'COGS Break up'!#REF!,'MIS Working'!$AQ$1)</f>
        <v>#REF!</v>
      </c>
      <c r="AR425" s="72">
        <f>Sales4[[#This Row],[Droppage per unit]]</f>
        <v>0</v>
      </c>
      <c r="AS425" s="15" t="e">
        <f>AO425*Sales4[[#This Row],[Billed Quantity]]</f>
        <v>#REF!</v>
      </c>
      <c r="AT425" s="72" t="e">
        <f>AP425*Sales4[[#This Row],[Billed Quantity]]</f>
        <v>#REF!</v>
      </c>
      <c r="AU425" s="72" t="e">
        <f>AQ425*Sales4[[#This Row],[Billed Quantity]]</f>
        <v>#REF!</v>
      </c>
      <c r="AV425" s="72">
        <f>AR425*Sales4[[#This Row],[Billed Quantity]]</f>
        <v>0</v>
      </c>
    </row>
    <row r="426" spans="1:48" x14ac:dyDescent="0.3">
      <c r="A426" s="1" t="s">
        <v>479</v>
      </c>
      <c r="B426" s="2">
        <v>45903</v>
      </c>
      <c r="C426" s="1">
        <v>3271266431</v>
      </c>
      <c r="D426" s="1" t="s">
        <v>23</v>
      </c>
      <c r="E426" s="1" t="s">
        <v>24</v>
      </c>
      <c r="F426" s="1" t="s">
        <v>18</v>
      </c>
      <c r="G426" s="1" t="s">
        <v>19</v>
      </c>
      <c r="H426" s="1" t="s">
        <v>27</v>
      </c>
      <c r="I426" s="3">
        <v>110</v>
      </c>
      <c r="J426" s="4">
        <v>46687.3</v>
      </c>
      <c r="K426" s="3">
        <v>110</v>
      </c>
      <c r="L426" s="3">
        <v>110</v>
      </c>
      <c r="M426" s="2">
        <v>45903</v>
      </c>
      <c r="N426" s="4">
        <v>53147.6</v>
      </c>
      <c r="O426" s="1" t="s">
        <v>21</v>
      </c>
      <c r="P426" s="1" t="s">
        <v>22</v>
      </c>
      <c r="Q426" s="1">
        <v>1</v>
      </c>
      <c r="R426" s="1" t="str">
        <f>VLOOKUP(Sales4[[#This Row],[Material type]],Master!$H$3:$I$8,2,0)</f>
        <v>Finished Goods</v>
      </c>
      <c r="S426" s="1" t="str">
        <f>VLOOKUP(Sales4[[#This Row],[Material Group]],Master!B:C,2,0)</f>
        <v>FG-PCB-CF</v>
      </c>
      <c r="T426" s="1" t="str">
        <f>VLOOKUP(Sales4[[#This Row],[Material Group Descrip]],Master!E:F,2,0)</f>
        <v>FG-PCB-CF</v>
      </c>
      <c r="U426" s="9" t="b">
        <f ca="1">(TODAY()-1)=Sales4[[#This Row],[Billing Date]]</f>
        <v>0</v>
      </c>
      <c r="V426" s="10" t="e">
        <f>Sales4[[#This Row],[Net Value]]-Sales4[[#This Row],[PGI COST]]</f>
        <v>#REF!</v>
      </c>
      <c r="W426" s="11" t="e">
        <f>Sales4[[#This Row],[Gross Margin]]/Sales4[[#This Row],[Net Value]]</f>
        <v>#REF!</v>
      </c>
      <c r="X426" s="1" t="str">
        <f>TEXT(Sales4[[#This Row],[Billing Date]],"mmmm-yy")</f>
        <v>September-25</v>
      </c>
      <c r="Y426" s="1">
        <f>Sales4[[#This Row],[Net Value]]/Sales4[[#This Row],[Billed Quantity]]</f>
        <v>483.15999999999997</v>
      </c>
      <c r="Z426" s="117">
        <f>Sales4[[#This Row],[Actual delivery qty]]</f>
        <v>110</v>
      </c>
      <c r="AA426" s="12" t="e">
        <f>SUM(Sales4[[#This Row],[BOM Cost]:[Other Conversion cost pu]])</f>
        <v>#REF!</v>
      </c>
      <c r="AB42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2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26" s="12">
        <f>IFERROR(VLOOKUP(Sales4[[#This Row],[Material]],'COGS Break up'!#REF!,5,0),0)</f>
        <v>0</v>
      </c>
      <c r="AE42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26" s="48" t="e">
        <f>Sales4[[#This Row],[PGI per unit]]-Sales4[[#This Row],[BOM Cost]]-Sales4[[#This Row],[Labour cost per unit]]-Sales4[[#This Row],[Other Conversion cost pu]]</f>
        <v>#REF!</v>
      </c>
      <c r="AG426" s="48" t="e">
        <f>Sales4[[#This Row],[BOM Cost2]]+Sales4[[#This Row],[Labour Cost]]+Sales4[[#This Row],[Other conversion cost]]</f>
        <v>#REF!</v>
      </c>
      <c r="AH426" s="12" t="e">
        <f>Sales4[[#This Row],[Billed Quantity]]*Sales4[[#This Row],[BOM Cost]]</f>
        <v>#REF!</v>
      </c>
      <c r="AI426" s="12" t="e">
        <f>Sales4[[#This Row],[Billed Quantity]]*Sales4[[#This Row],[Labour cost per unit]]</f>
        <v>#REF!</v>
      </c>
      <c r="AJ426" s="12">
        <f>Sales4[[#This Row],[Droppage per unit]]*Sales4[[#This Row],[Billed Quantity]]</f>
        <v>0</v>
      </c>
      <c r="AK426" s="12" t="e">
        <f>Sales4[[#This Row],[Billed Quantity]]*Sales4[[#This Row],[Other Conversion cost pu]]</f>
        <v>#REF!</v>
      </c>
      <c r="AL426" s="48" t="e">
        <f>Sales4[[#This Row],[PGI Amount]]-Sales4[[#This Row],[BOM Cost2]]-Sales4[[#This Row],[Labour Cost]]-Sales4[[#This Row],[Other conversion cost]]</f>
        <v>#REF!</v>
      </c>
      <c r="AM426" s="121" t="e">
        <f>1-Sales4[[#This Row],[PGI COST]]/Sales4[[#This Row],[Net Value]]</f>
        <v>#REF!</v>
      </c>
      <c r="AN426" s="1">
        <f>Sales4[[#This Row],[PGI Amount]]/Sales4[[#This Row],[Billed Quantity]]</f>
        <v>424.43</v>
      </c>
      <c r="AO426" s="72" t="e">
        <f>SUMIFS('COGS Break up'!#REF!,'COGS Break up'!#REF!,Sales4[[#This Row],[Material]],'COGS Break up'!#REF!,'MIS Working'!$AO$1)</f>
        <v>#REF!</v>
      </c>
      <c r="AP426" s="72" t="e">
        <f>SUMIFS('COGS Break up'!#REF!,'COGS Break up'!#REF!,Sales4[[#This Row],[Material]],'COGS Break up'!#REF!,'MIS Working'!$AP$1)</f>
        <v>#REF!</v>
      </c>
      <c r="AQ426" s="72" t="e">
        <f>SUMIFS('COGS Break up'!#REF!,'COGS Break up'!#REF!,Sales4[[#This Row],[Material]],'COGS Break up'!#REF!,'MIS Working'!$AQ$1)</f>
        <v>#REF!</v>
      </c>
      <c r="AR426" s="72">
        <f>Sales4[[#This Row],[Droppage per unit]]</f>
        <v>0</v>
      </c>
      <c r="AS426" s="15" t="e">
        <f>AO426*Sales4[[#This Row],[Billed Quantity]]</f>
        <v>#REF!</v>
      </c>
      <c r="AT426" s="72" t="e">
        <f>AP426*Sales4[[#This Row],[Billed Quantity]]</f>
        <v>#REF!</v>
      </c>
      <c r="AU426" s="72" t="e">
        <f>AQ426*Sales4[[#This Row],[Billed Quantity]]</f>
        <v>#REF!</v>
      </c>
      <c r="AV426" s="72">
        <f>AR426*Sales4[[#This Row],[Billed Quantity]]</f>
        <v>0</v>
      </c>
    </row>
    <row r="427" spans="1:48" x14ac:dyDescent="0.3">
      <c r="A427" s="1" t="s">
        <v>479</v>
      </c>
      <c r="B427" s="2">
        <v>45903</v>
      </c>
      <c r="C427" s="1">
        <v>3271266419</v>
      </c>
      <c r="D427" s="1" t="s">
        <v>23</v>
      </c>
      <c r="E427" s="1" t="s">
        <v>24</v>
      </c>
      <c r="F427" s="1" t="s">
        <v>18</v>
      </c>
      <c r="G427" s="1" t="s">
        <v>19</v>
      </c>
      <c r="H427" s="1" t="s">
        <v>27</v>
      </c>
      <c r="I427" s="3">
        <v>1150</v>
      </c>
      <c r="J427" s="4">
        <v>488094.5</v>
      </c>
      <c r="K427" s="3">
        <v>1150</v>
      </c>
      <c r="L427" s="3">
        <v>1150</v>
      </c>
      <c r="M427" s="2">
        <v>45903</v>
      </c>
      <c r="N427" s="4">
        <v>555634</v>
      </c>
      <c r="O427" s="1" t="s">
        <v>21</v>
      </c>
      <c r="P427" s="1" t="s">
        <v>22</v>
      </c>
      <c r="Q427" s="1">
        <v>1</v>
      </c>
      <c r="R427" s="1" t="str">
        <f>VLOOKUP(Sales4[[#This Row],[Material type]],Master!$H$3:$I$8,2,0)</f>
        <v>Finished Goods</v>
      </c>
      <c r="S427" s="1" t="str">
        <f>VLOOKUP(Sales4[[#This Row],[Material Group]],Master!B:C,2,0)</f>
        <v>FG-PCB-CF</v>
      </c>
      <c r="T427" s="1" t="str">
        <f>VLOOKUP(Sales4[[#This Row],[Material Group Descrip]],Master!E:F,2,0)</f>
        <v>FG-PCB-CF</v>
      </c>
      <c r="U427" s="9" t="b">
        <f ca="1">(TODAY()-1)=Sales4[[#This Row],[Billing Date]]</f>
        <v>0</v>
      </c>
      <c r="V427" s="10" t="e">
        <f>Sales4[[#This Row],[Net Value]]-Sales4[[#This Row],[PGI COST]]</f>
        <v>#REF!</v>
      </c>
      <c r="W427" s="11" t="e">
        <f>Sales4[[#This Row],[Gross Margin]]/Sales4[[#This Row],[Net Value]]</f>
        <v>#REF!</v>
      </c>
      <c r="X427" s="1" t="str">
        <f>TEXT(Sales4[[#This Row],[Billing Date]],"mmmm-yy")</f>
        <v>September-25</v>
      </c>
      <c r="Y427" s="1">
        <f>Sales4[[#This Row],[Net Value]]/Sales4[[#This Row],[Billed Quantity]]</f>
        <v>483.16</v>
      </c>
      <c r="Z427" s="117">
        <f>Sales4[[#This Row],[Actual delivery qty]]</f>
        <v>1150</v>
      </c>
      <c r="AA427" s="12" t="e">
        <f>SUM(Sales4[[#This Row],[BOM Cost]:[Other Conversion cost pu]])</f>
        <v>#REF!</v>
      </c>
      <c r="AB42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2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27" s="12">
        <f>IFERROR(VLOOKUP(Sales4[[#This Row],[Material]],'COGS Break up'!#REF!,5,0),0)</f>
        <v>0</v>
      </c>
      <c r="AE42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27" s="48" t="e">
        <f>Sales4[[#This Row],[PGI per unit]]-Sales4[[#This Row],[BOM Cost]]-Sales4[[#This Row],[Labour cost per unit]]-Sales4[[#This Row],[Other Conversion cost pu]]</f>
        <v>#REF!</v>
      </c>
      <c r="AG427" s="48" t="e">
        <f>Sales4[[#This Row],[BOM Cost2]]+Sales4[[#This Row],[Labour Cost]]+Sales4[[#This Row],[Other conversion cost]]</f>
        <v>#REF!</v>
      </c>
      <c r="AH427" s="12" t="e">
        <f>Sales4[[#This Row],[Billed Quantity]]*Sales4[[#This Row],[BOM Cost]]</f>
        <v>#REF!</v>
      </c>
      <c r="AI427" s="12" t="e">
        <f>Sales4[[#This Row],[Billed Quantity]]*Sales4[[#This Row],[Labour cost per unit]]</f>
        <v>#REF!</v>
      </c>
      <c r="AJ427" s="12">
        <f>Sales4[[#This Row],[Droppage per unit]]*Sales4[[#This Row],[Billed Quantity]]</f>
        <v>0</v>
      </c>
      <c r="AK427" s="12" t="e">
        <f>Sales4[[#This Row],[Billed Quantity]]*Sales4[[#This Row],[Other Conversion cost pu]]</f>
        <v>#REF!</v>
      </c>
      <c r="AL427" s="48" t="e">
        <f>Sales4[[#This Row],[PGI Amount]]-Sales4[[#This Row],[BOM Cost2]]-Sales4[[#This Row],[Labour Cost]]-Sales4[[#This Row],[Other conversion cost]]</f>
        <v>#REF!</v>
      </c>
      <c r="AM427" s="121" t="e">
        <f>1-Sales4[[#This Row],[PGI COST]]/Sales4[[#This Row],[Net Value]]</f>
        <v>#REF!</v>
      </c>
      <c r="AN427" s="1">
        <f>Sales4[[#This Row],[PGI Amount]]/Sales4[[#This Row],[Billed Quantity]]</f>
        <v>424.43</v>
      </c>
      <c r="AO427" s="72" t="e">
        <f>SUMIFS('COGS Break up'!#REF!,'COGS Break up'!#REF!,Sales4[[#This Row],[Material]],'COGS Break up'!#REF!,'MIS Working'!$AO$1)</f>
        <v>#REF!</v>
      </c>
      <c r="AP427" s="72" t="e">
        <f>SUMIFS('COGS Break up'!#REF!,'COGS Break up'!#REF!,Sales4[[#This Row],[Material]],'COGS Break up'!#REF!,'MIS Working'!$AP$1)</f>
        <v>#REF!</v>
      </c>
      <c r="AQ427" s="72" t="e">
        <f>SUMIFS('COGS Break up'!#REF!,'COGS Break up'!#REF!,Sales4[[#This Row],[Material]],'COGS Break up'!#REF!,'MIS Working'!$AQ$1)</f>
        <v>#REF!</v>
      </c>
      <c r="AR427" s="72">
        <f>Sales4[[#This Row],[Droppage per unit]]</f>
        <v>0</v>
      </c>
      <c r="AS427" s="15" t="e">
        <f>AO427*Sales4[[#This Row],[Billed Quantity]]</f>
        <v>#REF!</v>
      </c>
      <c r="AT427" s="72" t="e">
        <f>AP427*Sales4[[#This Row],[Billed Quantity]]</f>
        <v>#REF!</v>
      </c>
      <c r="AU427" s="72" t="e">
        <f>AQ427*Sales4[[#This Row],[Billed Quantity]]</f>
        <v>#REF!</v>
      </c>
      <c r="AV427" s="72">
        <f>AR427*Sales4[[#This Row],[Billed Quantity]]</f>
        <v>0</v>
      </c>
    </row>
    <row r="428" spans="1:48" x14ac:dyDescent="0.3">
      <c r="A428" s="1" t="s">
        <v>479</v>
      </c>
      <c r="B428" s="2">
        <v>45903</v>
      </c>
      <c r="C428" s="1">
        <v>3271266470</v>
      </c>
      <c r="D428" s="1" t="s">
        <v>23</v>
      </c>
      <c r="E428" s="1" t="s">
        <v>24</v>
      </c>
      <c r="F428" s="1" t="s">
        <v>18</v>
      </c>
      <c r="G428" s="1" t="s">
        <v>19</v>
      </c>
      <c r="H428" s="1" t="s">
        <v>27</v>
      </c>
      <c r="I428" s="3">
        <v>385</v>
      </c>
      <c r="J428" s="4">
        <v>163405.54999999999</v>
      </c>
      <c r="K428" s="3">
        <v>385</v>
      </c>
      <c r="L428" s="3">
        <v>385</v>
      </c>
      <c r="M428" s="2">
        <v>45903</v>
      </c>
      <c r="N428" s="4">
        <v>186016.6</v>
      </c>
      <c r="O428" s="1" t="s">
        <v>21</v>
      </c>
      <c r="P428" s="1" t="s">
        <v>22</v>
      </c>
      <c r="Q428" s="1">
        <v>1</v>
      </c>
      <c r="R428" s="1" t="str">
        <f>VLOOKUP(Sales4[[#This Row],[Material type]],Master!$H$3:$I$8,2,0)</f>
        <v>Finished Goods</v>
      </c>
      <c r="S428" s="1" t="str">
        <f>VLOOKUP(Sales4[[#This Row],[Material Group]],Master!B:C,2,0)</f>
        <v>FG-PCB-CF</v>
      </c>
      <c r="T428" s="1" t="str">
        <f>VLOOKUP(Sales4[[#This Row],[Material Group Descrip]],Master!E:F,2,0)</f>
        <v>FG-PCB-CF</v>
      </c>
      <c r="U428" s="9" t="b">
        <f ca="1">(TODAY()-1)=Sales4[[#This Row],[Billing Date]]</f>
        <v>0</v>
      </c>
      <c r="V428" s="10" t="e">
        <f>Sales4[[#This Row],[Net Value]]-Sales4[[#This Row],[PGI COST]]</f>
        <v>#REF!</v>
      </c>
      <c r="W428" s="11" t="e">
        <f>Sales4[[#This Row],[Gross Margin]]/Sales4[[#This Row],[Net Value]]</f>
        <v>#REF!</v>
      </c>
      <c r="X428" s="1" t="str">
        <f>TEXT(Sales4[[#This Row],[Billing Date]],"mmmm-yy")</f>
        <v>September-25</v>
      </c>
      <c r="Y428" s="1">
        <f>Sales4[[#This Row],[Net Value]]/Sales4[[#This Row],[Billed Quantity]]</f>
        <v>483.16</v>
      </c>
      <c r="Z428" s="117">
        <f>Sales4[[#This Row],[Actual delivery qty]]</f>
        <v>385</v>
      </c>
      <c r="AA428" s="12" t="e">
        <f>SUM(Sales4[[#This Row],[BOM Cost]:[Other Conversion cost pu]])</f>
        <v>#REF!</v>
      </c>
      <c r="AB42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2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28" s="12">
        <f>IFERROR(VLOOKUP(Sales4[[#This Row],[Material]],'COGS Break up'!#REF!,5,0),0)</f>
        <v>0</v>
      </c>
      <c r="AE42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28" s="48" t="e">
        <f>Sales4[[#This Row],[PGI per unit]]-Sales4[[#This Row],[BOM Cost]]-Sales4[[#This Row],[Labour cost per unit]]-Sales4[[#This Row],[Other Conversion cost pu]]</f>
        <v>#REF!</v>
      </c>
      <c r="AG428" s="48" t="e">
        <f>Sales4[[#This Row],[BOM Cost2]]+Sales4[[#This Row],[Labour Cost]]+Sales4[[#This Row],[Other conversion cost]]</f>
        <v>#REF!</v>
      </c>
      <c r="AH428" s="12" t="e">
        <f>Sales4[[#This Row],[Billed Quantity]]*Sales4[[#This Row],[BOM Cost]]</f>
        <v>#REF!</v>
      </c>
      <c r="AI428" s="12" t="e">
        <f>Sales4[[#This Row],[Billed Quantity]]*Sales4[[#This Row],[Labour cost per unit]]</f>
        <v>#REF!</v>
      </c>
      <c r="AJ428" s="12">
        <f>Sales4[[#This Row],[Droppage per unit]]*Sales4[[#This Row],[Billed Quantity]]</f>
        <v>0</v>
      </c>
      <c r="AK428" s="12" t="e">
        <f>Sales4[[#This Row],[Billed Quantity]]*Sales4[[#This Row],[Other Conversion cost pu]]</f>
        <v>#REF!</v>
      </c>
      <c r="AL428" s="48" t="e">
        <f>Sales4[[#This Row],[PGI Amount]]-Sales4[[#This Row],[BOM Cost2]]-Sales4[[#This Row],[Labour Cost]]-Sales4[[#This Row],[Other conversion cost]]</f>
        <v>#REF!</v>
      </c>
      <c r="AM428" s="121" t="e">
        <f>1-Sales4[[#This Row],[PGI COST]]/Sales4[[#This Row],[Net Value]]</f>
        <v>#REF!</v>
      </c>
      <c r="AN428" s="1">
        <f>Sales4[[#This Row],[PGI Amount]]/Sales4[[#This Row],[Billed Quantity]]</f>
        <v>424.42999999999995</v>
      </c>
      <c r="AO428" s="72" t="e">
        <f>SUMIFS('COGS Break up'!#REF!,'COGS Break up'!#REF!,Sales4[[#This Row],[Material]],'COGS Break up'!#REF!,'MIS Working'!$AO$1)</f>
        <v>#REF!</v>
      </c>
      <c r="AP428" s="72" t="e">
        <f>SUMIFS('COGS Break up'!#REF!,'COGS Break up'!#REF!,Sales4[[#This Row],[Material]],'COGS Break up'!#REF!,'MIS Working'!$AP$1)</f>
        <v>#REF!</v>
      </c>
      <c r="AQ428" s="72" t="e">
        <f>SUMIFS('COGS Break up'!#REF!,'COGS Break up'!#REF!,Sales4[[#This Row],[Material]],'COGS Break up'!#REF!,'MIS Working'!$AQ$1)</f>
        <v>#REF!</v>
      </c>
      <c r="AR428" s="72">
        <f>Sales4[[#This Row],[Droppage per unit]]</f>
        <v>0</v>
      </c>
      <c r="AS428" s="15" t="e">
        <f>AO428*Sales4[[#This Row],[Billed Quantity]]</f>
        <v>#REF!</v>
      </c>
      <c r="AT428" s="72" t="e">
        <f>AP428*Sales4[[#This Row],[Billed Quantity]]</f>
        <v>#REF!</v>
      </c>
      <c r="AU428" s="72" t="e">
        <f>AQ428*Sales4[[#This Row],[Billed Quantity]]</f>
        <v>#REF!</v>
      </c>
      <c r="AV428" s="72">
        <f>AR428*Sales4[[#This Row],[Billed Quantity]]</f>
        <v>0</v>
      </c>
    </row>
    <row r="429" spans="1:48" x14ac:dyDescent="0.3">
      <c r="A429" s="1" t="s">
        <v>479</v>
      </c>
      <c r="B429" s="2">
        <v>45903</v>
      </c>
      <c r="C429" s="1">
        <v>3271266828</v>
      </c>
      <c r="D429" s="1" t="s">
        <v>23</v>
      </c>
      <c r="E429" s="1" t="s">
        <v>24</v>
      </c>
      <c r="F429" s="1" t="s">
        <v>18</v>
      </c>
      <c r="G429" s="1" t="s">
        <v>19</v>
      </c>
      <c r="H429" s="1" t="s">
        <v>27</v>
      </c>
      <c r="I429" s="3">
        <v>840</v>
      </c>
      <c r="J429" s="4">
        <v>356521.2</v>
      </c>
      <c r="K429" s="3">
        <v>840</v>
      </c>
      <c r="L429" s="3">
        <v>840</v>
      </c>
      <c r="M429" s="2">
        <v>45903</v>
      </c>
      <c r="N429" s="4">
        <v>405854.4</v>
      </c>
      <c r="O429" s="1" t="s">
        <v>21</v>
      </c>
      <c r="P429" s="1" t="s">
        <v>22</v>
      </c>
      <c r="Q429" s="1">
        <v>1</v>
      </c>
      <c r="R429" s="1" t="str">
        <f>VLOOKUP(Sales4[[#This Row],[Material type]],Master!$H$3:$I$8,2,0)</f>
        <v>Finished Goods</v>
      </c>
      <c r="S429" s="1" t="str">
        <f>VLOOKUP(Sales4[[#This Row],[Material Group]],Master!B:C,2,0)</f>
        <v>FG-PCB-CF</v>
      </c>
      <c r="T429" s="1" t="str">
        <f>VLOOKUP(Sales4[[#This Row],[Material Group Descrip]],Master!E:F,2,0)</f>
        <v>FG-PCB-CF</v>
      </c>
      <c r="U429" s="9" t="b">
        <f ca="1">(TODAY()-1)=Sales4[[#This Row],[Billing Date]]</f>
        <v>0</v>
      </c>
      <c r="V429" s="10" t="e">
        <f>Sales4[[#This Row],[Net Value]]-Sales4[[#This Row],[PGI COST]]</f>
        <v>#REF!</v>
      </c>
      <c r="W429" s="11" t="e">
        <f>Sales4[[#This Row],[Gross Margin]]/Sales4[[#This Row],[Net Value]]</f>
        <v>#REF!</v>
      </c>
      <c r="X429" s="1" t="str">
        <f>TEXT(Sales4[[#This Row],[Billing Date]],"mmmm-yy")</f>
        <v>September-25</v>
      </c>
      <c r="Y429" s="1">
        <f>Sales4[[#This Row],[Net Value]]/Sales4[[#This Row],[Billed Quantity]]</f>
        <v>483.16</v>
      </c>
      <c r="Z429" s="117">
        <f>Sales4[[#This Row],[Actual delivery qty]]</f>
        <v>840</v>
      </c>
      <c r="AA429" s="12" t="e">
        <f>SUM(Sales4[[#This Row],[BOM Cost]:[Other Conversion cost pu]])</f>
        <v>#REF!</v>
      </c>
      <c r="AB42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2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29" s="12">
        <f>IFERROR(VLOOKUP(Sales4[[#This Row],[Material]],'COGS Break up'!#REF!,5,0),0)</f>
        <v>0</v>
      </c>
      <c r="AE42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29" s="48" t="e">
        <f>Sales4[[#This Row],[PGI per unit]]-Sales4[[#This Row],[BOM Cost]]-Sales4[[#This Row],[Labour cost per unit]]-Sales4[[#This Row],[Other Conversion cost pu]]</f>
        <v>#REF!</v>
      </c>
      <c r="AG429" s="48" t="e">
        <f>Sales4[[#This Row],[BOM Cost2]]+Sales4[[#This Row],[Labour Cost]]+Sales4[[#This Row],[Other conversion cost]]</f>
        <v>#REF!</v>
      </c>
      <c r="AH429" s="12" t="e">
        <f>Sales4[[#This Row],[Billed Quantity]]*Sales4[[#This Row],[BOM Cost]]</f>
        <v>#REF!</v>
      </c>
      <c r="AI429" s="12" t="e">
        <f>Sales4[[#This Row],[Billed Quantity]]*Sales4[[#This Row],[Labour cost per unit]]</f>
        <v>#REF!</v>
      </c>
      <c r="AJ429" s="12">
        <f>Sales4[[#This Row],[Droppage per unit]]*Sales4[[#This Row],[Billed Quantity]]</f>
        <v>0</v>
      </c>
      <c r="AK429" s="12" t="e">
        <f>Sales4[[#This Row],[Billed Quantity]]*Sales4[[#This Row],[Other Conversion cost pu]]</f>
        <v>#REF!</v>
      </c>
      <c r="AL429" s="48" t="e">
        <f>Sales4[[#This Row],[PGI Amount]]-Sales4[[#This Row],[BOM Cost2]]-Sales4[[#This Row],[Labour Cost]]-Sales4[[#This Row],[Other conversion cost]]</f>
        <v>#REF!</v>
      </c>
      <c r="AM429" s="121" t="e">
        <f>1-Sales4[[#This Row],[PGI COST]]/Sales4[[#This Row],[Net Value]]</f>
        <v>#REF!</v>
      </c>
      <c r="AN429" s="1">
        <f>Sales4[[#This Row],[PGI Amount]]/Sales4[[#This Row],[Billed Quantity]]</f>
        <v>424.43</v>
      </c>
      <c r="AO429" s="72" t="e">
        <f>SUMIFS('COGS Break up'!#REF!,'COGS Break up'!#REF!,Sales4[[#This Row],[Material]],'COGS Break up'!#REF!,'MIS Working'!$AO$1)</f>
        <v>#REF!</v>
      </c>
      <c r="AP429" s="72" t="e">
        <f>SUMIFS('COGS Break up'!#REF!,'COGS Break up'!#REF!,Sales4[[#This Row],[Material]],'COGS Break up'!#REF!,'MIS Working'!$AP$1)</f>
        <v>#REF!</v>
      </c>
      <c r="AQ429" s="72" t="e">
        <f>SUMIFS('COGS Break up'!#REF!,'COGS Break up'!#REF!,Sales4[[#This Row],[Material]],'COGS Break up'!#REF!,'MIS Working'!$AQ$1)</f>
        <v>#REF!</v>
      </c>
      <c r="AR429" s="72">
        <f>Sales4[[#This Row],[Droppage per unit]]</f>
        <v>0</v>
      </c>
      <c r="AS429" s="15" t="e">
        <f>AO429*Sales4[[#This Row],[Billed Quantity]]</f>
        <v>#REF!</v>
      </c>
      <c r="AT429" s="72" t="e">
        <f>AP429*Sales4[[#This Row],[Billed Quantity]]</f>
        <v>#REF!</v>
      </c>
      <c r="AU429" s="72" t="e">
        <f>AQ429*Sales4[[#This Row],[Billed Quantity]]</f>
        <v>#REF!</v>
      </c>
      <c r="AV429" s="72">
        <f>AR429*Sales4[[#This Row],[Billed Quantity]]</f>
        <v>0</v>
      </c>
    </row>
    <row r="430" spans="1:48" x14ac:dyDescent="0.3">
      <c r="A430" s="1" t="s">
        <v>479</v>
      </c>
      <c r="B430" s="2">
        <v>45903</v>
      </c>
      <c r="C430" s="1">
        <v>3271266470</v>
      </c>
      <c r="D430" s="1" t="s">
        <v>637</v>
      </c>
      <c r="E430" s="1" t="s">
        <v>638</v>
      </c>
      <c r="F430" s="1" t="s">
        <v>18</v>
      </c>
      <c r="G430" s="1" t="s">
        <v>19</v>
      </c>
      <c r="H430" s="1" t="s">
        <v>27</v>
      </c>
      <c r="I430" s="3">
        <v>315</v>
      </c>
      <c r="J430" s="4">
        <v>100806.3</v>
      </c>
      <c r="K430" s="3">
        <v>315</v>
      </c>
      <c r="L430" s="3">
        <v>315</v>
      </c>
      <c r="M430" s="2">
        <v>45903</v>
      </c>
      <c r="N430" s="4">
        <v>115252.2</v>
      </c>
      <c r="O430" s="1" t="s">
        <v>21</v>
      </c>
      <c r="P430" s="1" t="s">
        <v>22</v>
      </c>
      <c r="Q430" s="1">
        <v>1</v>
      </c>
      <c r="R430" s="1" t="str">
        <f>VLOOKUP(Sales4[[#This Row],[Material type]],Master!$H$3:$I$8,2,0)</f>
        <v>Finished Goods</v>
      </c>
      <c r="S430" s="1" t="str">
        <f>VLOOKUP(Sales4[[#This Row],[Material Group]],Master!B:C,2,0)</f>
        <v>FG-PCB-CF</v>
      </c>
      <c r="T430" s="1" t="str">
        <f>VLOOKUP(Sales4[[#This Row],[Material Group Descrip]],Master!E:F,2,0)</f>
        <v>FG-PCB-CF</v>
      </c>
      <c r="U430" s="9" t="b">
        <f ca="1">(TODAY()-1)=Sales4[[#This Row],[Billing Date]]</f>
        <v>0</v>
      </c>
      <c r="V430" s="10" t="e">
        <f>Sales4[[#This Row],[Net Value]]-Sales4[[#This Row],[PGI COST]]</f>
        <v>#REF!</v>
      </c>
      <c r="W430" s="11" t="e">
        <f>Sales4[[#This Row],[Gross Margin]]/Sales4[[#This Row],[Net Value]]</f>
        <v>#REF!</v>
      </c>
      <c r="X430" s="1" t="str">
        <f>TEXT(Sales4[[#This Row],[Billing Date]],"mmmm-yy")</f>
        <v>September-25</v>
      </c>
      <c r="Y430" s="1">
        <f>Sales4[[#This Row],[Net Value]]/Sales4[[#This Row],[Billed Quantity]]</f>
        <v>365.88</v>
      </c>
      <c r="Z430" s="117">
        <f>Sales4[[#This Row],[Actual delivery qty]]</f>
        <v>315</v>
      </c>
      <c r="AA430" s="12" t="e">
        <f>SUM(Sales4[[#This Row],[BOM Cost]:[Other Conversion cost pu]])</f>
        <v>#REF!</v>
      </c>
      <c r="AB43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3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30" s="12">
        <f>IFERROR(VLOOKUP(Sales4[[#This Row],[Material]],'COGS Break up'!#REF!,5,0),0)</f>
        <v>0</v>
      </c>
      <c r="AE43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30" s="48" t="e">
        <f>Sales4[[#This Row],[PGI per unit]]-Sales4[[#This Row],[BOM Cost]]-Sales4[[#This Row],[Labour cost per unit]]-Sales4[[#This Row],[Other Conversion cost pu]]</f>
        <v>#REF!</v>
      </c>
      <c r="AG430" s="48" t="e">
        <f>Sales4[[#This Row],[BOM Cost2]]+Sales4[[#This Row],[Labour Cost]]+Sales4[[#This Row],[Other conversion cost]]</f>
        <v>#REF!</v>
      </c>
      <c r="AH430" s="12" t="e">
        <f>Sales4[[#This Row],[Billed Quantity]]*Sales4[[#This Row],[BOM Cost]]</f>
        <v>#REF!</v>
      </c>
      <c r="AI430" s="12" t="e">
        <f>Sales4[[#This Row],[Billed Quantity]]*Sales4[[#This Row],[Labour cost per unit]]</f>
        <v>#REF!</v>
      </c>
      <c r="AJ430" s="12">
        <f>Sales4[[#This Row],[Droppage per unit]]*Sales4[[#This Row],[Billed Quantity]]</f>
        <v>0</v>
      </c>
      <c r="AK430" s="12" t="e">
        <f>Sales4[[#This Row],[Billed Quantity]]*Sales4[[#This Row],[Other Conversion cost pu]]</f>
        <v>#REF!</v>
      </c>
      <c r="AL430" s="48" t="e">
        <f>Sales4[[#This Row],[PGI Amount]]-Sales4[[#This Row],[BOM Cost2]]-Sales4[[#This Row],[Labour Cost]]-Sales4[[#This Row],[Other conversion cost]]</f>
        <v>#REF!</v>
      </c>
      <c r="AM430" s="121" t="e">
        <f>1-Sales4[[#This Row],[PGI COST]]/Sales4[[#This Row],[Net Value]]</f>
        <v>#REF!</v>
      </c>
      <c r="AN430" s="1">
        <f>Sales4[[#This Row],[PGI Amount]]/Sales4[[#This Row],[Billed Quantity]]</f>
        <v>320.02</v>
      </c>
      <c r="AO430" s="72" t="e">
        <f>SUMIFS('COGS Break up'!#REF!,'COGS Break up'!#REF!,Sales4[[#This Row],[Material]],'COGS Break up'!#REF!,'MIS Working'!$AO$1)</f>
        <v>#REF!</v>
      </c>
      <c r="AP430" s="72" t="e">
        <f>SUMIFS('COGS Break up'!#REF!,'COGS Break up'!#REF!,Sales4[[#This Row],[Material]],'COGS Break up'!#REF!,'MIS Working'!$AP$1)</f>
        <v>#REF!</v>
      </c>
      <c r="AQ430" s="72" t="e">
        <f>SUMIFS('COGS Break up'!#REF!,'COGS Break up'!#REF!,Sales4[[#This Row],[Material]],'COGS Break up'!#REF!,'MIS Working'!$AQ$1)</f>
        <v>#REF!</v>
      </c>
      <c r="AR430" s="72">
        <f>Sales4[[#This Row],[Droppage per unit]]</f>
        <v>0</v>
      </c>
      <c r="AS430" s="15" t="e">
        <f>AO430*Sales4[[#This Row],[Billed Quantity]]</f>
        <v>#REF!</v>
      </c>
      <c r="AT430" s="72" t="e">
        <f>AP430*Sales4[[#This Row],[Billed Quantity]]</f>
        <v>#REF!</v>
      </c>
      <c r="AU430" s="72" t="e">
        <f>AQ430*Sales4[[#This Row],[Billed Quantity]]</f>
        <v>#REF!</v>
      </c>
      <c r="AV430" s="72">
        <f>AR430*Sales4[[#This Row],[Billed Quantity]]</f>
        <v>0</v>
      </c>
    </row>
    <row r="431" spans="1:48" x14ac:dyDescent="0.3">
      <c r="A431" s="1" t="s">
        <v>479</v>
      </c>
      <c r="B431" s="2">
        <v>45903</v>
      </c>
      <c r="C431" s="1">
        <v>3271266828</v>
      </c>
      <c r="D431" s="1" t="s">
        <v>637</v>
      </c>
      <c r="E431" s="1" t="s">
        <v>638</v>
      </c>
      <c r="F431" s="1" t="s">
        <v>18</v>
      </c>
      <c r="G431" s="1" t="s">
        <v>19</v>
      </c>
      <c r="H431" s="1" t="s">
        <v>27</v>
      </c>
      <c r="I431" s="3">
        <v>205</v>
      </c>
      <c r="J431" s="4">
        <v>65604.100000000006</v>
      </c>
      <c r="K431" s="3">
        <v>205</v>
      </c>
      <c r="L431" s="3">
        <v>205</v>
      </c>
      <c r="M431" s="2">
        <v>45903</v>
      </c>
      <c r="N431" s="4">
        <v>75005.399999999994</v>
      </c>
      <c r="O431" s="1" t="s">
        <v>21</v>
      </c>
      <c r="P431" s="1" t="s">
        <v>22</v>
      </c>
      <c r="Q431" s="1">
        <v>1</v>
      </c>
      <c r="R431" s="1" t="str">
        <f>VLOOKUP(Sales4[[#This Row],[Material type]],Master!$H$3:$I$8,2,0)</f>
        <v>Finished Goods</v>
      </c>
      <c r="S431" s="1" t="str">
        <f>VLOOKUP(Sales4[[#This Row],[Material Group]],Master!B:C,2,0)</f>
        <v>FG-PCB-CF</v>
      </c>
      <c r="T431" s="1" t="str">
        <f>VLOOKUP(Sales4[[#This Row],[Material Group Descrip]],Master!E:F,2,0)</f>
        <v>FG-PCB-CF</v>
      </c>
      <c r="U431" s="9" t="b">
        <f ca="1">(TODAY()-1)=Sales4[[#This Row],[Billing Date]]</f>
        <v>0</v>
      </c>
      <c r="V431" s="10" t="e">
        <f>Sales4[[#This Row],[Net Value]]-Sales4[[#This Row],[PGI COST]]</f>
        <v>#REF!</v>
      </c>
      <c r="W431" s="11" t="e">
        <f>Sales4[[#This Row],[Gross Margin]]/Sales4[[#This Row],[Net Value]]</f>
        <v>#REF!</v>
      </c>
      <c r="X431" s="1" t="str">
        <f>TEXT(Sales4[[#This Row],[Billing Date]],"mmmm-yy")</f>
        <v>September-25</v>
      </c>
      <c r="Y431" s="1">
        <f>Sales4[[#This Row],[Net Value]]/Sales4[[#This Row],[Billed Quantity]]</f>
        <v>365.88</v>
      </c>
      <c r="Z431" s="117">
        <f>Sales4[[#This Row],[Actual delivery qty]]</f>
        <v>205</v>
      </c>
      <c r="AA431" s="12" t="e">
        <f>SUM(Sales4[[#This Row],[BOM Cost]:[Other Conversion cost pu]])</f>
        <v>#REF!</v>
      </c>
      <c r="AB43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3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31" s="12">
        <f>IFERROR(VLOOKUP(Sales4[[#This Row],[Material]],'COGS Break up'!#REF!,5,0),0)</f>
        <v>0</v>
      </c>
      <c r="AE43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31" s="48" t="e">
        <f>Sales4[[#This Row],[PGI per unit]]-Sales4[[#This Row],[BOM Cost]]-Sales4[[#This Row],[Labour cost per unit]]-Sales4[[#This Row],[Other Conversion cost pu]]</f>
        <v>#REF!</v>
      </c>
      <c r="AG431" s="48" t="e">
        <f>Sales4[[#This Row],[BOM Cost2]]+Sales4[[#This Row],[Labour Cost]]+Sales4[[#This Row],[Other conversion cost]]</f>
        <v>#REF!</v>
      </c>
      <c r="AH431" s="12" t="e">
        <f>Sales4[[#This Row],[Billed Quantity]]*Sales4[[#This Row],[BOM Cost]]</f>
        <v>#REF!</v>
      </c>
      <c r="AI431" s="12" t="e">
        <f>Sales4[[#This Row],[Billed Quantity]]*Sales4[[#This Row],[Labour cost per unit]]</f>
        <v>#REF!</v>
      </c>
      <c r="AJ431" s="12">
        <f>Sales4[[#This Row],[Droppage per unit]]*Sales4[[#This Row],[Billed Quantity]]</f>
        <v>0</v>
      </c>
      <c r="AK431" s="12" t="e">
        <f>Sales4[[#This Row],[Billed Quantity]]*Sales4[[#This Row],[Other Conversion cost pu]]</f>
        <v>#REF!</v>
      </c>
      <c r="AL431" s="48" t="e">
        <f>Sales4[[#This Row],[PGI Amount]]-Sales4[[#This Row],[BOM Cost2]]-Sales4[[#This Row],[Labour Cost]]-Sales4[[#This Row],[Other conversion cost]]</f>
        <v>#REF!</v>
      </c>
      <c r="AM431" s="121" t="e">
        <f>1-Sales4[[#This Row],[PGI COST]]/Sales4[[#This Row],[Net Value]]</f>
        <v>#REF!</v>
      </c>
      <c r="AN431" s="1">
        <f>Sales4[[#This Row],[PGI Amount]]/Sales4[[#This Row],[Billed Quantity]]</f>
        <v>320.02000000000004</v>
      </c>
      <c r="AO431" s="72" t="e">
        <f>SUMIFS('COGS Break up'!#REF!,'COGS Break up'!#REF!,Sales4[[#This Row],[Material]],'COGS Break up'!#REF!,'MIS Working'!$AO$1)</f>
        <v>#REF!</v>
      </c>
      <c r="AP431" s="72" t="e">
        <f>SUMIFS('COGS Break up'!#REF!,'COGS Break up'!#REF!,Sales4[[#This Row],[Material]],'COGS Break up'!#REF!,'MIS Working'!$AP$1)</f>
        <v>#REF!</v>
      </c>
      <c r="AQ431" s="72" t="e">
        <f>SUMIFS('COGS Break up'!#REF!,'COGS Break up'!#REF!,Sales4[[#This Row],[Material]],'COGS Break up'!#REF!,'MIS Working'!$AQ$1)</f>
        <v>#REF!</v>
      </c>
      <c r="AR431" s="72">
        <f>Sales4[[#This Row],[Droppage per unit]]</f>
        <v>0</v>
      </c>
      <c r="AS431" s="15" t="e">
        <f>AO431*Sales4[[#This Row],[Billed Quantity]]</f>
        <v>#REF!</v>
      </c>
      <c r="AT431" s="72" t="e">
        <f>AP431*Sales4[[#This Row],[Billed Quantity]]</f>
        <v>#REF!</v>
      </c>
      <c r="AU431" s="72" t="e">
        <f>AQ431*Sales4[[#This Row],[Billed Quantity]]</f>
        <v>#REF!</v>
      </c>
      <c r="AV431" s="72">
        <f>AR431*Sales4[[#This Row],[Billed Quantity]]</f>
        <v>0</v>
      </c>
    </row>
    <row r="432" spans="1:48" x14ac:dyDescent="0.3">
      <c r="A432" s="1" t="s">
        <v>479</v>
      </c>
      <c r="B432" s="2">
        <v>45903</v>
      </c>
      <c r="C432" s="1">
        <v>3271266466</v>
      </c>
      <c r="D432" s="1" t="s">
        <v>40</v>
      </c>
      <c r="E432" s="1" t="s">
        <v>41</v>
      </c>
      <c r="F432" s="1" t="s">
        <v>18</v>
      </c>
      <c r="G432" s="1" t="s">
        <v>34</v>
      </c>
      <c r="H432" s="1" t="s">
        <v>772</v>
      </c>
      <c r="I432" s="3">
        <v>784</v>
      </c>
      <c r="J432" s="4">
        <v>115671.36</v>
      </c>
      <c r="K432" s="3">
        <v>784</v>
      </c>
      <c r="L432" s="3">
        <v>784</v>
      </c>
      <c r="M432" s="2">
        <v>45903</v>
      </c>
      <c r="N432" s="4">
        <v>127744.96000000001</v>
      </c>
      <c r="O432" s="1" t="s">
        <v>21</v>
      </c>
      <c r="P432" s="1" t="s">
        <v>22</v>
      </c>
      <c r="Q432" s="1">
        <v>1</v>
      </c>
      <c r="R432" s="1" t="str">
        <f>VLOOKUP(Sales4[[#This Row],[Material type]],Master!$H$3:$I$8,2,0)</f>
        <v>Semi-Finished Goods</v>
      </c>
      <c r="S432" s="1" t="str">
        <f>VLOOKUP(Sales4[[#This Row],[Material Group]],Master!B:C,2,0)</f>
        <v>SFG-GV5 Stator</v>
      </c>
      <c r="T432" s="1" t="str">
        <f>VLOOKUP(Sales4[[#This Row],[Material Group Descrip]],Master!E:F,2,0)</f>
        <v>Sub Ass.-Mech Stator</v>
      </c>
      <c r="U432" s="9" t="b">
        <f ca="1">(TODAY()-1)=Sales4[[#This Row],[Billing Date]]</f>
        <v>0</v>
      </c>
      <c r="V432" s="10" t="e">
        <f>Sales4[[#This Row],[Net Value]]-Sales4[[#This Row],[PGI COST]]</f>
        <v>#REF!</v>
      </c>
      <c r="W432" s="11" t="e">
        <f>Sales4[[#This Row],[Gross Margin]]/Sales4[[#This Row],[Net Value]]</f>
        <v>#REF!</v>
      </c>
      <c r="X432" s="1" t="str">
        <f>TEXT(Sales4[[#This Row],[Billing Date]],"mmmm-yy")</f>
        <v>September-25</v>
      </c>
      <c r="Y432" s="1">
        <f>Sales4[[#This Row],[Net Value]]/Sales4[[#This Row],[Billed Quantity]]</f>
        <v>162.94</v>
      </c>
      <c r="Z432" s="117">
        <f>Sales4[[#This Row],[Actual delivery qty]]</f>
        <v>784</v>
      </c>
      <c r="AA432" s="12" t="e">
        <f>SUM(Sales4[[#This Row],[BOM Cost]:[Other Conversion cost pu]])</f>
        <v>#REF!</v>
      </c>
      <c r="AB43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3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32" s="12">
        <f>IFERROR(VLOOKUP(Sales4[[#This Row],[Material]],'COGS Break up'!#REF!,5,0),0)</f>
        <v>0</v>
      </c>
      <c r="AE43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32" s="48" t="e">
        <f>Sales4[[#This Row],[PGI per unit]]-Sales4[[#This Row],[BOM Cost]]-Sales4[[#This Row],[Labour cost per unit]]-Sales4[[#This Row],[Other Conversion cost pu]]</f>
        <v>#REF!</v>
      </c>
      <c r="AG432" s="48" t="e">
        <f>Sales4[[#This Row],[BOM Cost2]]+Sales4[[#This Row],[Labour Cost]]+Sales4[[#This Row],[Other conversion cost]]</f>
        <v>#REF!</v>
      </c>
      <c r="AH432" s="12" t="e">
        <f>Sales4[[#This Row],[Billed Quantity]]*Sales4[[#This Row],[BOM Cost]]</f>
        <v>#REF!</v>
      </c>
      <c r="AI432" s="12" t="e">
        <f>Sales4[[#This Row],[Billed Quantity]]*Sales4[[#This Row],[Labour cost per unit]]</f>
        <v>#REF!</v>
      </c>
      <c r="AJ432" s="12">
        <f>Sales4[[#This Row],[Droppage per unit]]*Sales4[[#This Row],[Billed Quantity]]</f>
        <v>0</v>
      </c>
      <c r="AK432" s="12" t="e">
        <f>Sales4[[#This Row],[Billed Quantity]]*Sales4[[#This Row],[Other Conversion cost pu]]</f>
        <v>#REF!</v>
      </c>
      <c r="AL432" s="48" t="e">
        <f>Sales4[[#This Row],[PGI Amount]]-Sales4[[#This Row],[BOM Cost2]]-Sales4[[#This Row],[Labour Cost]]-Sales4[[#This Row],[Other conversion cost]]</f>
        <v>#REF!</v>
      </c>
      <c r="AM432" s="121" t="e">
        <f>1-Sales4[[#This Row],[PGI COST]]/Sales4[[#This Row],[Net Value]]</f>
        <v>#REF!</v>
      </c>
      <c r="AN432" s="1">
        <f>Sales4[[#This Row],[PGI Amount]]/Sales4[[#This Row],[Billed Quantity]]</f>
        <v>147.54</v>
      </c>
      <c r="AO432" s="72" t="e">
        <f>SUMIFS('COGS Break up'!#REF!,'COGS Break up'!#REF!,Sales4[[#This Row],[Material]],'COGS Break up'!#REF!,'MIS Working'!$AO$1)</f>
        <v>#REF!</v>
      </c>
      <c r="AP432" s="72" t="e">
        <f>SUMIFS('COGS Break up'!#REF!,'COGS Break up'!#REF!,Sales4[[#This Row],[Material]],'COGS Break up'!#REF!,'MIS Working'!$AP$1)</f>
        <v>#REF!</v>
      </c>
      <c r="AQ432" s="72" t="e">
        <f>SUMIFS('COGS Break up'!#REF!,'COGS Break up'!#REF!,Sales4[[#This Row],[Material]],'COGS Break up'!#REF!,'MIS Working'!$AQ$1)</f>
        <v>#REF!</v>
      </c>
      <c r="AR432" s="72">
        <f>Sales4[[#This Row],[Droppage per unit]]</f>
        <v>0</v>
      </c>
      <c r="AS432" s="15" t="e">
        <f>AO432*Sales4[[#This Row],[Billed Quantity]]</f>
        <v>#REF!</v>
      </c>
      <c r="AT432" s="72" t="e">
        <f>AP432*Sales4[[#This Row],[Billed Quantity]]</f>
        <v>#REF!</v>
      </c>
      <c r="AU432" s="72" t="e">
        <f>AQ432*Sales4[[#This Row],[Billed Quantity]]</f>
        <v>#REF!</v>
      </c>
      <c r="AV432" s="72">
        <f>AR432*Sales4[[#This Row],[Billed Quantity]]</f>
        <v>0</v>
      </c>
    </row>
    <row r="433" spans="1:48" x14ac:dyDescent="0.3">
      <c r="A433" s="1" t="s">
        <v>479</v>
      </c>
      <c r="B433" s="2">
        <v>45902</v>
      </c>
      <c r="C433" s="1">
        <v>3271266357</v>
      </c>
      <c r="D433" s="1" t="s">
        <v>38</v>
      </c>
      <c r="E433" s="1" t="s">
        <v>39</v>
      </c>
      <c r="F433" s="1" t="s">
        <v>18</v>
      </c>
      <c r="G433" s="1" t="s">
        <v>19</v>
      </c>
      <c r="H433" s="1" t="s">
        <v>27</v>
      </c>
      <c r="I433" s="3">
        <v>840</v>
      </c>
      <c r="J433" s="4">
        <v>276746.40000000002</v>
      </c>
      <c r="K433" s="3">
        <v>840</v>
      </c>
      <c r="L433" s="3">
        <v>840</v>
      </c>
      <c r="M433" s="2">
        <v>45902</v>
      </c>
      <c r="N433" s="4">
        <v>300963.59999999998</v>
      </c>
      <c r="O433" s="1" t="s">
        <v>21</v>
      </c>
      <c r="P433" s="1" t="s">
        <v>22</v>
      </c>
      <c r="Q433" s="1">
        <v>1</v>
      </c>
      <c r="R433" s="1" t="str">
        <f>VLOOKUP(Sales4[[#This Row],[Material type]],Master!$H$3:$I$8,2,0)</f>
        <v>Finished Goods</v>
      </c>
      <c r="S433" s="1" t="str">
        <f>VLOOKUP(Sales4[[#This Row],[Material Group]],Master!B:C,2,0)</f>
        <v>FG-PCB-CF</v>
      </c>
      <c r="T433" s="1" t="str">
        <f>VLOOKUP(Sales4[[#This Row],[Material Group Descrip]],Master!E:F,2,0)</f>
        <v>FG-PCB-CF</v>
      </c>
      <c r="U433" s="9" t="b">
        <f ca="1">(TODAY()-1)=Sales4[[#This Row],[Billing Date]]</f>
        <v>0</v>
      </c>
      <c r="V433" s="10" t="e">
        <f>Sales4[[#This Row],[Net Value]]-Sales4[[#This Row],[PGI COST]]</f>
        <v>#REF!</v>
      </c>
      <c r="W433" s="11" t="e">
        <f>Sales4[[#This Row],[Gross Margin]]/Sales4[[#This Row],[Net Value]]</f>
        <v>#REF!</v>
      </c>
      <c r="X433" s="1" t="str">
        <f>TEXT(Sales4[[#This Row],[Billing Date]],"mmmm-yy")</f>
        <v>September-25</v>
      </c>
      <c r="Y433" s="1">
        <f>Sales4[[#This Row],[Net Value]]/Sales4[[#This Row],[Billed Quantity]]</f>
        <v>358.28999999999996</v>
      </c>
      <c r="Z433" s="117">
        <f>Sales4[[#This Row],[Actual delivery qty]]</f>
        <v>840</v>
      </c>
      <c r="AA433" s="12" t="e">
        <f>SUM(Sales4[[#This Row],[BOM Cost]:[Other Conversion cost pu]])</f>
        <v>#REF!</v>
      </c>
      <c r="AB43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3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33" s="12">
        <f>IFERROR(VLOOKUP(Sales4[[#This Row],[Material]],'COGS Break up'!#REF!,5,0),0)</f>
        <v>0</v>
      </c>
      <c r="AE43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33" s="48" t="e">
        <f>Sales4[[#This Row],[PGI per unit]]-Sales4[[#This Row],[BOM Cost]]-Sales4[[#This Row],[Labour cost per unit]]-Sales4[[#This Row],[Other Conversion cost pu]]</f>
        <v>#REF!</v>
      </c>
      <c r="AG433" s="48" t="e">
        <f>Sales4[[#This Row],[BOM Cost2]]+Sales4[[#This Row],[Labour Cost]]+Sales4[[#This Row],[Other conversion cost]]</f>
        <v>#REF!</v>
      </c>
      <c r="AH433" s="12" t="e">
        <f>Sales4[[#This Row],[Billed Quantity]]*Sales4[[#This Row],[BOM Cost]]</f>
        <v>#REF!</v>
      </c>
      <c r="AI433" s="12" t="e">
        <f>Sales4[[#This Row],[Billed Quantity]]*Sales4[[#This Row],[Labour cost per unit]]</f>
        <v>#REF!</v>
      </c>
      <c r="AJ433" s="12">
        <f>Sales4[[#This Row],[Droppage per unit]]*Sales4[[#This Row],[Billed Quantity]]</f>
        <v>0</v>
      </c>
      <c r="AK433" s="12" t="e">
        <f>Sales4[[#This Row],[Billed Quantity]]*Sales4[[#This Row],[Other Conversion cost pu]]</f>
        <v>#REF!</v>
      </c>
      <c r="AL433" s="48" t="e">
        <f>Sales4[[#This Row],[PGI Amount]]-Sales4[[#This Row],[BOM Cost2]]-Sales4[[#This Row],[Labour Cost]]-Sales4[[#This Row],[Other conversion cost]]</f>
        <v>#REF!</v>
      </c>
      <c r="AM433" s="121" t="e">
        <f>1-Sales4[[#This Row],[PGI COST]]/Sales4[[#This Row],[Net Value]]</f>
        <v>#REF!</v>
      </c>
      <c r="AN433" s="1">
        <f>Sales4[[#This Row],[PGI Amount]]/Sales4[[#This Row],[Billed Quantity]]</f>
        <v>329.46000000000004</v>
      </c>
      <c r="AO433" s="72" t="e">
        <f>SUMIFS('COGS Break up'!#REF!,'COGS Break up'!#REF!,Sales4[[#This Row],[Material]],'COGS Break up'!#REF!,'MIS Working'!$AO$1)</f>
        <v>#REF!</v>
      </c>
      <c r="AP433" s="72" t="e">
        <f>SUMIFS('COGS Break up'!#REF!,'COGS Break up'!#REF!,Sales4[[#This Row],[Material]],'COGS Break up'!#REF!,'MIS Working'!$AP$1)</f>
        <v>#REF!</v>
      </c>
      <c r="AQ433" s="72" t="e">
        <f>SUMIFS('COGS Break up'!#REF!,'COGS Break up'!#REF!,Sales4[[#This Row],[Material]],'COGS Break up'!#REF!,'MIS Working'!$AQ$1)</f>
        <v>#REF!</v>
      </c>
      <c r="AR433" s="72">
        <f>Sales4[[#This Row],[Droppage per unit]]</f>
        <v>0</v>
      </c>
      <c r="AS433" s="15" t="e">
        <f>AO433*Sales4[[#This Row],[Billed Quantity]]</f>
        <v>#REF!</v>
      </c>
      <c r="AT433" s="72" t="e">
        <f>AP433*Sales4[[#This Row],[Billed Quantity]]</f>
        <v>#REF!</v>
      </c>
      <c r="AU433" s="72" t="e">
        <f>AQ433*Sales4[[#This Row],[Billed Quantity]]</f>
        <v>#REF!</v>
      </c>
      <c r="AV433" s="72">
        <f>AR433*Sales4[[#This Row],[Billed Quantity]]</f>
        <v>0</v>
      </c>
    </row>
    <row r="434" spans="1:48" x14ac:dyDescent="0.3">
      <c r="A434" s="1" t="s">
        <v>479</v>
      </c>
      <c r="B434" s="2">
        <v>45902</v>
      </c>
      <c r="C434" s="1">
        <v>3271265748</v>
      </c>
      <c r="D434" s="1" t="s">
        <v>38</v>
      </c>
      <c r="E434" s="1" t="s">
        <v>39</v>
      </c>
      <c r="F434" s="1" t="s">
        <v>18</v>
      </c>
      <c r="G434" s="1" t="s">
        <v>19</v>
      </c>
      <c r="H434" s="1" t="s">
        <v>27</v>
      </c>
      <c r="I434" s="3">
        <v>1960</v>
      </c>
      <c r="J434" s="4">
        <v>645741.6</v>
      </c>
      <c r="K434" s="3">
        <v>1960</v>
      </c>
      <c r="L434" s="3">
        <v>1960</v>
      </c>
      <c r="M434" s="2">
        <v>45902</v>
      </c>
      <c r="N434" s="4">
        <v>702248.4</v>
      </c>
      <c r="O434" s="1" t="s">
        <v>21</v>
      </c>
      <c r="P434" s="1" t="s">
        <v>22</v>
      </c>
      <c r="Q434" s="1">
        <v>1</v>
      </c>
      <c r="R434" s="1" t="str">
        <f>VLOOKUP(Sales4[[#This Row],[Material type]],Master!$H$3:$I$8,2,0)</f>
        <v>Finished Goods</v>
      </c>
      <c r="S434" s="1" t="str">
        <f>VLOOKUP(Sales4[[#This Row],[Material Group]],Master!B:C,2,0)</f>
        <v>FG-PCB-CF</v>
      </c>
      <c r="T434" s="1" t="str">
        <f>VLOOKUP(Sales4[[#This Row],[Material Group Descrip]],Master!E:F,2,0)</f>
        <v>FG-PCB-CF</v>
      </c>
      <c r="U434" s="9" t="b">
        <f ca="1">(TODAY()-1)=Sales4[[#This Row],[Billing Date]]</f>
        <v>0</v>
      </c>
      <c r="V434" s="10" t="e">
        <f>Sales4[[#This Row],[Net Value]]-Sales4[[#This Row],[PGI COST]]</f>
        <v>#REF!</v>
      </c>
      <c r="W434" s="11" t="e">
        <f>Sales4[[#This Row],[Gross Margin]]/Sales4[[#This Row],[Net Value]]</f>
        <v>#REF!</v>
      </c>
      <c r="X434" s="1" t="str">
        <f>TEXT(Sales4[[#This Row],[Billing Date]],"mmmm-yy")</f>
        <v>September-25</v>
      </c>
      <c r="Y434" s="1">
        <f>Sales4[[#This Row],[Net Value]]/Sales4[[#This Row],[Billed Quantity]]</f>
        <v>358.29</v>
      </c>
      <c r="Z434" s="117">
        <f>Sales4[[#This Row],[Actual delivery qty]]</f>
        <v>1960</v>
      </c>
      <c r="AA434" s="12" t="e">
        <f>SUM(Sales4[[#This Row],[BOM Cost]:[Other Conversion cost pu]])</f>
        <v>#REF!</v>
      </c>
      <c r="AB43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3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34" s="12">
        <f>IFERROR(VLOOKUP(Sales4[[#This Row],[Material]],'COGS Break up'!#REF!,5,0),0)</f>
        <v>0</v>
      </c>
      <c r="AE43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34" s="48" t="e">
        <f>Sales4[[#This Row],[PGI per unit]]-Sales4[[#This Row],[BOM Cost]]-Sales4[[#This Row],[Labour cost per unit]]-Sales4[[#This Row],[Other Conversion cost pu]]</f>
        <v>#REF!</v>
      </c>
      <c r="AG434" s="48" t="e">
        <f>Sales4[[#This Row],[BOM Cost2]]+Sales4[[#This Row],[Labour Cost]]+Sales4[[#This Row],[Other conversion cost]]</f>
        <v>#REF!</v>
      </c>
      <c r="AH434" s="12" t="e">
        <f>Sales4[[#This Row],[Billed Quantity]]*Sales4[[#This Row],[BOM Cost]]</f>
        <v>#REF!</v>
      </c>
      <c r="AI434" s="12" t="e">
        <f>Sales4[[#This Row],[Billed Quantity]]*Sales4[[#This Row],[Labour cost per unit]]</f>
        <v>#REF!</v>
      </c>
      <c r="AJ434" s="12">
        <f>Sales4[[#This Row],[Droppage per unit]]*Sales4[[#This Row],[Billed Quantity]]</f>
        <v>0</v>
      </c>
      <c r="AK434" s="12" t="e">
        <f>Sales4[[#This Row],[Billed Quantity]]*Sales4[[#This Row],[Other Conversion cost pu]]</f>
        <v>#REF!</v>
      </c>
      <c r="AL434" s="48" t="e">
        <f>Sales4[[#This Row],[PGI Amount]]-Sales4[[#This Row],[BOM Cost2]]-Sales4[[#This Row],[Labour Cost]]-Sales4[[#This Row],[Other conversion cost]]</f>
        <v>#REF!</v>
      </c>
      <c r="AM434" s="121" t="e">
        <f>1-Sales4[[#This Row],[PGI COST]]/Sales4[[#This Row],[Net Value]]</f>
        <v>#REF!</v>
      </c>
      <c r="AN434" s="1">
        <f>Sales4[[#This Row],[PGI Amount]]/Sales4[[#This Row],[Billed Quantity]]</f>
        <v>329.46</v>
      </c>
      <c r="AO434" s="72" t="e">
        <f>SUMIFS('COGS Break up'!#REF!,'COGS Break up'!#REF!,Sales4[[#This Row],[Material]],'COGS Break up'!#REF!,'MIS Working'!$AO$1)</f>
        <v>#REF!</v>
      </c>
      <c r="AP434" s="72" t="e">
        <f>SUMIFS('COGS Break up'!#REF!,'COGS Break up'!#REF!,Sales4[[#This Row],[Material]],'COGS Break up'!#REF!,'MIS Working'!$AP$1)</f>
        <v>#REF!</v>
      </c>
      <c r="AQ434" s="72" t="e">
        <f>SUMIFS('COGS Break up'!#REF!,'COGS Break up'!#REF!,Sales4[[#This Row],[Material]],'COGS Break up'!#REF!,'MIS Working'!$AQ$1)</f>
        <v>#REF!</v>
      </c>
      <c r="AR434" s="72">
        <f>Sales4[[#This Row],[Droppage per unit]]</f>
        <v>0</v>
      </c>
      <c r="AS434" s="15" t="e">
        <f>AO434*Sales4[[#This Row],[Billed Quantity]]</f>
        <v>#REF!</v>
      </c>
      <c r="AT434" s="72" t="e">
        <f>AP434*Sales4[[#This Row],[Billed Quantity]]</f>
        <v>#REF!</v>
      </c>
      <c r="AU434" s="72" t="e">
        <f>AQ434*Sales4[[#This Row],[Billed Quantity]]</f>
        <v>#REF!</v>
      </c>
      <c r="AV434" s="72">
        <f>AR434*Sales4[[#This Row],[Billed Quantity]]</f>
        <v>0</v>
      </c>
    </row>
    <row r="435" spans="1:48" x14ac:dyDescent="0.3">
      <c r="A435" s="1" t="s">
        <v>479</v>
      </c>
      <c r="B435" s="2">
        <v>45902</v>
      </c>
      <c r="C435" s="1">
        <v>3271265729</v>
      </c>
      <c r="D435" s="1" t="s">
        <v>38</v>
      </c>
      <c r="E435" s="1" t="s">
        <v>39</v>
      </c>
      <c r="F435" s="1" t="s">
        <v>18</v>
      </c>
      <c r="G435" s="1" t="s">
        <v>19</v>
      </c>
      <c r="H435" s="1" t="s">
        <v>27</v>
      </c>
      <c r="I435" s="3">
        <v>1120</v>
      </c>
      <c r="J435" s="4">
        <v>368995.2</v>
      </c>
      <c r="K435" s="3">
        <v>1120</v>
      </c>
      <c r="L435" s="3">
        <v>1120</v>
      </c>
      <c r="M435" s="2">
        <v>45902</v>
      </c>
      <c r="N435" s="4">
        <v>401284.8</v>
      </c>
      <c r="O435" s="1" t="s">
        <v>21</v>
      </c>
      <c r="P435" s="1" t="s">
        <v>22</v>
      </c>
      <c r="Q435" s="1">
        <v>1</v>
      </c>
      <c r="R435" s="1" t="str">
        <f>VLOOKUP(Sales4[[#This Row],[Material type]],Master!$H$3:$I$8,2,0)</f>
        <v>Finished Goods</v>
      </c>
      <c r="S435" s="1" t="str">
        <f>VLOOKUP(Sales4[[#This Row],[Material Group]],Master!B:C,2,0)</f>
        <v>FG-PCB-CF</v>
      </c>
      <c r="T435" s="1" t="str">
        <f>VLOOKUP(Sales4[[#This Row],[Material Group Descrip]],Master!E:F,2,0)</f>
        <v>FG-PCB-CF</v>
      </c>
      <c r="U435" s="9" t="b">
        <f ca="1">(TODAY()-1)=Sales4[[#This Row],[Billing Date]]</f>
        <v>0</v>
      </c>
      <c r="V435" s="10" t="e">
        <f>Sales4[[#This Row],[Net Value]]-Sales4[[#This Row],[PGI COST]]</f>
        <v>#REF!</v>
      </c>
      <c r="W435" s="11" t="e">
        <f>Sales4[[#This Row],[Gross Margin]]/Sales4[[#This Row],[Net Value]]</f>
        <v>#REF!</v>
      </c>
      <c r="X435" s="1" t="str">
        <f>TEXT(Sales4[[#This Row],[Billing Date]],"mmmm-yy")</f>
        <v>September-25</v>
      </c>
      <c r="Y435" s="1">
        <f>Sales4[[#This Row],[Net Value]]/Sales4[[#This Row],[Billed Quantity]]</f>
        <v>358.28999999999996</v>
      </c>
      <c r="Z435" s="117">
        <f>Sales4[[#This Row],[Actual delivery qty]]</f>
        <v>1120</v>
      </c>
      <c r="AA435" s="12" t="e">
        <f>SUM(Sales4[[#This Row],[BOM Cost]:[Other Conversion cost pu]])</f>
        <v>#REF!</v>
      </c>
      <c r="AB43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3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35" s="12">
        <f>IFERROR(VLOOKUP(Sales4[[#This Row],[Material]],'COGS Break up'!#REF!,5,0),0)</f>
        <v>0</v>
      </c>
      <c r="AE43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35" s="48" t="e">
        <f>Sales4[[#This Row],[PGI per unit]]-Sales4[[#This Row],[BOM Cost]]-Sales4[[#This Row],[Labour cost per unit]]-Sales4[[#This Row],[Other Conversion cost pu]]</f>
        <v>#REF!</v>
      </c>
      <c r="AG435" s="48" t="e">
        <f>Sales4[[#This Row],[BOM Cost2]]+Sales4[[#This Row],[Labour Cost]]+Sales4[[#This Row],[Other conversion cost]]</f>
        <v>#REF!</v>
      </c>
      <c r="AH435" s="12" t="e">
        <f>Sales4[[#This Row],[Billed Quantity]]*Sales4[[#This Row],[BOM Cost]]</f>
        <v>#REF!</v>
      </c>
      <c r="AI435" s="12" t="e">
        <f>Sales4[[#This Row],[Billed Quantity]]*Sales4[[#This Row],[Labour cost per unit]]</f>
        <v>#REF!</v>
      </c>
      <c r="AJ435" s="12">
        <f>Sales4[[#This Row],[Droppage per unit]]*Sales4[[#This Row],[Billed Quantity]]</f>
        <v>0</v>
      </c>
      <c r="AK435" s="12" t="e">
        <f>Sales4[[#This Row],[Billed Quantity]]*Sales4[[#This Row],[Other Conversion cost pu]]</f>
        <v>#REF!</v>
      </c>
      <c r="AL435" s="48" t="e">
        <f>Sales4[[#This Row],[PGI Amount]]-Sales4[[#This Row],[BOM Cost2]]-Sales4[[#This Row],[Labour Cost]]-Sales4[[#This Row],[Other conversion cost]]</f>
        <v>#REF!</v>
      </c>
      <c r="AM435" s="121" t="e">
        <f>1-Sales4[[#This Row],[PGI COST]]/Sales4[[#This Row],[Net Value]]</f>
        <v>#REF!</v>
      </c>
      <c r="AN435" s="1">
        <f>Sales4[[#This Row],[PGI Amount]]/Sales4[[#This Row],[Billed Quantity]]</f>
        <v>329.46000000000004</v>
      </c>
      <c r="AO435" s="72" t="e">
        <f>SUMIFS('COGS Break up'!#REF!,'COGS Break up'!#REF!,Sales4[[#This Row],[Material]],'COGS Break up'!#REF!,'MIS Working'!$AO$1)</f>
        <v>#REF!</v>
      </c>
      <c r="AP435" s="72" t="e">
        <f>SUMIFS('COGS Break up'!#REF!,'COGS Break up'!#REF!,Sales4[[#This Row],[Material]],'COGS Break up'!#REF!,'MIS Working'!$AP$1)</f>
        <v>#REF!</v>
      </c>
      <c r="AQ435" s="72" t="e">
        <f>SUMIFS('COGS Break up'!#REF!,'COGS Break up'!#REF!,Sales4[[#This Row],[Material]],'COGS Break up'!#REF!,'MIS Working'!$AQ$1)</f>
        <v>#REF!</v>
      </c>
      <c r="AR435" s="72">
        <f>Sales4[[#This Row],[Droppage per unit]]</f>
        <v>0</v>
      </c>
      <c r="AS435" s="15" t="e">
        <f>AO435*Sales4[[#This Row],[Billed Quantity]]</f>
        <v>#REF!</v>
      </c>
      <c r="AT435" s="72" t="e">
        <f>AP435*Sales4[[#This Row],[Billed Quantity]]</f>
        <v>#REF!</v>
      </c>
      <c r="AU435" s="72" t="e">
        <f>AQ435*Sales4[[#This Row],[Billed Quantity]]</f>
        <v>#REF!</v>
      </c>
      <c r="AV435" s="72">
        <f>AR435*Sales4[[#This Row],[Billed Quantity]]</f>
        <v>0</v>
      </c>
    </row>
    <row r="436" spans="1:48" x14ac:dyDescent="0.3">
      <c r="A436" s="1" t="s">
        <v>479</v>
      </c>
      <c r="B436" s="2">
        <v>45902</v>
      </c>
      <c r="C436" s="1">
        <v>3271265713</v>
      </c>
      <c r="D436" s="1" t="s">
        <v>38</v>
      </c>
      <c r="E436" s="1" t="s">
        <v>39</v>
      </c>
      <c r="F436" s="1" t="s">
        <v>18</v>
      </c>
      <c r="G436" s="1" t="s">
        <v>19</v>
      </c>
      <c r="H436" s="1" t="s">
        <v>27</v>
      </c>
      <c r="I436" s="3">
        <v>2240</v>
      </c>
      <c r="J436" s="4">
        <v>737990.4</v>
      </c>
      <c r="K436" s="3">
        <v>2240</v>
      </c>
      <c r="L436" s="3">
        <v>2240</v>
      </c>
      <c r="M436" s="2">
        <v>45902</v>
      </c>
      <c r="N436" s="4">
        <v>802569.6</v>
      </c>
      <c r="O436" s="1" t="s">
        <v>21</v>
      </c>
      <c r="P436" s="1" t="s">
        <v>22</v>
      </c>
      <c r="Q436" s="1">
        <v>1</v>
      </c>
      <c r="R436" s="1" t="str">
        <f>VLOOKUP(Sales4[[#This Row],[Material type]],Master!$H$3:$I$8,2,0)</f>
        <v>Finished Goods</v>
      </c>
      <c r="S436" s="1" t="str">
        <f>VLOOKUP(Sales4[[#This Row],[Material Group]],Master!B:C,2,0)</f>
        <v>FG-PCB-CF</v>
      </c>
      <c r="T436" s="1" t="str">
        <f>VLOOKUP(Sales4[[#This Row],[Material Group Descrip]],Master!E:F,2,0)</f>
        <v>FG-PCB-CF</v>
      </c>
      <c r="U436" s="9" t="b">
        <f ca="1">(TODAY()-1)=Sales4[[#This Row],[Billing Date]]</f>
        <v>0</v>
      </c>
      <c r="V436" s="10" t="e">
        <f>Sales4[[#This Row],[Net Value]]-Sales4[[#This Row],[PGI COST]]</f>
        <v>#REF!</v>
      </c>
      <c r="W436" s="11" t="e">
        <f>Sales4[[#This Row],[Gross Margin]]/Sales4[[#This Row],[Net Value]]</f>
        <v>#REF!</v>
      </c>
      <c r="X436" s="1" t="str">
        <f>TEXT(Sales4[[#This Row],[Billing Date]],"mmmm-yy")</f>
        <v>September-25</v>
      </c>
      <c r="Y436" s="1">
        <f>Sales4[[#This Row],[Net Value]]/Sales4[[#This Row],[Billed Quantity]]</f>
        <v>358.28999999999996</v>
      </c>
      <c r="Z436" s="117">
        <f>Sales4[[#This Row],[Actual delivery qty]]</f>
        <v>2240</v>
      </c>
      <c r="AA436" s="12" t="e">
        <f>SUM(Sales4[[#This Row],[BOM Cost]:[Other Conversion cost pu]])</f>
        <v>#REF!</v>
      </c>
      <c r="AB43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3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36" s="12">
        <f>IFERROR(VLOOKUP(Sales4[[#This Row],[Material]],'COGS Break up'!#REF!,5,0),0)</f>
        <v>0</v>
      </c>
      <c r="AE43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36" s="48" t="e">
        <f>Sales4[[#This Row],[PGI per unit]]-Sales4[[#This Row],[BOM Cost]]-Sales4[[#This Row],[Labour cost per unit]]-Sales4[[#This Row],[Other Conversion cost pu]]</f>
        <v>#REF!</v>
      </c>
      <c r="AG436" s="48" t="e">
        <f>Sales4[[#This Row],[BOM Cost2]]+Sales4[[#This Row],[Labour Cost]]+Sales4[[#This Row],[Other conversion cost]]</f>
        <v>#REF!</v>
      </c>
      <c r="AH436" s="12" t="e">
        <f>Sales4[[#This Row],[Billed Quantity]]*Sales4[[#This Row],[BOM Cost]]</f>
        <v>#REF!</v>
      </c>
      <c r="AI436" s="12" t="e">
        <f>Sales4[[#This Row],[Billed Quantity]]*Sales4[[#This Row],[Labour cost per unit]]</f>
        <v>#REF!</v>
      </c>
      <c r="AJ436" s="12">
        <f>Sales4[[#This Row],[Droppage per unit]]*Sales4[[#This Row],[Billed Quantity]]</f>
        <v>0</v>
      </c>
      <c r="AK436" s="12" t="e">
        <f>Sales4[[#This Row],[Billed Quantity]]*Sales4[[#This Row],[Other Conversion cost pu]]</f>
        <v>#REF!</v>
      </c>
      <c r="AL436" s="48" t="e">
        <f>Sales4[[#This Row],[PGI Amount]]-Sales4[[#This Row],[BOM Cost2]]-Sales4[[#This Row],[Labour Cost]]-Sales4[[#This Row],[Other conversion cost]]</f>
        <v>#REF!</v>
      </c>
      <c r="AM436" s="121" t="e">
        <f>1-Sales4[[#This Row],[PGI COST]]/Sales4[[#This Row],[Net Value]]</f>
        <v>#REF!</v>
      </c>
      <c r="AN436" s="1">
        <f>Sales4[[#This Row],[PGI Amount]]/Sales4[[#This Row],[Billed Quantity]]</f>
        <v>329.46000000000004</v>
      </c>
      <c r="AO436" s="72" t="e">
        <f>SUMIFS('COGS Break up'!#REF!,'COGS Break up'!#REF!,Sales4[[#This Row],[Material]],'COGS Break up'!#REF!,'MIS Working'!$AO$1)</f>
        <v>#REF!</v>
      </c>
      <c r="AP436" s="72" t="e">
        <f>SUMIFS('COGS Break up'!#REF!,'COGS Break up'!#REF!,Sales4[[#This Row],[Material]],'COGS Break up'!#REF!,'MIS Working'!$AP$1)</f>
        <v>#REF!</v>
      </c>
      <c r="AQ436" s="72" t="e">
        <f>SUMIFS('COGS Break up'!#REF!,'COGS Break up'!#REF!,Sales4[[#This Row],[Material]],'COGS Break up'!#REF!,'MIS Working'!$AQ$1)</f>
        <v>#REF!</v>
      </c>
      <c r="AR436" s="72">
        <f>Sales4[[#This Row],[Droppage per unit]]</f>
        <v>0</v>
      </c>
      <c r="AS436" s="15" t="e">
        <f>AO436*Sales4[[#This Row],[Billed Quantity]]</f>
        <v>#REF!</v>
      </c>
      <c r="AT436" s="72" t="e">
        <f>AP436*Sales4[[#This Row],[Billed Quantity]]</f>
        <v>#REF!</v>
      </c>
      <c r="AU436" s="72" t="e">
        <f>AQ436*Sales4[[#This Row],[Billed Quantity]]</f>
        <v>#REF!</v>
      </c>
      <c r="AV436" s="72">
        <f>AR436*Sales4[[#This Row],[Billed Quantity]]</f>
        <v>0</v>
      </c>
    </row>
    <row r="437" spans="1:48" x14ac:dyDescent="0.3">
      <c r="A437" s="1" t="s">
        <v>479</v>
      </c>
      <c r="B437" s="2">
        <v>45902</v>
      </c>
      <c r="C437" s="1">
        <v>3271266357</v>
      </c>
      <c r="D437" s="1" t="s">
        <v>362</v>
      </c>
      <c r="E437" s="1" t="s">
        <v>363</v>
      </c>
      <c r="F437" s="1" t="s">
        <v>18</v>
      </c>
      <c r="G437" s="1" t="s">
        <v>19</v>
      </c>
      <c r="H437" s="1" t="s">
        <v>483</v>
      </c>
      <c r="I437" s="3">
        <v>350</v>
      </c>
      <c r="J437" s="4">
        <v>256588.5</v>
      </c>
      <c r="K437" s="3">
        <v>350</v>
      </c>
      <c r="L437" s="3">
        <v>350</v>
      </c>
      <c r="M437" s="2">
        <v>45902</v>
      </c>
      <c r="N437" s="4">
        <v>301784</v>
      </c>
      <c r="O437" s="1" t="s">
        <v>21</v>
      </c>
      <c r="P437" s="1" t="s">
        <v>22</v>
      </c>
      <c r="Q437" s="1">
        <v>1</v>
      </c>
      <c r="R437" s="1" t="str">
        <f>VLOOKUP(Sales4[[#This Row],[Material type]],Master!$H$3:$I$8,2,0)</f>
        <v>Finished Goods</v>
      </c>
      <c r="S437" s="1" t="str">
        <f>VLOOKUP(Sales4[[#This Row],[Material Group]],Master!B:C,2,0)</f>
        <v>FG-PCB-MG</v>
      </c>
      <c r="T437" s="1" t="str">
        <f>VLOOKUP(Sales4[[#This Row],[Material Group Descrip]],Master!E:F,2,0)</f>
        <v>FG-PCB-MG</v>
      </c>
      <c r="U437" s="9" t="b">
        <f ca="1">(TODAY()-1)=Sales4[[#This Row],[Billing Date]]</f>
        <v>0</v>
      </c>
      <c r="V437" s="10" t="e">
        <f>Sales4[[#This Row],[Net Value]]-Sales4[[#This Row],[PGI COST]]</f>
        <v>#REF!</v>
      </c>
      <c r="W437" s="11" t="e">
        <f>Sales4[[#This Row],[Gross Margin]]/Sales4[[#This Row],[Net Value]]</f>
        <v>#REF!</v>
      </c>
      <c r="X437" s="1" t="str">
        <f>TEXT(Sales4[[#This Row],[Billing Date]],"mmmm-yy")</f>
        <v>September-25</v>
      </c>
      <c r="Y437" s="1">
        <f>Sales4[[#This Row],[Net Value]]/Sales4[[#This Row],[Billed Quantity]]</f>
        <v>862.24</v>
      </c>
      <c r="Z437" s="117">
        <f>Sales4[[#This Row],[Actual delivery qty]]</f>
        <v>350</v>
      </c>
      <c r="AA437" s="12" t="e">
        <f>SUM(Sales4[[#This Row],[BOM Cost]:[Other Conversion cost pu]])</f>
        <v>#REF!</v>
      </c>
      <c r="AB43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3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37" s="12">
        <f>IFERROR(VLOOKUP(Sales4[[#This Row],[Material]],'COGS Break up'!#REF!,5,0),0)</f>
        <v>0</v>
      </c>
      <c r="AE43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37" s="48" t="e">
        <f>Sales4[[#This Row],[PGI per unit]]-Sales4[[#This Row],[BOM Cost]]-Sales4[[#This Row],[Labour cost per unit]]-Sales4[[#This Row],[Other Conversion cost pu]]</f>
        <v>#REF!</v>
      </c>
      <c r="AG437" s="48" t="e">
        <f>Sales4[[#This Row],[BOM Cost2]]+Sales4[[#This Row],[Labour Cost]]+Sales4[[#This Row],[Other conversion cost]]</f>
        <v>#REF!</v>
      </c>
      <c r="AH437" s="12" t="e">
        <f>Sales4[[#This Row],[Billed Quantity]]*Sales4[[#This Row],[BOM Cost]]</f>
        <v>#REF!</v>
      </c>
      <c r="AI437" s="12" t="e">
        <f>Sales4[[#This Row],[Billed Quantity]]*Sales4[[#This Row],[Labour cost per unit]]</f>
        <v>#REF!</v>
      </c>
      <c r="AJ437" s="12">
        <f>Sales4[[#This Row],[Droppage per unit]]*Sales4[[#This Row],[Billed Quantity]]</f>
        <v>0</v>
      </c>
      <c r="AK437" s="12" t="e">
        <f>Sales4[[#This Row],[Billed Quantity]]*Sales4[[#This Row],[Other Conversion cost pu]]</f>
        <v>#REF!</v>
      </c>
      <c r="AL437" s="48" t="e">
        <f>Sales4[[#This Row],[PGI Amount]]-Sales4[[#This Row],[BOM Cost2]]-Sales4[[#This Row],[Labour Cost]]-Sales4[[#This Row],[Other conversion cost]]</f>
        <v>#REF!</v>
      </c>
      <c r="AM437" s="121" t="e">
        <f>1-Sales4[[#This Row],[PGI COST]]/Sales4[[#This Row],[Net Value]]</f>
        <v>#REF!</v>
      </c>
      <c r="AN437" s="1">
        <f>Sales4[[#This Row],[PGI Amount]]/Sales4[[#This Row],[Billed Quantity]]</f>
        <v>733.11</v>
      </c>
      <c r="AO437" s="72" t="e">
        <f>SUMIFS('COGS Break up'!#REF!,'COGS Break up'!#REF!,Sales4[[#This Row],[Material]],'COGS Break up'!#REF!,'MIS Working'!$AO$1)</f>
        <v>#REF!</v>
      </c>
      <c r="AP437" s="72" t="e">
        <f>SUMIFS('COGS Break up'!#REF!,'COGS Break up'!#REF!,Sales4[[#This Row],[Material]],'COGS Break up'!#REF!,'MIS Working'!$AP$1)</f>
        <v>#REF!</v>
      </c>
      <c r="AQ437" s="72" t="e">
        <f>SUMIFS('COGS Break up'!#REF!,'COGS Break up'!#REF!,Sales4[[#This Row],[Material]],'COGS Break up'!#REF!,'MIS Working'!$AQ$1)</f>
        <v>#REF!</v>
      </c>
      <c r="AR437" s="72">
        <f>Sales4[[#This Row],[Droppage per unit]]</f>
        <v>0</v>
      </c>
      <c r="AS437" s="15" t="e">
        <f>AO437*Sales4[[#This Row],[Billed Quantity]]</f>
        <v>#REF!</v>
      </c>
      <c r="AT437" s="72" t="e">
        <f>AP437*Sales4[[#This Row],[Billed Quantity]]</f>
        <v>#REF!</v>
      </c>
      <c r="AU437" s="72" t="e">
        <f>AQ437*Sales4[[#This Row],[Billed Quantity]]</f>
        <v>#REF!</v>
      </c>
      <c r="AV437" s="72">
        <f>AR437*Sales4[[#This Row],[Billed Quantity]]</f>
        <v>0</v>
      </c>
    </row>
    <row r="438" spans="1:48" x14ac:dyDescent="0.3">
      <c r="A438" s="1" t="s">
        <v>479</v>
      </c>
      <c r="B438" s="2">
        <v>45902</v>
      </c>
      <c r="C438" s="1">
        <v>3271265713</v>
      </c>
      <c r="D438" s="1" t="s">
        <v>362</v>
      </c>
      <c r="E438" s="1" t="s">
        <v>363</v>
      </c>
      <c r="F438" s="1" t="s">
        <v>18</v>
      </c>
      <c r="G438" s="1" t="s">
        <v>19</v>
      </c>
      <c r="H438" s="1" t="s">
        <v>483</v>
      </c>
      <c r="I438" s="3">
        <v>175</v>
      </c>
      <c r="J438" s="4">
        <v>128294.25</v>
      </c>
      <c r="K438" s="3">
        <v>175</v>
      </c>
      <c r="L438" s="3">
        <v>175</v>
      </c>
      <c r="M438" s="2">
        <v>45902</v>
      </c>
      <c r="N438" s="4">
        <v>150892</v>
      </c>
      <c r="O438" s="1" t="s">
        <v>21</v>
      </c>
      <c r="P438" s="1" t="s">
        <v>22</v>
      </c>
      <c r="Q438" s="1">
        <v>1</v>
      </c>
      <c r="R438" s="1" t="str">
        <f>VLOOKUP(Sales4[[#This Row],[Material type]],Master!$H$3:$I$8,2,0)</f>
        <v>Finished Goods</v>
      </c>
      <c r="S438" s="1" t="str">
        <f>VLOOKUP(Sales4[[#This Row],[Material Group]],Master!B:C,2,0)</f>
        <v>FG-PCB-MG</v>
      </c>
      <c r="T438" s="1" t="str">
        <f>VLOOKUP(Sales4[[#This Row],[Material Group Descrip]],Master!E:F,2,0)</f>
        <v>FG-PCB-MG</v>
      </c>
      <c r="U438" s="9" t="b">
        <f ca="1">(TODAY()-1)=Sales4[[#This Row],[Billing Date]]</f>
        <v>0</v>
      </c>
      <c r="V438" s="10" t="e">
        <f>Sales4[[#This Row],[Net Value]]-Sales4[[#This Row],[PGI COST]]</f>
        <v>#REF!</v>
      </c>
      <c r="W438" s="11" t="e">
        <f>Sales4[[#This Row],[Gross Margin]]/Sales4[[#This Row],[Net Value]]</f>
        <v>#REF!</v>
      </c>
      <c r="X438" s="1" t="str">
        <f>TEXT(Sales4[[#This Row],[Billing Date]],"mmmm-yy")</f>
        <v>September-25</v>
      </c>
      <c r="Y438" s="1">
        <f>Sales4[[#This Row],[Net Value]]/Sales4[[#This Row],[Billed Quantity]]</f>
        <v>862.24</v>
      </c>
      <c r="Z438" s="117">
        <f>Sales4[[#This Row],[Actual delivery qty]]</f>
        <v>175</v>
      </c>
      <c r="AA438" s="12" t="e">
        <f>SUM(Sales4[[#This Row],[BOM Cost]:[Other Conversion cost pu]])</f>
        <v>#REF!</v>
      </c>
      <c r="AB43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3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38" s="12">
        <f>IFERROR(VLOOKUP(Sales4[[#This Row],[Material]],'COGS Break up'!#REF!,5,0),0)</f>
        <v>0</v>
      </c>
      <c r="AE43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38" s="48" t="e">
        <f>Sales4[[#This Row],[PGI per unit]]-Sales4[[#This Row],[BOM Cost]]-Sales4[[#This Row],[Labour cost per unit]]-Sales4[[#This Row],[Other Conversion cost pu]]</f>
        <v>#REF!</v>
      </c>
      <c r="AG438" s="48" t="e">
        <f>Sales4[[#This Row],[BOM Cost2]]+Sales4[[#This Row],[Labour Cost]]+Sales4[[#This Row],[Other conversion cost]]</f>
        <v>#REF!</v>
      </c>
      <c r="AH438" s="12" t="e">
        <f>Sales4[[#This Row],[Billed Quantity]]*Sales4[[#This Row],[BOM Cost]]</f>
        <v>#REF!</v>
      </c>
      <c r="AI438" s="12" t="e">
        <f>Sales4[[#This Row],[Billed Quantity]]*Sales4[[#This Row],[Labour cost per unit]]</f>
        <v>#REF!</v>
      </c>
      <c r="AJ438" s="12">
        <f>Sales4[[#This Row],[Droppage per unit]]*Sales4[[#This Row],[Billed Quantity]]</f>
        <v>0</v>
      </c>
      <c r="AK438" s="12" t="e">
        <f>Sales4[[#This Row],[Billed Quantity]]*Sales4[[#This Row],[Other Conversion cost pu]]</f>
        <v>#REF!</v>
      </c>
      <c r="AL438" s="48" t="e">
        <f>Sales4[[#This Row],[PGI Amount]]-Sales4[[#This Row],[BOM Cost2]]-Sales4[[#This Row],[Labour Cost]]-Sales4[[#This Row],[Other conversion cost]]</f>
        <v>#REF!</v>
      </c>
      <c r="AM438" s="121" t="e">
        <f>1-Sales4[[#This Row],[PGI COST]]/Sales4[[#This Row],[Net Value]]</f>
        <v>#REF!</v>
      </c>
      <c r="AN438" s="1">
        <f>Sales4[[#This Row],[PGI Amount]]/Sales4[[#This Row],[Billed Quantity]]</f>
        <v>733.11</v>
      </c>
      <c r="AO438" s="72" t="e">
        <f>SUMIFS('COGS Break up'!#REF!,'COGS Break up'!#REF!,Sales4[[#This Row],[Material]],'COGS Break up'!#REF!,'MIS Working'!$AO$1)</f>
        <v>#REF!</v>
      </c>
      <c r="AP438" s="72" t="e">
        <f>SUMIFS('COGS Break up'!#REF!,'COGS Break up'!#REF!,Sales4[[#This Row],[Material]],'COGS Break up'!#REF!,'MIS Working'!$AP$1)</f>
        <v>#REF!</v>
      </c>
      <c r="AQ438" s="72" t="e">
        <f>SUMIFS('COGS Break up'!#REF!,'COGS Break up'!#REF!,Sales4[[#This Row],[Material]],'COGS Break up'!#REF!,'MIS Working'!$AQ$1)</f>
        <v>#REF!</v>
      </c>
      <c r="AR438" s="72">
        <f>Sales4[[#This Row],[Droppage per unit]]</f>
        <v>0</v>
      </c>
      <c r="AS438" s="15" t="e">
        <f>AO438*Sales4[[#This Row],[Billed Quantity]]</f>
        <v>#REF!</v>
      </c>
      <c r="AT438" s="72" t="e">
        <f>AP438*Sales4[[#This Row],[Billed Quantity]]</f>
        <v>#REF!</v>
      </c>
      <c r="AU438" s="72" t="e">
        <f>AQ438*Sales4[[#This Row],[Billed Quantity]]</f>
        <v>#REF!</v>
      </c>
      <c r="AV438" s="72">
        <f>AR438*Sales4[[#This Row],[Billed Quantity]]</f>
        <v>0</v>
      </c>
    </row>
    <row r="439" spans="1:48" x14ac:dyDescent="0.3">
      <c r="A439" s="1" t="s">
        <v>479</v>
      </c>
      <c r="B439" s="2">
        <v>45902</v>
      </c>
      <c r="C439" s="1">
        <v>3271265729</v>
      </c>
      <c r="D439" s="1" t="s">
        <v>364</v>
      </c>
      <c r="E439" s="1" t="s">
        <v>365</v>
      </c>
      <c r="F439" s="1" t="s">
        <v>18</v>
      </c>
      <c r="G439" s="1" t="s">
        <v>19</v>
      </c>
      <c r="H439" s="1" t="s">
        <v>771</v>
      </c>
      <c r="I439" s="3">
        <v>175</v>
      </c>
      <c r="J439" s="4">
        <v>19080.25</v>
      </c>
      <c r="K439" s="3">
        <v>175</v>
      </c>
      <c r="L439" s="3">
        <v>175</v>
      </c>
      <c r="M439" s="2">
        <v>45902</v>
      </c>
      <c r="N439" s="4">
        <v>17717</v>
      </c>
      <c r="O439" s="1" t="s">
        <v>21</v>
      </c>
      <c r="P439" s="1" t="s">
        <v>22</v>
      </c>
      <c r="Q439" s="1">
        <v>1</v>
      </c>
      <c r="R439" s="1" t="str">
        <f>VLOOKUP(Sales4[[#This Row],[Material type]],Master!$H$3:$I$8,2,0)</f>
        <v>Finished Goods</v>
      </c>
      <c r="S439" s="1" t="str">
        <f>VLOOKUP(Sales4[[#This Row],[Material Group]],Master!B:C,2,0)</f>
        <v>FG-PCB-MG Interface</v>
      </c>
      <c r="T439" s="1" t="str">
        <f>VLOOKUP(Sales4[[#This Row],[Material Group Descrip]],Master!E:F,2,0)</f>
        <v>FG-PCB-MG</v>
      </c>
      <c r="U439" s="9" t="b">
        <f ca="1">(TODAY()-1)=Sales4[[#This Row],[Billing Date]]</f>
        <v>0</v>
      </c>
      <c r="V439" s="10" t="e">
        <f>Sales4[[#This Row],[Net Value]]-Sales4[[#This Row],[PGI COST]]</f>
        <v>#REF!</v>
      </c>
      <c r="W439" s="11" t="e">
        <f>Sales4[[#This Row],[Gross Margin]]/Sales4[[#This Row],[Net Value]]</f>
        <v>#REF!</v>
      </c>
      <c r="X439" s="1" t="str">
        <f>TEXT(Sales4[[#This Row],[Billing Date]],"mmmm-yy")</f>
        <v>September-25</v>
      </c>
      <c r="Y439" s="1">
        <f>Sales4[[#This Row],[Net Value]]/Sales4[[#This Row],[Billed Quantity]]</f>
        <v>101.24</v>
      </c>
      <c r="Z439" s="117"/>
      <c r="AA439" s="12" t="e">
        <f>SUM(Sales4[[#This Row],[BOM Cost]:[Other Conversion cost pu]])</f>
        <v>#REF!</v>
      </c>
      <c r="AB43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3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39" s="12">
        <f>IFERROR(VLOOKUP(Sales4[[#This Row],[Material]],'COGS Break up'!#REF!,5,0),0)</f>
        <v>0</v>
      </c>
      <c r="AE43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39" s="48" t="e">
        <f>Sales4[[#This Row],[PGI per unit]]-Sales4[[#This Row],[BOM Cost]]-Sales4[[#This Row],[Labour cost per unit]]-Sales4[[#This Row],[Other Conversion cost pu]]</f>
        <v>#REF!</v>
      </c>
      <c r="AG439" s="48" t="e">
        <f>Sales4[[#This Row],[BOM Cost2]]+Sales4[[#This Row],[Labour Cost]]+Sales4[[#This Row],[Other conversion cost]]</f>
        <v>#REF!</v>
      </c>
      <c r="AH439" s="12" t="e">
        <f>Sales4[[#This Row],[Billed Quantity]]*Sales4[[#This Row],[BOM Cost]]</f>
        <v>#REF!</v>
      </c>
      <c r="AI439" s="12" t="e">
        <f>Sales4[[#This Row],[Billed Quantity]]*Sales4[[#This Row],[Labour cost per unit]]</f>
        <v>#REF!</v>
      </c>
      <c r="AJ439" s="12">
        <f>Sales4[[#This Row],[Droppage per unit]]*Sales4[[#This Row],[Billed Quantity]]</f>
        <v>0</v>
      </c>
      <c r="AK439" s="12" t="e">
        <f>Sales4[[#This Row],[Billed Quantity]]*Sales4[[#This Row],[Other Conversion cost pu]]</f>
        <v>#REF!</v>
      </c>
      <c r="AL439" s="48" t="e">
        <f>Sales4[[#This Row],[PGI Amount]]-Sales4[[#This Row],[BOM Cost2]]-Sales4[[#This Row],[Labour Cost]]-Sales4[[#This Row],[Other conversion cost]]</f>
        <v>#REF!</v>
      </c>
      <c r="AM439" s="121" t="e">
        <f>1-Sales4[[#This Row],[PGI COST]]/Sales4[[#This Row],[Net Value]]</f>
        <v>#REF!</v>
      </c>
      <c r="AN439" s="1">
        <f>Sales4[[#This Row],[PGI Amount]]/Sales4[[#This Row],[Billed Quantity]]</f>
        <v>109.03</v>
      </c>
      <c r="AO439" s="72" t="e">
        <f>SUMIFS('COGS Break up'!#REF!,'COGS Break up'!#REF!,Sales4[[#This Row],[Material]],'COGS Break up'!#REF!,'MIS Working'!$AO$1)</f>
        <v>#REF!</v>
      </c>
      <c r="AP439" s="72" t="e">
        <f>SUMIFS('COGS Break up'!#REF!,'COGS Break up'!#REF!,Sales4[[#This Row],[Material]],'COGS Break up'!#REF!,'MIS Working'!$AP$1)</f>
        <v>#REF!</v>
      </c>
      <c r="AQ439" s="72" t="e">
        <f>SUMIFS('COGS Break up'!#REF!,'COGS Break up'!#REF!,Sales4[[#This Row],[Material]],'COGS Break up'!#REF!,'MIS Working'!$AQ$1)</f>
        <v>#REF!</v>
      </c>
      <c r="AR439" s="72">
        <f>Sales4[[#This Row],[Droppage per unit]]</f>
        <v>0</v>
      </c>
      <c r="AS439" s="15" t="e">
        <f>AO439*Sales4[[#This Row],[Billed Quantity]]</f>
        <v>#REF!</v>
      </c>
      <c r="AT439" s="72" t="e">
        <f>AP439*Sales4[[#This Row],[Billed Quantity]]</f>
        <v>#REF!</v>
      </c>
      <c r="AU439" s="72" t="e">
        <f>AQ439*Sales4[[#This Row],[Billed Quantity]]</f>
        <v>#REF!</v>
      </c>
      <c r="AV439" s="72">
        <f>AR439*Sales4[[#This Row],[Billed Quantity]]</f>
        <v>0</v>
      </c>
    </row>
    <row r="440" spans="1:48" x14ac:dyDescent="0.3">
      <c r="A440" s="1" t="s">
        <v>479</v>
      </c>
      <c r="B440" s="2">
        <v>45902</v>
      </c>
      <c r="C440" s="1">
        <v>3271265748</v>
      </c>
      <c r="D440" s="1" t="s">
        <v>30</v>
      </c>
      <c r="E440" s="1" t="s">
        <v>31</v>
      </c>
      <c r="F440" s="1" t="s">
        <v>18</v>
      </c>
      <c r="G440" s="1" t="s">
        <v>19</v>
      </c>
      <c r="H440" s="1" t="s">
        <v>27</v>
      </c>
      <c r="I440" s="3">
        <v>474</v>
      </c>
      <c r="J440" s="4">
        <v>156149.82</v>
      </c>
      <c r="K440" s="3">
        <v>474</v>
      </c>
      <c r="L440" s="3">
        <v>474</v>
      </c>
      <c r="M440" s="2">
        <v>45902</v>
      </c>
      <c r="N440" s="4">
        <v>169829.46</v>
      </c>
      <c r="O440" s="1" t="s">
        <v>21</v>
      </c>
      <c r="P440" s="1" t="s">
        <v>22</v>
      </c>
      <c r="Q440" s="1">
        <v>1</v>
      </c>
      <c r="R440" s="1" t="str">
        <f>VLOOKUP(Sales4[[#This Row],[Material type]],Master!$H$3:$I$8,2,0)</f>
        <v>Finished Goods</v>
      </c>
      <c r="S440" s="1" t="str">
        <f>VLOOKUP(Sales4[[#This Row],[Material Group]],Master!B:C,2,0)</f>
        <v>FG-PCB-CF</v>
      </c>
      <c r="T440" s="1" t="str">
        <f>VLOOKUP(Sales4[[#This Row],[Material Group Descrip]],Master!E:F,2,0)</f>
        <v>FG-PCB-CF</v>
      </c>
      <c r="U440" s="9" t="b">
        <f ca="1">(TODAY()-1)=Sales4[[#This Row],[Billing Date]]</f>
        <v>0</v>
      </c>
      <c r="V440" s="10" t="e">
        <f>Sales4[[#This Row],[Net Value]]-Sales4[[#This Row],[PGI COST]]</f>
        <v>#REF!</v>
      </c>
      <c r="W440" s="11" t="e">
        <f>Sales4[[#This Row],[Gross Margin]]/Sales4[[#This Row],[Net Value]]</f>
        <v>#REF!</v>
      </c>
      <c r="X440" s="1" t="str">
        <f>TEXT(Sales4[[#This Row],[Billing Date]],"mmmm-yy")</f>
        <v>September-25</v>
      </c>
      <c r="Y440" s="1">
        <f>Sales4[[#This Row],[Net Value]]/Sales4[[#This Row],[Billed Quantity]]</f>
        <v>358.28999999999996</v>
      </c>
      <c r="Z440" s="117">
        <f>Sales4[[#This Row],[Actual delivery qty]]</f>
        <v>474</v>
      </c>
      <c r="AA440" s="12" t="e">
        <f>SUM(Sales4[[#This Row],[BOM Cost]:[Other Conversion cost pu]])</f>
        <v>#REF!</v>
      </c>
      <c r="AB44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4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40" s="12">
        <f>IFERROR(VLOOKUP(Sales4[[#This Row],[Material]],'COGS Break up'!#REF!,5,0),0)</f>
        <v>0</v>
      </c>
      <c r="AE44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40" s="48" t="e">
        <f>Sales4[[#This Row],[PGI per unit]]-Sales4[[#This Row],[BOM Cost]]-Sales4[[#This Row],[Labour cost per unit]]-Sales4[[#This Row],[Other Conversion cost pu]]</f>
        <v>#REF!</v>
      </c>
      <c r="AG440" s="48" t="e">
        <f>Sales4[[#This Row],[BOM Cost2]]+Sales4[[#This Row],[Labour Cost]]+Sales4[[#This Row],[Other conversion cost]]</f>
        <v>#REF!</v>
      </c>
      <c r="AH440" s="12" t="e">
        <f>Sales4[[#This Row],[Billed Quantity]]*Sales4[[#This Row],[BOM Cost]]</f>
        <v>#REF!</v>
      </c>
      <c r="AI440" s="12" t="e">
        <f>Sales4[[#This Row],[Billed Quantity]]*Sales4[[#This Row],[Labour cost per unit]]</f>
        <v>#REF!</v>
      </c>
      <c r="AJ440" s="12">
        <f>Sales4[[#This Row],[Droppage per unit]]*Sales4[[#This Row],[Billed Quantity]]</f>
        <v>0</v>
      </c>
      <c r="AK440" s="12" t="e">
        <f>Sales4[[#This Row],[Billed Quantity]]*Sales4[[#This Row],[Other Conversion cost pu]]</f>
        <v>#REF!</v>
      </c>
      <c r="AL440" s="48" t="e">
        <f>Sales4[[#This Row],[PGI Amount]]-Sales4[[#This Row],[BOM Cost2]]-Sales4[[#This Row],[Labour Cost]]-Sales4[[#This Row],[Other conversion cost]]</f>
        <v>#REF!</v>
      </c>
      <c r="AM440" s="121" t="e">
        <f>1-Sales4[[#This Row],[PGI COST]]/Sales4[[#This Row],[Net Value]]</f>
        <v>#REF!</v>
      </c>
      <c r="AN440" s="1">
        <f>Sales4[[#This Row],[PGI Amount]]/Sales4[[#This Row],[Billed Quantity]]</f>
        <v>329.43</v>
      </c>
      <c r="AO440" s="72" t="e">
        <f>SUMIFS('COGS Break up'!#REF!,'COGS Break up'!#REF!,Sales4[[#This Row],[Material]],'COGS Break up'!#REF!,'MIS Working'!$AO$1)</f>
        <v>#REF!</v>
      </c>
      <c r="AP440" s="72" t="e">
        <f>SUMIFS('COGS Break up'!#REF!,'COGS Break up'!#REF!,Sales4[[#This Row],[Material]],'COGS Break up'!#REF!,'MIS Working'!$AP$1)</f>
        <v>#REF!</v>
      </c>
      <c r="AQ440" s="72" t="e">
        <f>SUMIFS('COGS Break up'!#REF!,'COGS Break up'!#REF!,Sales4[[#This Row],[Material]],'COGS Break up'!#REF!,'MIS Working'!$AQ$1)</f>
        <v>#REF!</v>
      </c>
      <c r="AR440" s="72">
        <f>Sales4[[#This Row],[Droppage per unit]]</f>
        <v>0</v>
      </c>
      <c r="AS440" s="15" t="e">
        <f>AO440*Sales4[[#This Row],[Billed Quantity]]</f>
        <v>#REF!</v>
      </c>
      <c r="AT440" s="72" t="e">
        <f>AP440*Sales4[[#This Row],[Billed Quantity]]</f>
        <v>#REF!</v>
      </c>
      <c r="AU440" s="72" t="e">
        <f>AQ440*Sales4[[#This Row],[Billed Quantity]]</f>
        <v>#REF!</v>
      </c>
      <c r="AV440" s="72">
        <f>AR440*Sales4[[#This Row],[Billed Quantity]]</f>
        <v>0</v>
      </c>
    </row>
    <row r="441" spans="1:48" x14ac:dyDescent="0.3">
      <c r="A441" s="1" t="s">
        <v>479</v>
      </c>
      <c r="B441" s="2">
        <v>45902</v>
      </c>
      <c r="C441" s="1">
        <v>3271266357</v>
      </c>
      <c r="D441" s="1" t="s">
        <v>23</v>
      </c>
      <c r="E441" s="1" t="s">
        <v>24</v>
      </c>
      <c r="F441" s="1" t="s">
        <v>18</v>
      </c>
      <c r="G441" s="1" t="s">
        <v>19</v>
      </c>
      <c r="H441" s="1" t="s">
        <v>27</v>
      </c>
      <c r="I441" s="3">
        <v>315</v>
      </c>
      <c r="J441" s="4">
        <v>133695.45000000001</v>
      </c>
      <c r="K441" s="3">
        <v>315</v>
      </c>
      <c r="L441" s="3">
        <v>315</v>
      </c>
      <c r="M441" s="2">
        <v>45902</v>
      </c>
      <c r="N441" s="4">
        <v>152195.4</v>
      </c>
      <c r="O441" s="1" t="s">
        <v>21</v>
      </c>
      <c r="P441" s="1" t="s">
        <v>22</v>
      </c>
      <c r="Q441" s="1">
        <v>1</v>
      </c>
      <c r="R441" s="1" t="str">
        <f>VLOOKUP(Sales4[[#This Row],[Material type]],Master!$H$3:$I$8,2,0)</f>
        <v>Finished Goods</v>
      </c>
      <c r="S441" s="1" t="str">
        <f>VLOOKUP(Sales4[[#This Row],[Material Group]],Master!B:C,2,0)</f>
        <v>FG-PCB-CF</v>
      </c>
      <c r="T441" s="1" t="str">
        <f>VLOOKUP(Sales4[[#This Row],[Material Group Descrip]],Master!E:F,2,0)</f>
        <v>FG-PCB-CF</v>
      </c>
      <c r="U441" s="9" t="b">
        <f ca="1">(TODAY()-1)=Sales4[[#This Row],[Billing Date]]</f>
        <v>0</v>
      </c>
      <c r="V441" s="10" t="e">
        <f>Sales4[[#This Row],[Net Value]]-Sales4[[#This Row],[PGI COST]]</f>
        <v>#REF!</v>
      </c>
      <c r="W441" s="11" t="e">
        <f>Sales4[[#This Row],[Gross Margin]]/Sales4[[#This Row],[Net Value]]</f>
        <v>#REF!</v>
      </c>
      <c r="X441" s="1" t="str">
        <f>TEXT(Sales4[[#This Row],[Billing Date]],"mmmm-yy")</f>
        <v>September-25</v>
      </c>
      <c r="Y441" s="1">
        <f>Sales4[[#This Row],[Net Value]]/Sales4[[#This Row],[Billed Quantity]]</f>
        <v>483.15999999999997</v>
      </c>
      <c r="Z441" s="117">
        <f>Sales4[[#This Row],[Actual delivery qty]]</f>
        <v>315</v>
      </c>
      <c r="AA441" s="12" t="e">
        <f>SUM(Sales4[[#This Row],[BOM Cost]:[Other Conversion cost pu]])</f>
        <v>#REF!</v>
      </c>
      <c r="AB44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4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41" s="12">
        <f>IFERROR(VLOOKUP(Sales4[[#This Row],[Material]],'COGS Break up'!#REF!,5,0),0)</f>
        <v>0</v>
      </c>
      <c r="AE44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41" s="48" t="e">
        <f>Sales4[[#This Row],[PGI per unit]]-Sales4[[#This Row],[BOM Cost]]-Sales4[[#This Row],[Labour cost per unit]]-Sales4[[#This Row],[Other Conversion cost pu]]</f>
        <v>#REF!</v>
      </c>
      <c r="AG441" s="48" t="e">
        <f>Sales4[[#This Row],[BOM Cost2]]+Sales4[[#This Row],[Labour Cost]]+Sales4[[#This Row],[Other conversion cost]]</f>
        <v>#REF!</v>
      </c>
      <c r="AH441" s="12" t="e">
        <f>Sales4[[#This Row],[Billed Quantity]]*Sales4[[#This Row],[BOM Cost]]</f>
        <v>#REF!</v>
      </c>
      <c r="AI441" s="12" t="e">
        <f>Sales4[[#This Row],[Billed Quantity]]*Sales4[[#This Row],[Labour cost per unit]]</f>
        <v>#REF!</v>
      </c>
      <c r="AJ441" s="12">
        <f>Sales4[[#This Row],[Droppage per unit]]*Sales4[[#This Row],[Billed Quantity]]</f>
        <v>0</v>
      </c>
      <c r="AK441" s="12" t="e">
        <f>Sales4[[#This Row],[Billed Quantity]]*Sales4[[#This Row],[Other Conversion cost pu]]</f>
        <v>#REF!</v>
      </c>
      <c r="AL441" s="48" t="e">
        <f>Sales4[[#This Row],[PGI Amount]]-Sales4[[#This Row],[BOM Cost2]]-Sales4[[#This Row],[Labour Cost]]-Sales4[[#This Row],[Other conversion cost]]</f>
        <v>#REF!</v>
      </c>
      <c r="AM441" s="121" t="e">
        <f>1-Sales4[[#This Row],[PGI COST]]/Sales4[[#This Row],[Net Value]]</f>
        <v>#REF!</v>
      </c>
      <c r="AN441" s="1">
        <f>Sales4[[#This Row],[PGI Amount]]/Sales4[[#This Row],[Billed Quantity]]</f>
        <v>424.43000000000006</v>
      </c>
      <c r="AO441" s="72" t="e">
        <f>SUMIFS('COGS Break up'!#REF!,'COGS Break up'!#REF!,Sales4[[#This Row],[Material]],'COGS Break up'!#REF!,'MIS Working'!$AO$1)</f>
        <v>#REF!</v>
      </c>
      <c r="AP441" s="72" t="e">
        <f>SUMIFS('COGS Break up'!#REF!,'COGS Break up'!#REF!,Sales4[[#This Row],[Material]],'COGS Break up'!#REF!,'MIS Working'!$AP$1)</f>
        <v>#REF!</v>
      </c>
      <c r="AQ441" s="72" t="e">
        <f>SUMIFS('COGS Break up'!#REF!,'COGS Break up'!#REF!,Sales4[[#This Row],[Material]],'COGS Break up'!#REF!,'MIS Working'!$AQ$1)</f>
        <v>#REF!</v>
      </c>
      <c r="AR441" s="72">
        <f>Sales4[[#This Row],[Droppage per unit]]</f>
        <v>0</v>
      </c>
      <c r="AS441" s="15" t="e">
        <f>AO441*Sales4[[#This Row],[Billed Quantity]]</f>
        <v>#REF!</v>
      </c>
      <c r="AT441" s="72" t="e">
        <f>AP441*Sales4[[#This Row],[Billed Quantity]]</f>
        <v>#REF!</v>
      </c>
      <c r="AU441" s="72" t="e">
        <f>AQ441*Sales4[[#This Row],[Billed Quantity]]</f>
        <v>#REF!</v>
      </c>
      <c r="AV441" s="72">
        <f>AR441*Sales4[[#This Row],[Billed Quantity]]</f>
        <v>0</v>
      </c>
    </row>
    <row r="442" spans="1:48" x14ac:dyDescent="0.3">
      <c r="A442" s="1" t="s">
        <v>479</v>
      </c>
      <c r="B442" s="2">
        <v>45902</v>
      </c>
      <c r="C442" s="1">
        <v>3271265748</v>
      </c>
      <c r="D442" s="1" t="s">
        <v>23</v>
      </c>
      <c r="E442" s="1" t="s">
        <v>24</v>
      </c>
      <c r="F442" s="1" t="s">
        <v>18</v>
      </c>
      <c r="G442" s="1" t="s">
        <v>19</v>
      </c>
      <c r="H442" s="1" t="s">
        <v>27</v>
      </c>
      <c r="I442" s="3">
        <v>315</v>
      </c>
      <c r="J442" s="4">
        <v>133695.45000000001</v>
      </c>
      <c r="K442" s="3">
        <v>315</v>
      </c>
      <c r="L442" s="3">
        <v>315</v>
      </c>
      <c r="M442" s="2">
        <v>45902</v>
      </c>
      <c r="N442" s="4">
        <v>152195.4</v>
      </c>
      <c r="O442" s="1" t="s">
        <v>21</v>
      </c>
      <c r="P442" s="1" t="s">
        <v>22</v>
      </c>
      <c r="Q442" s="1">
        <v>1</v>
      </c>
      <c r="R442" s="1" t="str">
        <f>VLOOKUP(Sales4[[#This Row],[Material type]],Master!$H$3:$I$8,2,0)</f>
        <v>Finished Goods</v>
      </c>
      <c r="S442" s="1" t="str">
        <f>VLOOKUP(Sales4[[#This Row],[Material Group]],Master!B:C,2,0)</f>
        <v>FG-PCB-CF</v>
      </c>
      <c r="T442" s="1" t="str">
        <f>VLOOKUP(Sales4[[#This Row],[Material Group Descrip]],Master!E:F,2,0)</f>
        <v>FG-PCB-CF</v>
      </c>
      <c r="U442" s="9" t="b">
        <f ca="1">(TODAY()-1)=Sales4[[#This Row],[Billing Date]]</f>
        <v>0</v>
      </c>
      <c r="V442" s="10" t="e">
        <f>Sales4[[#This Row],[Net Value]]-Sales4[[#This Row],[PGI COST]]</f>
        <v>#REF!</v>
      </c>
      <c r="W442" s="11" t="e">
        <f>Sales4[[#This Row],[Gross Margin]]/Sales4[[#This Row],[Net Value]]</f>
        <v>#REF!</v>
      </c>
      <c r="X442" s="1" t="str">
        <f>TEXT(Sales4[[#This Row],[Billing Date]],"mmmm-yy")</f>
        <v>September-25</v>
      </c>
      <c r="Y442" s="1">
        <f>Sales4[[#This Row],[Net Value]]/Sales4[[#This Row],[Billed Quantity]]</f>
        <v>483.15999999999997</v>
      </c>
      <c r="Z442" s="117">
        <f>Sales4[[#This Row],[Actual delivery qty]]</f>
        <v>315</v>
      </c>
      <c r="AA442" s="12" t="e">
        <f>SUM(Sales4[[#This Row],[BOM Cost]:[Other Conversion cost pu]])</f>
        <v>#REF!</v>
      </c>
      <c r="AB44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4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42" s="12">
        <f>IFERROR(VLOOKUP(Sales4[[#This Row],[Material]],'COGS Break up'!#REF!,5,0),0)</f>
        <v>0</v>
      </c>
      <c r="AE44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42" s="48" t="e">
        <f>Sales4[[#This Row],[PGI per unit]]-Sales4[[#This Row],[BOM Cost]]-Sales4[[#This Row],[Labour cost per unit]]-Sales4[[#This Row],[Other Conversion cost pu]]</f>
        <v>#REF!</v>
      </c>
      <c r="AG442" s="48" t="e">
        <f>Sales4[[#This Row],[BOM Cost2]]+Sales4[[#This Row],[Labour Cost]]+Sales4[[#This Row],[Other conversion cost]]</f>
        <v>#REF!</v>
      </c>
      <c r="AH442" s="12" t="e">
        <f>Sales4[[#This Row],[Billed Quantity]]*Sales4[[#This Row],[BOM Cost]]</f>
        <v>#REF!</v>
      </c>
      <c r="AI442" s="12" t="e">
        <f>Sales4[[#This Row],[Billed Quantity]]*Sales4[[#This Row],[Labour cost per unit]]</f>
        <v>#REF!</v>
      </c>
      <c r="AJ442" s="12">
        <f>Sales4[[#This Row],[Droppage per unit]]*Sales4[[#This Row],[Billed Quantity]]</f>
        <v>0</v>
      </c>
      <c r="AK442" s="12" t="e">
        <f>Sales4[[#This Row],[Billed Quantity]]*Sales4[[#This Row],[Other Conversion cost pu]]</f>
        <v>#REF!</v>
      </c>
      <c r="AL442" s="48" t="e">
        <f>Sales4[[#This Row],[PGI Amount]]-Sales4[[#This Row],[BOM Cost2]]-Sales4[[#This Row],[Labour Cost]]-Sales4[[#This Row],[Other conversion cost]]</f>
        <v>#REF!</v>
      </c>
      <c r="AM442" s="121" t="e">
        <f>1-Sales4[[#This Row],[PGI COST]]/Sales4[[#This Row],[Net Value]]</f>
        <v>#REF!</v>
      </c>
      <c r="AN442" s="1">
        <f>Sales4[[#This Row],[PGI Amount]]/Sales4[[#This Row],[Billed Quantity]]</f>
        <v>424.43000000000006</v>
      </c>
      <c r="AO442" s="72" t="e">
        <f>SUMIFS('COGS Break up'!#REF!,'COGS Break up'!#REF!,Sales4[[#This Row],[Material]],'COGS Break up'!#REF!,'MIS Working'!$AO$1)</f>
        <v>#REF!</v>
      </c>
      <c r="AP442" s="72" t="e">
        <f>SUMIFS('COGS Break up'!#REF!,'COGS Break up'!#REF!,Sales4[[#This Row],[Material]],'COGS Break up'!#REF!,'MIS Working'!$AP$1)</f>
        <v>#REF!</v>
      </c>
      <c r="AQ442" s="72" t="e">
        <f>SUMIFS('COGS Break up'!#REF!,'COGS Break up'!#REF!,Sales4[[#This Row],[Material]],'COGS Break up'!#REF!,'MIS Working'!$AQ$1)</f>
        <v>#REF!</v>
      </c>
      <c r="AR442" s="72">
        <f>Sales4[[#This Row],[Droppage per unit]]</f>
        <v>0</v>
      </c>
      <c r="AS442" s="15" t="e">
        <f>AO442*Sales4[[#This Row],[Billed Quantity]]</f>
        <v>#REF!</v>
      </c>
      <c r="AT442" s="72" t="e">
        <f>AP442*Sales4[[#This Row],[Billed Quantity]]</f>
        <v>#REF!</v>
      </c>
      <c r="AU442" s="72" t="e">
        <f>AQ442*Sales4[[#This Row],[Billed Quantity]]</f>
        <v>#REF!</v>
      </c>
      <c r="AV442" s="72">
        <f>AR442*Sales4[[#This Row],[Billed Quantity]]</f>
        <v>0</v>
      </c>
    </row>
    <row r="443" spans="1:48" x14ac:dyDescent="0.3">
      <c r="A443" s="1" t="s">
        <v>479</v>
      </c>
      <c r="B443" s="2">
        <v>45902</v>
      </c>
      <c r="C443" s="1">
        <v>3271265748</v>
      </c>
      <c r="D443" s="1" t="s">
        <v>491</v>
      </c>
      <c r="E443" s="1" t="s">
        <v>492</v>
      </c>
      <c r="F443" s="1" t="s">
        <v>18</v>
      </c>
      <c r="G443" s="1" t="s">
        <v>19</v>
      </c>
      <c r="H443" s="1" t="s">
        <v>27</v>
      </c>
      <c r="I443" s="3">
        <v>175</v>
      </c>
      <c r="J443" s="4">
        <v>58163</v>
      </c>
      <c r="K443" s="3">
        <v>175</v>
      </c>
      <c r="L443" s="3">
        <v>175</v>
      </c>
      <c r="M443" s="2">
        <v>45902</v>
      </c>
      <c r="N443" s="4">
        <v>62000.75</v>
      </c>
      <c r="O443" s="1" t="s">
        <v>21</v>
      </c>
      <c r="P443" s="1" t="s">
        <v>22</v>
      </c>
      <c r="Q443" s="1">
        <v>1</v>
      </c>
      <c r="R443" s="1" t="str">
        <f>VLOOKUP(Sales4[[#This Row],[Material type]],Master!$H$3:$I$8,2,0)</f>
        <v>Finished Goods</v>
      </c>
      <c r="S443" s="1" t="str">
        <f>VLOOKUP(Sales4[[#This Row],[Material Group]],Master!B:C,2,0)</f>
        <v>FG-PCB-CF</v>
      </c>
      <c r="T443" s="1" t="str">
        <f>VLOOKUP(Sales4[[#This Row],[Material Group Descrip]],Master!E:F,2,0)</f>
        <v>FG-PCB-CF</v>
      </c>
      <c r="U443" s="9" t="b">
        <f ca="1">(TODAY()-1)=Sales4[[#This Row],[Billing Date]]</f>
        <v>0</v>
      </c>
      <c r="V443" s="10" t="e">
        <f>Sales4[[#This Row],[Net Value]]-Sales4[[#This Row],[PGI COST]]</f>
        <v>#REF!</v>
      </c>
      <c r="W443" s="11" t="e">
        <f>Sales4[[#This Row],[Gross Margin]]/Sales4[[#This Row],[Net Value]]</f>
        <v>#REF!</v>
      </c>
      <c r="X443" s="1" t="str">
        <f>TEXT(Sales4[[#This Row],[Billing Date]],"mmmm-yy")</f>
        <v>September-25</v>
      </c>
      <c r="Y443" s="1">
        <f>Sales4[[#This Row],[Net Value]]/Sales4[[#This Row],[Billed Quantity]]</f>
        <v>354.29</v>
      </c>
      <c r="Z443" s="117">
        <f>Sales4[[#This Row],[Actual delivery qty]]</f>
        <v>175</v>
      </c>
      <c r="AA443" s="12" t="e">
        <f>SUM(Sales4[[#This Row],[BOM Cost]:[Other Conversion cost pu]])</f>
        <v>#REF!</v>
      </c>
      <c r="AB44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4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43" s="12">
        <f>IFERROR(VLOOKUP(Sales4[[#This Row],[Material]],'COGS Break up'!#REF!,5,0),0)</f>
        <v>0</v>
      </c>
      <c r="AE44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43" s="48" t="e">
        <f>Sales4[[#This Row],[PGI per unit]]-Sales4[[#This Row],[BOM Cost]]-Sales4[[#This Row],[Labour cost per unit]]-Sales4[[#This Row],[Other Conversion cost pu]]</f>
        <v>#REF!</v>
      </c>
      <c r="AG443" s="48" t="e">
        <f>Sales4[[#This Row],[BOM Cost2]]+Sales4[[#This Row],[Labour Cost]]+Sales4[[#This Row],[Other conversion cost]]</f>
        <v>#REF!</v>
      </c>
      <c r="AH443" s="12" t="e">
        <f>Sales4[[#This Row],[Billed Quantity]]*Sales4[[#This Row],[BOM Cost]]</f>
        <v>#REF!</v>
      </c>
      <c r="AI443" s="12" t="e">
        <f>Sales4[[#This Row],[Billed Quantity]]*Sales4[[#This Row],[Labour cost per unit]]</f>
        <v>#REF!</v>
      </c>
      <c r="AJ443" s="12">
        <f>Sales4[[#This Row],[Droppage per unit]]*Sales4[[#This Row],[Billed Quantity]]</f>
        <v>0</v>
      </c>
      <c r="AK443" s="12" t="e">
        <f>Sales4[[#This Row],[Billed Quantity]]*Sales4[[#This Row],[Other Conversion cost pu]]</f>
        <v>#REF!</v>
      </c>
      <c r="AL443" s="48" t="e">
        <f>Sales4[[#This Row],[PGI Amount]]-Sales4[[#This Row],[BOM Cost2]]-Sales4[[#This Row],[Labour Cost]]-Sales4[[#This Row],[Other conversion cost]]</f>
        <v>#REF!</v>
      </c>
      <c r="AM443" s="121" t="e">
        <f>1-Sales4[[#This Row],[PGI COST]]/Sales4[[#This Row],[Net Value]]</f>
        <v>#REF!</v>
      </c>
      <c r="AN443" s="1">
        <f>Sales4[[#This Row],[PGI Amount]]/Sales4[[#This Row],[Billed Quantity]]</f>
        <v>332.36</v>
      </c>
      <c r="AO443" s="72" t="e">
        <f>SUMIFS('COGS Break up'!#REF!,'COGS Break up'!#REF!,Sales4[[#This Row],[Material]],'COGS Break up'!#REF!,'MIS Working'!$AO$1)</f>
        <v>#REF!</v>
      </c>
      <c r="AP443" s="72" t="e">
        <f>SUMIFS('COGS Break up'!#REF!,'COGS Break up'!#REF!,Sales4[[#This Row],[Material]],'COGS Break up'!#REF!,'MIS Working'!$AP$1)</f>
        <v>#REF!</v>
      </c>
      <c r="AQ443" s="72" t="e">
        <f>SUMIFS('COGS Break up'!#REF!,'COGS Break up'!#REF!,Sales4[[#This Row],[Material]],'COGS Break up'!#REF!,'MIS Working'!$AQ$1)</f>
        <v>#REF!</v>
      </c>
      <c r="AR443" s="72">
        <f>Sales4[[#This Row],[Droppage per unit]]</f>
        <v>0</v>
      </c>
      <c r="AS443" s="15" t="e">
        <f>AO443*Sales4[[#This Row],[Billed Quantity]]</f>
        <v>#REF!</v>
      </c>
      <c r="AT443" s="72" t="e">
        <f>AP443*Sales4[[#This Row],[Billed Quantity]]</f>
        <v>#REF!</v>
      </c>
      <c r="AU443" s="72" t="e">
        <f>AQ443*Sales4[[#This Row],[Billed Quantity]]</f>
        <v>#REF!</v>
      </c>
      <c r="AV443" s="72">
        <f>AR443*Sales4[[#This Row],[Billed Quantity]]</f>
        <v>0</v>
      </c>
    </row>
    <row r="444" spans="1:48" x14ac:dyDescent="0.3">
      <c r="A444" s="1" t="s">
        <v>479</v>
      </c>
      <c r="B444" s="2">
        <v>45902</v>
      </c>
      <c r="C444" s="1">
        <v>3271266357</v>
      </c>
      <c r="D444" s="1" t="s">
        <v>637</v>
      </c>
      <c r="E444" s="1" t="s">
        <v>638</v>
      </c>
      <c r="F444" s="1" t="s">
        <v>18</v>
      </c>
      <c r="G444" s="1" t="s">
        <v>19</v>
      </c>
      <c r="H444" s="1" t="s">
        <v>27</v>
      </c>
      <c r="I444" s="3">
        <v>70</v>
      </c>
      <c r="J444" s="4">
        <v>22401.4</v>
      </c>
      <c r="K444" s="3">
        <v>70</v>
      </c>
      <c r="L444" s="3">
        <v>70</v>
      </c>
      <c r="M444" s="2">
        <v>45902</v>
      </c>
      <c r="N444" s="4">
        <v>25611.599999999999</v>
      </c>
      <c r="O444" s="1" t="s">
        <v>21</v>
      </c>
      <c r="P444" s="1" t="s">
        <v>22</v>
      </c>
      <c r="Q444" s="1">
        <v>1</v>
      </c>
      <c r="R444" s="1" t="str">
        <f>VLOOKUP(Sales4[[#This Row],[Material type]],Master!$H$3:$I$8,2,0)</f>
        <v>Finished Goods</v>
      </c>
      <c r="S444" s="1" t="str">
        <f>VLOOKUP(Sales4[[#This Row],[Material Group]],Master!B:C,2,0)</f>
        <v>FG-PCB-CF</v>
      </c>
      <c r="T444" s="1" t="str">
        <f>VLOOKUP(Sales4[[#This Row],[Material Group Descrip]],Master!E:F,2,0)</f>
        <v>FG-PCB-CF</v>
      </c>
      <c r="U444" s="9" t="b">
        <f ca="1">(TODAY()-1)=Sales4[[#This Row],[Billing Date]]</f>
        <v>0</v>
      </c>
      <c r="V444" s="10" t="e">
        <f>Sales4[[#This Row],[Net Value]]-Sales4[[#This Row],[PGI COST]]</f>
        <v>#REF!</v>
      </c>
      <c r="W444" s="11" t="e">
        <f>Sales4[[#This Row],[Gross Margin]]/Sales4[[#This Row],[Net Value]]</f>
        <v>#REF!</v>
      </c>
      <c r="X444" s="1" t="str">
        <f>TEXT(Sales4[[#This Row],[Billing Date]],"mmmm-yy")</f>
        <v>September-25</v>
      </c>
      <c r="Y444" s="1">
        <f>Sales4[[#This Row],[Net Value]]/Sales4[[#This Row],[Billed Quantity]]</f>
        <v>365.88</v>
      </c>
      <c r="Z444" s="117">
        <f>Sales4[[#This Row],[Actual delivery qty]]</f>
        <v>70</v>
      </c>
      <c r="AA444" s="12" t="e">
        <f>SUM(Sales4[[#This Row],[BOM Cost]:[Other Conversion cost pu]])</f>
        <v>#REF!</v>
      </c>
      <c r="AB44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4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44" s="12">
        <f>IFERROR(VLOOKUP(Sales4[[#This Row],[Material]],'COGS Break up'!#REF!,5,0),0)</f>
        <v>0</v>
      </c>
      <c r="AE44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44" s="48" t="e">
        <f>Sales4[[#This Row],[PGI per unit]]-Sales4[[#This Row],[BOM Cost]]-Sales4[[#This Row],[Labour cost per unit]]-Sales4[[#This Row],[Other Conversion cost pu]]</f>
        <v>#REF!</v>
      </c>
      <c r="AG444" s="48" t="e">
        <f>Sales4[[#This Row],[BOM Cost2]]+Sales4[[#This Row],[Labour Cost]]+Sales4[[#This Row],[Other conversion cost]]</f>
        <v>#REF!</v>
      </c>
      <c r="AH444" s="12" t="e">
        <f>Sales4[[#This Row],[Billed Quantity]]*Sales4[[#This Row],[BOM Cost]]</f>
        <v>#REF!</v>
      </c>
      <c r="AI444" s="12" t="e">
        <f>Sales4[[#This Row],[Billed Quantity]]*Sales4[[#This Row],[Labour cost per unit]]</f>
        <v>#REF!</v>
      </c>
      <c r="AJ444" s="12">
        <f>Sales4[[#This Row],[Droppage per unit]]*Sales4[[#This Row],[Billed Quantity]]</f>
        <v>0</v>
      </c>
      <c r="AK444" s="12" t="e">
        <f>Sales4[[#This Row],[Billed Quantity]]*Sales4[[#This Row],[Other Conversion cost pu]]</f>
        <v>#REF!</v>
      </c>
      <c r="AL444" s="48" t="e">
        <f>Sales4[[#This Row],[PGI Amount]]-Sales4[[#This Row],[BOM Cost2]]-Sales4[[#This Row],[Labour Cost]]-Sales4[[#This Row],[Other conversion cost]]</f>
        <v>#REF!</v>
      </c>
      <c r="AM444" s="121" t="e">
        <f>1-Sales4[[#This Row],[PGI COST]]/Sales4[[#This Row],[Net Value]]</f>
        <v>#REF!</v>
      </c>
      <c r="AN444" s="1">
        <f>Sales4[[#This Row],[PGI Amount]]/Sales4[[#This Row],[Billed Quantity]]</f>
        <v>320.02000000000004</v>
      </c>
      <c r="AO444" s="72" t="e">
        <f>SUMIFS('COGS Break up'!#REF!,'COGS Break up'!#REF!,Sales4[[#This Row],[Material]],'COGS Break up'!#REF!,'MIS Working'!$AO$1)</f>
        <v>#REF!</v>
      </c>
      <c r="AP444" s="72" t="e">
        <f>SUMIFS('COGS Break up'!#REF!,'COGS Break up'!#REF!,Sales4[[#This Row],[Material]],'COGS Break up'!#REF!,'MIS Working'!$AP$1)</f>
        <v>#REF!</v>
      </c>
      <c r="AQ444" s="72" t="e">
        <f>SUMIFS('COGS Break up'!#REF!,'COGS Break up'!#REF!,Sales4[[#This Row],[Material]],'COGS Break up'!#REF!,'MIS Working'!$AQ$1)</f>
        <v>#REF!</v>
      </c>
      <c r="AR444" s="72">
        <f>Sales4[[#This Row],[Droppage per unit]]</f>
        <v>0</v>
      </c>
      <c r="AS444" s="15" t="e">
        <f>AO444*Sales4[[#This Row],[Billed Quantity]]</f>
        <v>#REF!</v>
      </c>
      <c r="AT444" s="72" t="e">
        <f>AP444*Sales4[[#This Row],[Billed Quantity]]</f>
        <v>#REF!</v>
      </c>
      <c r="AU444" s="72" t="e">
        <f>AQ444*Sales4[[#This Row],[Billed Quantity]]</f>
        <v>#REF!</v>
      </c>
      <c r="AV444" s="72">
        <f>AR444*Sales4[[#This Row],[Billed Quantity]]</f>
        <v>0</v>
      </c>
    </row>
    <row r="445" spans="1:48" x14ac:dyDescent="0.3">
      <c r="A445" s="1" t="s">
        <v>479</v>
      </c>
      <c r="B445" s="2">
        <v>45902</v>
      </c>
      <c r="C445" s="1">
        <v>3271265729</v>
      </c>
      <c r="D445" s="1" t="s">
        <v>637</v>
      </c>
      <c r="E445" s="1" t="s">
        <v>638</v>
      </c>
      <c r="F445" s="1" t="s">
        <v>18</v>
      </c>
      <c r="G445" s="1" t="s">
        <v>19</v>
      </c>
      <c r="H445" s="1" t="s">
        <v>27</v>
      </c>
      <c r="I445" s="3">
        <v>315</v>
      </c>
      <c r="J445" s="4">
        <v>100806.3</v>
      </c>
      <c r="K445" s="3">
        <v>315</v>
      </c>
      <c r="L445" s="3">
        <v>315</v>
      </c>
      <c r="M445" s="2">
        <v>45902</v>
      </c>
      <c r="N445" s="4">
        <v>115252.2</v>
      </c>
      <c r="O445" s="1" t="s">
        <v>21</v>
      </c>
      <c r="P445" s="1" t="s">
        <v>22</v>
      </c>
      <c r="Q445" s="1">
        <v>1</v>
      </c>
      <c r="R445" s="1" t="str">
        <f>VLOOKUP(Sales4[[#This Row],[Material type]],Master!$H$3:$I$8,2,0)</f>
        <v>Finished Goods</v>
      </c>
      <c r="S445" s="1" t="str">
        <f>VLOOKUP(Sales4[[#This Row],[Material Group]],Master!B:C,2,0)</f>
        <v>FG-PCB-CF</v>
      </c>
      <c r="T445" s="1" t="str">
        <f>VLOOKUP(Sales4[[#This Row],[Material Group Descrip]],Master!E:F,2,0)</f>
        <v>FG-PCB-CF</v>
      </c>
      <c r="U445" s="9" t="b">
        <f ca="1">(TODAY()-1)=Sales4[[#This Row],[Billing Date]]</f>
        <v>0</v>
      </c>
      <c r="V445" s="10" t="e">
        <f>Sales4[[#This Row],[Net Value]]-Sales4[[#This Row],[PGI COST]]</f>
        <v>#REF!</v>
      </c>
      <c r="W445" s="11" t="e">
        <f>Sales4[[#This Row],[Gross Margin]]/Sales4[[#This Row],[Net Value]]</f>
        <v>#REF!</v>
      </c>
      <c r="X445" s="1" t="str">
        <f>TEXT(Sales4[[#This Row],[Billing Date]],"mmmm-yy")</f>
        <v>September-25</v>
      </c>
      <c r="Y445" s="1">
        <f>Sales4[[#This Row],[Net Value]]/Sales4[[#This Row],[Billed Quantity]]</f>
        <v>365.88</v>
      </c>
      <c r="Z445" s="117">
        <f>Sales4[[#This Row],[Actual delivery qty]]</f>
        <v>315</v>
      </c>
      <c r="AA445" s="12" t="e">
        <f>SUM(Sales4[[#This Row],[BOM Cost]:[Other Conversion cost pu]])</f>
        <v>#REF!</v>
      </c>
      <c r="AB44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4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45" s="12">
        <f>IFERROR(VLOOKUP(Sales4[[#This Row],[Material]],'COGS Break up'!#REF!,5,0),0)</f>
        <v>0</v>
      </c>
      <c r="AE44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45" s="48" t="e">
        <f>Sales4[[#This Row],[PGI per unit]]-Sales4[[#This Row],[BOM Cost]]-Sales4[[#This Row],[Labour cost per unit]]-Sales4[[#This Row],[Other Conversion cost pu]]</f>
        <v>#REF!</v>
      </c>
      <c r="AG445" s="48" t="e">
        <f>Sales4[[#This Row],[BOM Cost2]]+Sales4[[#This Row],[Labour Cost]]+Sales4[[#This Row],[Other conversion cost]]</f>
        <v>#REF!</v>
      </c>
      <c r="AH445" s="12" t="e">
        <f>Sales4[[#This Row],[Billed Quantity]]*Sales4[[#This Row],[BOM Cost]]</f>
        <v>#REF!</v>
      </c>
      <c r="AI445" s="12" t="e">
        <f>Sales4[[#This Row],[Billed Quantity]]*Sales4[[#This Row],[Labour cost per unit]]</f>
        <v>#REF!</v>
      </c>
      <c r="AJ445" s="12">
        <f>Sales4[[#This Row],[Droppage per unit]]*Sales4[[#This Row],[Billed Quantity]]</f>
        <v>0</v>
      </c>
      <c r="AK445" s="12" t="e">
        <f>Sales4[[#This Row],[Billed Quantity]]*Sales4[[#This Row],[Other Conversion cost pu]]</f>
        <v>#REF!</v>
      </c>
      <c r="AL445" s="48" t="e">
        <f>Sales4[[#This Row],[PGI Amount]]-Sales4[[#This Row],[BOM Cost2]]-Sales4[[#This Row],[Labour Cost]]-Sales4[[#This Row],[Other conversion cost]]</f>
        <v>#REF!</v>
      </c>
      <c r="AM445" s="121" t="e">
        <f>1-Sales4[[#This Row],[PGI COST]]/Sales4[[#This Row],[Net Value]]</f>
        <v>#REF!</v>
      </c>
      <c r="AN445" s="1">
        <f>Sales4[[#This Row],[PGI Amount]]/Sales4[[#This Row],[Billed Quantity]]</f>
        <v>320.02</v>
      </c>
      <c r="AO445" s="72" t="e">
        <f>SUMIFS('COGS Break up'!#REF!,'COGS Break up'!#REF!,Sales4[[#This Row],[Material]],'COGS Break up'!#REF!,'MIS Working'!$AO$1)</f>
        <v>#REF!</v>
      </c>
      <c r="AP445" s="72" t="e">
        <f>SUMIFS('COGS Break up'!#REF!,'COGS Break up'!#REF!,Sales4[[#This Row],[Material]],'COGS Break up'!#REF!,'MIS Working'!$AP$1)</f>
        <v>#REF!</v>
      </c>
      <c r="AQ445" s="72" t="e">
        <f>SUMIFS('COGS Break up'!#REF!,'COGS Break up'!#REF!,Sales4[[#This Row],[Material]],'COGS Break up'!#REF!,'MIS Working'!$AQ$1)</f>
        <v>#REF!</v>
      </c>
      <c r="AR445" s="72">
        <f>Sales4[[#This Row],[Droppage per unit]]</f>
        <v>0</v>
      </c>
      <c r="AS445" s="15" t="e">
        <f>AO445*Sales4[[#This Row],[Billed Quantity]]</f>
        <v>#REF!</v>
      </c>
      <c r="AT445" s="72" t="e">
        <f>AP445*Sales4[[#This Row],[Billed Quantity]]</f>
        <v>#REF!</v>
      </c>
      <c r="AU445" s="72" t="e">
        <f>AQ445*Sales4[[#This Row],[Billed Quantity]]</f>
        <v>#REF!</v>
      </c>
      <c r="AV445" s="72">
        <f>AR445*Sales4[[#This Row],[Billed Quantity]]</f>
        <v>0</v>
      </c>
    </row>
    <row r="446" spans="1:48" x14ac:dyDescent="0.3">
      <c r="A446" s="1" t="s">
        <v>479</v>
      </c>
      <c r="B446" s="2">
        <v>45902</v>
      </c>
      <c r="C446" s="1">
        <v>3271265749</v>
      </c>
      <c r="D446" s="1" t="s">
        <v>40</v>
      </c>
      <c r="E446" s="1" t="s">
        <v>41</v>
      </c>
      <c r="F446" s="1" t="s">
        <v>18</v>
      </c>
      <c r="G446" s="1" t="s">
        <v>34</v>
      </c>
      <c r="H446" s="1" t="s">
        <v>772</v>
      </c>
      <c r="I446" s="3">
        <v>3096</v>
      </c>
      <c r="J446" s="4">
        <v>456783.84</v>
      </c>
      <c r="K446" s="3">
        <v>3096</v>
      </c>
      <c r="L446" s="3">
        <v>3096</v>
      </c>
      <c r="M446" s="2">
        <v>45902</v>
      </c>
      <c r="N446" s="4">
        <v>504462.24</v>
      </c>
      <c r="O446" s="1" t="s">
        <v>21</v>
      </c>
      <c r="P446" s="1" t="s">
        <v>22</v>
      </c>
      <c r="Q446" s="1">
        <v>1</v>
      </c>
      <c r="R446" s="1" t="str">
        <f>VLOOKUP(Sales4[[#This Row],[Material type]],Master!$H$3:$I$8,2,0)</f>
        <v>Semi-Finished Goods</v>
      </c>
      <c r="S446" s="1" t="str">
        <f>VLOOKUP(Sales4[[#This Row],[Material Group]],Master!B:C,2,0)</f>
        <v>SFG-GV5 Stator</v>
      </c>
      <c r="T446" s="1" t="str">
        <f>VLOOKUP(Sales4[[#This Row],[Material Group Descrip]],Master!E:F,2,0)</f>
        <v>Sub Ass.-Mech Stator</v>
      </c>
      <c r="U446" s="9" t="b">
        <f ca="1">(TODAY()-1)=Sales4[[#This Row],[Billing Date]]</f>
        <v>0</v>
      </c>
      <c r="V446" s="10" t="e">
        <f>Sales4[[#This Row],[Net Value]]-Sales4[[#This Row],[PGI COST]]</f>
        <v>#REF!</v>
      </c>
      <c r="W446" s="11" t="e">
        <f>Sales4[[#This Row],[Gross Margin]]/Sales4[[#This Row],[Net Value]]</f>
        <v>#REF!</v>
      </c>
      <c r="X446" s="1" t="str">
        <f>TEXT(Sales4[[#This Row],[Billing Date]],"mmmm-yy")</f>
        <v>September-25</v>
      </c>
      <c r="Y446" s="1">
        <f>Sales4[[#This Row],[Net Value]]/Sales4[[#This Row],[Billed Quantity]]</f>
        <v>162.94</v>
      </c>
      <c r="Z446" s="117">
        <f>Sales4[[#This Row],[Actual delivery qty]]</f>
        <v>3096</v>
      </c>
      <c r="AA446" s="12" t="e">
        <f>SUM(Sales4[[#This Row],[BOM Cost]:[Other Conversion cost pu]])</f>
        <v>#REF!</v>
      </c>
      <c r="AB44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4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46" s="12">
        <f>IFERROR(VLOOKUP(Sales4[[#This Row],[Material]],'COGS Break up'!#REF!,5,0),0)</f>
        <v>0</v>
      </c>
      <c r="AE44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46" s="48" t="e">
        <f>Sales4[[#This Row],[PGI per unit]]-Sales4[[#This Row],[BOM Cost]]-Sales4[[#This Row],[Labour cost per unit]]-Sales4[[#This Row],[Other Conversion cost pu]]</f>
        <v>#REF!</v>
      </c>
      <c r="AG446" s="48" t="e">
        <f>Sales4[[#This Row],[BOM Cost2]]+Sales4[[#This Row],[Labour Cost]]+Sales4[[#This Row],[Other conversion cost]]</f>
        <v>#REF!</v>
      </c>
      <c r="AH446" s="12" t="e">
        <f>Sales4[[#This Row],[Billed Quantity]]*Sales4[[#This Row],[BOM Cost]]</f>
        <v>#REF!</v>
      </c>
      <c r="AI446" s="12" t="e">
        <f>Sales4[[#This Row],[Billed Quantity]]*Sales4[[#This Row],[Labour cost per unit]]</f>
        <v>#REF!</v>
      </c>
      <c r="AJ446" s="12">
        <f>Sales4[[#This Row],[Droppage per unit]]*Sales4[[#This Row],[Billed Quantity]]</f>
        <v>0</v>
      </c>
      <c r="AK446" s="12" t="e">
        <f>Sales4[[#This Row],[Billed Quantity]]*Sales4[[#This Row],[Other Conversion cost pu]]</f>
        <v>#REF!</v>
      </c>
      <c r="AL446" s="48" t="e">
        <f>Sales4[[#This Row],[PGI Amount]]-Sales4[[#This Row],[BOM Cost2]]-Sales4[[#This Row],[Labour Cost]]-Sales4[[#This Row],[Other conversion cost]]</f>
        <v>#REF!</v>
      </c>
      <c r="AM446" s="121" t="e">
        <f>1-Sales4[[#This Row],[PGI COST]]/Sales4[[#This Row],[Net Value]]</f>
        <v>#REF!</v>
      </c>
      <c r="AN446" s="1">
        <f>Sales4[[#This Row],[PGI Amount]]/Sales4[[#This Row],[Billed Quantity]]</f>
        <v>147.54000000000002</v>
      </c>
      <c r="AO446" s="72" t="e">
        <f>SUMIFS('COGS Break up'!#REF!,'COGS Break up'!#REF!,Sales4[[#This Row],[Material]],'COGS Break up'!#REF!,'MIS Working'!$AO$1)</f>
        <v>#REF!</v>
      </c>
      <c r="AP446" s="72" t="e">
        <f>SUMIFS('COGS Break up'!#REF!,'COGS Break up'!#REF!,Sales4[[#This Row],[Material]],'COGS Break up'!#REF!,'MIS Working'!$AP$1)</f>
        <v>#REF!</v>
      </c>
      <c r="AQ446" s="72" t="e">
        <f>SUMIFS('COGS Break up'!#REF!,'COGS Break up'!#REF!,Sales4[[#This Row],[Material]],'COGS Break up'!#REF!,'MIS Working'!$AQ$1)</f>
        <v>#REF!</v>
      </c>
      <c r="AR446" s="72">
        <f>Sales4[[#This Row],[Droppage per unit]]</f>
        <v>0</v>
      </c>
      <c r="AS446" s="15" t="e">
        <f>AO446*Sales4[[#This Row],[Billed Quantity]]</f>
        <v>#REF!</v>
      </c>
      <c r="AT446" s="72" t="e">
        <f>AP446*Sales4[[#This Row],[Billed Quantity]]</f>
        <v>#REF!</v>
      </c>
      <c r="AU446" s="72" t="e">
        <f>AQ446*Sales4[[#This Row],[Billed Quantity]]</f>
        <v>#REF!</v>
      </c>
      <c r="AV446" s="72">
        <f>AR446*Sales4[[#This Row],[Billed Quantity]]</f>
        <v>0</v>
      </c>
    </row>
    <row r="447" spans="1:48" x14ac:dyDescent="0.3">
      <c r="A447" s="1" t="s">
        <v>479</v>
      </c>
      <c r="B447" s="2">
        <v>45902</v>
      </c>
      <c r="C447" s="1">
        <v>3271265714</v>
      </c>
      <c r="D447" s="1" t="s">
        <v>1182</v>
      </c>
      <c r="E447" s="1" t="s">
        <v>1183</v>
      </c>
      <c r="F447" s="1" t="s">
        <v>18</v>
      </c>
      <c r="G447" s="1" t="s">
        <v>19</v>
      </c>
      <c r="H447" s="1" t="s">
        <v>27</v>
      </c>
      <c r="I447" s="3">
        <v>105</v>
      </c>
      <c r="J447" s="4">
        <v>44565.15</v>
      </c>
      <c r="K447" s="3">
        <v>105</v>
      </c>
      <c r="L447" s="3">
        <v>105</v>
      </c>
      <c r="M447" s="2">
        <v>45902</v>
      </c>
      <c r="N447" s="4">
        <v>50731.8</v>
      </c>
      <c r="O447" s="1" t="s">
        <v>21</v>
      </c>
      <c r="P447" s="1" t="s">
        <v>22</v>
      </c>
      <c r="Q447" s="1">
        <v>1</v>
      </c>
      <c r="R447" s="1" t="str">
        <f>VLOOKUP(Sales4[[#This Row],[Material type]],Master!$H$3:$I$8,2,0)</f>
        <v>Finished Goods</v>
      </c>
      <c r="S447" s="1" t="str">
        <f>VLOOKUP(Sales4[[#This Row],[Material Group]],Master!B:C,2,0)</f>
        <v>FG-PCB-CF</v>
      </c>
      <c r="T447" s="1" t="str">
        <f>VLOOKUP(Sales4[[#This Row],[Material Group Descrip]],Master!E:F,2,0)</f>
        <v>FG-PCB-CF</v>
      </c>
      <c r="U447" s="9" t="b">
        <f ca="1">(TODAY()-1)=Sales4[[#This Row],[Billing Date]]</f>
        <v>0</v>
      </c>
      <c r="V447" s="10" t="e">
        <f>Sales4[[#This Row],[Net Value]]-Sales4[[#This Row],[PGI COST]]</f>
        <v>#REF!</v>
      </c>
      <c r="W447" s="11" t="e">
        <f>Sales4[[#This Row],[Gross Margin]]/Sales4[[#This Row],[Net Value]]</f>
        <v>#REF!</v>
      </c>
      <c r="X447" s="1" t="str">
        <f>TEXT(Sales4[[#This Row],[Billing Date]],"mmmm-yy")</f>
        <v>September-25</v>
      </c>
      <c r="Y447" s="1">
        <f>Sales4[[#This Row],[Net Value]]/Sales4[[#This Row],[Billed Quantity]]</f>
        <v>483.16</v>
      </c>
      <c r="Z447" s="117">
        <f>Sales4[[#This Row],[Actual delivery qty]]</f>
        <v>105</v>
      </c>
      <c r="AA447" s="12" t="e">
        <f>SUM(Sales4[[#This Row],[BOM Cost]:[Other Conversion cost pu]])</f>
        <v>#REF!</v>
      </c>
      <c r="AB44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4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47" s="12">
        <f>IFERROR(VLOOKUP(Sales4[[#This Row],[Material]],'COGS Break up'!#REF!,5,0),0)</f>
        <v>0</v>
      </c>
      <c r="AE44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47" s="48" t="e">
        <f>Sales4[[#This Row],[PGI per unit]]-Sales4[[#This Row],[BOM Cost]]-Sales4[[#This Row],[Labour cost per unit]]-Sales4[[#This Row],[Other Conversion cost pu]]</f>
        <v>#REF!</v>
      </c>
      <c r="AG447" s="48" t="e">
        <f>Sales4[[#This Row],[BOM Cost2]]+Sales4[[#This Row],[Labour Cost]]+Sales4[[#This Row],[Other conversion cost]]</f>
        <v>#REF!</v>
      </c>
      <c r="AH447" s="12" t="e">
        <f>Sales4[[#This Row],[Billed Quantity]]*Sales4[[#This Row],[BOM Cost]]</f>
        <v>#REF!</v>
      </c>
      <c r="AI447" s="12" t="e">
        <f>Sales4[[#This Row],[Billed Quantity]]*Sales4[[#This Row],[Labour cost per unit]]</f>
        <v>#REF!</v>
      </c>
      <c r="AJ447" s="12">
        <f>Sales4[[#This Row],[Droppage per unit]]*Sales4[[#This Row],[Billed Quantity]]</f>
        <v>0</v>
      </c>
      <c r="AK447" s="12" t="e">
        <f>Sales4[[#This Row],[Billed Quantity]]*Sales4[[#This Row],[Other Conversion cost pu]]</f>
        <v>#REF!</v>
      </c>
      <c r="AL447" s="48" t="e">
        <f>Sales4[[#This Row],[PGI Amount]]-Sales4[[#This Row],[BOM Cost2]]-Sales4[[#This Row],[Labour Cost]]-Sales4[[#This Row],[Other conversion cost]]</f>
        <v>#REF!</v>
      </c>
      <c r="AM447" s="121" t="e">
        <f>1-Sales4[[#This Row],[PGI COST]]/Sales4[[#This Row],[Net Value]]</f>
        <v>#REF!</v>
      </c>
      <c r="AN447" s="1">
        <f>Sales4[[#This Row],[PGI Amount]]/Sales4[[#This Row],[Billed Quantity]]</f>
        <v>424.43</v>
      </c>
      <c r="AO447" s="72" t="e">
        <f>SUMIFS('COGS Break up'!#REF!,'COGS Break up'!#REF!,Sales4[[#This Row],[Material]],'COGS Break up'!#REF!,'MIS Working'!$AO$1)</f>
        <v>#REF!</v>
      </c>
      <c r="AP447" s="72" t="e">
        <f>SUMIFS('COGS Break up'!#REF!,'COGS Break up'!#REF!,Sales4[[#This Row],[Material]],'COGS Break up'!#REF!,'MIS Working'!$AP$1)</f>
        <v>#REF!</v>
      </c>
      <c r="AQ447" s="72" t="e">
        <f>SUMIFS('COGS Break up'!#REF!,'COGS Break up'!#REF!,Sales4[[#This Row],[Material]],'COGS Break up'!#REF!,'MIS Working'!$AQ$1)</f>
        <v>#REF!</v>
      </c>
      <c r="AR447" s="72">
        <f>Sales4[[#This Row],[Droppage per unit]]</f>
        <v>0</v>
      </c>
      <c r="AS447" s="15" t="e">
        <f>AO447*Sales4[[#This Row],[Billed Quantity]]</f>
        <v>#REF!</v>
      </c>
      <c r="AT447" s="72" t="e">
        <f>AP447*Sales4[[#This Row],[Billed Quantity]]</f>
        <v>#REF!</v>
      </c>
      <c r="AU447" s="72" t="e">
        <f>AQ447*Sales4[[#This Row],[Billed Quantity]]</f>
        <v>#REF!</v>
      </c>
      <c r="AV447" s="72">
        <f>AR447*Sales4[[#This Row],[Billed Quantity]]</f>
        <v>0</v>
      </c>
    </row>
    <row r="448" spans="1:48" x14ac:dyDescent="0.3">
      <c r="A448" s="1" t="s">
        <v>1212</v>
      </c>
      <c r="B448" s="2">
        <v>45902</v>
      </c>
      <c r="C448" s="1">
        <v>3271265737</v>
      </c>
      <c r="D448" s="1" t="s">
        <v>1213</v>
      </c>
      <c r="E448" s="1" t="s">
        <v>1214</v>
      </c>
      <c r="F448" s="1" t="s">
        <v>18</v>
      </c>
      <c r="G448" s="1" t="s">
        <v>48</v>
      </c>
      <c r="H448" s="1" t="s">
        <v>207</v>
      </c>
      <c r="I448" s="3">
        <v>10000</v>
      </c>
      <c r="J448" s="4">
        <v>4915.07</v>
      </c>
      <c r="K448" s="3">
        <v>10000</v>
      </c>
      <c r="L448" s="3">
        <v>10000</v>
      </c>
      <c r="M448" s="2">
        <v>45902</v>
      </c>
      <c r="N448" s="4">
        <v>4800</v>
      </c>
      <c r="O448" s="1" t="s">
        <v>21</v>
      </c>
      <c r="P448" s="1" t="s">
        <v>22</v>
      </c>
      <c r="Q448" s="1">
        <v>6</v>
      </c>
      <c r="R448" s="1" t="str">
        <f>VLOOKUP(Sales4[[#This Row],[Material type]],Master!$H$3:$I$8,2,0)</f>
        <v>Raw Material</v>
      </c>
      <c r="S448" s="1" t="str">
        <f>VLOOKUP(Sales4[[#This Row],[Material Group]],Master!B:C,2,0)</f>
        <v>RM-Mech. Accessories</v>
      </c>
      <c r="T448" s="1" t="str">
        <f>VLOOKUP(Sales4[[#This Row],[Material Group Descrip]],Master!E:F,2,0)</f>
        <v>Raw Material</v>
      </c>
      <c r="U448" s="9" t="b">
        <f ca="1">(TODAY()-1)=Sales4[[#This Row],[Billing Date]]</f>
        <v>0</v>
      </c>
      <c r="V448" s="10" t="e">
        <f>Sales4[[#This Row],[Net Value]]-Sales4[[#This Row],[PGI COST]]</f>
        <v>#REF!</v>
      </c>
      <c r="W448" s="11" t="e">
        <f>Sales4[[#This Row],[Gross Margin]]/Sales4[[#This Row],[Net Value]]</f>
        <v>#REF!</v>
      </c>
      <c r="X448" s="1" t="str">
        <f>TEXT(Sales4[[#This Row],[Billing Date]],"mmmm-yy")</f>
        <v>September-25</v>
      </c>
      <c r="Y448" s="1">
        <f>Sales4[[#This Row],[Net Value]]/Sales4[[#This Row],[Billed Quantity]]</f>
        <v>0.48</v>
      </c>
      <c r="Z448" s="117">
        <f>Sales4[[#This Row],[Actual delivery qty]]</f>
        <v>10000</v>
      </c>
      <c r="AA448" s="12" t="e">
        <f>SUM(Sales4[[#This Row],[BOM Cost]:[Other Conversion cost pu]])</f>
        <v>#REF!</v>
      </c>
      <c r="AB44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4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48" s="12">
        <f>IFERROR(VLOOKUP(Sales4[[#This Row],[Material]],'COGS Break up'!#REF!,5,0),0)</f>
        <v>0</v>
      </c>
      <c r="AE44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48" s="48" t="e">
        <f>Sales4[[#This Row],[PGI per unit]]-Sales4[[#This Row],[BOM Cost]]-Sales4[[#This Row],[Labour cost per unit]]-Sales4[[#This Row],[Other Conversion cost pu]]</f>
        <v>#REF!</v>
      </c>
      <c r="AG448" s="48" t="e">
        <f>Sales4[[#This Row],[BOM Cost2]]+Sales4[[#This Row],[Labour Cost]]+Sales4[[#This Row],[Other conversion cost]]</f>
        <v>#REF!</v>
      </c>
      <c r="AH448" s="12" t="e">
        <f>Sales4[[#This Row],[Billed Quantity]]*Sales4[[#This Row],[BOM Cost]]</f>
        <v>#REF!</v>
      </c>
      <c r="AI448" s="12" t="e">
        <f>Sales4[[#This Row],[Billed Quantity]]*Sales4[[#This Row],[Labour cost per unit]]</f>
        <v>#REF!</v>
      </c>
      <c r="AJ448" s="12">
        <f>Sales4[[#This Row],[Droppage per unit]]*Sales4[[#This Row],[Billed Quantity]]</f>
        <v>0</v>
      </c>
      <c r="AK448" s="12" t="e">
        <f>Sales4[[#This Row],[Billed Quantity]]*Sales4[[#This Row],[Other Conversion cost pu]]</f>
        <v>#REF!</v>
      </c>
      <c r="AL448" s="48" t="e">
        <f>Sales4[[#This Row],[PGI Amount]]-Sales4[[#This Row],[BOM Cost2]]-Sales4[[#This Row],[Labour Cost]]-Sales4[[#This Row],[Other conversion cost]]</f>
        <v>#REF!</v>
      </c>
      <c r="AM448" s="121" t="e">
        <f>1-Sales4[[#This Row],[PGI COST]]/Sales4[[#This Row],[Net Value]]</f>
        <v>#REF!</v>
      </c>
      <c r="AN448" s="1">
        <f>Sales4[[#This Row],[PGI Amount]]/Sales4[[#This Row],[Billed Quantity]]</f>
        <v>0.49150699999999997</v>
      </c>
      <c r="AO448" s="72" t="e">
        <f>SUMIFS('COGS Break up'!#REF!,'COGS Break up'!#REF!,Sales4[[#This Row],[Material]],'COGS Break up'!#REF!,'MIS Working'!$AO$1)</f>
        <v>#REF!</v>
      </c>
      <c r="AP448" s="72" t="e">
        <f>SUMIFS('COGS Break up'!#REF!,'COGS Break up'!#REF!,Sales4[[#This Row],[Material]],'COGS Break up'!#REF!,'MIS Working'!$AP$1)</f>
        <v>#REF!</v>
      </c>
      <c r="AQ448" s="72" t="e">
        <f>SUMIFS('COGS Break up'!#REF!,'COGS Break up'!#REF!,Sales4[[#This Row],[Material]],'COGS Break up'!#REF!,'MIS Working'!$AQ$1)</f>
        <v>#REF!</v>
      </c>
      <c r="AR448" s="72">
        <f>Sales4[[#This Row],[Droppage per unit]]</f>
        <v>0</v>
      </c>
      <c r="AS448" s="15" t="e">
        <f>AO448*Sales4[[#This Row],[Billed Quantity]]</f>
        <v>#REF!</v>
      </c>
      <c r="AT448" s="72" t="e">
        <f>AP448*Sales4[[#This Row],[Billed Quantity]]</f>
        <v>#REF!</v>
      </c>
      <c r="AU448" s="72" t="e">
        <f>AQ448*Sales4[[#This Row],[Billed Quantity]]</f>
        <v>#REF!</v>
      </c>
      <c r="AV448" s="72">
        <f>AR448*Sales4[[#This Row],[Billed Quantity]]</f>
        <v>0</v>
      </c>
    </row>
    <row r="449" spans="1:48" x14ac:dyDescent="0.3">
      <c r="A449" s="1" t="s">
        <v>1212</v>
      </c>
      <c r="B449" s="2">
        <v>45902</v>
      </c>
      <c r="C449" s="1">
        <v>3271265715</v>
      </c>
      <c r="D449" s="1" t="s">
        <v>1215</v>
      </c>
      <c r="E449" s="1" t="s">
        <v>1216</v>
      </c>
      <c r="F449" s="1" t="s">
        <v>18</v>
      </c>
      <c r="G449" s="1" t="s">
        <v>48</v>
      </c>
      <c r="H449" s="1" t="s">
        <v>198</v>
      </c>
      <c r="I449" s="3">
        <v>20000</v>
      </c>
      <c r="J449" s="4">
        <v>146000</v>
      </c>
      <c r="K449" s="3">
        <v>20000</v>
      </c>
      <c r="L449" s="3">
        <v>20000</v>
      </c>
      <c r="M449" s="2">
        <v>45902</v>
      </c>
      <c r="N449" s="4">
        <v>149000</v>
      </c>
      <c r="O449" s="1" t="s">
        <v>21</v>
      </c>
      <c r="P449" s="1" t="s">
        <v>22</v>
      </c>
      <c r="Q449" s="1">
        <v>6</v>
      </c>
      <c r="R449" s="1" t="str">
        <f>VLOOKUP(Sales4[[#This Row],[Material type]],Master!$H$3:$I$8,2,0)</f>
        <v>Raw Material</v>
      </c>
      <c r="S449" s="1" t="str">
        <f>VLOOKUP(Sales4[[#This Row],[Material Group]],Master!B:C,2,0)</f>
        <v>RM-Eletro-Capacitor</v>
      </c>
      <c r="T449" s="1" t="str">
        <f>VLOOKUP(Sales4[[#This Row],[Material Group Descrip]],Master!E:F,2,0)</f>
        <v>Raw Material</v>
      </c>
      <c r="U449" s="9" t="b">
        <f ca="1">(TODAY()-1)=Sales4[[#This Row],[Billing Date]]</f>
        <v>0</v>
      </c>
      <c r="V449" s="10" t="e">
        <f>Sales4[[#This Row],[Net Value]]-Sales4[[#This Row],[PGI COST]]</f>
        <v>#REF!</v>
      </c>
      <c r="W449" s="11" t="e">
        <f>Sales4[[#This Row],[Gross Margin]]/Sales4[[#This Row],[Net Value]]</f>
        <v>#REF!</v>
      </c>
      <c r="X449" s="1" t="str">
        <f>TEXT(Sales4[[#This Row],[Billing Date]],"mmmm-yy")</f>
        <v>September-25</v>
      </c>
      <c r="Y449" s="1">
        <f>Sales4[[#This Row],[Net Value]]/Sales4[[#This Row],[Billed Quantity]]</f>
        <v>7.45</v>
      </c>
      <c r="Z449" s="117">
        <f>Sales4[[#This Row],[Actual delivery qty]]</f>
        <v>20000</v>
      </c>
      <c r="AA449" s="12" t="e">
        <f>SUM(Sales4[[#This Row],[BOM Cost]:[Other Conversion cost pu]])</f>
        <v>#REF!</v>
      </c>
      <c r="AB44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4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49" s="12">
        <f>IFERROR(VLOOKUP(Sales4[[#This Row],[Material]],'COGS Break up'!#REF!,5,0),0)</f>
        <v>0</v>
      </c>
      <c r="AE44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49" s="48" t="e">
        <f>Sales4[[#This Row],[PGI per unit]]-Sales4[[#This Row],[BOM Cost]]-Sales4[[#This Row],[Labour cost per unit]]-Sales4[[#This Row],[Other Conversion cost pu]]</f>
        <v>#REF!</v>
      </c>
      <c r="AG449" s="48" t="e">
        <f>Sales4[[#This Row],[BOM Cost2]]+Sales4[[#This Row],[Labour Cost]]+Sales4[[#This Row],[Other conversion cost]]</f>
        <v>#REF!</v>
      </c>
      <c r="AH449" s="12" t="e">
        <f>Sales4[[#This Row],[Billed Quantity]]*Sales4[[#This Row],[BOM Cost]]</f>
        <v>#REF!</v>
      </c>
      <c r="AI449" s="12" t="e">
        <f>Sales4[[#This Row],[Billed Quantity]]*Sales4[[#This Row],[Labour cost per unit]]</f>
        <v>#REF!</v>
      </c>
      <c r="AJ449" s="12">
        <f>Sales4[[#This Row],[Droppage per unit]]*Sales4[[#This Row],[Billed Quantity]]</f>
        <v>0</v>
      </c>
      <c r="AK449" s="12" t="e">
        <f>Sales4[[#This Row],[Billed Quantity]]*Sales4[[#This Row],[Other Conversion cost pu]]</f>
        <v>#REF!</v>
      </c>
      <c r="AL449" s="48" t="e">
        <f>Sales4[[#This Row],[PGI Amount]]-Sales4[[#This Row],[BOM Cost2]]-Sales4[[#This Row],[Labour Cost]]-Sales4[[#This Row],[Other conversion cost]]</f>
        <v>#REF!</v>
      </c>
      <c r="AM449" s="121" t="e">
        <f>1-Sales4[[#This Row],[PGI COST]]/Sales4[[#This Row],[Net Value]]</f>
        <v>#REF!</v>
      </c>
      <c r="AN449" s="1">
        <f>Sales4[[#This Row],[PGI Amount]]/Sales4[[#This Row],[Billed Quantity]]</f>
        <v>7.3</v>
      </c>
      <c r="AO449" s="72" t="e">
        <f>SUMIFS('COGS Break up'!#REF!,'COGS Break up'!#REF!,Sales4[[#This Row],[Material]],'COGS Break up'!#REF!,'MIS Working'!$AO$1)</f>
        <v>#REF!</v>
      </c>
      <c r="AP449" s="72" t="e">
        <f>SUMIFS('COGS Break up'!#REF!,'COGS Break up'!#REF!,Sales4[[#This Row],[Material]],'COGS Break up'!#REF!,'MIS Working'!$AP$1)</f>
        <v>#REF!</v>
      </c>
      <c r="AQ449" s="72" t="e">
        <f>SUMIFS('COGS Break up'!#REF!,'COGS Break up'!#REF!,Sales4[[#This Row],[Material]],'COGS Break up'!#REF!,'MIS Working'!$AQ$1)</f>
        <v>#REF!</v>
      </c>
      <c r="AR449" s="72">
        <f>Sales4[[#This Row],[Droppage per unit]]</f>
        <v>0</v>
      </c>
      <c r="AS449" s="15" t="e">
        <f>AO449*Sales4[[#This Row],[Billed Quantity]]</f>
        <v>#REF!</v>
      </c>
      <c r="AT449" s="72" t="e">
        <f>AP449*Sales4[[#This Row],[Billed Quantity]]</f>
        <v>#REF!</v>
      </c>
      <c r="AU449" s="72" t="e">
        <f>AQ449*Sales4[[#This Row],[Billed Quantity]]</f>
        <v>#REF!</v>
      </c>
      <c r="AV449" s="72">
        <f>AR449*Sales4[[#This Row],[Billed Quantity]]</f>
        <v>0</v>
      </c>
    </row>
    <row r="450" spans="1:48" x14ac:dyDescent="0.3">
      <c r="A450" s="1" t="s">
        <v>1212</v>
      </c>
      <c r="B450" s="2">
        <v>45902</v>
      </c>
      <c r="C450" s="1">
        <v>3271265715</v>
      </c>
      <c r="D450" s="1" t="s">
        <v>1217</v>
      </c>
      <c r="E450" s="1" t="s">
        <v>1218</v>
      </c>
      <c r="F450" s="1" t="s">
        <v>18</v>
      </c>
      <c r="G450" s="1" t="s">
        <v>48</v>
      </c>
      <c r="H450" s="1" t="s">
        <v>204</v>
      </c>
      <c r="I450" s="3">
        <v>20000</v>
      </c>
      <c r="J450" s="4">
        <v>679.13</v>
      </c>
      <c r="K450" s="3">
        <v>20000</v>
      </c>
      <c r="L450" s="3">
        <v>20000</v>
      </c>
      <c r="M450" s="2">
        <v>45902</v>
      </c>
      <c r="N450" s="4">
        <v>600</v>
      </c>
      <c r="O450" s="1" t="s">
        <v>21</v>
      </c>
      <c r="P450" s="1" t="s">
        <v>22</v>
      </c>
      <c r="Q450" s="1">
        <v>6</v>
      </c>
      <c r="R450" s="1" t="str">
        <f>VLOOKUP(Sales4[[#This Row],[Material type]],Master!$H$3:$I$8,2,0)</f>
        <v>Raw Material</v>
      </c>
      <c r="S450" s="1" t="str">
        <f>VLOOKUP(Sales4[[#This Row],[Material Group]],Master!B:C,2,0)</f>
        <v>RM-Eletro-Resistor</v>
      </c>
      <c r="T450" s="1" t="str">
        <f>VLOOKUP(Sales4[[#This Row],[Material Group Descrip]],Master!E:F,2,0)</f>
        <v>Raw Material</v>
      </c>
      <c r="U450" s="9" t="b">
        <f ca="1">(TODAY()-1)=Sales4[[#This Row],[Billing Date]]</f>
        <v>0</v>
      </c>
      <c r="V450" s="10" t="e">
        <f>Sales4[[#This Row],[Net Value]]-Sales4[[#This Row],[PGI COST]]</f>
        <v>#REF!</v>
      </c>
      <c r="W450" s="11" t="e">
        <f>Sales4[[#This Row],[Gross Margin]]/Sales4[[#This Row],[Net Value]]</f>
        <v>#REF!</v>
      </c>
      <c r="X450" s="1" t="str">
        <f>TEXT(Sales4[[#This Row],[Billing Date]],"mmmm-yy")</f>
        <v>September-25</v>
      </c>
      <c r="Y450" s="1">
        <f>Sales4[[#This Row],[Net Value]]/Sales4[[#This Row],[Billed Quantity]]</f>
        <v>0.03</v>
      </c>
      <c r="Z450" s="117">
        <f>Sales4[[#This Row],[Actual delivery qty]]</f>
        <v>20000</v>
      </c>
      <c r="AA450" s="12" t="e">
        <f>SUM(Sales4[[#This Row],[BOM Cost]:[Other Conversion cost pu]])</f>
        <v>#REF!</v>
      </c>
      <c r="AB45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5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50" s="12">
        <f>IFERROR(VLOOKUP(Sales4[[#This Row],[Material]],'COGS Break up'!#REF!,5,0),0)</f>
        <v>0</v>
      </c>
      <c r="AE45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50" s="48" t="e">
        <f>Sales4[[#This Row],[PGI per unit]]-Sales4[[#This Row],[BOM Cost]]-Sales4[[#This Row],[Labour cost per unit]]-Sales4[[#This Row],[Other Conversion cost pu]]</f>
        <v>#REF!</v>
      </c>
      <c r="AG450" s="48" t="e">
        <f>Sales4[[#This Row],[BOM Cost2]]+Sales4[[#This Row],[Labour Cost]]+Sales4[[#This Row],[Other conversion cost]]</f>
        <v>#REF!</v>
      </c>
      <c r="AH450" s="12" t="e">
        <f>Sales4[[#This Row],[Billed Quantity]]*Sales4[[#This Row],[BOM Cost]]</f>
        <v>#REF!</v>
      </c>
      <c r="AI450" s="12" t="e">
        <f>Sales4[[#This Row],[Billed Quantity]]*Sales4[[#This Row],[Labour cost per unit]]</f>
        <v>#REF!</v>
      </c>
      <c r="AJ450" s="12">
        <f>Sales4[[#This Row],[Droppage per unit]]*Sales4[[#This Row],[Billed Quantity]]</f>
        <v>0</v>
      </c>
      <c r="AK450" s="12" t="e">
        <f>Sales4[[#This Row],[Billed Quantity]]*Sales4[[#This Row],[Other Conversion cost pu]]</f>
        <v>#REF!</v>
      </c>
      <c r="AL450" s="48" t="e">
        <f>Sales4[[#This Row],[PGI Amount]]-Sales4[[#This Row],[BOM Cost2]]-Sales4[[#This Row],[Labour Cost]]-Sales4[[#This Row],[Other conversion cost]]</f>
        <v>#REF!</v>
      </c>
      <c r="AM450" s="121" t="e">
        <f>1-Sales4[[#This Row],[PGI COST]]/Sales4[[#This Row],[Net Value]]</f>
        <v>#REF!</v>
      </c>
      <c r="AN450" s="1">
        <f>Sales4[[#This Row],[PGI Amount]]/Sales4[[#This Row],[Billed Quantity]]</f>
        <v>3.3956500000000001E-2</v>
      </c>
      <c r="AO450" s="72" t="e">
        <f>SUMIFS('COGS Break up'!#REF!,'COGS Break up'!#REF!,Sales4[[#This Row],[Material]],'COGS Break up'!#REF!,'MIS Working'!$AO$1)</f>
        <v>#REF!</v>
      </c>
      <c r="AP450" s="72" t="e">
        <f>SUMIFS('COGS Break up'!#REF!,'COGS Break up'!#REF!,Sales4[[#This Row],[Material]],'COGS Break up'!#REF!,'MIS Working'!$AP$1)</f>
        <v>#REF!</v>
      </c>
      <c r="AQ450" s="72" t="e">
        <f>SUMIFS('COGS Break up'!#REF!,'COGS Break up'!#REF!,Sales4[[#This Row],[Material]],'COGS Break up'!#REF!,'MIS Working'!$AQ$1)</f>
        <v>#REF!</v>
      </c>
      <c r="AR450" s="72">
        <f>Sales4[[#This Row],[Droppage per unit]]</f>
        <v>0</v>
      </c>
      <c r="AS450" s="15" t="e">
        <f>AO450*Sales4[[#This Row],[Billed Quantity]]</f>
        <v>#REF!</v>
      </c>
      <c r="AT450" s="72" t="e">
        <f>AP450*Sales4[[#This Row],[Billed Quantity]]</f>
        <v>#REF!</v>
      </c>
      <c r="AU450" s="72" t="e">
        <f>AQ450*Sales4[[#This Row],[Billed Quantity]]</f>
        <v>#REF!</v>
      </c>
      <c r="AV450" s="72">
        <f>AR450*Sales4[[#This Row],[Billed Quantity]]</f>
        <v>0</v>
      </c>
    </row>
    <row r="451" spans="1:48" x14ac:dyDescent="0.3">
      <c r="A451" s="1" t="s">
        <v>1212</v>
      </c>
      <c r="B451" s="2">
        <v>45902</v>
      </c>
      <c r="C451" s="1">
        <v>3271265715</v>
      </c>
      <c r="D451" s="1" t="s">
        <v>1219</v>
      </c>
      <c r="E451" s="1" t="s">
        <v>1220</v>
      </c>
      <c r="F451" s="1" t="s">
        <v>18</v>
      </c>
      <c r="G451" s="1" t="s">
        <v>48</v>
      </c>
      <c r="H451" s="1" t="s">
        <v>168</v>
      </c>
      <c r="I451" s="3">
        <v>13000</v>
      </c>
      <c r="J451" s="4">
        <v>53950</v>
      </c>
      <c r="K451" s="3">
        <v>13000</v>
      </c>
      <c r="L451" s="3">
        <v>13000</v>
      </c>
      <c r="M451" s="2">
        <v>45902</v>
      </c>
      <c r="N451" s="4">
        <v>53950</v>
      </c>
      <c r="O451" s="1" t="s">
        <v>21</v>
      </c>
      <c r="P451" s="1" t="s">
        <v>22</v>
      </c>
      <c r="Q451" s="1">
        <v>6</v>
      </c>
      <c r="R451" s="1" t="str">
        <f>VLOOKUP(Sales4[[#This Row],[Material type]],Master!$H$3:$I$8,2,0)</f>
        <v>Raw Material</v>
      </c>
      <c r="S451" s="1" t="str">
        <f>VLOOKUP(Sales4[[#This Row],[Material Group]],Master!B:C,2,0)</f>
        <v>Raw Materials</v>
      </c>
      <c r="T451" s="1" t="str">
        <f>VLOOKUP(Sales4[[#This Row],[Material Group Descrip]],Master!E:F,2,0)</f>
        <v>Raw Material</v>
      </c>
      <c r="U451" s="9" t="b">
        <f ca="1">(TODAY()-1)=Sales4[[#This Row],[Billing Date]]</f>
        <v>0</v>
      </c>
      <c r="V451" s="10" t="e">
        <f>Sales4[[#This Row],[Net Value]]-Sales4[[#This Row],[PGI COST]]</f>
        <v>#REF!</v>
      </c>
      <c r="W451" s="11" t="e">
        <f>Sales4[[#This Row],[Gross Margin]]/Sales4[[#This Row],[Net Value]]</f>
        <v>#REF!</v>
      </c>
      <c r="X451" s="1" t="str">
        <f>TEXT(Sales4[[#This Row],[Billing Date]],"mmmm-yy")</f>
        <v>September-25</v>
      </c>
      <c r="Y451" s="1">
        <f>Sales4[[#This Row],[Net Value]]/Sales4[[#This Row],[Billed Quantity]]</f>
        <v>4.1500000000000004</v>
      </c>
      <c r="Z451" s="117">
        <f>Sales4[[#This Row],[Actual delivery qty]]</f>
        <v>13000</v>
      </c>
      <c r="AA451" s="12" t="e">
        <f>SUM(Sales4[[#This Row],[BOM Cost]:[Other Conversion cost pu]])</f>
        <v>#REF!</v>
      </c>
      <c r="AB45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5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51" s="12">
        <f>IFERROR(VLOOKUP(Sales4[[#This Row],[Material]],'COGS Break up'!#REF!,5,0),0)</f>
        <v>0</v>
      </c>
      <c r="AE45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51" s="48" t="e">
        <f>Sales4[[#This Row],[PGI per unit]]-Sales4[[#This Row],[BOM Cost]]-Sales4[[#This Row],[Labour cost per unit]]-Sales4[[#This Row],[Other Conversion cost pu]]</f>
        <v>#REF!</v>
      </c>
      <c r="AG451" s="48" t="e">
        <f>Sales4[[#This Row],[BOM Cost2]]+Sales4[[#This Row],[Labour Cost]]+Sales4[[#This Row],[Other conversion cost]]</f>
        <v>#REF!</v>
      </c>
      <c r="AH451" s="12" t="e">
        <f>Sales4[[#This Row],[Billed Quantity]]*Sales4[[#This Row],[BOM Cost]]</f>
        <v>#REF!</v>
      </c>
      <c r="AI451" s="12" t="e">
        <f>Sales4[[#This Row],[Billed Quantity]]*Sales4[[#This Row],[Labour cost per unit]]</f>
        <v>#REF!</v>
      </c>
      <c r="AJ451" s="12">
        <f>Sales4[[#This Row],[Droppage per unit]]*Sales4[[#This Row],[Billed Quantity]]</f>
        <v>0</v>
      </c>
      <c r="AK451" s="12" t="e">
        <f>Sales4[[#This Row],[Billed Quantity]]*Sales4[[#This Row],[Other Conversion cost pu]]</f>
        <v>#REF!</v>
      </c>
      <c r="AL451" s="48" t="e">
        <f>Sales4[[#This Row],[PGI Amount]]-Sales4[[#This Row],[BOM Cost2]]-Sales4[[#This Row],[Labour Cost]]-Sales4[[#This Row],[Other conversion cost]]</f>
        <v>#REF!</v>
      </c>
      <c r="AM451" s="121" t="e">
        <f>1-Sales4[[#This Row],[PGI COST]]/Sales4[[#This Row],[Net Value]]</f>
        <v>#REF!</v>
      </c>
      <c r="AN451" s="1">
        <f>Sales4[[#This Row],[PGI Amount]]/Sales4[[#This Row],[Billed Quantity]]</f>
        <v>4.1500000000000004</v>
      </c>
      <c r="AO451" s="72" t="e">
        <f>SUMIFS('COGS Break up'!#REF!,'COGS Break up'!#REF!,Sales4[[#This Row],[Material]],'COGS Break up'!#REF!,'MIS Working'!$AO$1)</f>
        <v>#REF!</v>
      </c>
      <c r="AP451" s="72" t="e">
        <f>SUMIFS('COGS Break up'!#REF!,'COGS Break up'!#REF!,Sales4[[#This Row],[Material]],'COGS Break up'!#REF!,'MIS Working'!$AP$1)</f>
        <v>#REF!</v>
      </c>
      <c r="AQ451" s="72" t="e">
        <f>SUMIFS('COGS Break up'!#REF!,'COGS Break up'!#REF!,Sales4[[#This Row],[Material]],'COGS Break up'!#REF!,'MIS Working'!$AQ$1)</f>
        <v>#REF!</v>
      </c>
      <c r="AR451" s="72">
        <f>Sales4[[#This Row],[Droppage per unit]]</f>
        <v>0</v>
      </c>
      <c r="AS451" s="15" t="e">
        <f>AO451*Sales4[[#This Row],[Billed Quantity]]</f>
        <v>#REF!</v>
      </c>
      <c r="AT451" s="72" t="e">
        <f>AP451*Sales4[[#This Row],[Billed Quantity]]</f>
        <v>#REF!</v>
      </c>
      <c r="AU451" s="72" t="e">
        <f>AQ451*Sales4[[#This Row],[Billed Quantity]]</f>
        <v>#REF!</v>
      </c>
      <c r="AV451" s="72">
        <f>AR451*Sales4[[#This Row],[Billed Quantity]]</f>
        <v>0</v>
      </c>
    </row>
    <row r="452" spans="1:48" x14ac:dyDescent="0.3">
      <c r="A452" s="1" t="s">
        <v>1212</v>
      </c>
      <c r="B452" s="2">
        <v>45902</v>
      </c>
      <c r="C452" s="1">
        <v>3271265715</v>
      </c>
      <c r="D452" s="1" t="s">
        <v>1221</v>
      </c>
      <c r="E452" s="1" t="s">
        <v>1222</v>
      </c>
      <c r="F452" s="1" t="s">
        <v>18</v>
      </c>
      <c r="G452" s="1" t="s">
        <v>48</v>
      </c>
      <c r="H452" s="1" t="s">
        <v>207</v>
      </c>
      <c r="I452" s="3">
        <v>6000</v>
      </c>
      <c r="J452" s="4">
        <v>609861.21</v>
      </c>
      <c r="K452" s="3">
        <v>6000</v>
      </c>
      <c r="L452" s="3">
        <v>6000</v>
      </c>
      <c r="M452" s="2">
        <v>45902</v>
      </c>
      <c r="N452" s="4">
        <v>597420</v>
      </c>
      <c r="O452" s="1" t="s">
        <v>21</v>
      </c>
      <c r="P452" s="1" t="s">
        <v>22</v>
      </c>
      <c r="Q452" s="1">
        <v>6</v>
      </c>
      <c r="R452" s="1" t="str">
        <f>VLOOKUP(Sales4[[#This Row],[Material type]],Master!$H$3:$I$8,2,0)</f>
        <v>Raw Material</v>
      </c>
      <c r="S452" s="1" t="str">
        <f>VLOOKUP(Sales4[[#This Row],[Material Group]],Master!B:C,2,0)</f>
        <v>RM-Mech. Accessories</v>
      </c>
      <c r="T452" s="1" t="str">
        <f>VLOOKUP(Sales4[[#This Row],[Material Group Descrip]],Master!E:F,2,0)</f>
        <v>Raw Material</v>
      </c>
      <c r="U452" s="9" t="b">
        <f ca="1">(TODAY()-1)=Sales4[[#This Row],[Billing Date]]</f>
        <v>0</v>
      </c>
      <c r="V452" s="10" t="e">
        <f>Sales4[[#This Row],[Net Value]]-Sales4[[#This Row],[PGI COST]]</f>
        <v>#REF!</v>
      </c>
      <c r="W452" s="11" t="e">
        <f>Sales4[[#This Row],[Gross Margin]]/Sales4[[#This Row],[Net Value]]</f>
        <v>#REF!</v>
      </c>
      <c r="X452" s="1" t="str">
        <f>TEXT(Sales4[[#This Row],[Billing Date]],"mmmm-yy")</f>
        <v>September-25</v>
      </c>
      <c r="Y452" s="1">
        <f>Sales4[[#This Row],[Net Value]]/Sales4[[#This Row],[Billed Quantity]]</f>
        <v>99.57</v>
      </c>
      <c r="Z452" s="117">
        <f>Sales4[[#This Row],[Actual delivery qty]]</f>
        <v>6000</v>
      </c>
      <c r="AA452" s="12" t="e">
        <f>SUM(Sales4[[#This Row],[BOM Cost]:[Other Conversion cost pu]])</f>
        <v>#REF!</v>
      </c>
      <c r="AB45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5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52" s="12">
        <f>IFERROR(VLOOKUP(Sales4[[#This Row],[Material]],'COGS Break up'!#REF!,5,0),0)</f>
        <v>0</v>
      </c>
      <c r="AE45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52" s="48" t="e">
        <f>Sales4[[#This Row],[PGI per unit]]-Sales4[[#This Row],[BOM Cost]]-Sales4[[#This Row],[Labour cost per unit]]-Sales4[[#This Row],[Other Conversion cost pu]]</f>
        <v>#REF!</v>
      </c>
      <c r="AG452" s="48" t="e">
        <f>Sales4[[#This Row],[BOM Cost2]]+Sales4[[#This Row],[Labour Cost]]+Sales4[[#This Row],[Other conversion cost]]</f>
        <v>#REF!</v>
      </c>
      <c r="AH452" s="12" t="e">
        <f>Sales4[[#This Row],[Billed Quantity]]*Sales4[[#This Row],[BOM Cost]]</f>
        <v>#REF!</v>
      </c>
      <c r="AI452" s="12" t="e">
        <f>Sales4[[#This Row],[Billed Quantity]]*Sales4[[#This Row],[Labour cost per unit]]</f>
        <v>#REF!</v>
      </c>
      <c r="AJ452" s="12">
        <f>Sales4[[#This Row],[Droppage per unit]]*Sales4[[#This Row],[Billed Quantity]]</f>
        <v>0</v>
      </c>
      <c r="AK452" s="12" t="e">
        <f>Sales4[[#This Row],[Billed Quantity]]*Sales4[[#This Row],[Other Conversion cost pu]]</f>
        <v>#REF!</v>
      </c>
      <c r="AL452" s="48" t="e">
        <f>Sales4[[#This Row],[PGI Amount]]-Sales4[[#This Row],[BOM Cost2]]-Sales4[[#This Row],[Labour Cost]]-Sales4[[#This Row],[Other conversion cost]]</f>
        <v>#REF!</v>
      </c>
      <c r="AM452" s="121" t="e">
        <f>1-Sales4[[#This Row],[PGI COST]]/Sales4[[#This Row],[Net Value]]</f>
        <v>#REF!</v>
      </c>
      <c r="AN452" s="1">
        <f>Sales4[[#This Row],[PGI Amount]]/Sales4[[#This Row],[Billed Quantity]]</f>
        <v>101.643535</v>
      </c>
      <c r="AO452" s="72" t="e">
        <f>SUMIFS('COGS Break up'!#REF!,'COGS Break up'!#REF!,Sales4[[#This Row],[Material]],'COGS Break up'!#REF!,'MIS Working'!$AO$1)</f>
        <v>#REF!</v>
      </c>
      <c r="AP452" s="72" t="e">
        <f>SUMIFS('COGS Break up'!#REF!,'COGS Break up'!#REF!,Sales4[[#This Row],[Material]],'COGS Break up'!#REF!,'MIS Working'!$AP$1)</f>
        <v>#REF!</v>
      </c>
      <c r="AQ452" s="72" t="e">
        <f>SUMIFS('COGS Break up'!#REF!,'COGS Break up'!#REF!,Sales4[[#This Row],[Material]],'COGS Break up'!#REF!,'MIS Working'!$AQ$1)</f>
        <v>#REF!</v>
      </c>
      <c r="AR452" s="72">
        <f>Sales4[[#This Row],[Droppage per unit]]</f>
        <v>0</v>
      </c>
      <c r="AS452" s="15" t="e">
        <f>AO452*Sales4[[#This Row],[Billed Quantity]]</f>
        <v>#REF!</v>
      </c>
      <c r="AT452" s="72" t="e">
        <f>AP452*Sales4[[#This Row],[Billed Quantity]]</f>
        <v>#REF!</v>
      </c>
      <c r="AU452" s="72" t="e">
        <f>AQ452*Sales4[[#This Row],[Billed Quantity]]</f>
        <v>#REF!</v>
      </c>
      <c r="AV452" s="72">
        <f>AR452*Sales4[[#This Row],[Billed Quantity]]</f>
        <v>0</v>
      </c>
    </row>
    <row r="453" spans="1:48" x14ac:dyDescent="0.3">
      <c r="A453" s="1" t="s">
        <v>1212</v>
      </c>
      <c r="B453" s="2">
        <v>45902</v>
      </c>
      <c r="C453" s="1">
        <v>3271265715</v>
      </c>
      <c r="D453" s="1" t="s">
        <v>1223</v>
      </c>
      <c r="E453" s="1" t="s">
        <v>1224</v>
      </c>
      <c r="F453" s="1" t="s">
        <v>18</v>
      </c>
      <c r="G453" s="1" t="s">
        <v>48</v>
      </c>
      <c r="H453" s="1" t="s">
        <v>198</v>
      </c>
      <c r="I453" s="3">
        <v>6000</v>
      </c>
      <c r="J453" s="4">
        <v>10680</v>
      </c>
      <c r="K453" s="3">
        <v>6000</v>
      </c>
      <c r="L453" s="3">
        <v>6000</v>
      </c>
      <c r="M453" s="2">
        <v>45902</v>
      </c>
      <c r="N453" s="4">
        <v>14700</v>
      </c>
      <c r="O453" s="1" t="s">
        <v>21</v>
      </c>
      <c r="P453" s="1" t="s">
        <v>22</v>
      </c>
      <c r="Q453" s="1">
        <v>6</v>
      </c>
      <c r="R453" s="1" t="str">
        <f>VLOOKUP(Sales4[[#This Row],[Material type]],Master!$H$3:$I$8,2,0)</f>
        <v>Raw Material</v>
      </c>
      <c r="S453" s="1" t="str">
        <f>VLOOKUP(Sales4[[#This Row],[Material Group]],Master!B:C,2,0)</f>
        <v>RM-Eletro-Capacitor</v>
      </c>
      <c r="T453" s="1" t="str">
        <f>VLOOKUP(Sales4[[#This Row],[Material Group Descrip]],Master!E:F,2,0)</f>
        <v>Raw Material</v>
      </c>
      <c r="U453" s="9" t="b">
        <f ca="1">(TODAY()-1)=Sales4[[#This Row],[Billing Date]]</f>
        <v>0</v>
      </c>
      <c r="V453" s="10" t="e">
        <f>Sales4[[#This Row],[Net Value]]-Sales4[[#This Row],[PGI COST]]</f>
        <v>#REF!</v>
      </c>
      <c r="W453" s="11" t="e">
        <f>Sales4[[#This Row],[Gross Margin]]/Sales4[[#This Row],[Net Value]]</f>
        <v>#REF!</v>
      </c>
      <c r="X453" s="1" t="str">
        <f>TEXT(Sales4[[#This Row],[Billing Date]],"mmmm-yy")</f>
        <v>September-25</v>
      </c>
      <c r="Y453" s="1">
        <f>Sales4[[#This Row],[Net Value]]/Sales4[[#This Row],[Billed Quantity]]</f>
        <v>2.4500000000000002</v>
      </c>
      <c r="Z453" s="117">
        <f>Sales4[[#This Row],[Actual delivery qty]]</f>
        <v>6000</v>
      </c>
      <c r="AA453" s="12" t="e">
        <f>SUM(Sales4[[#This Row],[BOM Cost]:[Other Conversion cost pu]])</f>
        <v>#REF!</v>
      </c>
      <c r="AB45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5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53" s="12">
        <f>IFERROR(VLOOKUP(Sales4[[#This Row],[Material]],'COGS Break up'!#REF!,5,0),0)</f>
        <v>0</v>
      </c>
      <c r="AE45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53" s="48" t="e">
        <f>Sales4[[#This Row],[PGI per unit]]-Sales4[[#This Row],[BOM Cost]]-Sales4[[#This Row],[Labour cost per unit]]-Sales4[[#This Row],[Other Conversion cost pu]]</f>
        <v>#REF!</v>
      </c>
      <c r="AG453" s="48" t="e">
        <f>Sales4[[#This Row],[BOM Cost2]]+Sales4[[#This Row],[Labour Cost]]+Sales4[[#This Row],[Other conversion cost]]</f>
        <v>#REF!</v>
      </c>
      <c r="AH453" s="12" t="e">
        <f>Sales4[[#This Row],[Billed Quantity]]*Sales4[[#This Row],[BOM Cost]]</f>
        <v>#REF!</v>
      </c>
      <c r="AI453" s="12" t="e">
        <f>Sales4[[#This Row],[Billed Quantity]]*Sales4[[#This Row],[Labour cost per unit]]</f>
        <v>#REF!</v>
      </c>
      <c r="AJ453" s="12">
        <f>Sales4[[#This Row],[Droppage per unit]]*Sales4[[#This Row],[Billed Quantity]]</f>
        <v>0</v>
      </c>
      <c r="AK453" s="12" t="e">
        <f>Sales4[[#This Row],[Billed Quantity]]*Sales4[[#This Row],[Other Conversion cost pu]]</f>
        <v>#REF!</v>
      </c>
      <c r="AL453" s="48" t="e">
        <f>Sales4[[#This Row],[PGI Amount]]-Sales4[[#This Row],[BOM Cost2]]-Sales4[[#This Row],[Labour Cost]]-Sales4[[#This Row],[Other conversion cost]]</f>
        <v>#REF!</v>
      </c>
      <c r="AM453" s="121" t="e">
        <f>1-Sales4[[#This Row],[PGI COST]]/Sales4[[#This Row],[Net Value]]</f>
        <v>#REF!</v>
      </c>
      <c r="AN453" s="1">
        <f>Sales4[[#This Row],[PGI Amount]]/Sales4[[#This Row],[Billed Quantity]]</f>
        <v>1.78</v>
      </c>
      <c r="AO453" s="72" t="e">
        <f>SUMIFS('COGS Break up'!#REF!,'COGS Break up'!#REF!,Sales4[[#This Row],[Material]],'COGS Break up'!#REF!,'MIS Working'!$AO$1)</f>
        <v>#REF!</v>
      </c>
      <c r="AP453" s="72" t="e">
        <f>SUMIFS('COGS Break up'!#REF!,'COGS Break up'!#REF!,Sales4[[#This Row],[Material]],'COGS Break up'!#REF!,'MIS Working'!$AP$1)</f>
        <v>#REF!</v>
      </c>
      <c r="AQ453" s="72" t="e">
        <f>SUMIFS('COGS Break up'!#REF!,'COGS Break up'!#REF!,Sales4[[#This Row],[Material]],'COGS Break up'!#REF!,'MIS Working'!$AQ$1)</f>
        <v>#REF!</v>
      </c>
      <c r="AR453" s="72">
        <f>Sales4[[#This Row],[Droppage per unit]]</f>
        <v>0</v>
      </c>
      <c r="AS453" s="15" t="e">
        <f>AO453*Sales4[[#This Row],[Billed Quantity]]</f>
        <v>#REF!</v>
      </c>
      <c r="AT453" s="72" t="e">
        <f>AP453*Sales4[[#This Row],[Billed Quantity]]</f>
        <v>#REF!</v>
      </c>
      <c r="AU453" s="72" t="e">
        <f>AQ453*Sales4[[#This Row],[Billed Quantity]]</f>
        <v>#REF!</v>
      </c>
      <c r="AV453" s="72">
        <f>AR453*Sales4[[#This Row],[Billed Quantity]]</f>
        <v>0</v>
      </c>
    </row>
    <row r="454" spans="1:48" x14ac:dyDescent="0.3">
      <c r="A454" s="1" t="s">
        <v>1212</v>
      </c>
      <c r="B454" s="2">
        <v>45902</v>
      </c>
      <c r="C454" s="1">
        <v>3271265715</v>
      </c>
      <c r="D454" s="1" t="s">
        <v>1225</v>
      </c>
      <c r="E454" s="1" t="s">
        <v>1226</v>
      </c>
      <c r="F454" s="1" t="s">
        <v>18</v>
      </c>
      <c r="G454" s="1" t="s">
        <v>48</v>
      </c>
      <c r="H454" s="1" t="s">
        <v>207</v>
      </c>
      <c r="I454" s="3">
        <v>8000</v>
      </c>
      <c r="J454" s="4">
        <v>27427.59</v>
      </c>
      <c r="K454" s="3">
        <v>8000</v>
      </c>
      <c r="L454" s="3">
        <v>8000</v>
      </c>
      <c r="M454" s="2">
        <v>45902</v>
      </c>
      <c r="N454" s="4">
        <v>24000</v>
      </c>
      <c r="O454" s="1" t="s">
        <v>21</v>
      </c>
      <c r="P454" s="1" t="s">
        <v>22</v>
      </c>
      <c r="Q454" s="1">
        <v>6</v>
      </c>
      <c r="R454" s="1" t="str">
        <f>VLOOKUP(Sales4[[#This Row],[Material type]],Master!$H$3:$I$8,2,0)</f>
        <v>Raw Material</v>
      </c>
      <c r="S454" s="1" t="str">
        <f>VLOOKUP(Sales4[[#This Row],[Material Group]],Master!B:C,2,0)</f>
        <v>RM-Mech. Accessories</v>
      </c>
      <c r="T454" s="1" t="str">
        <f>VLOOKUP(Sales4[[#This Row],[Material Group Descrip]],Master!E:F,2,0)</f>
        <v>Raw Material</v>
      </c>
      <c r="U454" s="9" t="b">
        <f ca="1">(TODAY()-1)=Sales4[[#This Row],[Billing Date]]</f>
        <v>0</v>
      </c>
      <c r="V454" s="10" t="e">
        <f>Sales4[[#This Row],[Net Value]]-Sales4[[#This Row],[PGI COST]]</f>
        <v>#REF!</v>
      </c>
      <c r="W454" s="11" t="e">
        <f>Sales4[[#This Row],[Gross Margin]]/Sales4[[#This Row],[Net Value]]</f>
        <v>#REF!</v>
      </c>
      <c r="X454" s="1" t="str">
        <f>TEXT(Sales4[[#This Row],[Billing Date]],"mmmm-yy")</f>
        <v>September-25</v>
      </c>
      <c r="Y454" s="1">
        <f>Sales4[[#This Row],[Net Value]]/Sales4[[#This Row],[Billed Quantity]]</f>
        <v>3</v>
      </c>
      <c r="Z454" s="117">
        <f>Sales4[[#This Row],[Actual delivery qty]]</f>
        <v>8000</v>
      </c>
      <c r="AA454" s="12" t="e">
        <f>SUM(Sales4[[#This Row],[BOM Cost]:[Other Conversion cost pu]])</f>
        <v>#REF!</v>
      </c>
      <c r="AB45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5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54" s="12">
        <f>IFERROR(VLOOKUP(Sales4[[#This Row],[Material]],'COGS Break up'!#REF!,5,0),0)</f>
        <v>0</v>
      </c>
      <c r="AE45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54" s="48" t="e">
        <f>Sales4[[#This Row],[PGI per unit]]-Sales4[[#This Row],[BOM Cost]]-Sales4[[#This Row],[Labour cost per unit]]-Sales4[[#This Row],[Other Conversion cost pu]]</f>
        <v>#REF!</v>
      </c>
      <c r="AG454" s="48" t="e">
        <f>Sales4[[#This Row],[BOM Cost2]]+Sales4[[#This Row],[Labour Cost]]+Sales4[[#This Row],[Other conversion cost]]</f>
        <v>#REF!</v>
      </c>
      <c r="AH454" s="12" t="e">
        <f>Sales4[[#This Row],[Billed Quantity]]*Sales4[[#This Row],[BOM Cost]]</f>
        <v>#REF!</v>
      </c>
      <c r="AI454" s="12" t="e">
        <f>Sales4[[#This Row],[Billed Quantity]]*Sales4[[#This Row],[Labour cost per unit]]</f>
        <v>#REF!</v>
      </c>
      <c r="AJ454" s="12">
        <f>Sales4[[#This Row],[Droppage per unit]]*Sales4[[#This Row],[Billed Quantity]]</f>
        <v>0</v>
      </c>
      <c r="AK454" s="12" t="e">
        <f>Sales4[[#This Row],[Billed Quantity]]*Sales4[[#This Row],[Other Conversion cost pu]]</f>
        <v>#REF!</v>
      </c>
      <c r="AL454" s="48" t="e">
        <f>Sales4[[#This Row],[PGI Amount]]-Sales4[[#This Row],[BOM Cost2]]-Sales4[[#This Row],[Labour Cost]]-Sales4[[#This Row],[Other conversion cost]]</f>
        <v>#REF!</v>
      </c>
      <c r="AM454" s="121" t="e">
        <f>1-Sales4[[#This Row],[PGI COST]]/Sales4[[#This Row],[Net Value]]</f>
        <v>#REF!</v>
      </c>
      <c r="AN454" s="1">
        <f>Sales4[[#This Row],[PGI Amount]]/Sales4[[#This Row],[Billed Quantity]]</f>
        <v>3.4284487499999998</v>
      </c>
      <c r="AO454" s="72" t="e">
        <f>SUMIFS('COGS Break up'!#REF!,'COGS Break up'!#REF!,Sales4[[#This Row],[Material]],'COGS Break up'!#REF!,'MIS Working'!$AO$1)</f>
        <v>#REF!</v>
      </c>
      <c r="AP454" s="72" t="e">
        <f>SUMIFS('COGS Break up'!#REF!,'COGS Break up'!#REF!,Sales4[[#This Row],[Material]],'COGS Break up'!#REF!,'MIS Working'!$AP$1)</f>
        <v>#REF!</v>
      </c>
      <c r="AQ454" s="72" t="e">
        <f>SUMIFS('COGS Break up'!#REF!,'COGS Break up'!#REF!,Sales4[[#This Row],[Material]],'COGS Break up'!#REF!,'MIS Working'!$AQ$1)</f>
        <v>#REF!</v>
      </c>
      <c r="AR454" s="72">
        <f>Sales4[[#This Row],[Droppage per unit]]</f>
        <v>0</v>
      </c>
      <c r="AS454" s="15" t="e">
        <f>AO454*Sales4[[#This Row],[Billed Quantity]]</f>
        <v>#REF!</v>
      </c>
      <c r="AT454" s="72" t="e">
        <f>AP454*Sales4[[#This Row],[Billed Quantity]]</f>
        <v>#REF!</v>
      </c>
      <c r="AU454" s="72" t="e">
        <f>AQ454*Sales4[[#This Row],[Billed Quantity]]</f>
        <v>#REF!</v>
      </c>
      <c r="AV454" s="72">
        <f>AR454*Sales4[[#This Row],[Billed Quantity]]</f>
        <v>0</v>
      </c>
    </row>
    <row r="455" spans="1:48" x14ac:dyDescent="0.3">
      <c r="A455" s="1" t="s">
        <v>1212</v>
      </c>
      <c r="B455" s="2">
        <v>45902</v>
      </c>
      <c r="C455" s="1">
        <v>3271265715</v>
      </c>
      <c r="D455" s="1" t="s">
        <v>1227</v>
      </c>
      <c r="E455" s="1" t="s">
        <v>1228</v>
      </c>
      <c r="F455" s="1" t="s">
        <v>18</v>
      </c>
      <c r="G455" s="1" t="s">
        <v>48</v>
      </c>
      <c r="H455" s="1" t="s">
        <v>207</v>
      </c>
      <c r="I455" s="3">
        <v>5500</v>
      </c>
      <c r="J455" s="4">
        <v>46750</v>
      </c>
      <c r="K455" s="3">
        <v>5500</v>
      </c>
      <c r="L455" s="3">
        <v>5500</v>
      </c>
      <c r="M455" s="2">
        <v>45902</v>
      </c>
      <c r="N455" s="4">
        <v>46750</v>
      </c>
      <c r="O455" s="1" t="s">
        <v>21</v>
      </c>
      <c r="P455" s="1" t="s">
        <v>22</v>
      </c>
      <c r="Q455" s="1">
        <v>6</v>
      </c>
      <c r="R455" s="1" t="str">
        <f>VLOOKUP(Sales4[[#This Row],[Material type]],Master!$H$3:$I$8,2,0)</f>
        <v>Raw Material</v>
      </c>
      <c r="S455" s="1" t="str">
        <f>VLOOKUP(Sales4[[#This Row],[Material Group]],Master!B:C,2,0)</f>
        <v>RM-Mech. Accessories</v>
      </c>
      <c r="T455" s="1" t="str">
        <f>VLOOKUP(Sales4[[#This Row],[Material Group Descrip]],Master!E:F,2,0)</f>
        <v>Raw Material</v>
      </c>
      <c r="U455" s="9" t="b">
        <f ca="1">(TODAY()-1)=Sales4[[#This Row],[Billing Date]]</f>
        <v>0</v>
      </c>
      <c r="V455" s="10" t="e">
        <f>Sales4[[#This Row],[Net Value]]-Sales4[[#This Row],[PGI COST]]</f>
        <v>#REF!</v>
      </c>
      <c r="W455" s="11" t="e">
        <f>Sales4[[#This Row],[Gross Margin]]/Sales4[[#This Row],[Net Value]]</f>
        <v>#REF!</v>
      </c>
      <c r="X455" s="1" t="str">
        <f>TEXT(Sales4[[#This Row],[Billing Date]],"mmmm-yy")</f>
        <v>September-25</v>
      </c>
      <c r="Y455" s="1">
        <f>Sales4[[#This Row],[Net Value]]/Sales4[[#This Row],[Billed Quantity]]</f>
        <v>8.5</v>
      </c>
      <c r="Z455" s="117">
        <f>Sales4[[#This Row],[Actual delivery qty]]</f>
        <v>5500</v>
      </c>
      <c r="AA455" s="12" t="e">
        <f>SUM(Sales4[[#This Row],[BOM Cost]:[Other Conversion cost pu]])</f>
        <v>#REF!</v>
      </c>
      <c r="AB45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5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55" s="12">
        <f>IFERROR(VLOOKUP(Sales4[[#This Row],[Material]],'COGS Break up'!#REF!,5,0),0)</f>
        <v>0</v>
      </c>
      <c r="AE45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55" s="48" t="e">
        <f>Sales4[[#This Row],[PGI per unit]]-Sales4[[#This Row],[BOM Cost]]-Sales4[[#This Row],[Labour cost per unit]]-Sales4[[#This Row],[Other Conversion cost pu]]</f>
        <v>#REF!</v>
      </c>
      <c r="AG455" s="48" t="e">
        <f>Sales4[[#This Row],[BOM Cost2]]+Sales4[[#This Row],[Labour Cost]]+Sales4[[#This Row],[Other conversion cost]]</f>
        <v>#REF!</v>
      </c>
      <c r="AH455" s="12" t="e">
        <f>Sales4[[#This Row],[Billed Quantity]]*Sales4[[#This Row],[BOM Cost]]</f>
        <v>#REF!</v>
      </c>
      <c r="AI455" s="12" t="e">
        <f>Sales4[[#This Row],[Billed Quantity]]*Sales4[[#This Row],[Labour cost per unit]]</f>
        <v>#REF!</v>
      </c>
      <c r="AJ455" s="12">
        <f>Sales4[[#This Row],[Droppage per unit]]*Sales4[[#This Row],[Billed Quantity]]</f>
        <v>0</v>
      </c>
      <c r="AK455" s="12" t="e">
        <f>Sales4[[#This Row],[Billed Quantity]]*Sales4[[#This Row],[Other Conversion cost pu]]</f>
        <v>#REF!</v>
      </c>
      <c r="AL455" s="48" t="e">
        <f>Sales4[[#This Row],[PGI Amount]]-Sales4[[#This Row],[BOM Cost2]]-Sales4[[#This Row],[Labour Cost]]-Sales4[[#This Row],[Other conversion cost]]</f>
        <v>#REF!</v>
      </c>
      <c r="AM455" s="121" t="e">
        <f>1-Sales4[[#This Row],[PGI COST]]/Sales4[[#This Row],[Net Value]]</f>
        <v>#REF!</v>
      </c>
      <c r="AN455" s="1">
        <f>Sales4[[#This Row],[PGI Amount]]/Sales4[[#This Row],[Billed Quantity]]</f>
        <v>8.5</v>
      </c>
      <c r="AO455" s="72" t="e">
        <f>SUMIFS('COGS Break up'!#REF!,'COGS Break up'!#REF!,Sales4[[#This Row],[Material]],'COGS Break up'!#REF!,'MIS Working'!$AO$1)</f>
        <v>#REF!</v>
      </c>
      <c r="AP455" s="72" t="e">
        <f>SUMIFS('COGS Break up'!#REF!,'COGS Break up'!#REF!,Sales4[[#This Row],[Material]],'COGS Break up'!#REF!,'MIS Working'!$AP$1)</f>
        <v>#REF!</v>
      </c>
      <c r="AQ455" s="72" t="e">
        <f>SUMIFS('COGS Break up'!#REF!,'COGS Break up'!#REF!,Sales4[[#This Row],[Material]],'COGS Break up'!#REF!,'MIS Working'!$AQ$1)</f>
        <v>#REF!</v>
      </c>
      <c r="AR455" s="72">
        <f>Sales4[[#This Row],[Droppage per unit]]</f>
        <v>0</v>
      </c>
      <c r="AS455" s="15" t="e">
        <f>AO455*Sales4[[#This Row],[Billed Quantity]]</f>
        <v>#REF!</v>
      </c>
      <c r="AT455" s="72" t="e">
        <f>AP455*Sales4[[#This Row],[Billed Quantity]]</f>
        <v>#REF!</v>
      </c>
      <c r="AU455" s="72" t="e">
        <f>AQ455*Sales4[[#This Row],[Billed Quantity]]</f>
        <v>#REF!</v>
      </c>
      <c r="AV455" s="72">
        <f>AR455*Sales4[[#This Row],[Billed Quantity]]</f>
        <v>0</v>
      </c>
    </row>
    <row r="456" spans="1:48" x14ac:dyDescent="0.3">
      <c r="A456" s="1" t="s">
        <v>1212</v>
      </c>
      <c r="B456" s="2">
        <v>45902</v>
      </c>
      <c r="C456" s="1">
        <v>3271265715</v>
      </c>
      <c r="D456" s="1" t="s">
        <v>1229</v>
      </c>
      <c r="E456" s="1" t="s">
        <v>1230</v>
      </c>
      <c r="F456" s="1" t="s">
        <v>18</v>
      </c>
      <c r="G456" s="1" t="s">
        <v>48</v>
      </c>
      <c r="H456" s="1" t="s">
        <v>198</v>
      </c>
      <c r="I456" s="3">
        <v>6000</v>
      </c>
      <c r="J456" s="4">
        <v>6600</v>
      </c>
      <c r="K456" s="3">
        <v>6000</v>
      </c>
      <c r="L456" s="3">
        <v>6000</v>
      </c>
      <c r="M456" s="2">
        <v>45902</v>
      </c>
      <c r="N456" s="4">
        <v>6600</v>
      </c>
      <c r="O456" s="1" t="s">
        <v>21</v>
      </c>
      <c r="P456" s="1" t="s">
        <v>22</v>
      </c>
      <c r="Q456" s="1">
        <v>6</v>
      </c>
      <c r="R456" s="1" t="str">
        <f>VLOOKUP(Sales4[[#This Row],[Material type]],Master!$H$3:$I$8,2,0)</f>
        <v>Raw Material</v>
      </c>
      <c r="S456" s="1" t="str">
        <f>VLOOKUP(Sales4[[#This Row],[Material Group]],Master!B:C,2,0)</f>
        <v>RM-Eletro-Capacitor</v>
      </c>
      <c r="T456" s="1" t="str">
        <f>VLOOKUP(Sales4[[#This Row],[Material Group Descrip]],Master!E:F,2,0)</f>
        <v>Raw Material</v>
      </c>
      <c r="U456" s="9" t="b">
        <f ca="1">(TODAY()-1)=Sales4[[#This Row],[Billing Date]]</f>
        <v>0</v>
      </c>
      <c r="V456" s="10" t="e">
        <f>Sales4[[#This Row],[Net Value]]-Sales4[[#This Row],[PGI COST]]</f>
        <v>#REF!</v>
      </c>
      <c r="W456" s="11" t="e">
        <f>Sales4[[#This Row],[Gross Margin]]/Sales4[[#This Row],[Net Value]]</f>
        <v>#REF!</v>
      </c>
      <c r="X456" s="1" t="str">
        <f>TEXT(Sales4[[#This Row],[Billing Date]],"mmmm-yy")</f>
        <v>September-25</v>
      </c>
      <c r="Y456" s="1">
        <f>Sales4[[#This Row],[Net Value]]/Sales4[[#This Row],[Billed Quantity]]</f>
        <v>1.1000000000000001</v>
      </c>
      <c r="Z456" s="117">
        <f>Sales4[[#This Row],[Actual delivery qty]]</f>
        <v>6000</v>
      </c>
      <c r="AA456" s="12" t="e">
        <f>SUM(Sales4[[#This Row],[BOM Cost]:[Other Conversion cost pu]])</f>
        <v>#REF!</v>
      </c>
      <c r="AB45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5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56" s="12">
        <f>IFERROR(VLOOKUP(Sales4[[#This Row],[Material]],'COGS Break up'!#REF!,5,0),0)</f>
        <v>0</v>
      </c>
      <c r="AE45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56" s="48" t="e">
        <f>Sales4[[#This Row],[PGI per unit]]-Sales4[[#This Row],[BOM Cost]]-Sales4[[#This Row],[Labour cost per unit]]-Sales4[[#This Row],[Other Conversion cost pu]]</f>
        <v>#REF!</v>
      </c>
      <c r="AG456" s="48" t="e">
        <f>Sales4[[#This Row],[BOM Cost2]]+Sales4[[#This Row],[Labour Cost]]+Sales4[[#This Row],[Other conversion cost]]</f>
        <v>#REF!</v>
      </c>
      <c r="AH456" s="12" t="e">
        <f>Sales4[[#This Row],[Billed Quantity]]*Sales4[[#This Row],[BOM Cost]]</f>
        <v>#REF!</v>
      </c>
      <c r="AI456" s="12" t="e">
        <f>Sales4[[#This Row],[Billed Quantity]]*Sales4[[#This Row],[Labour cost per unit]]</f>
        <v>#REF!</v>
      </c>
      <c r="AJ456" s="12">
        <f>Sales4[[#This Row],[Droppage per unit]]*Sales4[[#This Row],[Billed Quantity]]</f>
        <v>0</v>
      </c>
      <c r="AK456" s="12" t="e">
        <f>Sales4[[#This Row],[Billed Quantity]]*Sales4[[#This Row],[Other Conversion cost pu]]</f>
        <v>#REF!</v>
      </c>
      <c r="AL456" s="48" t="e">
        <f>Sales4[[#This Row],[PGI Amount]]-Sales4[[#This Row],[BOM Cost2]]-Sales4[[#This Row],[Labour Cost]]-Sales4[[#This Row],[Other conversion cost]]</f>
        <v>#REF!</v>
      </c>
      <c r="AM456" s="121" t="e">
        <f>1-Sales4[[#This Row],[PGI COST]]/Sales4[[#This Row],[Net Value]]</f>
        <v>#REF!</v>
      </c>
      <c r="AN456" s="1">
        <f>Sales4[[#This Row],[PGI Amount]]/Sales4[[#This Row],[Billed Quantity]]</f>
        <v>1.1000000000000001</v>
      </c>
      <c r="AO456" s="72" t="e">
        <f>SUMIFS('COGS Break up'!#REF!,'COGS Break up'!#REF!,Sales4[[#This Row],[Material]],'COGS Break up'!#REF!,'MIS Working'!$AO$1)</f>
        <v>#REF!</v>
      </c>
      <c r="AP456" s="72" t="e">
        <f>SUMIFS('COGS Break up'!#REF!,'COGS Break up'!#REF!,Sales4[[#This Row],[Material]],'COGS Break up'!#REF!,'MIS Working'!$AP$1)</f>
        <v>#REF!</v>
      </c>
      <c r="AQ456" s="72" t="e">
        <f>SUMIFS('COGS Break up'!#REF!,'COGS Break up'!#REF!,Sales4[[#This Row],[Material]],'COGS Break up'!#REF!,'MIS Working'!$AQ$1)</f>
        <v>#REF!</v>
      </c>
      <c r="AR456" s="72">
        <f>Sales4[[#This Row],[Droppage per unit]]</f>
        <v>0</v>
      </c>
      <c r="AS456" s="15" t="e">
        <f>AO456*Sales4[[#This Row],[Billed Quantity]]</f>
        <v>#REF!</v>
      </c>
      <c r="AT456" s="72" t="e">
        <f>AP456*Sales4[[#This Row],[Billed Quantity]]</f>
        <v>#REF!</v>
      </c>
      <c r="AU456" s="72" t="e">
        <f>AQ456*Sales4[[#This Row],[Billed Quantity]]</f>
        <v>#REF!</v>
      </c>
      <c r="AV456" s="72">
        <f>AR456*Sales4[[#This Row],[Billed Quantity]]</f>
        <v>0</v>
      </c>
    </row>
    <row r="457" spans="1:48" x14ac:dyDescent="0.3">
      <c r="A457" s="1" t="s">
        <v>1212</v>
      </c>
      <c r="B457" s="2">
        <v>45902</v>
      </c>
      <c r="C457" s="1">
        <v>3271265715</v>
      </c>
      <c r="D457" s="1" t="s">
        <v>1231</v>
      </c>
      <c r="E457" s="1" t="s">
        <v>1232</v>
      </c>
      <c r="F457" s="1" t="s">
        <v>18</v>
      </c>
      <c r="G457" s="1" t="s">
        <v>48</v>
      </c>
      <c r="H457" s="1" t="s">
        <v>201</v>
      </c>
      <c r="I457" s="3">
        <v>51000</v>
      </c>
      <c r="J457" s="4">
        <v>93091.98</v>
      </c>
      <c r="K457" s="3">
        <v>51000</v>
      </c>
      <c r="L457" s="3">
        <v>51000</v>
      </c>
      <c r="M457" s="2">
        <v>45902</v>
      </c>
      <c r="N457" s="4">
        <v>90780</v>
      </c>
      <c r="O457" s="1" t="s">
        <v>21</v>
      </c>
      <c r="P457" s="1" t="s">
        <v>22</v>
      </c>
      <c r="Q457" s="1">
        <v>6</v>
      </c>
      <c r="R457" s="1" t="str">
        <f>VLOOKUP(Sales4[[#This Row],[Material type]],Master!$H$3:$I$8,2,0)</f>
        <v>Raw Material</v>
      </c>
      <c r="S457" s="1" t="str">
        <f>VLOOKUP(Sales4[[#This Row],[Material Group]],Master!B:C,2,0)</f>
        <v>RM-Eletro-Diodes</v>
      </c>
      <c r="T457" s="1" t="str">
        <f>VLOOKUP(Sales4[[#This Row],[Material Group Descrip]],Master!E:F,2,0)</f>
        <v>Raw Material</v>
      </c>
      <c r="U457" s="9" t="b">
        <f ca="1">(TODAY()-1)=Sales4[[#This Row],[Billing Date]]</f>
        <v>0</v>
      </c>
      <c r="V457" s="10" t="e">
        <f>Sales4[[#This Row],[Net Value]]-Sales4[[#This Row],[PGI COST]]</f>
        <v>#REF!</v>
      </c>
      <c r="W457" s="11" t="e">
        <f>Sales4[[#This Row],[Gross Margin]]/Sales4[[#This Row],[Net Value]]</f>
        <v>#REF!</v>
      </c>
      <c r="X457" s="1" t="str">
        <f>TEXT(Sales4[[#This Row],[Billing Date]],"mmmm-yy")</f>
        <v>September-25</v>
      </c>
      <c r="Y457" s="1">
        <f>Sales4[[#This Row],[Net Value]]/Sales4[[#This Row],[Billed Quantity]]</f>
        <v>1.78</v>
      </c>
      <c r="Z457" s="117">
        <f>Sales4[[#This Row],[Actual delivery qty]]</f>
        <v>51000</v>
      </c>
      <c r="AA457" s="12" t="e">
        <f>SUM(Sales4[[#This Row],[BOM Cost]:[Other Conversion cost pu]])</f>
        <v>#REF!</v>
      </c>
      <c r="AB45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5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57" s="12">
        <f>IFERROR(VLOOKUP(Sales4[[#This Row],[Material]],'COGS Break up'!#REF!,5,0),0)</f>
        <v>0</v>
      </c>
      <c r="AE45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57" s="48" t="e">
        <f>Sales4[[#This Row],[PGI per unit]]-Sales4[[#This Row],[BOM Cost]]-Sales4[[#This Row],[Labour cost per unit]]-Sales4[[#This Row],[Other Conversion cost pu]]</f>
        <v>#REF!</v>
      </c>
      <c r="AG457" s="48" t="e">
        <f>Sales4[[#This Row],[BOM Cost2]]+Sales4[[#This Row],[Labour Cost]]+Sales4[[#This Row],[Other conversion cost]]</f>
        <v>#REF!</v>
      </c>
      <c r="AH457" s="12" t="e">
        <f>Sales4[[#This Row],[Billed Quantity]]*Sales4[[#This Row],[BOM Cost]]</f>
        <v>#REF!</v>
      </c>
      <c r="AI457" s="12" t="e">
        <f>Sales4[[#This Row],[Billed Quantity]]*Sales4[[#This Row],[Labour cost per unit]]</f>
        <v>#REF!</v>
      </c>
      <c r="AJ457" s="12">
        <f>Sales4[[#This Row],[Droppage per unit]]*Sales4[[#This Row],[Billed Quantity]]</f>
        <v>0</v>
      </c>
      <c r="AK457" s="12" t="e">
        <f>Sales4[[#This Row],[Billed Quantity]]*Sales4[[#This Row],[Other Conversion cost pu]]</f>
        <v>#REF!</v>
      </c>
      <c r="AL457" s="48" t="e">
        <f>Sales4[[#This Row],[PGI Amount]]-Sales4[[#This Row],[BOM Cost2]]-Sales4[[#This Row],[Labour Cost]]-Sales4[[#This Row],[Other conversion cost]]</f>
        <v>#REF!</v>
      </c>
      <c r="AM457" s="121" t="e">
        <f>1-Sales4[[#This Row],[PGI COST]]/Sales4[[#This Row],[Net Value]]</f>
        <v>#REF!</v>
      </c>
      <c r="AN457" s="1">
        <f>Sales4[[#This Row],[PGI Amount]]/Sales4[[#This Row],[Billed Quantity]]</f>
        <v>1.8253329411764705</v>
      </c>
      <c r="AO457" s="72" t="e">
        <f>SUMIFS('COGS Break up'!#REF!,'COGS Break up'!#REF!,Sales4[[#This Row],[Material]],'COGS Break up'!#REF!,'MIS Working'!$AO$1)</f>
        <v>#REF!</v>
      </c>
      <c r="AP457" s="72" t="e">
        <f>SUMIFS('COGS Break up'!#REF!,'COGS Break up'!#REF!,Sales4[[#This Row],[Material]],'COGS Break up'!#REF!,'MIS Working'!$AP$1)</f>
        <v>#REF!</v>
      </c>
      <c r="AQ457" s="72" t="e">
        <f>SUMIFS('COGS Break up'!#REF!,'COGS Break up'!#REF!,Sales4[[#This Row],[Material]],'COGS Break up'!#REF!,'MIS Working'!$AQ$1)</f>
        <v>#REF!</v>
      </c>
      <c r="AR457" s="72">
        <f>Sales4[[#This Row],[Droppage per unit]]</f>
        <v>0</v>
      </c>
      <c r="AS457" s="15" t="e">
        <f>AO457*Sales4[[#This Row],[Billed Quantity]]</f>
        <v>#REF!</v>
      </c>
      <c r="AT457" s="72" t="e">
        <f>AP457*Sales4[[#This Row],[Billed Quantity]]</f>
        <v>#REF!</v>
      </c>
      <c r="AU457" s="72" t="e">
        <f>AQ457*Sales4[[#This Row],[Billed Quantity]]</f>
        <v>#REF!</v>
      </c>
      <c r="AV457" s="72">
        <f>AR457*Sales4[[#This Row],[Billed Quantity]]</f>
        <v>0</v>
      </c>
    </row>
    <row r="458" spans="1:48" x14ac:dyDescent="0.3">
      <c r="A458" s="1" t="s">
        <v>1212</v>
      </c>
      <c r="B458" s="2">
        <v>45902</v>
      </c>
      <c r="C458" s="1">
        <v>3271265715</v>
      </c>
      <c r="D458" s="1" t="s">
        <v>1233</v>
      </c>
      <c r="E458" s="1" t="s">
        <v>1234</v>
      </c>
      <c r="F458" s="1" t="s">
        <v>18</v>
      </c>
      <c r="G458" s="1" t="s">
        <v>48</v>
      </c>
      <c r="H458" s="1" t="s">
        <v>207</v>
      </c>
      <c r="I458" s="3">
        <v>5712</v>
      </c>
      <c r="J458" s="4">
        <v>99388.800000000003</v>
      </c>
      <c r="K458" s="3">
        <v>5712</v>
      </c>
      <c r="L458" s="3">
        <v>5712</v>
      </c>
      <c r="M458" s="2">
        <v>45902</v>
      </c>
      <c r="N458" s="4">
        <v>101388</v>
      </c>
      <c r="O458" s="1" t="s">
        <v>21</v>
      </c>
      <c r="P458" s="1" t="s">
        <v>22</v>
      </c>
      <c r="Q458" s="1">
        <v>6</v>
      </c>
      <c r="R458" s="1" t="str">
        <f>VLOOKUP(Sales4[[#This Row],[Material type]],Master!$H$3:$I$8,2,0)</f>
        <v>Raw Material</v>
      </c>
      <c r="S458" s="1" t="str">
        <f>VLOOKUP(Sales4[[#This Row],[Material Group]],Master!B:C,2,0)</f>
        <v>RM-Mech. Accessories</v>
      </c>
      <c r="T458" s="1" t="str">
        <f>VLOOKUP(Sales4[[#This Row],[Material Group Descrip]],Master!E:F,2,0)</f>
        <v>Raw Material</v>
      </c>
      <c r="U458" s="9" t="b">
        <f ca="1">(TODAY()-1)=Sales4[[#This Row],[Billing Date]]</f>
        <v>0</v>
      </c>
      <c r="V458" s="10" t="e">
        <f>Sales4[[#This Row],[Net Value]]-Sales4[[#This Row],[PGI COST]]</f>
        <v>#REF!</v>
      </c>
      <c r="W458" s="11" t="e">
        <f>Sales4[[#This Row],[Gross Margin]]/Sales4[[#This Row],[Net Value]]</f>
        <v>#REF!</v>
      </c>
      <c r="X458" s="1" t="str">
        <f>TEXT(Sales4[[#This Row],[Billing Date]],"mmmm-yy")</f>
        <v>September-25</v>
      </c>
      <c r="Y458" s="1">
        <f>Sales4[[#This Row],[Net Value]]/Sales4[[#This Row],[Billed Quantity]]</f>
        <v>17.75</v>
      </c>
      <c r="Z458" s="117">
        <f>Sales4[[#This Row],[Actual delivery qty]]</f>
        <v>5712</v>
      </c>
      <c r="AA458" s="12" t="e">
        <f>SUM(Sales4[[#This Row],[BOM Cost]:[Other Conversion cost pu]])</f>
        <v>#REF!</v>
      </c>
      <c r="AB45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5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58" s="12">
        <f>IFERROR(VLOOKUP(Sales4[[#This Row],[Material]],'COGS Break up'!#REF!,5,0),0)</f>
        <v>0</v>
      </c>
      <c r="AE45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58" s="48" t="e">
        <f>Sales4[[#This Row],[PGI per unit]]-Sales4[[#This Row],[BOM Cost]]-Sales4[[#This Row],[Labour cost per unit]]-Sales4[[#This Row],[Other Conversion cost pu]]</f>
        <v>#REF!</v>
      </c>
      <c r="AG458" s="48" t="e">
        <f>Sales4[[#This Row],[BOM Cost2]]+Sales4[[#This Row],[Labour Cost]]+Sales4[[#This Row],[Other conversion cost]]</f>
        <v>#REF!</v>
      </c>
      <c r="AH458" s="12" t="e">
        <f>Sales4[[#This Row],[Billed Quantity]]*Sales4[[#This Row],[BOM Cost]]</f>
        <v>#REF!</v>
      </c>
      <c r="AI458" s="12" t="e">
        <f>Sales4[[#This Row],[Billed Quantity]]*Sales4[[#This Row],[Labour cost per unit]]</f>
        <v>#REF!</v>
      </c>
      <c r="AJ458" s="12">
        <f>Sales4[[#This Row],[Droppage per unit]]*Sales4[[#This Row],[Billed Quantity]]</f>
        <v>0</v>
      </c>
      <c r="AK458" s="12" t="e">
        <f>Sales4[[#This Row],[Billed Quantity]]*Sales4[[#This Row],[Other Conversion cost pu]]</f>
        <v>#REF!</v>
      </c>
      <c r="AL458" s="48" t="e">
        <f>Sales4[[#This Row],[PGI Amount]]-Sales4[[#This Row],[BOM Cost2]]-Sales4[[#This Row],[Labour Cost]]-Sales4[[#This Row],[Other conversion cost]]</f>
        <v>#REF!</v>
      </c>
      <c r="AM458" s="121" t="e">
        <f>1-Sales4[[#This Row],[PGI COST]]/Sales4[[#This Row],[Net Value]]</f>
        <v>#REF!</v>
      </c>
      <c r="AN458" s="1">
        <f>Sales4[[#This Row],[PGI Amount]]/Sales4[[#This Row],[Billed Quantity]]</f>
        <v>17.400000000000002</v>
      </c>
      <c r="AO458" s="72" t="e">
        <f>SUMIFS('COGS Break up'!#REF!,'COGS Break up'!#REF!,Sales4[[#This Row],[Material]],'COGS Break up'!#REF!,'MIS Working'!$AO$1)</f>
        <v>#REF!</v>
      </c>
      <c r="AP458" s="72" t="e">
        <f>SUMIFS('COGS Break up'!#REF!,'COGS Break up'!#REF!,Sales4[[#This Row],[Material]],'COGS Break up'!#REF!,'MIS Working'!$AP$1)</f>
        <v>#REF!</v>
      </c>
      <c r="AQ458" s="72" t="e">
        <f>SUMIFS('COGS Break up'!#REF!,'COGS Break up'!#REF!,Sales4[[#This Row],[Material]],'COGS Break up'!#REF!,'MIS Working'!$AQ$1)</f>
        <v>#REF!</v>
      </c>
      <c r="AR458" s="72">
        <f>Sales4[[#This Row],[Droppage per unit]]</f>
        <v>0</v>
      </c>
      <c r="AS458" s="15" t="e">
        <f>AO458*Sales4[[#This Row],[Billed Quantity]]</f>
        <v>#REF!</v>
      </c>
      <c r="AT458" s="72" t="e">
        <f>AP458*Sales4[[#This Row],[Billed Quantity]]</f>
        <v>#REF!</v>
      </c>
      <c r="AU458" s="72" t="e">
        <f>AQ458*Sales4[[#This Row],[Billed Quantity]]</f>
        <v>#REF!</v>
      </c>
      <c r="AV458" s="72">
        <f>AR458*Sales4[[#This Row],[Billed Quantity]]</f>
        <v>0</v>
      </c>
    </row>
    <row r="459" spans="1:48" x14ac:dyDescent="0.3">
      <c r="A459" s="1" t="s">
        <v>1212</v>
      </c>
      <c r="B459" s="2">
        <v>45902</v>
      </c>
      <c r="C459" s="1">
        <v>3271265715</v>
      </c>
      <c r="D459" s="1" t="s">
        <v>725</v>
      </c>
      <c r="E459" s="1" t="s">
        <v>726</v>
      </c>
      <c r="F459" s="1" t="s">
        <v>18</v>
      </c>
      <c r="G459" s="1" t="s">
        <v>48</v>
      </c>
      <c r="H459" s="1" t="s">
        <v>207</v>
      </c>
      <c r="I459" s="3">
        <v>6000</v>
      </c>
      <c r="J459" s="4">
        <v>362010.41</v>
      </c>
      <c r="K459" s="3">
        <v>6000</v>
      </c>
      <c r="L459" s="3">
        <v>6000</v>
      </c>
      <c r="M459" s="2">
        <v>45902</v>
      </c>
      <c r="N459" s="4">
        <v>414720</v>
      </c>
      <c r="O459" s="1" t="s">
        <v>21</v>
      </c>
      <c r="P459" s="1" t="s">
        <v>22</v>
      </c>
      <c r="Q459" s="1">
        <v>6</v>
      </c>
      <c r="R459" s="1" t="str">
        <f>VLOOKUP(Sales4[[#This Row],[Material type]],Master!$H$3:$I$8,2,0)</f>
        <v>Raw Material</v>
      </c>
      <c r="S459" s="1" t="str">
        <f>VLOOKUP(Sales4[[#This Row],[Material Group]],Master!B:C,2,0)</f>
        <v>RM-Mech. Accessories</v>
      </c>
      <c r="T459" s="1" t="str">
        <f>VLOOKUP(Sales4[[#This Row],[Material Group Descrip]],Master!E:F,2,0)</f>
        <v>Raw Material</v>
      </c>
      <c r="U459" s="9" t="b">
        <f ca="1">(TODAY()-1)=Sales4[[#This Row],[Billing Date]]</f>
        <v>0</v>
      </c>
      <c r="V459" s="10" t="e">
        <f>Sales4[[#This Row],[Net Value]]-Sales4[[#This Row],[PGI COST]]</f>
        <v>#REF!</v>
      </c>
      <c r="W459" s="11" t="e">
        <f>Sales4[[#This Row],[Gross Margin]]/Sales4[[#This Row],[Net Value]]</f>
        <v>#REF!</v>
      </c>
      <c r="X459" s="1" t="str">
        <f>TEXT(Sales4[[#This Row],[Billing Date]],"mmmm-yy")</f>
        <v>September-25</v>
      </c>
      <c r="Y459" s="1">
        <f>Sales4[[#This Row],[Net Value]]/Sales4[[#This Row],[Billed Quantity]]</f>
        <v>69.12</v>
      </c>
      <c r="Z459" s="117">
        <f>Sales4[[#This Row],[Actual delivery qty]]</f>
        <v>6000</v>
      </c>
      <c r="AA459" s="12" t="e">
        <f>SUM(Sales4[[#This Row],[BOM Cost]:[Other Conversion cost pu]])</f>
        <v>#REF!</v>
      </c>
      <c r="AB45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5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59" s="12">
        <f>IFERROR(VLOOKUP(Sales4[[#This Row],[Material]],'COGS Break up'!#REF!,5,0),0)</f>
        <v>0</v>
      </c>
      <c r="AE45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59" s="48" t="e">
        <f>Sales4[[#This Row],[PGI per unit]]-Sales4[[#This Row],[BOM Cost]]-Sales4[[#This Row],[Labour cost per unit]]-Sales4[[#This Row],[Other Conversion cost pu]]</f>
        <v>#REF!</v>
      </c>
      <c r="AG459" s="48" t="e">
        <f>Sales4[[#This Row],[BOM Cost2]]+Sales4[[#This Row],[Labour Cost]]+Sales4[[#This Row],[Other conversion cost]]</f>
        <v>#REF!</v>
      </c>
      <c r="AH459" s="12" t="e">
        <f>Sales4[[#This Row],[Billed Quantity]]*Sales4[[#This Row],[BOM Cost]]</f>
        <v>#REF!</v>
      </c>
      <c r="AI459" s="12" t="e">
        <f>Sales4[[#This Row],[Billed Quantity]]*Sales4[[#This Row],[Labour cost per unit]]</f>
        <v>#REF!</v>
      </c>
      <c r="AJ459" s="12">
        <f>Sales4[[#This Row],[Droppage per unit]]*Sales4[[#This Row],[Billed Quantity]]</f>
        <v>0</v>
      </c>
      <c r="AK459" s="12" t="e">
        <f>Sales4[[#This Row],[Billed Quantity]]*Sales4[[#This Row],[Other Conversion cost pu]]</f>
        <v>#REF!</v>
      </c>
      <c r="AL459" s="48" t="e">
        <f>Sales4[[#This Row],[PGI Amount]]-Sales4[[#This Row],[BOM Cost2]]-Sales4[[#This Row],[Labour Cost]]-Sales4[[#This Row],[Other conversion cost]]</f>
        <v>#REF!</v>
      </c>
      <c r="AM459" s="121" t="e">
        <f>1-Sales4[[#This Row],[PGI COST]]/Sales4[[#This Row],[Net Value]]</f>
        <v>#REF!</v>
      </c>
      <c r="AN459" s="1">
        <f>Sales4[[#This Row],[PGI Amount]]/Sales4[[#This Row],[Billed Quantity]]</f>
        <v>60.335068333333332</v>
      </c>
      <c r="AO459" s="72" t="e">
        <f>SUMIFS('COGS Break up'!#REF!,'COGS Break up'!#REF!,Sales4[[#This Row],[Material]],'COGS Break up'!#REF!,'MIS Working'!$AO$1)</f>
        <v>#REF!</v>
      </c>
      <c r="AP459" s="72" t="e">
        <f>SUMIFS('COGS Break up'!#REF!,'COGS Break up'!#REF!,Sales4[[#This Row],[Material]],'COGS Break up'!#REF!,'MIS Working'!$AP$1)</f>
        <v>#REF!</v>
      </c>
      <c r="AQ459" s="72" t="e">
        <f>SUMIFS('COGS Break up'!#REF!,'COGS Break up'!#REF!,Sales4[[#This Row],[Material]],'COGS Break up'!#REF!,'MIS Working'!$AQ$1)</f>
        <v>#REF!</v>
      </c>
      <c r="AR459" s="72">
        <f>Sales4[[#This Row],[Droppage per unit]]</f>
        <v>0</v>
      </c>
      <c r="AS459" s="15" t="e">
        <f>AO459*Sales4[[#This Row],[Billed Quantity]]</f>
        <v>#REF!</v>
      </c>
      <c r="AT459" s="72" t="e">
        <f>AP459*Sales4[[#This Row],[Billed Quantity]]</f>
        <v>#REF!</v>
      </c>
      <c r="AU459" s="72" t="e">
        <f>AQ459*Sales4[[#This Row],[Billed Quantity]]</f>
        <v>#REF!</v>
      </c>
      <c r="AV459" s="72">
        <f>AR459*Sales4[[#This Row],[Billed Quantity]]</f>
        <v>0</v>
      </c>
    </row>
    <row r="460" spans="1:48" x14ac:dyDescent="0.3">
      <c r="A460" s="1" t="s">
        <v>1212</v>
      </c>
      <c r="B460" s="2">
        <v>45902</v>
      </c>
      <c r="C460" s="1">
        <v>3271265715</v>
      </c>
      <c r="D460" s="1" t="s">
        <v>1235</v>
      </c>
      <c r="E460" s="1" t="s">
        <v>1236</v>
      </c>
      <c r="F460" s="1" t="s">
        <v>18</v>
      </c>
      <c r="G460" s="1" t="s">
        <v>48</v>
      </c>
      <c r="H460" s="1" t="s">
        <v>207</v>
      </c>
      <c r="I460" s="3">
        <v>2000</v>
      </c>
      <c r="J460" s="4">
        <v>2900</v>
      </c>
      <c r="K460" s="3">
        <v>2000</v>
      </c>
      <c r="L460" s="3">
        <v>2000</v>
      </c>
      <c r="M460" s="2">
        <v>45902</v>
      </c>
      <c r="N460" s="4">
        <v>2960</v>
      </c>
      <c r="O460" s="1" t="s">
        <v>21</v>
      </c>
      <c r="P460" s="1" t="s">
        <v>22</v>
      </c>
      <c r="Q460" s="1">
        <v>6</v>
      </c>
      <c r="R460" s="1" t="str">
        <f>VLOOKUP(Sales4[[#This Row],[Material type]],Master!$H$3:$I$8,2,0)</f>
        <v>Raw Material</v>
      </c>
      <c r="S460" s="1" t="str">
        <f>VLOOKUP(Sales4[[#This Row],[Material Group]],Master!B:C,2,0)</f>
        <v>RM-Mech. Accessories</v>
      </c>
      <c r="T460" s="1" t="str">
        <f>VLOOKUP(Sales4[[#This Row],[Material Group Descrip]],Master!E:F,2,0)</f>
        <v>Raw Material</v>
      </c>
      <c r="U460" s="9" t="b">
        <f ca="1">(TODAY()-1)=Sales4[[#This Row],[Billing Date]]</f>
        <v>0</v>
      </c>
      <c r="V460" s="10" t="e">
        <f>Sales4[[#This Row],[Net Value]]-Sales4[[#This Row],[PGI COST]]</f>
        <v>#REF!</v>
      </c>
      <c r="W460" s="11" t="e">
        <f>Sales4[[#This Row],[Gross Margin]]/Sales4[[#This Row],[Net Value]]</f>
        <v>#REF!</v>
      </c>
      <c r="X460" s="1" t="str">
        <f>TEXT(Sales4[[#This Row],[Billing Date]],"mmmm-yy")</f>
        <v>September-25</v>
      </c>
      <c r="Y460" s="1">
        <f>Sales4[[#This Row],[Net Value]]/Sales4[[#This Row],[Billed Quantity]]</f>
        <v>1.48</v>
      </c>
      <c r="Z460" s="117">
        <f>Sales4[[#This Row],[Actual delivery qty]]</f>
        <v>2000</v>
      </c>
      <c r="AA460" s="12" t="e">
        <f>SUM(Sales4[[#This Row],[BOM Cost]:[Other Conversion cost pu]])</f>
        <v>#REF!</v>
      </c>
      <c r="AB46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6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60" s="12">
        <f>IFERROR(VLOOKUP(Sales4[[#This Row],[Material]],'COGS Break up'!#REF!,5,0),0)</f>
        <v>0</v>
      </c>
      <c r="AE46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60" s="48" t="e">
        <f>Sales4[[#This Row],[PGI per unit]]-Sales4[[#This Row],[BOM Cost]]-Sales4[[#This Row],[Labour cost per unit]]-Sales4[[#This Row],[Other Conversion cost pu]]</f>
        <v>#REF!</v>
      </c>
      <c r="AG460" s="48" t="e">
        <f>Sales4[[#This Row],[BOM Cost2]]+Sales4[[#This Row],[Labour Cost]]+Sales4[[#This Row],[Other conversion cost]]</f>
        <v>#REF!</v>
      </c>
      <c r="AH460" s="12" t="e">
        <f>Sales4[[#This Row],[Billed Quantity]]*Sales4[[#This Row],[BOM Cost]]</f>
        <v>#REF!</v>
      </c>
      <c r="AI460" s="12" t="e">
        <f>Sales4[[#This Row],[Billed Quantity]]*Sales4[[#This Row],[Labour cost per unit]]</f>
        <v>#REF!</v>
      </c>
      <c r="AJ460" s="12">
        <f>Sales4[[#This Row],[Droppage per unit]]*Sales4[[#This Row],[Billed Quantity]]</f>
        <v>0</v>
      </c>
      <c r="AK460" s="12" t="e">
        <f>Sales4[[#This Row],[Billed Quantity]]*Sales4[[#This Row],[Other Conversion cost pu]]</f>
        <v>#REF!</v>
      </c>
      <c r="AL460" s="48" t="e">
        <f>Sales4[[#This Row],[PGI Amount]]-Sales4[[#This Row],[BOM Cost2]]-Sales4[[#This Row],[Labour Cost]]-Sales4[[#This Row],[Other conversion cost]]</f>
        <v>#REF!</v>
      </c>
      <c r="AM460" s="121" t="e">
        <f>1-Sales4[[#This Row],[PGI COST]]/Sales4[[#This Row],[Net Value]]</f>
        <v>#REF!</v>
      </c>
      <c r="AN460" s="1">
        <f>Sales4[[#This Row],[PGI Amount]]/Sales4[[#This Row],[Billed Quantity]]</f>
        <v>1.45</v>
      </c>
      <c r="AO460" s="72" t="e">
        <f>SUMIFS('COGS Break up'!#REF!,'COGS Break up'!#REF!,Sales4[[#This Row],[Material]],'COGS Break up'!#REF!,'MIS Working'!$AO$1)</f>
        <v>#REF!</v>
      </c>
      <c r="AP460" s="72" t="e">
        <f>SUMIFS('COGS Break up'!#REF!,'COGS Break up'!#REF!,Sales4[[#This Row],[Material]],'COGS Break up'!#REF!,'MIS Working'!$AP$1)</f>
        <v>#REF!</v>
      </c>
      <c r="AQ460" s="72" t="e">
        <f>SUMIFS('COGS Break up'!#REF!,'COGS Break up'!#REF!,Sales4[[#This Row],[Material]],'COGS Break up'!#REF!,'MIS Working'!$AQ$1)</f>
        <v>#REF!</v>
      </c>
      <c r="AR460" s="72">
        <f>Sales4[[#This Row],[Droppage per unit]]</f>
        <v>0</v>
      </c>
      <c r="AS460" s="15" t="e">
        <f>AO460*Sales4[[#This Row],[Billed Quantity]]</f>
        <v>#REF!</v>
      </c>
      <c r="AT460" s="72" t="e">
        <f>AP460*Sales4[[#This Row],[Billed Quantity]]</f>
        <v>#REF!</v>
      </c>
      <c r="AU460" s="72" t="e">
        <f>AQ460*Sales4[[#This Row],[Billed Quantity]]</f>
        <v>#REF!</v>
      </c>
      <c r="AV460" s="72">
        <f>AR460*Sales4[[#This Row],[Billed Quantity]]</f>
        <v>0</v>
      </c>
    </row>
    <row r="461" spans="1:48" x14ac:dyDescent="0.3">
      <c r="A461" s="1" t="s">
        <v>1212</v>
      </c>
      <c r="B461" s="2">
        <v>45902</v>
      </c>
      <c r="C461" s="1">
        <v>3271265715</v>
      </c>
      <c r="D461" s="1" t="s">
        <v>1237</v>
      </c>
      <c r="E461" s="1" t="s">
        <v>1238</v>
      </c>
      <c r="F461" s="1" t="s">
        <v>18</v>
      </c>
      <c r="G461" s="1" t="s">
        <v>48</v>
      </c>
      <c r="H461" s="1" t="s">
        <v>207</v>
      </c>
      <c r="I461" s="3">
        <v>9000</v>
      </c>
      <c r="J461" s="4">
        <v>21670.3</v>
      </c>
      <c r="K461" s="3">
        <v>9000</v>
      </c>
      <c r="L461" s="3">
        <v>9000</v>
      </c>
      <c r="M461" s="2">
        <v>45902</v>
      </c>
      <c r="N461" s="4">
        <v>21330</v>
      </c>
      <c r="O461" s="1" t="s">
        <v>21</v>
      </c>
      <c r="P461" s="1" t="s">
        <v>22</v>
      </c>
      <c r="Q461" s="1">
        <v>6</v>
      </c>
      <c r="R461" s="1" t="str">
        <f>VLOOKUP(Sales4[[#This Row],[Material type]],Master!$H$3:$I$8,2,0)</f>
        <v>Raw Material</v>
      </c>
      <c r="S461" s="1" t="str">
        <f>VLOOKUP(Sales4[[#This Row],[Material Group]],Master!B:C,2,0)</f>
        <v>RM-Mech. Accessories</v>
      </c>
      <c r="T461" s="1" t="str">
        <f>VLOOKUP(Sales4[[#This Row],[Material Group Descrip]],Master!E:F,2,0)</f>
        <v>Raw Material</v>
      </c>
      <c r="U461" s="9" t="b">
        <f ca="1">(TODAY()-1)=Sales4[[#This Row],[Billing Date]]</f>
        <v>0</v>
      </c>
      <c r="V461" s="10" t="e">
        <f>Sales4[[#This Row],[Net Value]]-Sales4[[#This Row],[PGI COST]]</f>
        <v>#REF!</v>
      </c>
      <c r="W461" s="11" t="e">
        <f>Sales4[[#This Row],[Gross Margin]]/Sales4[[#This Row],[Net Value]]</f>
        <v>#REF!</v>
      </c>
      <c r="X461" s="1" t="str">
        <f>TEXT(Sales4[[#This Row],[Billing Date]],"mmmm-yy")</f>
        <v>September-25</v>
      </c>
      <c r="Y461" s="1">
        <f>Sales4[[#This Row],[Net Value]]/Sales4[[#This Row],[Billed Quantity]]</f>
        <v>2.37</v>
      </c>
      <c r="Z461" s="117">
        <f>Sales4[[#This Row],[Actual delivery qty]]</f>
        <v>9000</v>
      </c>
      <c r="AA461" s="12" t="e">
        <f>SUM(Sales4[[#This Row],[BOM Cost]:[Other Conversion cost pu]])</f>
        <v>#REF!</v>
      </c>
      <c r="AB46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6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61" s="12">
        <f>IFERROR(VLOOKUP(Sales4[[#This Row],[Material]],'COGS Break up'!#REF!,5,0),0)</f>
        <v>0</v>
      </c>
      <c r="AE46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61" s="48" t="e">
        <f>Sales4[[#This Row],[PGI per unit]]-Sales4[[#This Row],[BOM Cost]]-Sales4[[#This Row],[Labour cost per unit]]-Sales4[[#This Row],[Other Conversion cost pu]]</f>
        <v>#REF!</v>
      </c>
      <c r="AG461" s="48" t="e">
        <f>Sales4[[#This Row],[BOM Cost2]]+Sales4[[#This Row],[Labour Cost]]+Sales4[[#This Row],[Other conversion cost]]</f>
        <v>#REF!</v>
      </c>
      <c r="AH461" s="12" t="e">
        <f>Sales4[[#This Row],[Billed Quantity]]*Sales4[[#This Row],[BOM Cost]]</f>
        <v>#REF!</v>
      </c>
      <c r="AI461" s="12" t="e">
        <f>Sales4[[#This Row],[Billed Quantity]]*Sales4[[#This Row],[Labour cost per unit]]</f>
        <v>#REF!</v>
      </c>
      <c r="AJ461" s="12">
        <f>Sales4[[#This Row],[Droppage per unit]]*Sales4[[#This Row],[Billed Quantity]]</f>
        <v>0</v>
      </c>
      <c r="AK461" s="12" t="e">
        <f>Sales4[[#This Row],[Billed Quantity]]*Sales4[[#This Row],[Other Conversion cost pu]]</f>
        <v>#REF!</v>
      </c>
      <c r="AL461" s="48" t="e">
        <f>Sales4[[#This Row],[PGI Amount]]-Sales4[[#This Row],[BOM Cost2]]-Sales4[[#This Row],[Labour Cost]]-Sales4[[#This Row],[Other conversion cost]]</f>
        <v>#REF!</v>
      </c>
      <c r="AM461" s="121" t="e">
        <f>1-Sales4[[#This Row],[PGI COST]]/Sales4[[#This Row],[Net Value]]</f>
        <v>#REF!</v>
      </c>
      <c r="AN461" s="1">
        <f>Sales4[[#This Row],[PGI Amount]]/Sales4[[#This Row],[Billed Quantity]]</f>
        <v>2.4078111111111111</v>
      </c>
      <c r="AO461" s="72" t="e">
        <f>SUMIFS('COGS Break up'!#REF!,'COGS Break up'!#REF!,Sales4[[#This Row],[Material]],'COGS Break up'!#REF!,'MIS Working'!$AO$1)</f>
        <v>#REF!</v>
      </c>
      <c r="AP461" s="72" t="e">
        <f>SUMIFS('COGS Break up'!#REF!,'COGS Break up'!#REF!,Sales4[[#This Row],[Material]],'COGS Break up'!#REF!,'MIS Working'!$AP$1)</f>
        <v>#REF!</v>
      </c>
      <c r="AQ461" s="72" t="e">
        <f>SUMIFS('COGS Break up'!#REF!,'COGS Break up'!#REF!,Sales4[[#This Row],[Material]],'COGS Break up'!#REF!,'MIS Working'!$AQ$1)</f>
        <v>#REF!</v>
      </c>
      <c r="AR461" s="72">
        <f>Sales4[[#This Row],[Droppage per unit]]</f>
        <v>0</v>
      </c>
      <c r="AS461" s="15" t="e">
        <f>AO461*Sales4[[#This Row],[Billed Quantity]]</f>
        <v>#REF!</v>
      </c>
      <c r="AT461" s="72" t="e">
        <f>AP461*Sales4[[#This Row],[Billed Quantity]]</f>
        <v>#REF!</v>
      </c>
      <c r="AU461" s="72" t="e">
        <f>AQ461*Sales4[[#This Row],[Billed Quantity]]</f>
        <v>#REF!</v>
      </c>
      <c r="AV461" s="72">
        <f>AR461*Sales4[[#This Row],[Billed Quantity]]</f>
        <v>0</v>
      </c>
    </row>
    <row r="462" spans="1:48" x14ac:dyDescent="0.3">
      <c r="A462" s="1" t="s">
        <v>1212</v>
      </c>
      <c r="B462" s="2">
        <v>45902</v>
      </c>
      <c r="C462" s="1">
        <v>3271265715</v>
      </c>
      <c r="D462" s="1" t="s">
        <v>1239</v>
      </c>
      <c r="E462" s="1" t="s">
        <v>1240</v>
      </c>
      <c r="F462" s="1" t="s">
        <v>18</v>
      </c>
      <c r="G462" s="1" t="s">
        <v>48</v>
      </c>
      <c r="H462" s="1" t="s">
        <v>207</v>
      </c>
      <c r="I462" s="3">
        <v>2000</v>
      </c>
      <c r="J462" s="4">
        <v>1000</v>
      </c>
      <c r="K462" s="3">
        <v>2000</v>
      </c>
      <c r="L462" s="3">
        <v>2000</v>
      </c>
      <c r="M462" s="2">
        <v>45902</v>
      </c>
      <c r="N462" s="4">
        <v>1020</v>
      </c>
      <c r="O462" s="1" t="s">
        <v>21</v>
      </c>
      <c r="P462" s="1" t="s">
        <v>22</v>
      </c>
      <c r="Q462" s="1">
        <v>6</v>
      </c>
      <c r="R462" s="1" t="str">
        <f>VLOOKUP(Sales4[[#This Row],[Material type]],Master!$H$3:$I$8,2,0)</f>
        <v>Raw Material</v>
      </c>
      <c r="S462" s="1" t="str">
        <f>VLOOKUP(Sales4[[#This Row],[Material Group]],Master!B:C,2,0)</f>
        <v>RM-Mech. Accessories</v>
      </c>
      <c r="T462" s="1" t="str">
        <f>VLOOKUP(Sales4[[#This Row],[Material Group Descrip]],Master!E:F,2,0)</f>
        <v>Raw Material</v>
      </c>
      <c r="U462" s="9" t="b">
        <f ca="1">(TODAY()-1)=Sales4[[#This Row],[Billing Date]]</f>
        <v>0</v>
      </c>
      <c r="V462" s="10" t="e">
        <f>Sales4[[#This Row],[Net Value]]-Sales4[[#This Row],[PGI COST]]</f>
        <v>#REF!</v>
      </c>
      <c r="W462" s="11" t="e">
        <f>Sales4[[#This Row],[Gross Margin]]/Sales4[[#This Row],[Net Value]]</f>
        <v>#REF!</v>
      </c>
      <c r="X462" s="1" t="str">
        <f>TEXT(Sales4[[#This Row],[Billing Date]],"mmmm-yy")</f>
        <v>September-25</v>
      </c>
      <c r="Y462" s="1">
        <f>Sales4[[#This Row],[Net Value]]/Sales4[[#This Row],[Billed Quantity]]</f>
        <v>0.51</v>
      </c>
      <c r="Z462" s="117">
        <f>Sales4[[#This Row],[Actual delivery qty]]</f>
        <v>2000</v>
      </c>
      <c r="AA462" s="12" t="e">
        <f>SUM(Sales4[[#This Row],[BOM Cost]:[Other Conversion cost pu]])</f>
        <v>#REF!</v>
      </c>
      <c r="AB46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6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62" s="12">
        <f>IFERROR(VLOOKUP(Sales4[[#This Row],[Material]],'COGS Break up'!#REF!,5,0),0)</f>
        <v>0</v>
      </c>
      <c r="AE46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62" s="48" t="e">
        <f>Sales4[[#This Row],[PGI per unit]]-Sales4[[#This Row],[BOM Cost]]-Sales4[[#This Row],[Labour cost per unit]]-Sales4[[#This Row],[Other Conversion cost pu]]</f>
        <v>#REF!</v>
      </c>
      <c r="AG462" s="48" t="e">
        <f>Sales4[[#This Row],[BOM Cost2]]+Sales4[[#This Row],[Labour Cost]]+Sales4[[#This Row],[Other conversion cost]]</f>
        <v>#REF!</v>
      </c>
      <c r="AH462" s="12" t="e">
        <f>Sales4[[#This Row],[Billed Quantity]]*Sales4[[#This Row],[BOM Cost]]</f>
        <v>#REF!</v>
      </c>
      <c r="AI462" s="12" t="e">
        <f>Sales4[[#This Row],[Billed Quantity]]*Sales4[[#This Row],[Labour cost per unit]]</f>
        <v>#REF!</v>
      </c>
      <c r="AJ462" s="12">
        <f>Sales4[[#This Row],[Droppage per unit]]*Sales4[[#This Row],[Billed Quantity]]</f>
        <v>0</v>
      </c>
      <c r="AK462" s="12" t="e">
        <f>Sales4[[#This Row],[Billed Quantity]]*Sales4[[#This Row],[Other Conversion cost pu]]</f>
        <v>#REF!</v>
      </c>
      <c r="AL462" s="48" t="e">
        <f>Sales4[[#This Row],[PGI Amount]]-Sales4[[#This Row],[BOM Cost2]]-Sales4[[#This Row],[Labour Cost]]-Sales4[[#This Row],[Other conversion cost]]</f>
        <v>#REF!</v>
      </c>
      <c r="AM462" s="121" t="e">
        <f>1-Sales4[[#This Row],[PGI COST]]/Sales4[[#This Row],[Net Value]]</f>
        <v>#REF!</v>
      </c>
      <c r="AN462" s="1">
        <f>Sales4[[#This Row],[PGI Amount]]/Sales4[[#This Row],[Billed Quantity]]</f>
        <v>0.5</v>
      </c>
      <c r="AO462" s="72" t="e">
        <f>SUMIFS('COGS Break up'!#REF!,'COGS Break up'!#REF!,Sales4[[#This Row],[Material]],'COGS Break up'!#REF!,'MIS Working'!$AO$1)</f>
        <v>#REF!</v>
      </c>
      <c r="AP462" s="72" t="e">
        <f>SUMIFS('COGS Break up'!#REF!,'COGS Break up'!#REF!,Sales4[[#This Row],[Material]],'COGS Break up'!#REF!,'MIS Working'!$AP$1)</f>
        <v>#REF!</v>
      </c>
      <c r="AQ462" s="72" t="e">
        <f>SUMIFS('COGS Break up'!#REF!,'COGS Break up'!#REF!,Sales4[[#This Row],[Material]],'COGS Break up'!#REF!,'MIS Working'!$AQ$1)</f>
        <v>#REF!</v>
      </c>
      <c r="AR462" s="72">
        <f>Sales4[[#This Row],[Droppage per unit]]</f>
        <v>0</v>
      </c>
      <c r="AS462" s="15" t="e">
        <f>AO462*Sales4[[#This Row],[Billed Quantity]]</f>
        <v>#REF!</v>
      </c>
      <c r="AT462" s="72" t="e">
        <f>AP462*Sales4[[#This Row],[Billed Quantity]]</f>
        <v>#REF!</v>
      </c>
      <c r="AU462" s="72" t="e">
        <f>AQ462*Sales4[[#This Row],[Billed Quantity]]</f>
        <v>#REF!</v>
      </c>
      <c r="AV462" s="72">
        <f>AR462*Sales4[[#This Row],[Billed Quantity]]</f>
        <v>0</v>
      </c>
    </row>
    <row r="463" spans="1:48" x14ac:dyDescent="0.3">
      <c r="A463" s="1" t="s">
        <v>1212</v>
      </c>
      <c r="B463" s="2">
        <v>45902</v>
      </c>
      <c r="C463" s="1">
        <v>3271265715</v>
      </c>
      <c r="D463" s="1" t="s">
        <v>1241</v>
      </c>
      <c r="E463" s="1" t="s">
        <v>1242</v>
      </c>
      <c r="F463" s="1" t="s">
        <v>18</v>
      </c>
      <c r="G463" s="1" t="s">
        <v>48</v>
      </c>
      <c r="H463" s="1" t="s">
        <v>204</v>
      </c>
      <c r="I463" s="3">
        <v>15000</v>
      </c>
      <c r="J463" s="4">
        <v>840</v>
      </c>
      <c r="K463" s="3">
        <v>15000</v>
      </c>
      <c r="L463" s="3">
        <v>15000</v>
      </c>
      <c r="M463" s="2">
        <v>45902</v>
      </c>
      <c r="N463" s="4">
        <v>900</v>
      </c>
      <c r="O463" s="1" t="s">
        <v>21</v>
      </c>
      <c r="P463" s="1" t="s">
        <v>22</v>
      </c>
      <c r="Q463" s="1">
        <v>6</v>
      </c>
      <c r="R463" s="1" t="str">
        <f>VLOOKUP(Sales4[[#This Row],[Material type]],Master!$H$3:$I$8,2,0)</f>
        <v>Raw Material</v>
      </c>
      <c r="S463" s="1" t="str">
        <f>VLOOKUP(Sales4[[#This Row],[Material Group]],Master!B:C,2,0)</f>
        <v>RM-Eletro-Resistor</v>
      </c>
      <c r="T463" s="1" t="str">
        <f>VLOOKUP(Sales4[[#This Row],[Material Group Descrip]],Master!E:F,2,0)</f>
        <v>Raw Material</v>
      </c>
      <c r="U463" s="9" t="b">
        <f ca="1">(TODAY()-1)=Sales4[[#This Row],[Billing Date]]</f>
        <v>0</v>
      </c>
      <c r="V463" s="10" t="e">
        <f>Sales4[[#This Row],[Net Value]]-Sales4[[#This Row],[PGI COST]]</f>
        <v>#REF!</v>
      </c>
      <c r="W463" s="11" t="e">
        <f>Sales4[[#This Row],[Gross Margin]]/Sales4[[#This Row],[Net Value]]</f>
        <v>#REF!</v>
      </c>
      <c r="X463" s="1" t="str">
        <f>TEXT(Sales4[[#This Row],[Billing Date]],"mmmm-yy")</f>
        <v>September-25</v>
      </c>
      <c r="Y463" s="1">
        <f>Sales4[[#This Row],[Net Value]]/Sales4[[#This Row],[Billed Quantity]]</f>
        <v>0.06</v>
      </c>
      <c r="Z463" s="117">
        <f>Sales4[[#This Row],[Actual delivery qty]]</f>
        <v>15000</v>
      </c>
      <c r="AA463" s="12" t="e">
        <f>SUM(Sales4[[#This Row],[BOM Cost]:[Other Conversion cost pu]])</f>
        <v>#REF!</v>
      </c>
      <c r="AB46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6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63" s="12">
        <f>IFERROR(VLOOKUP(Sales4[[#This Row],[Material]],'COGS Break up'!#REF!,5,0),0)</f>
        <v>0</v>
      </c>
      <c r="AE46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63" s="48" t="e">
        <f>Sales4[[#This Row],[PGI per unit]]-Sales4[[#This Row],[BOM Cost]]-Sales4[[#This Row],[Labour cost per unit]]-Sales4[[#This Row],[Other Conversion cost pu]]</f>
        <v>#REF!</v>
      </c>
      <c r="AG463" s="48" t="e">
        <f>Sales4[[#This Row],[BOM Cost2]]+Sales4[[#This Row],[Labour Cost]]+Sales4[[#This Row],[Other conversion cost]]</f>
        <v>#REF!</v>
      </c>
      <c r="AH463" s="12" t="e">
        <f>Sales4[[#This Row],[Billed Quantity]]*Sales4[[#This Row],[BOM Cost]]</f>
        <v>#REF!</v>
      </c>
      <c r="AI463" s="12" t="e">
        <f>Sales4[[#This Row],[Billed Quantity]]*Sales4[[#This Row],[Labour cost per unit]]</f>
        <v>#REF!</v>
      </c>
      <c r="AJ463" s="12">
        <f>Sales4[[#This Row],[Droppage per unit]]*Sales4[[#This Row],[Billed Quantity]]</f>
        <v>0</v>
      </c>
      <c r="AK463" s="12" t="e">
        <f>Sales4[[#This Row],[Billed Quantity]]*Sales4[[#This Row],[Other Conversion cost pu]]</f>
        <v>#REF!</v>
      </c>
      <c r="AL463" s="48" t="e">
        <f>Sales4[[#This Row],[PGI Amount]]-Sales4[[#This Row],[BOM Cost2]]-Sales4[[#This Row],[Labour Cost]]-Sales4[[#This Row],[Other conversion cost]]</f>
        <v>#REF!</v>
      </c>
      <c r="AM463" s="121" t="e">
        <f>1-Sales4[[#This Row],[PGI COST]]/Sales4[[#This Row],[Net Value]]</f>
        <v>#REF!</v>
      </c>
      <c r="AN463" s="1">
        <f>Sales4[[#This Row],[PGI Amount]]/Sales4[[#This Row],[Billed Quantity]]</f>
        <v>5.6000000000000001E-2</v>
      </c>
      <c r="AO463" s="72" t="e">
        <f>SUMIFS('COGS Break up'!#REF!,'COGS Break up'!#REF!,Sales4[[#This Row],[Material]],'COGS Break up'!#REF!,'MIS Working'!$AO$1)</f>
        <v>#REF!</v>
      </c>
      <c r="AP463" s="72" t="e">
        <f>SUMIFS('COGS Break up'!#REF!,'COGS Break up'!#REF!,Sales4[[#This Row],[Material]],'COGS Break up'!#REF!,'MIS Working'!$AP$1)</f>
        <v>#REF!</v>
      </c>
      <c r="AQ463" s="72" t="e">
        <f>SUMIFS('COGS Break up'!#REF!,'COGS Break up'!#REF!,Sales4[[#This Row],[Material]],'COGS Break up'!#REF!,'MIS Working'!$AQ$1)</f>
        <v>#REF!</v>
      </c>
      <c r="AR463" s="72">
        <f>Sales4[[#This Row],[Droppage per unit]]</f>
        <v>0</v>
      </c>
      <c r="AS463" s="15" t="e">
        <f>AO463*Sales4[[#This Row],[Billed Quantity]]</f>
        <v>#REF!</v>
      </c>
      <c r="AT463" s="72" t="e">
        <f>AP463*Sales4[[#This Row],[Billed Quantity]]</f>
        <v>#REF!</v>
      </c>
      <c r="AU463" s="72" t="e">
        <f>AQ463*Sales4[[#This Row],[Billed Quantity]]</f>
        <v>#REF!</v>
      </c>
      <c r="AV463" s="72">
        <f>AR463*Sales4[[#This Row],[Billed Quantity]]</f>
        <v>0</v>
      </c>
    </row>
    <row r="464" spans="1:48" x14ac:dyDescent="0.3">
      <c r="A464" s="1" t="s">
        <v>1212</v>
      </c>
      <c r="B464" s="2">
        <v>45902</v>
      </c>
      <c r="C464" s="1">
        <v>3271265715</v>
      </c>
      <c r="D464" s="1" t="s">
        <v>1243</v>
      </c>
      <c r="E464" s="1" t="s">
        <v>1244</v>
      </c>
      <c r="F464" s="1" t="s">
        <v>18</v>
      </c>
      <c r="G464" s="1" t="s">
        <v>48</v>
      </c>
      <c r="H464" s="1" t="s">
        <v>198</v>
      </c>
      <c r="I464" s="3">
        <v>6000</v>
      </c>
      <c r="J464" s="4">
        <v>4320</v>
      </c>
      <c r="K464" s="3">
        <v>6000</v>
      </c>
      <c r="L464" s="3">
        <v>6000</v>
      </c>
      <c r="M464" s="2">
        <v>45902</v>
      </c>
      <c r="N464" s="4">
        <v>4380</v>
      </c>
      <c r="O464" s="1" t="s">
        <v>21</v>
      </c>
      <c r="P464" s="1" t="s">
        <v>22</v>
      </c>
      <c r="Q464" s="1">
        <v>6</v>
      </c>
      <c r="R464" s="1" t="str">
        <f>VLOOKUP(Sales4[[#This Row],[Material type]],Master!$H$3:$I$8,2,0)</f>
        <v>Raw Material</v>
      </c>
      <c r="S464" s="1" t="str">
        <f>VLOOKUP(Sales4[[#This Row],[Material Group]],Master!B:C,2,0)</f>
        <v>RM-Eletro-Capacitor</v>
      </c>
      <c r="T464" s="1" t="str">
        <f>VLOOKUP(Sales4[[#This Row],[Material Group Descrip]],Master!E:F,2,0)</f>
        <v>Raw Material</v>
      </c>
      <c r="U464" s="9" t="b">
        <f ca="1">(TODAY()-1)=Sales4[[#This Row],[Billing Date]]</f>
        <v>0</v>
      </c>
      <c r="V464" s="10" t="e">
        <f>Sales4[[#This Row],[Net Value]]-Sales4[[#This Row],[PGI COST]]</f>
        <v>#REF!</v>
      </c>
      <c r="W464" s="11" t="e">
        <f>Sales4[[#This Row],[Gross Margin]]/Sales4[[#This Row],[Net Value]]</f>
        <v>#REF!</v>
      </c>
      <c r="X464" s="1" t="str">
        <f>TEXT(Sales4[[#This Row],[Billing Date]],"mmmm-yy")</f>
        <v>September-25</v>
      </c>
      <c r="Y464" s="1">
        <f>Sales4[[#This Row],[Net Value]]/Sales4[[#This Row],[Billed Quantity]]</f>
        <v>0.73</v>
      </c>
      <c r="Z464" s="117">
        <f>Sales4[[#This Row],[Actual delivery qty]]</f>
        <v>6000</v>
      </c>
      <c r="AA464" s="12" t="e">
        <f>SUM(Sales4[[#This Row],[BOM Cost]:[Other Conversion cost pu]])</f>
        <v>#REF!</v>
      </c>
      <c r="AB46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6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64" s="12">
        <f>IFERROR(VLOOKUP(Sales4[[#This Row],[Material]],'COGS Break up'!#REF!,5,0),0)</f>
        <v>0</v>
      </c>
      <c r="AE46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64" s="48" t="e">
        <f>Sales4[[#This Row],[PGI per unit]]-Sales4[[#This Row],[BOM Cost]]-Sales4[[#This Row],[Labour cost per unit]]-Sales4[[#This Row],[Other Conversion cost pu]]</f>
        <v>#REF!</v>
      </c>
      <c r="AG464" s="48" t="e">
        <f>Sales4[[#This Row],[BOM Cost2]]+Sales4[[#This Row],[Labour Cost]]+Sales4[[#This Row],[Other conversion cost]]</f>
        <v>#REF!</v>
      </c>
      <c r="AH464" s="12" t="e">
        <f>Sales4[[#This Row],[Billed Quantity]]*Sales4[[#This Row],[BOM Cost]]</f>
        <v>#REF!</v>
      </c>
      <c r="AI464" s="12" t="e">
        <f>Sales4[[#This Row],[Billed Quantity]]*Sales4[[#This Row],[Labour cost per unit]]</f>
        <v>#REF!</v>
      </c>
      <c r="AJ464" s="12">
        <f>Sales4[[#This Row],[Droppage per unit]]*Sales4[[#This Row],[Billed Quantity]]</f>
        <v>0</v>
      </c>
      <c r="AK464" s="12" t="e">
        <f>Sales4[[#This Row],[Billed Quantity]]*Sales4[[#This Row],[Other Conversion cost pu]]</f>
        <v>#REF!</v>
      </c>
      <c r="AL464" s="48" t="e">
        <f>Sales4[[#This Row],[PGI Amount]]-Sales4[[#This Row],[BOM Cost2]]-Sales4[[#This Row],[Labour Cost]]-Sales4[[#This Row],[Other conversion cost]]</f>
        <v>#REF!</v>
      </c>
      <c r="AM464" s="121" t="e">
        <f>1-Sales4[[#This Row],[PGI COST]]/Sales4[[#This Row],[Net Value]]</f>
        <v>#REF!</v>
      </c>
      <c r="AN464" s="1">
        <f>Sales4[[#This Row],[PGI Amount]]/Sales4[[#This Row],[Billed Quantity]]</f>
        <v>0.72</v>
      </c>
      <c r="AO464" s="72" t="e">
        <f>SUMIFS('COGS Break up'!#REF!,'COGS Break up'!#REF!,Sales4[[#This Row],[Material]],'COGS Break up'!#REF!,'MIS Working'!$AO$1)</f>
        <v>#REF!</v>
      </c>
      <c r="AP464" s="72" t="e">
        <f>SUMIFS('COGS Break up'!#REF!,'COGS Break up'!#REF!,Sales4[[#This Row],[Material]],'COGS Break up'!#REF!,'MIS Working'!$AP$1)</f>
        <v>#REF!</v>
      </c>
      <c r="AQ464" s="72" t="e">
        <f>SUMIFS('COGS Break up'!#REF!,'COGS Break up'!#REF!,Sales4[[#This Row],[Material]],'COGS Break up'!#REF!,'MIS Working'!$AQ$1)</f>
        <v>#REF!</v>
      </c>
      <c r="AR464" s="72">
        <f>Sales4[[#This Row],[Droppage per unit]]</f>
        <v>0</v>
      </c>
      <c r="AS464" s="15" t="e">
        <f>AO464*Sales4[[#This Row],[Billed Quantity]]</f>
        <v>#REF!</v>
      </c>
      <c r="AT464" s="72" t="e">
        <f>AP464*Sales4[[#This Row],[Billed Quantity]]</f>
        <v>#REF!</v>
      </c>
      <c r="AU464" s="72" t="e">
        <f>AQ464*Sales4[[#This Row],[Billed Quantity]]</f>
        <v>#REF!</v>
      </c>
      <c r="AV464" s="72">
        <f>AR464*Sales4[[#This Row],[Billed Quantity]]</f>
        <v>0</v>
      </c>
    </row>
    <row r="465" spans="1:48" x14ac:dyDescent="0.3">
      <c r="A465" s="1" t="s">
        <v>1212</v>
      </c>
      <c r="B465" s="2">
        <v>45902</v>
      </c>
      <c r="C465" s="1">
        <v>3271265715</v>
      </c>
      <c r="D465" s="1" t="s">
        <v>1245</v>
      </c>
      <c r="E465" s="1" t="s">
        <v>1246</v>
      </c>
      <c r="F465" s="1" t="s">
        <v>18</v>
      </c>
      <c r="G465" s="1" t="s">
        <v>48</v>
      </c>
      <c r="H465" s="1" t="s">
        <v>207</v>
      </c>
      <c r="I465" s="3">
        <v>184000</v>
      </c>
      <c r="J465" s="4">
        <v>23796.13</v>
      </c>
      <c r="K465" s="3">
        <v>184000</v>
      </c>
      <c r="L465" s="3">
        <v>184000</v>
      </c>
      <c r="M465" s="2">
        <v>45902</v>
      </c>
      <c r="N465" s="4">
        <v>27600</v>
      </c>
      <c r="O465" s="1" t="s">
        <v>21</v>
      </c>
      <c r="P465" s="1" t="s">
        <v>22</v>
      </c>
      <c r="Q465" s="1">
        <v>6</v>
      </c>
      <c r="R465" s="1" t="str">
        <f>VLOOKUP(Sales4[[#This Row],[Material type]],Master!$H$3:$I$8,2,0)</f>
        <v>Raw Material</v>
      </c>
      <c r="S465" s="1" t="str">
        <f>VLOOKUP(Sales4[[#This Row],[Material Group]],Master!B:C,2,0)</f>
        <v>RM-Mech. Accessories</v>
      </c>
      <c r="T465" s="1" t="str">
        <f>VLOOKUP(Sales4[[#This Row],[Material Group Descrip]],Master!E:F,2,0)</f>
        <v>Raw Material</v>
      </c>
      <c r="U465" s="9" t="b">
        <f ca="1">(TODAY()-1)=Sales4[[#This Row],[Billing Date]]</f>
        <v>0</v>
      </c>
      <c r="V465" s="10" t="e">
        <f>Sales4[[#This Row],[Net Value]]-Sales4[[#This Row],[PGI COST]]</f>
        <v>#REF!</v>
      </c>
      <c r="W465" s="11" t="e">
        <f>Sales4[[#This Row],[Gross Margin]]/Sales4[[#This Row],[Net Value]]</f>
        <v>#REF!</v>
      </c>
      <c r="X465" s="1" t="str">
        <f>TEXT(Sales4[[#This Row],[Billing Date]],"mmmm-yy")</f>
        <v>September-25</v>
      </c>
      <c r="Y465" s="1">
        <f>Sales4[[#This Row],[Net Value]]/Sales4[[#This Row],[Billed Quantity]]</f>
        <v>0.15</v>
      </c>
      <c r="Z465" s="117">
        <f>Sales4[[#This Row],[Actual delivery qty]]</f>
        <v>184000</v>
      </c>
      <c r="AA465" s="12" t="e">
        <f>SUM(Sales4[[#This Row],[BOM Cost]:[Other Conversion cost pu]])</f>
        <v>#REF!</v>
      </c>
      <c r="AB46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6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65" s="12">
        <f>IFERROR(VLOOKUP(Sales4[[#This Row],[Material]],'COGS Break up'!#REF!,5,0),0)</f>
        <v>0</v>
      </c>
      <c r="AE46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65" s="48" t="e">
        <f>Sales4[[#This Row],[PGI per unit]]-Sales4[[#This Row],[BOM Cost]]-Sales4[[#This Row],[Labour cost per unit]]-Sales4[[#This Row],[Other Conversion cost pu]]</f>
        <v>#REF!</v>
      </c>
      <c r="AG465" s="48" t="e">
        <f>Sales4[[#This Row],[BOM Cost2]]+Sales4[[#This Row],[Labour Cost]]+Sales4[[#This Row],[Other conversion cost]]</f>
        <v>#REF!</v>
      </c>
      <c r="AH465" s="12" t="e">
        <f>Sales4[[#This Row],[Billed Quantity]]*Sales4[[#This Row],[BOM Cost]]</f>
        <v>#REF!</v>
      </c>
      <c r="AI465" s="12" t="e">
        <f>Sales4[[#This Row],[Billed Quantity]]*Sales4[[#This Row],[Labour cost per unit]]</f>
        <v>#REF!</v>
      </c>
      <c r="AJ465" s="12">
        <f>Sales4[[#This Row],[Droppage per unit]]*Sales4[[#This Row],[Billed Quantity]]</f>
        <v>0</v>
      </c>
      <c r="AK465" s="12" t="e">
        <f>Sales4[[#This Row],[Billed Quantity]]*Sales4[[#This Row],[Other Conversion cost pu]]</f>
        <v>#REF!</v>
      </c>
      <c r="AL465" s="48" t="e">
        <f>Sales4[[#This Row],[PGI Amount]]-Sales4[[#This Row],[BOM Cost2]]-Sales4[[#This Row],[Labour Cost]]-Sales4[[#This Row],[Other conversion cost]]</f>
        <v>#REF!</v>
      </c>
      <c r="AM465" s="121" t="e">
        <f>1-Sales4[[#This Row],[PGI COST]]/Sales4[[#This Row],[Net Value]]</f>
        <v>#REF!</v>
      </c>
      <c r="AN465" s="1">
        <f>Sales4[[#This Row],[PGI Amount]]/Sales4[[#This Row],[Billed Quantity]]</f>
        <v>0.12932679347826087</v>
      </c>
      <c r="AO465" s="72" t="e">
        <f>SUMIFS('COGS Break up'!#REF!,'COGS Break up'!#REF!,Sales4[[#This Row],[Material]],'COGS Break up'!#REF!,'MIS Working'!$AO$1)</f>
        <v>#REF!</v>
      </c>
      <c r="AP465" s="72" t="e">
        <f>SUMIFS('COGS Break up'!#REF!,'COGS Break up'!#REF!,Sales4[[#This Row],[Material]],'COGS Break up'!#REF!,'MIS Working'!$AP$1)</f>
        <v>#REF!</v>
      </c>
      <c r="AQ465" s="72" t="e">
        <f>SUMIFS('COGS Break up'!#REF!,'COGS Break up'!#REF!,Sales4[[#This Row],[Material]],'COGS Break up'!#REF!,'MIS Working'!$AQ$1)</f>
        <v>#REF!</v>
      </c>
      <c r="AR465" s="72">
        <f>Sales4[[#This Row],[Droppage per unit]]</f>
        <v>0</v>
      </c>
      <c r="AS465" s="15" t="e">
        <f>AO465*Sales4[[#This Row],[Billed Quantity]]</f>
        <v>#REF!</v>
      </c>
      <c r="AT465" s="72" t="e">
        <f>AP465*Sales4[[#This Row],[Billed Quantity]]</f>
        <v>#REF!</v>
      </c>
      <c r="AU465" s="72" t="e">
        <f>AQ465*Sales4[[#This Row],[Billed Quantity]]</f>
        <v>#REF!</v>
      </c>
      <c r="AV465" s="72">
        <f>AR465*Sales4[[#This Row],[Billed Quantity]]</f>
        <v>0</v>
      </c>
    </row>
    <row r="466" spans="1:48" x14ac:dyDescent="0.3">
      <c r="A466" s="1" t="s">
        <v>1212</v>
      </c>
      <c r="B466" s="2">
        <v>45902</v>
      </c>
      <c r="C466" s="1">
        <v>3271265715</v>
      </c>
      <c r="D466" s="1" t="s">
        <v>1247</v>
      </c>
      <c r="E466" s="1" t="s">
        <v>1248</v>
      </c>
      <c r="F466" s="1" t="s">
        <v>18</v>
      </c>
      <c r="G466" s="1" t="s">
        <v>48</v>
      </c>
      <c r="H466" s="1" t="s">
        <v>198</v>
      </c>
      <c r="I466" s="3">
        <v>33000</v>
      </c>
      <c r="J466" s="4">
        <v>28823.9</v>
      </c>
      <c r="K466" s="3">
        <v>33000</v>
      </c>
      <c r="L466" s="3">
        <v>33000</v>
      </c>
      <c r="M466" s="2">
        <v>45902</v>
      </c>
      <c r="N466" s="4">
        <v>33660</v>
      </c>
      <c r="O466" s="1" t="s">
        <v>21</v>
      </c>
      <c r="P466" s="1" t="s">
        <v>22</v>
      </c>
      <c r="Q466" s="1">
        <v>6</v>
      </c>
      <c r="R466" s="1" t="str">
        <f>VLOOKUP(Sales4[[#This Row],[Material type]],Master!$H$3:$I$8,2,0)</f>
        <v>Raw Material</v>
      </c>
      <c r="S466" s="1" t="str">
        <f>VLOOKUP(Sales4[[#This Row],[Material Group]],Master!B:C,2,0)</f>
        <v>RM-Eletro-Capacitor</v>
      </c>
      <c r="T466" s="1" t="str">
        <f>VLOOKUP(Sales4[[#This Row],[Material Group Descrip]],Master!E:F,2,0)</f>
        <v>Raw Material</v>
      </c>
      <c r="U466" s="9" t="b">
        <f ca="1">(TODAY()-1)=Sales4[[#This Row],[Billing Date]]</f>
        <v>0</v>
      </c>
      <c r="V466" s="10" t="e">
        <f>Sales4[[#This Row],[Net Value]]-Sales4[[#This Row],[PGI COST]]</f>
        <v>#REF!</v>
      </c>
      <c r="W466" s="11" t="e">
        <f>Sales4[[#This Row],[Gross Margin]]/Sales4[[#This Row],[Net Value]]</f>
        <v>#REF!</v>
      </c>
      <c r="X466" s="1" t="str">
        <f>TEXT(Sales4[[#This Row],[Billing Date]],"mmmm-yy")</f>
        <v>September-25</v>
      </c>
      <c r="Y466" s="1">
        <f>Sales4[[#This Row],[Net Value]]/Sales4[[#This Row],[Billed Quantity]]</f>
        <v>1.02</v>
      </c>
      <c r="Z466" s="117">
        <f>Sales4[[#This Row],[Actual delivery qty]]</f>
        <v>33000</v>
      </c>
      <c r="AA466" s="12" t="e">
        <f>SUM(Sales4[[#This Row],[BOM Cost]:[Other Conversion cost pu]])</f>
        <v>#REF!</v>
      </c>
      <c r="AB46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6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66" s="12">
        <f>IFERROR(VLOOKUP(Sales4[[#This Row],[Material]],'COGS Break up'!#REF!,5,0),0)</f>
        <v>0</v>
      </c>
      <c r="AE46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66" s="48" t="e">
        <f>Sales4[[#This Row],[PGI per unit]]-Sales4[[#This Row],[BOM Cost]]-Sales4[[#This Row],[Labour cost per unit]]-Sales4[[#This Row],[Other Conversion cost pu]]</f>
        <v>#REF!</v>
      </c>
      <c r="AG466" s="48" t="e">
        <f>Sales4[[#This Row],[BOM Cost2]]+Sales4[[#This Row],[Labour Cost]]+Sales4[[#This Row],[Other conversion cost]]</f>
        <v>#REF!</v>
      </c>
      <c r="AH466" s="12" t="e">
        <f>Sales4[[#This Row],[Billed Quantity]]*Sales4[[#This Row],[BOM Cost]]</f>
        <v>#REF!</v>
      </c>
      <c r="AI466" s="12" t="e">
        <f>Sales4[[#This Row],[Billed Quantity]]*Sales4[[#This Row],[Labour cost per unit]]</f>
        <v>#REF!</v>
      </c>
      <c r="AJ466" s="12">
        <f>Sales4[[#This Row],[Droppage per unit]]*Sales4[[#This Row],[Billed Quantity]]</f>
        <v>0</v>
      </c>
      <c r="AK466" s="12" t="e">
        <f>Sales4[[#This Row],[Billed Quantity]]*Sales4[[#This Row],[Other Conversion cost pu]]</f>
        <v>#REF!</v>
      </c>
      <c r="AL466" s="48" t="e">
        <f>Sales4[[#This Row],[PGI Amount]]-Sales4[[#This Row],[BOM Cost2]]-Sales4[[#This Row],[Labour Cost]]-Sales4[[#This Row],[Other conversion cost]]</f>
        <v>#REF!</v>
      </c>
      <c r="AM466" s="121" t="e">
        <f>1-Sales4[[#This Row],[PGI COST]]/Sales4[[#This Row],[Net Value]]</f>
        <v>#REF!</v>
      </c>
      <c r="AN466" s="1">
        <f>Sales4[[#This Row],[PGI Amount]]/Sales4[[#This Row],[Billed Quantity]]</f>
        <v>0.8734515151515152</v>
      </c>
      <c r="AO466" s="72" t="e">
        <f>SUMIFS('COGS Break up'!#REF!,'COGS Break up'!#REF!,Sales4[[#This Row],[Material]],'COGS Break up'!#REF!,'MIS Working'!$AO$1)</f>
        <v>#REF!</v>
      </c>
      <c r="AP466" s="72" t="e">
        <f>SUMIFS('COGS Break up'!#REF!,'COGS Break up'!#REF!,Sales4[[#This Row],[Material]],'COGS Break up'!#REF!,'MIS Working'!$AP$1)</f>
        <v>#REF!</v>
      </c>
      <c r="AQ466" s="72" t="e">
        <f>SUMIFS('COGS Break up'!#REF!,'COGS Break up'!#REF!,Sales4[[#This Row],[Material]],'COGS Break up'!#REF!,'MIS Working'!$AQ$1)</f>
        <v>#REF!</v>
      </c>
      <c r="AR466" s="72">
        <f>Sales4[[#This Row],[Droppage per unit]]</f>
        <v>0</v>
      </c>
      <c r="AS466" s="15" t="e">
        <f>AO466*Sales4[[#This Row],[Billed Quantity]]</f>
        <v>#REF!</v>
      </c>
      <c r="AT466" s="72" t="e">
        <f>AP466*Sales4[[#This Row],[Billed Quantity]]</f>
        <v>#REF!</v>
      </c>
      <c r="AU466" s="72" t="e">
        <f>AQ466*Sales4[[#This Row],[Billed Quantity]]</f>
        <v>#REF!</v>
      </c>
      <c r="AV466" s="72">
        <f>AR466*Sales4[[#This Row],[Billed Quantity]]</f>
        <v>0</v>
      </c>
    </row>
    <row r="467" spans="1:48" x14ac:dyDescent="0.3">
      <c r="A467" s="1" t="s">
        <v>1212</v>
      </c>
      <c r="B467" s="2">
        <v>45902</v>
      </c>
      <c r="C467" s="1">
        <v>3271265715</v>
      </c>
      <c r="D467" s="1" t="s">
        <v>1249</v>
      </c>
      <c r="E467" s="1" t="s">
        <v>1250</v>
      </c>
      <c r="F467" s="1" t="s">
        <v>18</v>
      </c>
      <c r="G467" s="1" t="s">
        <v>48</v>
      </c>
      <c r="H467" s="1" t="s">
        <v>207</v>
      </c>
      <c r="I467" s="3">
        <v>5508</v>
      </c>
      <c r="J467" s="4">
        <v>166617</v>
      </c>
      <c r="K467" s="3">
        <v>5508</v>
      </c>
      <c r="L467" s="3">
        <v>5508</v>
      </c>
      <c r="M467" s="2">
        <v>45902</v>
      </c>
      <c r="N467" s="4">
        <v>169976.88</v>
      </c>
      <c r="O467" s="1" t="s">
        <v>21</v>
      </c>
      <c r="P467" s="1" t="s">
        <v>22</v>
      </c>
      <c r="Q467" s="1">
        <v>6</v>
      </c>
      <c r="R467" s="1" t="str">
        <f>VLOOKUP(Sales4[[#This Row],[Material type]],Master!$H$3:$I$8,2,0)</f>
        <v>Raw Material</v>
      </c>
      <c r="S467" s="1" t="str">
        <f>VLOOKUP(Sales4[[#This Row],[Material Group]],Master!B:C,2,0)</f>
        <v>RM-Mech. Accessories</v>
      </c>
      <c r="T467" s="1" t="str">
        <f>VLOOKUP(Sales4[[#This Row],[Material Group Descrip]],Master!E:F,2,0)</f>
        <v>Raw Material</v>
      </c>
      <c r="U467" s="9" t="b">
        <f ca="1">(TODAY()-1)=Sales4[[#This Row],[Billing Date]]</f>
        <v>0</v>
      </c>
      <c r="V467" s="10" t="e">
        <f>Sales4[[#This Row],[Net Value]]-Sales4[[#This Row],[PGI COST]]</f>
        <v>#REF!</v>
      </c>
      <c r="W467" s="11" t="e">
        <f>Sales4[[#This Row],[Gross Margin]]/Sales4[[#This Row],[Net Value]]</f>
        <v>#REF!</v>
      </c>
      <c r="X467" s="1" t="str">
        <f>TEXT(Sales4[[#This Row],[Billing Date]],"mmmm-yy")</f>
        <v>September-25</v>
      </c>
      <c r="Y467" s="1">
        <f>Sales4[[#This Row],[Net Value]]/Sales4[[#This Row],[Billed Quantity]]</f>
        <v>30.86</v>
      </c>
      <c r="Z467" s="117">
        <f>Sales4[[#This Row],[Actual delivery qty]]</f>
        <v>5508</v>
      </c>
      <c r="AA467" s="12" t="e">
        <f>SUM(Sales4[[#This Row],[BOM Cost]:[Other Conversion cost pu]])</f>
        <v>#REF!</v>
      </c>
      <c r="AB46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6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67" s="12">
        <f>IFERROR(VLOOKUP(Sales4[[#This Row],[Material]],'COGS Break up'!#REF!,5,0),0)</f>
        <v>0</v>
      </c>
      <c r="AE46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67" s="48" t="e">
        <f>Sales4[[#This Row],[PGI per unit]]-Sales4[[#This Row],[BOM Cost]]-Sales4[[#This Row],[Labour cost per unit]]-Sales4[[#This Row],[Other Conversion cost pu]]</f>
        <v>#REF!</v>
      </c>
      <c r="AG467" s="48" t="e">
        <f>Sales4[[#This Row],[BOM Cost2]]+Sales4[[#This Row],[Labour Cost]]+Sales4[[#This Row],[Other conversion cost]]</f>
        <v>#REF!</v>
      </c>
      <c r="AH467" s="12" t="e">
        <f>Sales4[[#This Row],[Billed Quantity]]*Sales4[[#This Row],[BOM Cost]]</f>
        <v>#REF!</v>
      </c>
      <c r="AI467" s="12" t="e">
        <f>Sales4[[#This Row],[Billed Quantity]]*Sales4[[#This Row],[Labour cost per unit]]</f>
        <v>#REF!</v>
      </c>
      <c r="AJ467" s="12">
        <f>Sales4[[#This Row],[Droppage per unit]]*Sales4[[#This Row],[Billed Quantity]]</f>
        <v>0</v>
      </c>
      <c r="AK467" s="12" t="e">
        <f>Sales4[[#This Row],[Billed Quantity]]*Sales4[[#This Row],[Other Conversion cost pu]]</f>
        <v>#REF!</v>
      </c>
      <c r="AL467" s="48" t="e">
        <f>Sales4[[#This Row],[PGI Amount]]-Sales4[[#This Row],[BOM Cost2]]-Sales4[[#This Row],[Labour Cost]]-Sales4[[#This Row],[Other conversion cost]]</f>
        <v>#REF!</v>
      </c>
      <c r="AM467" s="121" t="e">
        <f>1-Sales4[[#This Row],[PGI COST]]/Sales4[[#This Row],[Net Value]]</f>
        <v>#REF!</v>
      </c>
      <c r="AN467" s="1">
        <f>Sales4[[#This Row],[PGI Amount]]/Sales4[[#This Row],[Billed Quantity]]</f>
        <v>30.25</v>
      </c>
      <c r="AO467" s="72" t="e">
        <f>SUMIFS('COGS Break up'!#REF!,'COGS Break up'!#REF!,Sales4[[#This Row],[Material]],'COGS Break up'!#REF!,'MIS Working'!$AO$1)</f>
        <v>#REF!</v>
      </c>
      <c r="AP467" s="72" t="e">
        <f>SUMIFS('COGS Break up'!#REF!,'COGS Break up'!#REF!,Sales4[[#This Row],[Material]],'COGS Break up'!#REF!,'MIS Working'!$AP$1)</f>
        <v>#REF!</v>
      </c>
      <c r="AQ467" s="72" t="e">
        <f>SUMIFS('COGS Break up'!#REF!,'COGS Break up'!#REF!,Sales4[[#This Row],[Material]],'COGS Break up'!#REF!,'MIS Working'!$AQ$1)</f>
        <v>#REF!</v>
      </c>
      <c r="AR467" s="72">
        <f>Sales4[[#This Row],[Droppage per unit]]</f>
        <v>0</v>
      </c>
      <c r="AS467" s="15" t="e">
        <f>AO467*Sales4[[#This Row],[Billed Quantity]]</f>
        <v>#REF!</v>
      </c>
      <c r="AT467" s="72" t="e">
        <f>AP467*Sales4[[#This Row],[Billed Quantity]]</f>
        <v>#REF!</v>
      </c>
      <c r="AU467" s="72" t="e">
        <f>AQ467*Sales4[[#This Row],[Billed Quantity]]</f>
        <v>#REF!</v>
      </c>
      <c r="AV467" s="72">
        <f>AR467*Sales4[[#This Row],[Billed Quantity]]</f>
        <v>0</v>
      </c>
    </row>
    <row r="468" spans="1:48" x14ac:dyDescent="0.3">
      <c r="A468" s="1" t="s">
        <v>1212</v>
      </c>
      <c r="B468" s="2">
        <v>45902</v>
      </c>
      <c r="C468" s="1">
        <v>3271265715</v>
      </c>
      <c r="D468" s="1" t="s">
        <v>1251</v>
      </c>
      <c r="E468" s="1" t="s">
        <v>1252</v>
      </c>
      <c r="F468" s="1" t="s">
        <v>18</v>
      </c>
      <c r="G468" s="1" t="s">
        <v>48</v>
      </c>
      <c r="H468" s="1" t="s">
        <v>207</v>
      </c>
      <c r="I468" s="3">
        <v>4150</v>
      </c>
      <c r="J468" s="4">
        <v>53950</v>
      </c>
      <c r="K468" s="3">
        <v>4150</v>
      </c>
      <c r="L468" s="3">
        <v>4150</v>
      </c>
      <c r="M468" s="2">
        <v>45902</v>
      </c>
      <c r="N468" s="4">
        <v>55029</v>
      </c>
      <c r="O468" s="1" t="s">
        <v>21</v>
      </c>
      <c r="P468" s="1" t="s">
        <v>22</v>
      </c>
      <c r="Q468" s="1">
        <v>6</v>
      </c>
      <c r="R468" s="1" t="str">
        <f>VLOOKUP(Sales4[[#This Row],[Material type]],Master!$H$3:$I$8,2,0)</f>
        <v>Raw Material</v>
      </c>
      <c r="S468" s="1" t="str">
        <f>VLOOKUP(Sales4[[#This Row],[Material Group]],Master!B:C,2,0)</f>
        <v>RM-Mech. Accessories</v>
      </c>
      <c r="T468" s="1" t="str">
        <f>VLOOKUP(Sales4[[#This Row],[Material Group Descrip]],Master!E:F,2,0)</f>
        <v>Raw Material</v>
      </c>
      <c r="U468" s="9" t="b">
        <f ca="1">(TODAY()-1)=Sales4[[#This Row],[Billing Date]]</f>
        <v>0</v>
      </c>
      <c r="V468" s="10" t="e">
        <f>Sales4[[#This Row],[Net Value]]-Sales4[[#This Row],[PGI COST]]</f>
        <v>#REF!</v>
      </c>
      <c r="W468" s="11" t="e">
        <f>Sales4[[#This Row],[Gross Margin]]/Sales4[[#This Row],[Net Value]]</f>
        <v>#REF!</v>
      </c>
      <c r="X468" s="1" t="str">
        <f>TEXT(Sales4[[#This Row],[Billing Date]],"mmmm-yy")</f>
        <v>September-25</v>
      </c>
      <c r="Y468" s="1">
        <f>Sales4[[#This Row],[Net Value]]/Sales4[[#This Row],[Billed Quantity]]</f>
        <v>13.26</v>
      </c>
      <c r="Z468" s="117">
        <f>Sales4[[#This Row],[Actual delivery qty]]</f>
        <v>4150</v>
      </c>
      <c r="AA468" s="12" t="e">
        <f>SUM(Sales4[[#This Row],[BOM Cost]:[Other Conversion cost pu]])</f>
        <v>#REF!</v>
      </c>
      <c r="AB46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6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68" s="12">
        <f>IFERROR(VLOOKUP(Sales4[[#This Row],[Material]],'COGS Break up'!#REF!,5,0),0)</f>
        <v>0</v>
      </c>
      <c r="AE46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68" s="48" t="e">
        <f>Sales4[[#This Row],[PGI per unit]]-Sales4[[#This Row],[BOM Cost]]-Sales4[[#This Row],[Labour cost per unit]]-Sales4[[#This Row],[Other Conversion cost pu]]</f>
        <v>#REF!</v>
      </c>
      <c r="AG468" s="48" t="e">
        <f>Sales4[[#This Row],[BOM Cost2]]+Sales4[[#This Row],[Labour Cost]]+Sales4[[#This Row],[Other conversion cost]]</f>
        <v>#REF!</v>
      </c>
      <c r="AH468" s="12" t="e">
        <f>Sales4[[#This Row],[Billed Quantity]]*Sales4[[#This Row],[BOM Cost]]</f>
        <v>#REF!</v>
      </c>
      <c r="AI468" s="12" t="e">
        <f>Sales4[[#This Row],[Billed Quantity]]*Sales4[[#This Row],[Labour cost per unit]]</f>
        <v>#REF!</v>
      </c>
      <c r="AJ468" s="12">
        <f>Sales4[[#This Row],[Droppage per unit]]*Sales4[[#This Row],[Billed Quantity]]</f>
        <v>0</v>
      </c>
      <c r="AK468" s="12" t="e">
        <f>Sales4[[#This Row],[Billed Quantity]]*Sales4[[#This Row],[Other Conversion cost pu]]</f>
        <v>#REF!</v>
      </c>
      <c r="AL468" s="48" t="e">
        <f>Sales4[[#This Row],[PGI Amount]]-Sales4[[#This Row],[BOM Cost2]]-Sales4[[#This Row],[Labour Cost]]-Sales4[[#This Row],[Other conversion cost]]</f>
        <v>#REF!</v>
      </c>
      <c r="AM468" s="121" t="e">
        <f>1-Sales4[[#This Row],[PGI COST]]/Sales4[[#This Row],[Net Value]]</f>
        <v>#REF!</v>
      </c>
      <c r="AN468" s="1">
        <f>Sales4[[#This Row],[PGI Amount]]/Sales4[[#This Row],[Billed Quantity]]</f>
        <v>13</v>
      </c>
      <c r="AO468" s="72" t="e">
        <f>SUMIFS('COGS Break up'!#REF!,'COGS Break up'!#REF!,Sales4[[#This Row],[Material]],'COGS Break up'!#REF!,'MIS Working'!$AO$1)</f>
        <v>#REF!</v>
      </c>
      <c r="AP468" s="72" t="e">
        <f>SUMIFS('COGS Break up'!#REF!,'COGS Break up'!#REF!,Sales4[[#This Row],[Material]],'COGS Break up'!#REF!,'MIS Working'!$AP$1)</f>
        <v>#REF!</v>
      </c>
      <c r="AQ468" s="72" t="e">
        <f>SUMIFS('COGS Break up'!#REF!,'COGS Break up'!#REF!,Sales4[[#This Row],[Material]],'COGS Break up'!#REF!,'MIS Working'!$AQ$1)</f>
        <v>#REF!</v>
      </c>
      <c r="AR468" s="72">
        <f>Sales4[[#This Row],[Droppage per unit]]</f>
        <v>0</v>
      </c>
      <c r="AS468" s="15" t="e">
        <f>AO468*Sales4[[#This Row],[Billed Quantity]]</f>
        <v>#REF!</v>
      </c>
      <c r="AT468" s="72" t="e">
        <f>AP468*Sales4[[#This Row],[Billed Quantity]]</f>
        <v>#REF!</v>
      </c>
      <c r="AU468" s="72" t="e">
        <f>AQ468*Sales4[[#This Row],[Billed Quantity]]</f>
        <v>#REF!</v>
      </c>
      <c r="AV468" s="72">
        <f>AR468*Sales4[[#This Row],[Billed Quantity]]</f>
        <v>0</v>
      </c>
    </row>
    <row r="469" spans="1:48" x14ac:dyDescent="0.3">
      <c r="A469" s="1" t="s">
        <v>1212</v>
      </c>
      <c r="B469" s="2">
        <v>45902</v>
      </c>
      <c r="C469" s="1">
        <v>3271265715</v>
      </c>
      <c r="D469" s="1" t="s">
        <v>1253</v>
      </c>
      <c r="E469" s="1" t="s">
        <v>1254</v>
      </c>
      <c r="F469" s="1" t="s">
        <v>18</v>
      </c>
      <c r="G469" s="1" t="s">
        <v>48</v>
      </c>
      <c r="H469" s="1" t="s">
        <v>207</v>
      </c>
      <c r="I469" s="3">
        <v>224000</v>
      </c>
      <c r="J469" s="4">
        <v>134400</v>
      </c>
      <c r="K469" s="3">
        <v>224000</v>
      </c>
      <c r="L469" s="3">
        <v>224000</v>
      </c>
      <c r="M469" s="2">
        <v>45902</v>
      </c>
      <c r="N469" s="4">
        <v>134400</v>
      </c>
      <c r="O469" s="1" t="s">
        <v>21</v>
      </c>
      <c r="P469" s="1" t="s">
        <v>22</v>
      </c>
      <c r="Q469" s="1">
        <v>6</v>
      </c>
      <c r="R469" s="1" t="str">
        <f>VLOOKUP(Sales4[[#This Row],[Material type]],Master!$H$3:$I$8,2,0)</f>
        <v>Raw Material</v>
      </c>
      <c r="S469" s="1" t="str">
        <f>VLOOKUP(Sales4[[#This Row],[Material Group]],Master!B:C,2,0)</f>
        <v>RM-Mech. Accessories</v>
      </c>
      <c r="T469" s="1" t="str">
        <f>VLOOKUP(Sales4[[#This Row],[Material Group Descrip]],Master!E:F,2,0)</f>
        <v>Raw Material</v>
      </c>
      <c r="U469" s="9" t="b">
        <f ca="1">(TODAY()-1)=Sales4[[#This Row],[Billing Date]]</f>
        <v>0</v>
      </c>
      <c r="V469" s="10" t="e">
        <f>Sales4[[#This Row],[Net Value]]-Sales4[[#This Row],[PGI COST]]</f>
        <v>#REF!</v>
      </c>
      <c r="W469" s="11" t="e">
        <f>Sales4[[#This Row],[Gross Margin]]/Sales4[[#This Row],[Net Value]]</f>
        <v>#REF!</v>
      </c>
      <c r="X469" s="1" t="str">
        <f>TEXT(Sales4[[#This Row],[Billing Date]],"mmmm-yy")</f>
        <v>September-25</v>
      </c>
      <c r="Y469" s="1">
        <f>Sales4[[#This Row],[Net Value]]/Sales4[[#This Row],[Billed Quantity]]</f>
        <v>0.6</v>
      </c>
      <c r="Z469" s="117">
        <f>Sales4[[#This Row],[Actual delivery qty]]</f>
        <v>224000</v>
      </c>
      <c r="AA469" s="12" t="e">
        <f>SUM(Sales4[[#This Row],[BOM Cost]:[Other Conversion cost pu]])</f>
        <v>#REF!</v>
      </c>
      <c r="AB46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6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69" s="12">
        <f>IFERROR(VLOOKUP(Sales4[[#This Row],[Material]],'COGS Break up'!#REF!,5,0),0)</f>
        <v>0</v>
      </c>
      <c r="AE46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69" s="48" t="e">
        <f>Sales4[[#This Row],[PGI per unit]]-Sales4[[#This Row],[BOM Cost]]-Sales4[[#This Row],[Labour cost per unit]]-Sales4[[#This Row],[Other Conversion cost pu]]</f>
        <v>#REF!</v>
      </c>
      <c r="AG469" s="48" t="e">
        <f>Sales4[[#This Row],[BOM Cost2]]+Sales4[[#This Row],[Labour Cost]]+Sales4[[#This Row],[Other conversion cost]]</f>
        <v>#REF!</v>
      </c>
      <c r="AH469" s="12" t="e">
        <f>Sales4[[#This Row],[Billed Quantity]]*Sales4[[#This Row],[BOM Cost]]</f>
        <v>#REF!</v>
      </c>
      <c r="AI469" s="12" t="e">
        <f>Sales4[[#This Row],[Billed Quantity]]*Sales4[[#This Row],[Labour cost per unit]]</f>
        <v>#REF!</v>
      </c>
      <c r="AJ469" s="12">
        <f>Sales4[[#This Row],[Droppage per unit]]*Sales4[[#This Row],[Billed Quantity]]</f>
        <v>0</v>
      </c>
      <c r="AK469" s="12" t="e">
        <f>Sales4[[#This Row],[Billed Quantity]]*Sales4[[#This Row],[Other Conversion cost pu]]</f>
        <v>#REF!</v>
      </c>
      <c r="AL469" s="48" t="e">
        <f>Sales4[[#This Row],[PGI Amount]]-Sales4[[#This Row],[BOM Cost2]]-Sales4[[#This Row],[Labour Cost]]-Sales4[[#This Row],[Other conversion cost]]</f>
        <v>#REF!</v>
      </c>
      <c r="AM469" s="121" t="e">
        <f>1-Sales4[[#This Row],[PGI COST]]/Sales4[[#This Row],[Net Value]]</f>
        <v>#REF!</v>
      </c>
      <c r="AN469" s="1">
        <f>Sales4[[#This Row],[PGI Amount]]/Sales4[[#This Row],[Billed Quantity]]</f>
        <v>0.6</v>
      </c>
      <c r="AO469" s="72" t="e">
        <f>SUMIFS('COGS Break up'!#REF!,'COGS Break up'!#REF!,Sales4[[#This Row],[Material]],'COGS Break up'!#REF!,'MIS Working'!$AO$1)</f>
        <v>#REF!</v>
      </c>
      <c r="AP469" s="72" t="e">
        <f>SUMIFS('COGS Break up'!#REF!,'COGS Break up'!#REF!,Sales4[[#This Row],[Material]],'COGS Break up'!#REF!,'MIS Working'!$AP$1)</f>
        <v>#REF!</v>
      </c>
      <c r="AQ469" s="72" t="e">
        <f>SUMIFS('COGS Break up'!#REF!,'COGS Break up'!#REF!,Sales4[[#This Row],[Material]],'COGS Break up'!#REF!,'MIS Working'!$AQ$1)</f>
        <v>#REF!</v>
      </c>
      <c r="AR469" s="72">
        <f>Sales4[[#This Row],[Droppage per unit]]</f>
        <v>0</v>
      </c>
      <c r="AS469" s="15" t="e">
        <f>AO469*Sales4[[#This Row],[Billed Quantity]]</f>
        <v>#REF!</v>
      </c>
      <c r="AT469" s="72" t="e">
        <f>AP469*Sales4[[#This Row],[Billed Quantity]]</f>
        <v>#REF!</v>
      </c>
      <c r="AU469" s="72" t="e">
        <f>AQ469*Sales4[[#This Row],[Billed Quantity]]</f>
        <v>#REF!</v>
      </c>
      <c r="AV469" s="72">
        <f>AR469*Sales4[[#This Row],[Billed Quantity]]</f>
        <v>0</v>
      </c>
    </row>
    <row r="470" spans="1:48" x14ac:dyDescent="0.3">
      <c r="A470" s="1" t="s">
        <v>1212</v>
      </c>
      <c r="B470" s="2">
        <v>45902</v>
      </c>
      <c r="C470" s="1">
        <v>3271265715</v>
      </c>
      <c r="D470" s="1" t="s">
        <v>1255</v>
      </c>
      <c r="E470" s="1" t="s">
        <v>1256</v>
      </c>
      <c r="F470" s="1" t="s">
        <v>18</v>
      </c>
      <c r="G470" s="1" t="s">
        <v>48</v>
      </c>
      <c r="H470" s="1" t="s">
        <v>207</v>
      </c>
      <c r="I470" s="3">
        <v>88000</v>
      </c>
      <c r="J470" s="4">
        <v>13200</v>
      </c>
      <c r="K470" s="3">
        <v>88000</v>
      </c>
      <c r="L470" s="3">
        <v>88000</v>
      </c>
      <c r="M470" s="2">
        <v>45902</v>
      </c>
      <c r="N470" s="4">
        <v>13200</v>
      </c>
      <c r="O470" s="1" t="s">
        <v>21</v>
      </c>
      <c r="P470" s="1" t="s">
        <v>22</v>
      </c>
      <c r="Q470" s="1">
        <v>6</v>
      </c>
      <c r="R470" s="1" t="str">
        <f>VLOOKUP(Sales4[[#This Row],[Material type]],Master!$H$3:$I$8,2,0)</f>
        <v>Raw Material</v>
      </c>
      <c r="S470" s="1" t="str">
        <f>VLOOKUP(Sales4[[#This Row],[Material Group]],Master!B:C,2,0)</f>
        <v>RM-Mech. Accessories</v>
      </c>
      <c r="T470" s="1" t="str">
        <f>VLOOKUP(Sales4[[#This Row],[Material Group Descrip]],Master!E:F,2,0)</f>
        <v>Raw Material</v>
      </c>
      <c r="U470" s="9" t="b">
        <f ca="1">(TODAY()-1)=Sales4[[#This Row],[Billing Date]]</f>
        <v>0</v>
      </c>
      <c r="V470" s="10" t="e">
        <f>Sales4[[#This Row],[Net Value]]-Sales4[[#This Row],[PGI COST]]</f>
        <v>#REF!</v>
      </c>
      <c r="W470" s="11" t="e">
        <f>Sales4[[#This Row],[Gross Margin]]/Sales4[[#This Row],[Net Value]]</f>
        <v>#REF!</v>
      </c>
      <c r="X470" s="1" t="str">
        <f>TEXT(Sales4[[#This Row],[Billing Date]],"mmmm-yy")</f>
        <v>September-25</v>
      </c>
      <c r="Y470" s="1">
        <f>Sales4[[#This Row],[Net Value]]/Sales4[[#This Row],[Billed Quantity]]</f>
        <v>0.15</v>
      </c>
      <c r="Z470" s="117">
        <f>Sales4[[#This Row],[Actual delivery qty]]</f>
        <v>88000</v>
      </c>
      <c r="AA470" s="12" t="e">
        <f>SUM(Sales4[[#This Row],[BOM Cost]:[Other Conversion cost pu]])</f>
        <v>#REF!</v>
      </c>
      <c r="AB47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7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70" s="12">
        <f>IFERROR(VLOOKUP(Sales4[[#This Row],[Material]],'COGS Break up'!#REF!,5,0),0)</f>
        <v>0</v>
      </c>
      <c r="AE47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70" s="48" t="e">
        <f>Sales4[[#This Row],[PGI per unit]]-Sales4[[#This Row],[BOM Cost]]-Sales4[[#This Row],[Labour cost per unit]]-Sales4[[#This Row],[Other Conversion cost pu]]</f>
        <v>#REF!</v>
      </c>
      <c r="AG470" s="48" t="e">
        <f>Sales4[[#This Row],[BOM Cost2]]+Sales4[[#This Row],[Labour Cost]]+Sales4[[#This Row],[Other conversion cost]]</f>
        <v>#REF!</v>
      </c>
      <c r="AH470" s="12" t="e">
        <f>Sales4[[#This Row],[Billed Quantity]]*Sales4[[#This Row],[BOM Cost]]</f>
        <v>#REF!</v>
      </c>
      <c r="AI470" s="12" t="e">
        <f>Sales4[[#This Row],[Billed Quantity]]*Sales4[[#This Row],[Labour cost per unit]]</f>
        <v>#REF!</v>
      </c>
      <c r="AJ470" s="12">
        <f>Sales4[[#This Row],[Droppage per unit]]*Sales4[[#This Row],[Billed Quantity]]</f>
        <v>0</v>
      </c>
      <c r="AK470" s="12" t="e">
        <f>Sales4[[#This Row],[Billed Quantity]]*Sales4[[#This Row],[Other Conversion cost pu]]</f>
        <v>#REF!</v>
      </c>
      <c r="AL470" s="48" t="e">
        <f>Sales4[[#This Row],[PGI Amount]]-Sales4[[#This Row],[BOM Cost2]]-Sales4[[#This Row],[Labour Cost]]-Sales4[[#This Row],[Other conversion cost]]</f>
        <v>#REF!</v>
      </c>
      <c r="AM470" s="121" t="e">
        <f>1-Sales4[[#This Row],[PGI COST]]/Sales4[[#This Row],[Net Value]]</f>
        <v>#REF!</v>
      </c>
      <c r="AN470" s="1">
        <f>Sales4[[#This Row],[PGI Amount]]/Sales4[[#This Row],[Billed Quantity]]</f>
        <v>0.15</v>
      </c>
      <c r="AO470" s="72" t="e">
        <f>SUMIFS('COGS Break up'!#REF!,'COGS Break up'!#REF!,Sales4[[#This Row],[Material]],'COGS Break up'!#REF!,'MIS Working'!$AO$1)</f>
        <v>#REF!</v>
      </c>
      <c r="AP470" s="72" t="e">
        <f>SUMIFS('COGS Break up'!#REF!,'COGS Break up'!#REF!,Sales4[[#This Row],[Material]],'COGS Break up'!#REF!,'MIS Working'!$AP$1)</f>
        <v>#REF!</v>
      </c>
      <c r="AQ470" s="72" t="e">
        <f>SUMIFS('COGS Break up'!#REF!,'COGS Break up'!#REF!,Sales4[[#This Row],[Material]],'COGS Break up'!#REF!,'MIS Working'!$AQ$1)</f>
        <v>#REF!</v>
      </c>
      <c r="AR470" s="72">
        <f>Sales4[[#This Row],[Droppage per unit]]</f>
        <v>0</v>
      </c>
      <c r="AS470" s="15" t="e">
        <f>AO470*Sales4[[#This Row],[Billed Quantity]]</f>
        <v>#REF!</v>
      </c>
      <c r="AT470" s="72" t="e">
        <f>AP470*Sales4[[#This Row],[Billed Quantity]]</f>
        <v>#REF!</v>
      </c>
      <c r="AU470" s="72" t="e">
        <f>AQ470*Sales4[[#This Row],[Billed Quantity]]</f>
        <v>#REF!</v>
      </c>
      <c r="AV470" s="72">
        <f>AR470*Sales4[[#This Row],[Billed Quantity]]</f>
        <v>0</v>
      </c>
    </row>
    <row r="471" spans="1:48" x14ac:dyDescent="0.3">
      <c r="A471" s="1" t="s">
        <v>1212</v>
      </c>
      <c r="B471" s="2">
        <v>45902</v>
      </c>
      <c r="C471" s="1">
        <v>3271265715</v>
      </c>
      <c r="D471" s="1" t="s">
        <v>1257</v>
      </c>
      <c r="E471" s="1" t="s">
        <v>1258</v>
      </c>
      <c r="F471" s="1" t="s">
        <v>18</v>
      </c>
      <c r="G471" s="1" t="s">
        <v>48</v>
      </c>
      <c r="H471" s="1" t="s">
        <v>207</v>
      </c>
      <c r="I471" s="3">
        <v>5427</v>
      </c>
      <c r="J471" s="4">
        <v>41245.199999999997</v>
      </c>
      <c r="K471" s="3">
        <v>5427</v>
      </c>
      <c r="L471" s="3">
        <v>5427</v>
      </c>
      <c r="M471" s="2">
        <v>45902</v>
      </c>
      <c r="N471" s="4">
        <v>42059.25</v>
      </c>
      <c r="O471" s="1" t="s">
        <v>21</v>
      </c>
      <c r="P471" s="1" t="s">
        <v>22</v>
      </c>
      <c r="Q471" s="1">
        <v>6</v>
      </c>
      <c r="R471" s="1" t="str">
        <f>VLOOKUP(Sales4[[#This Row],[Material type]],Master!$H$3:$I$8,2,0)</f>
        <v>Raw Material</v>
      </c>
      <c r="S471" s="1" t="str">
        <f>VLOOKUP(Sales4[[#This Row],[Material Group]],Master!B:C,2,0)</f>
        <v>RM-Mech. Accessories</v>
      </c>
      <c r="T471" s="1" t="str">
        <f>VLOOKUP(Sales4[[#This Row],[Material Group Descrip]],Master!E:F,2,0)</f>
        <v>Raw Material</v>
      </c>
      <c r="U471" s="9" t="b">
        <f ca="1">(TODAY()-1)=Sales4[[#This Row],[Billing Date]]</f>
        <v>0</v>
      </c>
      <c r="V471" s="10" t="e">
        <f>Sales4[[#This Row],[Net Value]]-Sales4[[#This Row],[PGI COST]]</f>
        <v>#REF!</v>
      </c>
      <c r="W471" s="11" t="e">
        <f>Sales4[[#This Row],[Gross Margin]]/Sales4[[#This Row],[Net Value]]</f>
        <v>#REF!</v>
      </c>
      <c r="X471" s="1" t="str">
        <f>TEXT(Sales4[[#This Row],[Billing Date]],"mmmm-yy")</f>
        <v>September-25</v>
      </c>
      <c r="Y471" s="1">
        <f>Sales4[[#This Row],[Net Value]]/Sales4[[#This Row],[Billed Quantity]]</f>
        <v>7.75</v>
      </c>
      <c r="Z471" s="117">
        <f>Sales4[[#This Row],[Actual delivery qty]]</f>
        <v>5427</v>
      </c>
      <c r="AA471" s="12" t="e">
        <f>SUM(Sales4[[#This Row],[BOM Cost]:[Other Conversion cost pu]])</f>
        <v>#REF!</v>
      </c>
      <c r="AB47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7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71" s="12">
        <f>IFERROR(VLOOKUP(Sales4[[#This Row],[Material]],'COGS Break up'!#REF!,5,0),0)</f>
        <v>0</v>
      </c>
      <c r="AE47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71" s="48" t="e">
        <f>Sales4[[#This Row],[PGI per unit]]-Sales4[[#This Row],[BOM Cost]]-Sales4[[#This Row],[Labour cost per unit]]-Sales4[[#This Row],[Other Conversion cost pu]]</f>
        <v>#REF!</v>
      </c>
      <c r="AG471" s="48" t="e">
        <f>Sales4[[#This Row],[BOM Cost2]]+Sales4[[#This Row],[Labour Cost]]+Sales4[[#This Row],[Other conversion cost]]</f>
        <v>#REF!</v>
      </c>
      <c r="AH471" s="12" t="e">
        <f>Sales4[[#This Row],[Billed Quantity]]*Sales4[[#This Row],[BOM Cost]]</f>
        <v>#REF!</v>
      </c>
      <c r="AI471" s="12" t="e">
        <f>Sales4[[#This Row],[Billed Quantity]]*Sales4[[#This Row],[Labour cost per unit]]</f>
        <v>#REF!</v>
      </c>
      <c r="AJ471" s="12">
        <f>Sales4[[#This Row],[Droppage per unit]]*Sales4[[#This Row],[Billed Quantity]]</f>
        <v>0</v>
      </c>
      <c r="AK471" s="12" t="e">
        <f>Sales4[[#This Row],[Billed Quantity]]*Sales4[[#This Row],[Other Conversion cost pu]]</f>
        <v>#REF!</v>
      </c>
      <c r="AL471" s="48" t="e">
        <f>Sales4[[#This Row],[PGI Amount]]-Sales4[[#This Row],[BOM Cost2]]-Sales4[[#This Row],[Labour Cost]]-Sales4[[#This Row],[Other conversion cost]]</f>
        <v>#REF!</v>
      </c>
      <c r="AM471" s="121" t="e">
        <f>1-Sales4[[#This Row],[PGI COST]]/Sales4[[#This Row],[Net Value]]</f>
        <v>#REF!</v>
      </c>
      <c r="AN471" s="1">
        <f>Sales4[[#This Row],[PGI Amount]]/Sales4[[#This Row],[Billed Quantity]]</f>
        <v>7.6</v>
      </c>
      <c r="AO471" s="72" t="e">
        <f>SUMIFS('COGS Break up'!#REF!,'COGS Break up'!#REF!,Sales4[[#This Row],[Material]],'COGS Break up'!#REF!,'MIS Working'!$AO$1)</f>
        <v>#REF!</v>
      </c>
      <c r="AP471" s="72" t="e">
        <f>SUMIFS('COGS Break up'!#REF!,'COGS Break up'!#REF!,Sales4[[#This Row],[Material]],'COGS Break up'!#REF!,'MIS Working'!$AP$1)</f>
        <v>#REF!</v>
      </c>
      <c r="AQ471" s="72" t="e">
        <f>SUMIFS('COGS Break up'!#REF!,'COGS Break up'!#REF!,Sales4[[#This Row],[Material]],'COGS Break up'!#REF!,'MIS Working'!$AQ$1)</f>
        <v>#REF!</v>
      </c>
      <c r="AR471" s="72">
        <f>Sales4[[#This Row],[Droppage per unit]]</f>
        <v>0</v>
      </c>
      <c r="AS471" s="15" t="e">
        <f>AO471*Sales4[[#This Row],[Billed Quantity]]</f>
        <v>#REF!</v>
      </c>
      <c r="AT471" s="72" t="e">
        <f>AP471*Sales4[[#This Row],[Billed Quantity]]</f>
        <v>#REF!</v>
      </c>
      <c r="AU471" s="72" t="e">
        <f>AQ471*Sales4[[#This Row],[Billed Quantity]]</f>
        <v>#REF!</v>
      </c>
      <c r="AV471" s="72">
        <f>AR471*Sales4[[#This Row],[Billed Quantity]]</f>
        <v>0</v>
      </c>
    </row>
    <row r="472" spans="1:48" x14ac:dyDescent="0.3">
      <c r="A472" s="1" t="s">
        <v>1212</v>
      </c>
      <c r="B472" s="2">
        <v>45902</v>
      </c>
      <c r="C472" s="1">
        <v>3271265737</v>
      </c>
      <c r="D472" s="1" t="s">
        <v>1259</v>
      </c>
      <c r="E472" s="1" t="s">
        <v>1260</v>
      </c>
      <c r="F472" s="1" t="s">
        <v>18</v>
      </c>
      <c r="G472" s="1" t="s">
        <v>48</v>
      </c>
      <c r="H472" s="1" t="s">
        <v>204</v>
      </c>
      <c r="I472" s="3">
        <v>3000</v>
      </c>
      <c r="J472" s="4">
        <v>1800</v>
      </c>
      <c r="K472" s="3">
        <v>3000</v>
      </c>
      <c r="L472" s="3">
        <v>3000</v>
      </c>
      <c r="M472" s="2">
        <v>45902</v>
      </c>
      <c r="N472" s="4">
        <v>1830</v>
      </c>
      <c r="O472" s="1" t="s">
        <v>21</v>
      </c>
      <c r="P472" s="1" t="s">
        <v>22</v>
      </c>
      <c r="Q472" s="1">
        <v>6</v>
      </c>
      <c r="R472" s="1" t="str">
        <f>VLOOKUP(Sales4[[#This Row],[Material type]],Master!$H$3:$I$8,2,0)</f>
        <v>Raw Material</v>
      </c>
      <c r="S472" s="1" t="str">
        <f>VLOOKUP(Sales4[[#This Row],[Material Group]],Master!B:C,2,0)</f>
        <v>RM-Eletro-Resistor</v>
      </c>
      <c r="T472" s="1" t="str">
        <f>VLOOKUP(Sales4[[#This Row],[Material Group Descrip]],Master!E:F,2,0)</f>
        <v>Raw Material</v>
      </c>
      <c r="U472" s="9" t="b">
        <f ca="1">(TODAY()-1)=Sales4[[#This Row],[Billing Date]]</f>
        <v>0</v>
      </c>
      <c r="V472" s="10" t="e">
        <f>Sales4[[#This Row],[Net Value]]-Sales4[[#This Row],[PGI COST]]</f>
        <v>#REF!</v>
      </c>
      <c r="W472" s="11" t="e">
        <f>Sales4[[#This Row],[Gross Margin]]/Sales4[[#This Row],[Net Value]]</f>
        <v>#REF!</v>
      </c>
      <c r="X472" s="1" t="str">
        <f>TEXT(Sales4[[#This Row],[Billing Date]],"mmmm-yy")</f>
        <v>September-25</v>
      </c>
      <c r="Y472" s="1">
        <f>Sales4[[#This Row],[Net Value]]/Sales4[[#This Row],[Billed Quantity]]</f>
        <v>0.61</v>
      </c>
      <c r="Z472" s="117">
        <f>Sales4[[#This Row],[Actual delivery qty]]</f>
        <v>3000</v>
      </c>
      <c r="AA472" s="12" t="e">
        <f>SUM(Sales4[[#This Row],[BOM Cost]:[Other Conversion cost pu]])</f>
        <v>#REF!</v>
      </c>
      <c r="AB47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7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72" s="12">
        <f>IFERROR(VLOOKUP(Sales4[[#This Row],[Material]],'COGS Break up'!#REF!,5,0),0)</f>
        <v>0</v>
      </c>
      <c r="AE47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72" s="48" t="e">
        <f>Sales4[[#This Row],[PGI per unit]]-Sales4[[#This Row],[BOM Cost]]-Sales4[[#This Row],[Labour cost per unit]]-Sales4[[#This Row],[Other Conversion cost pu]]</f>
        <v>#REF!</v>
      </c>
      <c r="AG472" s="48" t="e">
        <f>Sales4[[#This Row],[BOM Cost2]]+Sales4[[#This Row],[Labour Cost]]+Sales4[[#This Row],[Other conversion cost]]</f>
        <v>#REF!</v>
      </c>
      <c r="AH472" s="12" t="e">
        <f>Sales4[[#This Row],[Billed Quantity]]*Sales4[[#This Row],[BOM Cost]]</f>
        <v>#REF!</v>
      </c>
      <c r="AI472" s="12" t="e">
        <f>Sales4[[#This Row],[Billed Quantity]]*Sales4[[#This Row],[Labour cost per unit]]</f>
        <v>#REF!</v>
      </c>
      <c r="AJ472" s="12">
        <f>Sales4[[#This Row],[Droppage per unit]]*Sales4[[#This Row],[Billed Quantity]]</f>
        <v>0</v>
      </c>
      <c r="AK472" s="12" t="e">
        <f>Sales4[[#This Row],[Billed Quantity]]*Sales4[[#This Row],[Other Conversion cost pu]]</f>
        <v>#REF!</v>
      </c>
      <c r="AL472" s="48" t="e">
        <f>Sales4[[#This Row],[PGI Amount]]-Sales4[[#This Row],[BOM Cost2]]-Sales4[[#This Row],[Labour Cost]]-Sales4[[#This Row],[Other conversion cost]]</f>
        <v>#REF!</v>
      </c>
      <c r="AM472" s="121" t="e">
        <f>1-Sales4[[#This Row],[PGI COST]]/Sales4[[#This Row],[Net Value]]</f>
        <v>#REF!</v>
      </c>
      <c r="AN472" s="1">
        <f>Sales4[[#This Row],[PGI Amount]]/Sales4[[#This Row],[Billed Quantity]]</f>
        <v>0.6</v>
      </c>
      <c r="AO472" s="72" t="e">
        <f>SUMIFS('COGS Break up'!#REF!,'COGS Break up'!#REF!,Sales4[[#This Row],[Material]],'COGS Break up'!#REF!,'MIS Working'!$AO$1)</f>
        <v>#REF!</v>
      </c>
      <c r="AP472" s="72" t="e">
        <f>SUMIFS('COGS Break up'!#REF!,'COGS Break up'!#REF!,Sales4[[#This Row],[Material]],'COGS Break up'!#REF!,'MIS Working'!$AP$1)</f>
        <v>#REF!</v>
      </c>
      <c r="AQ472" s="72" t="e">
        <f>SUMIFS('COGS Break up'!#REF!,'COGS Break up'!#REF!,Sales4[[#This Row],[Material]],'COGS Break up'!#REF!,'MIS Working'!$AQ$1)</f>
        <v>#REF!</v>
      </c>
      <c r="AR472" s="72">
        <f>Sales4[[#This Row],[Droppage per unit]]</f>
        <v>0</v>
      </c>
      <c r="AS472" s="15" t="e">
        <f>AO472*Sales4[[#This Row],[Billed Quantity]]</f>
        <v>#REF!</v>
      </c>
      <c r="AT472" s="72" t="e">
        <f>AP472*Sales4[[#This Row],[Billed Quantity]]</f>
        <v>#REF!</v>
      </c>
      <c r="AU472" s="72" t="e">
        <f>AQ472*Sales4[[#This Row],[Billed Quantity]]</f>
        <v>#REF!</v>
      </c>
      <c r="AV472" s="72">
        <f>AR472*Sales4[[#This Row],[Billed Quantity]]</f>
        <v>0</v>
      </c>
    </row>
    <row r="473" spans="1:48" x14ac:dyDescent="0.3">
      <c r="A473" s="1" t="s">
        <v>1212</v>
      </c>
      <c r="B473" s="2">
        <v>45902</v>
      </c>
      <c r="C473" s="1">
        <v>3271265715</v>
      </c>
      <c r="D473" s="1" t="s">
        <v>1259</v>
      </c>
      <c r="E473" s="1" t="s">
        <v>1260</v>
      </c>
      <c r="F473" s="1" t="s">
        <v>18</v>
      </c>
      <c r="G473" s="1" t="s">
        <v>48</v>
      </c>
      <c r="H473" s="1" t="s">
        <v>204</v>
      </c>
      <c r="I473" s="3">
        <v>37000</v>
      </c>
      <c r="J473" s="4">
        <v>22200</v>
      </c>
      <c r="K473" s="3">
        <v>37000</v>
      </c>
      <c r="L473" s="3">
        <v>37000</v>
      </c>
      <c r="M473" s="2">
        <v>45902</v>
      </c>
      <c r="N473" s="4">
        <v>22570</v>
      </c>
      <c r="O473" s="1" t="s">
        <v>21</v>
      </c>
      <c r="P473" s="1" t="s">
        <v>22</v>
      </c>
      <c r="Q473" s="1">
        <v>6</v>
      </c>
      <c r="R473" s="1" t="str">
        <f>VLOOKUP(Sales4[[#This Row],[Material type]],Master!$H$3:$I$8,2,0)</f>
        <v>Raw Material</v>
      </c>
      <c r="S473" s="1" t="str">
        <f>VLOOKUP(Sales4[[#This Row],[Material Group]],Master!B:C,2,0)</f>
        <v>RM-Eletro-Resistor</v>
      </c>
      <c r="T473" s="1" t="str">
        <f>VLOOKUP(Sales4[[#This Row],[Material Group Descrip]],Master!E:F,2,0)</f>
        <v>Raw Material</v>
      </c>
      <c r="U473" s="9" t="b">
        <f ca="1">(TODAY()-1)=Sales4[[#This Row],[Billing Date]]</f>
        <v>0</v>
      </c>
      <c r="V473" s="10" t="e">
        <f>Sales4[[#This Row],[Net Value]]-Sales4[[#This Row],[PGI COST]]</f>
        <v>#REF!</v>
      </c>
      <c r="W473" s="11" t="e">
        <f>Sales4[[#This Row],[Gross Margin]]/Sales4[[#This Row],[Net Value]]</f>
        <v>#REF!</v>
      </c>
      <c r="X473" s="1" t="str">
        <f>TEXT(Sales4[[#This Row],[Billing Date]],"mmmm-yy")</f>
        <v>September-25</v>
      </c>
      <c r="Y473" s="1">
        <f>Sales4[[#This Row],[Net Value]]/Sales4[[#This Row],[Billed Quantity]]</f>
        <v>0.61</v>
      </c>
      <c r="Z473" s="117">
        <f>Sales4[[#This Row],[Actual delivery qty]]</f>
        <v>37000</v>
      </c>
      <c r="AA473" s="12" t="e">
        <f>SUM(Sales4[[#This Row],[BOM Cost]:[Other Conversion cost pu]])</f>
        <v>#REF!</v>
      </c>
      <c r="AB47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7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73" s="12">
        <f>IFERROR(VLOOKUP(Sales4[[#This Row],[Material]],'COGS Break up'!#REF!,5,0),0)</f>
        <v>0</v>
      </c>
      <c r="AE47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73" s="48" t="e">
        <f>Sales4[[#This Row],[PGI per unit]]-Sales4[[#This Row],[BOM Cost]]-Sales4[[#This Row],[Labour cost per unit]]-Sales4[[#This Row],[Other Conversion cost pu]]</f>
        <v>#REF!</v>
      </c>
      <c r="AG473" s="48" t="e">
        <f>Sales4[[#This Row],[BOM Cost2]]+Sales4[[#This Row],[Labour Cost]]+Sales4[[#This Row],[Other conversion cost]]</f>
        <v>#REF!</v>
      </c>
      <c r="AH473" s="12" t="e">
        <f>Sales4[[#This Row],[Billed Quantity]]*Sales4[[#This Row],[BOM Cost]]</f>
        <v>#REF!</v>
      </c>
      <c r="AI473" s="12" t="e">
        <f>Sales4[[#This Row],[Billed Quantity]]*Sales4[[#This Row],[Labour cost per unit]]</f>
        <v>#REF!</v>
      </c>
      <c r="AJ473" s="12">
        <f>Sales4[[#This Row],[Droppage per unit]]*Sales4[[#This Row],[Billed Quantity]]</f>
        <v>0</v>
      </c>
      <c r="AK473" s="12" t="e">
        <f>Sales4[[#This Row],[Billed Quantity]]*Sales4[[#This Row],[Other Conversion cost pu]]</f>
        <v>#REF!</v>
      </c>
      <c r="AL473" s="48" t="e">
        <f>Sales4[[#This Row],[PGI Amount]]-Sales4[[#This Row],[BOM Cost2]]-Sales4[[#This Row],[Labour Cost]]-Sales4[[#This Row],[Other conversion cost]]</f>
        <v>#REF!</v>
      </c>
      <c r="AM473" s="121" t="e">
        <f>1-Sales4[[#This Row],[PGI COST]]/Sales4[[#This Row],[Net Value]]</f>
        <v>#REF!</v>
      </c>
      <c r="AN473" s="1">
        <f>Sales4[[#This Row],[PGI Amount]]/Sales4[[#This Row],[Billed Quantity]]</f>
        <v>0.6</v>
      </c>
      <c r="AO473" s="72" t="e">
        <f>SUMIFS('COGS Break up'!#REF!,'COGS Break up'!#REF!,Sales4[[#This Row],[Material]],'COGS Break up'!#REF!,'MIS Working'!$AO$1)</f>
        <v>#REF!</v>
      </c>
      <c r="AP473" s="72" t="e">
        <f>SUMIFS('COGS Break up'!#REF!,'COGS Break up'!#REF!,Sales4[[#This Row],[Material]],'COGS Break up'!#REF!,'MIS Working'!$AP$1)</f>
        <v>#REF!</v>
      </c>
      <c r="AQ473" s="72" t="e">
        <f>SUMIFS('COGS Break up'!#REF!,'COGS Break up'!#REF!,Sales4[[#This Row],[Material]],'COGS Break up'!#REF!,'MIS Working'!$AQ$1)</f>
        <v>#REF!</v>
      </c>
      <c r="AR473" s="72">
        <f>Sales4[[#This Row],[Droppage per unit]]</f>
        <v>0</v>
      </c>
      <c r="AS473" s="15" t="e">
        <f>AO473*Sales4[[#This Row],[Billed Quantity]]</f>
        <v>#REF!</v>
      </c>
      <c r="AT473" s="72" t="e">
        <f>AP473*Sales4[[#This Row],[Billed Quantity]]</f>
        <v>#REF!</v>
      </c>
      <c r="AU473" s="72" t="e">
        <f>AQ473*Sales4[[#This Row],[Billed Quantity]]</f>
        <v>#REF!</v>
      </c>
      <c r="AV473" s="72">
        <f>AR473*Sales4[[#This Row],[Billed Quantity]]</f>
        <v>0</v>
      </c>
    </row>
    <row r="474" spans="1:48" x14ac:dyDescent="0.3">
      <c r="A474" s="1" t="s">
        <v>1212</v>
      </c>
      <c r="B474" s="2">
        <v>45902</v>
      </c>
      <c r="C474" s="1">
        <v>3271265715</v>
      </c>
      <c r="D474" s="1" t="s">
        <v>1261</v>
      </c>
      <c r="E474" s="1" t="s">
        <v>1262</v>
      </c>
      <c r="F474" s="1" t="s">
        <v>18</v>
      </c>
      <c r="G474" s="1" t="s">
        <v>48</v>
      </c>
      <c r="H474" s="1" t="s">
        <v>207</v>
      </c>
      <c r="I474" s="3">
        <v>159000</v>
      </c>
      <c r="J474" s="4">
        <v>286200</v>
      </c>
      <c r="K474" s="3">
        <v>159000</v>
      </c>
      <c r="L474" s="3">
        <v>159000</v>
      </c>
      <c r="M474" s="2">
        <v>45902</v>
      </c>
      <c r="N474" s="4">
        <v>286200</v>
      </c>
      <c r="O474" s="1" t="s">
        <v>21</v>
      </c>
      <c r="P474" s="1" t="s">
        <v>22</v>
      </c>
      <c r="Q474" s="1">
        <v>6</v>
      </c>
      <c r="R474" s="1" t="str">
        <f>VLOOKUP(Sales4[[#This Row],[Material type]],Master!$H$3:$I$8,2,0)</f>
        <v>Raw Material</v>
      </c>
      <c r="S474" s="1" t="str">
        <f>VLOOKUP(Sales4[[#This Row],[Material Group]],Master!B:C,2,0)</f>
        <v>RM-Mech. Accessories</v>
      </c>
      <c r="T474" s="1" t="str">
        <f>VLOOKUP(Sales4[[#This Row],[Material Group Descrip]],Master!E:F,2,0)</f>
        <v>Raw Material</v>
      </c>
      <c r="U474" s="9" t="b">
        <f ca="1">(TODAY()-1)=Sales4[[#This Row],[Billing Date]]</f>
        <v>0</v>
      </c>
      <c r="V474" s="10" t="e">
        <f>Sales4[[#This Row],[Net Value]]-Sales4[[#This Row],[PGI COST]]</f>
        <v>#REF!</v>
      </c>
      <c r="W474" s="11" t="e">
        <f>Sales4[[#This Row],[Gross Margin]]/Sales4[[#This Row],[Net Value]]</f>
        <v>#REF!</v>
      </c>
      <c r="X474" s="1" t="str">
        <f>TEXT(Sales4[[#This Row],[Billing Date]],"mmmm-yy")</f>
        <v>September-25</v>
      </c>
      <c r="Y474" s="1">
        <f>Sales4[[#This Row],[Net Value]]/Sales4[[#This Row],[Billed Quantity]]</f>
        <v>1.8</v>
      </c>
      <c r="Z474" s="117">
        <f>Sales4[[#This Row],[Actual delivery qty]]</f>
        <v>159000</v>
      </c>
      <c r="AA474" s="12" t="e">
        <f>SUM(Sales4[[#This Row],[BOM Cost]:[Other Conversion cost pu]])</f>
        <v>#REF!</v>
      </c>
      <c r="AB47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7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74" s="12">
        <f>IFERROR(VLOOKUP(Sales4[[#This Row],[Material]],'COGS Break up'!#REF!,5,0),0)</f>
        <v>0</v>
      </c>
      <c r="AE47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74" s="48" t="e">
        <f>Sales4[[#This Row],[PGI per unit]]-Sales4[[#This Row],[BOM Cost]]-Sales4[[#This Row],[Labour cost per unit]]-Sales4[[#This Row],[Other Conversion cost pu]]</f>
        <v>#REF!</v>
      </c>
      <c r="AG474" s="48" t="e">
        <f>Sales4[[#This Row],[BOM Cost2]]+Sales4[[#This Row],[Labour Cost]]+Sales4[[#This Row],[Other conversion cost]]</f>
        <v>#REF!</v>
      </c>
      <c r="AH474" s="12" t="e">
        <f>Sales4[[#This Row],[Billed Quantity]]*Sales4[[#This Row],[BOM Cost]]</f>
        <v>#REF!</v>
      </c>
      <c r="AI474" s="12" t="e">
        <f>Sales4[[#This Row],[Billed Quantity]]*Sales4[[#This Row],[Labour cost per unit]]</f>
        <v>#REF!</v>
      </c>
      <c r="AJ474" s="12">
        <f>Sales4[[#This Row],[Droppage per unit]]*Sales4[[#This Row],[Billed Quantity]]</f>
        <v>0</v>
      </c>
      <c r="AK474" s="12" t="e">
        <f>Sales4[[#This Row],[Billed Quantity]]*Sales4[[#This Row],[Other Conversion cost pu]]</f>
        <v>#REF!</v>
      </c>
      <c r="AL474" s="48" t="e">
        <f>Sales4[[#This Row],[PGI Amount]]-Sales4[[#This Row],[BOM Cost2]]-Sales4[[#This Row],[Labour Cost]]-Sales4[[#This Row],[Other conversion cost]]</f>
        <v>#REF!</v>
      </c>
      <c r="AM474" s="121" t="e">
        <f>1-Sales4[[#This Row],[PGI COST]]/Sales4[[#This Row],[Net Value]]</f>
        <v>#REF!</v>
      </c>
      <c r="AN474" s="1">
        <f>Sales4[[#This Row],[PGI Amount]]/Sales4[[#This Row],[Billed Quantity]]</f>
        <v>1.8</v>
      </c>
      <c r="AO474" s="72" t="e">
        <f>SUMIFS('COGS Break up'!#REF!,'COGS Break up'!#REF!,Sales4[[#This Row],[Material]],'COGS Break up'!#REF!,'MIS Working'!$AO$1)</f>
        <v>#REF!</v>
      </c>
      <c r="AP474" s="72" t="e">
        <f>SUMIFS('COGS Break up'!#REF!,'COGS Break up'!#REF!,Sales4[[#This Row],[Material]],'COGS Break up'!#REF!,'MIS Working'!$AP$1)</f>
        <v>#REF!</v>
      </c>
      <c r="AQ474" s="72" t="e">
        <f>SUMIFS('COGS Break up'!#REF!,'COGS Break up'!#REF!,Sales4[[#This Row],[Material]],'COGS Break up'!#REF!,'MIS Working'!$AQ$1)</f>
        <v>#REF!</v>
      </c>
      <c r="AR474" s="72">
        <f>Sales4[[#This Row],[Droppage per unit]]</f>
        <v>0</v>
      </c>
      <c r="AS474" s="15" t="e">
        <f>AO474*Sales4[[#This Row],[Billed Quantity]]</f>
        <v>#REF!</v>
      </c>
      <c r="AT474" s="72" t="e">
        <f>AP474*Sales4[[#This Row],[Billed Quantity]]</f>
        <v>#REF!</v>
      </c>
      <c r="AU474" s="72" t="e">
        <f>AQ474*Sales4[[#This Row],[Billed Quantity]]</f>
        <v>#REF!</v>
      </c>
      <c r="AV474" s="72">
        <f>AR474*Sales4[[#This Row],[Billed Quantity]]</f>
        <v>0</v>
      </c>
    </row>
    <row r="475" spans="1:48" x14ac:dyDescent="0.3">
      <c r="A475" s="1" t="s">
        <v>1212</v>
      </c>
      <c r="B475" s="2">
        <v>45902</v>
      </c>
      <c r="C475" s="1">
        <v>3271265715</v>
      </c>
      <c r="D475" s="1" t="s">
        <v>1263</v>
      </c>
      <c r="E475" s="1" t="s">
        <v>1264</v>
      </c>
      <c r="F475" s="1" t="s">
        <v>18</v>
      </c>
      <c r="G475" s="1" t="s">
        <v>48</v>
      </c>
      <c r="H475" s="1" t="s">
        <v>207</v>
      </c>
      <c r="I475" s="3">
        <v>18000</v>
      </c>
      <c r="J475" s="4">
        <v>35124.47</v>
      </c>
      <c r="K475" s="3">
        <v>18000</v>
      </c>
      <c r="L475" s="3">
        <v>18000</v>
      </c>
      <c r="M475" s="2">
        <v>45902</v>
      </c>
      <c r="N475" s="4">
        <v>49320</v>
      </c>
      <c r="O475" s="1" t="s">
        <v>21</v>
      </c>
      <c r="P475" s="1" t="s">
        <v>22</v>
      </c>
      <c r="Q475" s="1">
        <v>6</v>
      </c>
      <c r="R475" s="1" t="str">
        <f>VLOOKUP(Sales4[[#This Row],[Material type]],Master!$H$3:$I$8,2,0)</f>
        <v>Raw Material</v>
      </c>
      <c r="S475" s="1" t="str">
        <f>VLOOKUP(Sales4[[#This Row],[Material Group]],Master!B:C,2,0)</f>
        <v>RM-Mech. Accessories</v>
      </c>
      <c r="T475" s="1" t="str">
        <f>VLOOKUP(Sales4[[#This Row],[Material Group Descrip]],Master!E:F,2,0)</f>
        <v>Raw Material</v>
      </c>
      <c r="U475" s="9" t="b">
        <f ca="1">(TODAY()-1)=Sales4[[#This Row],[Billing Date]]</f>
        <v>0</v>
      </c>
      <c r="V475" s="10" t="e">
        <f>Sales4[[#This Row],[Net Value]]-Sales4[[#This Row],[PGI COST]]</f>
        <v>#REF!</v>
      </c>
      <c r="W475" s="11" t="e">
        <f>Sales4[[#This Row],[Gross Margin]]/Sales4[[#This Row],[Net Value]]</f>
        <v>#REF!</v>
      </c>
      <c r="X475" s="1" t="str">
        <f>TEXT(Sales4[[#This Row],[Billing Date]],"mmmm-yy")</f>
        <v>September-25</v>
      </c>
      <c r="Y475" s="1">
        <f>Sales4[[#This Row],[Net Value]]/Sales4[[#This Row],[Billed Quantity]]</f>
        <v>2.74</v>
      </c>
      <c r="Z475" s="117">
        <f>Sales4[[#This Row],[Actual delivery qty]]</f>
        <v>18000</v>
      </c>
      <c r="AA475" s="12" t="e">
        <f>SUM(Sales4[[#This Row],[BOM Cost]:[Other Conversion cost pu]])</f>
        <v>#REF!</v>
      </c>
      <c r="AB47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7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75" s="12">
        <f>IFERROR(VLOOKUP(Sales4[[#This Row],[Material]],'COGS Break up'!#REF!,5,0),0)</f>
        <v>0</v>
      </c>
      <c r="AE47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75" s="48" t="e">
        <f>Sales4[[#This Row],[PGI per unit]]-Sales4[[#This Row],[BOM Cost]]-Sales4[[#This Row],[Labour cost per unit]]-Sales4[[#This Row],[Other Conversion cost pu]]</f>
        <v>#REF!</v>
      </c>
      <c r="AG475" s="48" t="e">
        <f>Sales4[[#This Row],[BOM Cost2]]+Sales4[[#This Row],[Labour Cost]]+Sales4[[#This Row],[Other conversion cost]]</f>
        <v>#REF!</v>
      </c>
      <c r="AH475" s="12" t="e">
        <f>Sales4[[#This Row],[Billed Quantity]]*Sales4[[#This Row],[BOM Cost]]</f>
        <v>#REF!</v>
      </c>
      <c r="AI475" s="12" t="e">
        <f>Sales4[[#This Row],[Billed Quantity]]*Sales4[[#This Row],[Labour cost per unit]]</f>
        <v>#REF!</v>
      </c>
      <c r="AJ475" s="12">
        <f>Sales4[[#This Row],[Droppage per unit]]*Sales4[[#This Row],[Billed Quantity]]</f>
        <v>0</v>
      </c>
      <c r="AK475" s="12" t="e">
        <f>Sales4[[#This Row],[Billed Quantity]]*Sales4[[#This Row],[Other Conversion cost pu]]</f>
        <v>#REF!</v>
      </c>
      <c r="AL475" s="48" t="e">
        <f>Sales4[[#This Row],[PGI Amount]]-Sales4[[#This Row],[BOM Cost2]]-Sales4[[#This Row],[Labour Cost]]-Sales4[[#This Row],[Other conversion cost]]</f>
        <v>#REF!</v>
      </c>
      <c r="AM475" s="121" t="e">
        <f>1-Sales4[[#This Row],[PGI COST]]/Sales4[[#This Row],[Net Value]]</f>
        <v>#REF!</v>
      </c>
      <c r="AN475" s="1">
        <f>Sales4[[#This Row],[PGI Amount]]/Sales4[[#This Row],[Billed Quantity]]</f>
        <v>1.9513594444444444</v>
      </c>
      <c r="AO475" s="72" t="e">
        <f>SUMIFS('COGS Break up'!#REF!,'COGS Break up'!#REF!,Sales4[[#This Row],[Material]],'COGS Break up'!#REF!,'MIS Working'!$AO$1)</f>
        <v>#REF!</v>
      </c>
      <c r="AP475" s="72" t="e">
        <f>SUMIFS('COGS Break up'!#REF!,'COGS Break up'!#REF!,Sales4[[#This Row],[Material]],'COGS Break up'!#REF!,'MIS Working'!$AP$1)</f>
        <v>#REF!</v>
      </c>
      <c r="AQ475" s="72" t="e">
        <f>SUMIFS('COGS Break up'!#REF!,'COGS Break up'!#REF!,Sales4[[#This Row],[Material]],'COGS Break up'!#REF!,'MIS Working'!$AQ$1)</f>
        <v>#REF!</v>
      </c>
      <c r="AR475" s="72">
        <f>Sales4[[#This Row],[Droppage per unit]]</f>
        <v>0</v>
      </c>
      <c r="AS475" s="15" t="e">
        <f>AO475*Sales4[[#This Row],[Billed Quantity]]</f>
        <v>#REF!</v>
      </c>
      <c r="AT475" s="72" t="e">
        <f>AP475*Sales4[[#This Row],[Billed Quantity]]</f>
        <v>#REF!</v>
      </c>
      <c r="AU475" s="72" t="e">
        <f>AQ475*Sales4[[#This Row],[Billed Quantity]]</f>
        <v>#REF!</v>
      </c>
      <c r="AV475" s="72">
        <f>AR475*Sales4[[#This Row],[Billed Quantity]]</f>
        <v>0</v>
      </c>
    </row>
    <row r="476" spans="1:48" x14ac:dyDescent="0.3">
      <c r="A476" s="1" t="s">
        <v>1212</v>
      </c>
      <c r="B476" s="2">
        <v>45902</v>
      </c>
      <c r="C476" s="1">
        <v>3271265715</v>
      </c>
      <c r="D476" s="1" t="s">
        <v>1265</v>
      </c>
      <c r="E476" s="1" t="s">
        <v>1266</v>
      </c>
      <c r="F476" s="1" t="s">
        <v>18</v>
      </c>
      <c r="G476" s="1" t="s">
        <v>48</v>
      </c>
      <c r="H476" s="1" t="s">
        <v>207</v>
      </c>
      <c r="I476" s="3">
        <v>8000</v>
      </c>
      <c r="J476" s="4">
        <v>888.61</v>
      </c>
      <c r="K476" s="3">
        <v>8000</v>
      </c>
      <c r="L476" s="3">
        <v>8000</v>
      </c>
      <c r="M476" s="2">
        <v>45902</v>
      </c>
      <c r="N476" s="4">
        <v>960</v>
      </c>
      <c r="O476" s="1" t="s">
        <v>21</v>
      </c>
      <c r="P476" s="1" t="s">
        <v>22</v>
      </c>
      <c r="Q476" s="1">
        <v>6</v>
      </c>
      <c r="R476" s="1" t="str">
        <f>VLOOKUP(Sales4[[#This Row],[Material type]],Master!$H$3:$I$8,2,0)</f>
        <v>Raw Material</v>
      </c>
      <c r="S476" s="1" t="str">
        <f>VLOOKUP(Sales4[[#This Row],[Material Group]],Master!B:C,2,0)</f>
        <v>RM-Mech. Accessories</v>
      </c>
      <c r="T476" s="1" t="str">
        <f>VLOOKUP(Sales4[[#This Row],[Material Group Descrip]],Master!E:F,2,0)</f>
        <v>Raw Material</v>
      </c>
      <c r="U476" s="9" t="b">
        <f ca="1">(TODAY()-1)=Sales4[[#This Row],[Billing Date]]</f>
        <v>0</v>
      </c>
      <c r="V476" s="10" t="e">
        <f>Sales4[[#This Row],[Net Value]]-Sales4[[#This Row],[PGI COST]]</f>
        <v>#REF!</v>
      </c>
      <c r="W476" s="11" t="e">
        <f>Sales4[[#This Row],[Gross Margin]]/Sales4[[#This Row],[Net Value]]</f>
        <v>#REF!</v>
      </c>
      <c r="X476" s="1" t="str">
        <f>TEXT(Sales4[[#This Row],[Billing Date]],"mmmm-yy")</f>
        <v>September-25</v>
      </c>
      <c r="Y476" s="1">
        <f>Sales4[[#This Row],[Net Value]]/Sales4[[#This Row],[Billed Quantity]]</f>
        <v>0.12</v>
      </c>
      <c r="Z476" s="117">
        <f>Sales4[[#This Row],[Actual delivery qty]]</f>
        <v>8000</v>
      </c>
      <c r="AA476" s="12" t="e">
        <f>SUM(Sales4[[#This Row],[BOM Cost]:[Other Conversion cost pu]])</f>
        <v>#REF!</v>
      </c>
      <c r="AB47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7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76" s="12">
        <f>IFERROR(VLOOKUP(Sales4[[#This Row],[Material]],'COGS Break up'!#REF!,5,0),0)</f>
        <v>0</v>
      </c>
      <c r="AE47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76" s="48" t="e">
        <f>Sales4[[#This Row],[PGI per unit]]-Sales4[[#This Row],[BOM Cost]]-Sales4[[#This Row],[Labour cost per unit]]-Sales4[[#This Row],[Other Conversion cost pu]]</f>
        <v>#REF!</v>
      </c>
      <c r="AG476" s="48" t="e">
        <f>Sales4[[#This Row],[BOM Cost2]]+Sales4[[#This Row],[Labour Cost]]+Sales4[[#This Row],[Other conversion cost]]</f>
        <v>#REF!</v>
      </c>
      <c r="AH476" s="12" t="e">
        <f>Sales4[[#This Row],[Billed Quantity]]*Sales4[[#This Row],[BOM Cost]]</f>
        <v>#REF!</v>
      </c>
      <c r="AI476" s="12" t="e">
        <f>Sales4[[#This Row],[Billed Quantity]]*Sales4[[#This Row],[Labour cost per unit]]</f>
        <v>#REF!</v>
      </c>
      <c r="AJ476" s="12">
        <f>Sales4[[#This Row],[Droppage per unit]]*Sales4[[#This Row],[Billed Quantity]]</f>
        <v>0</v>
      </c>
      <c r="AK476" s="12" t="e">
        <f>Sales4[[#This Row],[Billed Quantity]]*Sales4[[#This Row],[Other Conversion cost pu]]</f>
        <v>#REF!</v>
      </c>
      <c r="AL476" s="48" t="e">
        <f>Sales4[[#This Row],[PGI Amount]]-Sales4[[#This Row],[BOM Cost2]]-Sales4[[#This Row],[Labour Cost]]-Sales4[[#This Row],[Other conversion cost]]</f>
        <v>#REF!</v>
      </c>
      <c r="AM476" s="121" t="e">
        <f>1-Sales4[[#This Row],[PGI COST]]/Sales4[[#This Row],[Net Value]]</f>
        <v>#REF!</v>
      </c>
      <c r="AN476" s="1">
        <f>Sales4[[#This Row],[PGI Amount]]/Sales4[[#This Row],[Billed Quantity]]</f>
        <v>0.11107625</v>
      </c>
      <c r="AO476" s="72" t="e">
        <f>SUMIFS('COGS Break up'!#REF!,'COGS Break up'!#REF!,Sales4[[#This Row],[Material]],'COGS Break up'!#REF!,'MIS Working'!$AO$1)</f>
        <v>#REF!</v>
      </c>
      <c r="AP476" s="72" t="e">
        <f>SUMIFS('COGS Break up'!#REF!,'COGS Break up'!#REF!,Sales4[[#This Row],[Material]],'COGS Break up'!#REF!,'MIS Working'!$AP$1)</f>
        <v>#REF!</v>
      </c>
      <c r="AQ476" s="72" t="e">
        <f>SUMIFS('COGS Break up'!#REF!,'COGS Break up'!#REF!,Sales4[[#This Row],[Material]],'COGS Break up'!#REF!,'MIS Working'!$AQ$1)</f>
        <v>#REF!</v>
      </c>
      <c r="AR476" s="72">
        <f>Sales4[[#This Row],[Droppage per unit]]</f>
        <v>0</v>
      </c>
      <c r="AS476" s="15" t="e">
        <f>AO476*Sales4[[#This Row],[Billed Quantity]]</f>
        <v>#REF!</v>
      </c>
      <c r="AT476" s="72" t="e">
        <f>AP476*Sales4[[#This Row],[Billed Quantity]]</f>
        <v>#REF!</v>
      </c>
      <c r="AU476" s="72" t="e">
        <f>AQ476*Sales4[[#This Row],[Billed Quantity]]</f>
        <v>#REF!</v>
      </c>
      <c r="AV476" s="72">
        <f>AR476*Sales4[[#This Row],[Billed Quantity]]</f>
        <v>0</v>
      </c>
    </row>
    <row r="477" spans="1:48" x14ac:dyDescent="0.3">
      <c r="A477" s="1" t="s">
        <v>1212</v>
      </c>
      <c r="B477" s="2">
        <v>45902</v>
      </c>
      <c r="C477" s="1">
        <v>3271265715</v>
      </c>
      <c r="D477" s="1" t="s">
        <v>1267</v>
      </c>
      <c r="E477" s="1" t="s">
        <v>1268</v>
      </c>
      <c r="F477" s="1" t="s">
        <v>18</v>
      </c>
      <c r="G477" s="1" t="s">
        <v>48</v>
      </c>
      <c r="H477" s="1" t="s">
        <v>207</v>
      </c>
      <c r="I477" s="3">
        <v>8000</v>
      </c>
      <c r="J477" s="4">
        <v>1038.48</v>
      </c>
      <c r="K477" s="3">
        <v>8000</v>
      </c>
      <c r="L477" s="3">
        <v>8000</v>
      </c>
      <c r="M477" s="2">
        <v>45902</v>
      </c>
      <c r="N477" s="4">
        <v>1040</v>
      </c>
      <c r="O477" s="1" t="s">
        <v>21</v>
      </c>
      <c r="P477" s="1" t="s">
        <v>22</v>
      </c>
      <c r="Q477" s="1">
        <v>6</v>
      </c>
      <c r="R477" s="1" t="str">
        <f>VLOOKUP(Sales4[[#This Row],[Material type]],Master!$H$3:$I$8,2,0)</f>
        <v>Raw Material</v>
      </c>
      <c r="S477" s="1" t="str">
        <f>VLOOKUP(Sales4[[#This Row],[Material Group]],Master!B:C,2,0)</f>
        <v>RM-Mech. Accessories</v>
      </c>
      <c r="T477" s="1" t="str">
        <f>VLOOKUP(Sales4[[#This Row],[Material Group Descrip]],Master!E:F,2,0)</f>
        <v>Raw Material</v>
      </c>
      <c r="U477" s="9" t="b">
        <f ca="1">(TODAY()-1)=Sales4[[#This Row],[Billing Date]]</f>
        <v>0</v>
      </c>
      <c r="V477" s="10" t="e">
        <f>Sales4[[#This Row],[Net Value]]-Sales4[[#This Row],[PGI COST]]</f>
        <v>#REF!</v>
      </c>
      <c r="W477" s="11" t="e">
        <f>Sales4[[#This Row],[Gross Margin]]/Sales4[[#This Row],[Net Value]]</f>
        <v>#REF!</v>
      </c>
      <c r="X477" s="1" t="str">
        <f>TEXT(Sales4[[#This Row],[Billing Date]],"mmmm-yy")</f>
        <v>September-25</v>
      </c>
      <c r="Y477" s="1">
        <f>Sales4[[#This Row],[Net Value]]/Sales4[[#This Row],[Billed Quantity]]</f>
        <v>0.13</v>
      </c>
      <c r="Z477" s="117">
        <f>Sales4[[#This Row],[Actual delivery qty]]</f>
        <v>8000</v>
      </c>
      <c r="AA477" s="12" t="e">
        <f>SUM(Sales4[[#This Row],[BOM Cost]:[Other Conversion cost pu]])</f>
        <v>#REF!</v>
      </c>
      <c r="AB47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7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77" s="12">
        <f>IFERROR(VLOOKUP(Sales4[[#This Row],[Material]],'COGS Break up'!#REF!,5,0),0)</f>
        <v>0</v>
      </c>
      <c r="AE47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77" s="48" t="e">
        <f>Sales4[[#This Row],[PGI per unit]]-Sales4[[#This Row],[BOM Cost]]-Sales4[[#This Row],[Labour cost per unit]]-Sales4[[#This Row],[Other Conversion cost pu]]</f>
        <v>#REF!</v>
      </c>
      <c r="AG477" s="48" t="e">
        <f>Sales4[[#This Row],[BOM Cost2]]+Sales4[[#This Row],[Labour Cost]]+Sales4[[#This Row],[Other conversion cost]]</f>
        <v>#REF!</v>
      </c>
      <c r="AH477" s="12" t="e">
        <f>Sales4[[#This Row],[Billed Quantity]]*Sales4[[#This Row],[BOM Cost]]</f>
        <v>#REF!</v>
      </c>
      <c r="AI477" s="12" t="e">
        <f>Sales4[[#This Row],[Billed Quantity]]*Sales4[[#This Row],[Labour cost per unit]]</f>
        <v>#REF!</v>
      </c>
      <c r="AJ477" s="12">
        <f>Sales4[[#This Row],[Droppage per unit]]*Sales4[[#This Row],[Billed Quantity]]</f>
        <v>0</v>
      </c>
      <c r="AK477" s="12" t="e">
        <f>Sales4[[#This Row],[Billed Quantity]]*Sales4[[#This Row],[Other Conversion cost pu]]</f>
        <v>#REF!</v>
      </c>
      <c r="AL477" s="48" t="e">
        <f>Sales4[[#This Row],[PGI Amount]]-Sales4[[#This Row],[BOM Cost2]]-Sales4[[#This Row],[Labour Cost]]-Sales4[[#This Row],[Other conversion cost]]</f>
        <v>#REF!</v>
      </c>
      <c r="AM477" s="121" t="e">
        <f>1-Sales4[[#This Row],[PGI COST]]/Sales4[[#This Row],[Net Value]]</f>
        <v>#REF!</v>
      </c>
      <c r="AN477" s="1">
        <f>Sales4[[#This Row],[PGI Amount]]/Sales4[[#This Row],[Billed Quantity]]</f>
        <v>0.12981000000000001</v>
      </c>
      <c r="AO477" s="72" t="e">
        <f>SUMIFS('COGS Break up'!#REF!,'COGS Break up'!#REF!,Sales4[[#This Row],[Material]],'COGS Break up'!#REF!,'MIS Working'!$AO$1)</f>
        <v>#REF!</v>
      </c>
      <c r="AP477" s="72" t="e">
        <f>SUMIFS('COGS Break up'!#REF!,'COGS Break up'!#REF!,Sales4[[#This Row],[Material]],'COGS Break up'!#REF!,'MIS Working'!$AP$1)</f>
        <v>#REF!</v>
      </c>
      <c r="AQ477" s="72" t="e">
        <f>SUMIFS('COGS Break up'!#REF!,'COGS Break up'!#REF!,Sales4[[#This Row],[Material]],'COGS Break up'!#REF!,'MIS Working'!$AQ$1)</f>
        <v>#REF!</v>
      </c>
      <c r="AR477" s="72">
        <f>Sales4[[#This Row],[Droppage per unit]]</f>
        <v>0</v>
      </c>
      <c r="AS477" s="15" t="e">
        <f>AO477*Sales4[[#This Row],[Billed Quantity]]</f>
        <v>#REF!</v>
      </c>
      <c r="AT477" s="72" t="e">
        <f>AP477*Sales4[[#This Row],[Billed Quantity]]</f>
        <v>#REF!</v>
      </c>
      <c r="AU477" s="72" t="e">
        <f>AQ477*Sales4[[#This Row],[Billed Quantity]]</f>
        <v>#REF!</v>
      </c>
      <c r="AV477" s="72">
        <f>AR477*Sales4[[#This Row],[Billed Quantity]]</f>
        <v>0</v>
      </c>
    </row>
    <row r="478" spans="1:48" x14ac:dyDescent="0.3">
      <c r="A478" s="1" t="s">
        <v>1212</v>
      </c>
      <c r="B478" s="2">
        <v>45902</v>
      </c>
      <c r="C478" s="1">
        <v>3271265715</v>
      </c>
      <c r="D478" s="1" t="s">
        <v>1269</v>
      </c>
      <c r="E478" s="1" t="s">
        <v>1270</v>
      </c>
      <c r="F478" s="1" t="s">
        <v>18</v>
      </c>
      <c r="G478" s="1" t="s">
        <v>48</v>
      </c>
      <c r="H478" s="1" t="s">
        <v>207</v>
      </c>
      <c r="I478" s="3">
        <v>36000</v>
      </c>
      <c r="J478" s="4">
        <v>7083.77</v>
      </c>
      <c r="K478" s="3">
        <v>36000</v>
      </c>
      <c r="L478" s="3">
        <v>36000</v>
      </c>
      <c r="M478" s="2">
        <v>45902</v>
      </c>
      <c r="N478" s="4">
        <v>7920</v>
      </c>
      <c r="O478" s="1" t="s">
        <v>21</v>
      </c>
      <c r="P478" s="1" t="s">
        <v>22</v>
      </c>
      <c r="Q478" s="1">
        <v>6</v>
      </c>
      <c r="R478" s="1" t="str">
        <f>VLOOKUP(Sales4[[#This Row],[Material type]],Master!$H$3:$I$8,2,0)</f>
        <v>Raw Material</v>
      </c>
      <c r="S478" s="1" t="str">
        <f>VLOOKUP(Sales4[[#This Row],[Material Group]],Master!B:C,2,0)</f>
        <v>RM-Mech. Accessories</v>
      </c>
      <c r="T478" s="1" t="str">
        <f>VLOOKUP(Sales4[[#This Row],[Material Group Descrip]],Master!E:F,2,0)</f>
        <v>Raw Material</v>
      </c>
      <c r="U478" s="9" t="b">
        <f ca="1">(TODAY()-1)=Sales4[[#This Row],[Billing Date]]</f>
        <v>0</v>
      </c>
      <c r="V478" s="10" t="e">
        <f>Sales4[[#This Row],[Net Value]]-Sales4[[#This Row],[PGI COST]]</f>
        <v>#REF!</v>
      </c>
      <c r="W478" s="11" t="e">
        <f>Sales4[[#This Row],[Gross Margin]]/Sales4[[#This Row],[Net Value]]</f>
        <v>#REF!</v>
      </c>
      <c r="X478" s="1" t="str">
        <f>TEXT(Sales4[[#This Row],[Billing Date]],"mmmm-yy")</f>
        <v>September-25</v>
      </c>
      <c r="Y478" s="1">
        <f>Sales4[[#This Row],[Net Value]]/Sales4[[#This Row],[Billed Quantity]]</f>
        <v>0.22</v>
      </c>
      <c r="Z478" s="117">
        <f>Sales4[[#This Row],[Actual delivery qty]]</f>
        <v>36000</v>
      </c>
      <c r="AA478" s="12" t="e">
        <f>SUM(Sales4[[#This Row],[BOM Cost]:[Other Conversion cost pu]])</f>
        <v>#REF!</v>
      </c>
      <c r="AB47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7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78" s="12">
        <f>IFERROR(VLOOKUP(Sales4[[#This Row],[Material]],'COGS Break up'!#REF!,5,0),0)</f>
        <v>0</v>
      </c>
      <c r="AE47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78" s="48" t="e">
        <f>Sales4[[#This Row],[PGI per unit]]-Sales4[[#This Row],[BOM Cost]]-Sales4[[#This Row],[Labour cost per unit]]-Sales4[[#This Row],[Other Conversion cost pu]]</f>
        <v>#REF!</v>
      </c>
      <c r="AG478" s="48" t="e">
        <f>Sales4[[#This Row],[BOM Cost2]]+Sales4[[#This Row],[Labour Cost]]+Sales4[[#This Row],[Other conversion cost]]</f>
        <v>#REF!</v>
      </c>
      <c r="AH478" s="12" t="e">
        <f>Sales4[[#This Row],[Billed Quantity]]*Sales4[[#This Row],[BOM Cost]]</f>
        <v>#REF!</v>
      </c>
      <c r="AI478" s="12" t="e">
        <f>Sales4[[#This Row],[Billed Quantity]]*Sales4[[#This Row],[Labour cost per unit]]</f>
        <v>#REF!</v>
      </c>
      <c r="AJ478" s="12">
        <f>Sales4[[#This Row],[Droppage per unit]]*Sales4[[#This Row],[Billed Quantity]]</f>
        <v>0</v>
      </c>
      <c r="AK478" s="12" t="e">
        <f>Sales4[[#This Row],[Billed Quantity]]*Sales4[[#This Row],[Other Conversion cost pu]]</f>
        <v>#REF!</v>
      </c>
      <c r="AL478" s="48" t="e">
        <f>Sales4[[#This Row],[PGI Amount]]-Sales4[[#This Row],[BOM Cost2]]-Sales4[[#This Row],[Labour Cost]]-Sales4[[#This Row],[Other conversion cost]]</f>
        <v>#REF!</v>
      </c>
      <c r="AM478" s="121" t="e">
        <f>1-Sales4[[#This Row],[PGI COST]]/Sales4[[#This Row],[Net Value]]</f>
        <v>#REF!</v>
      </c>
      <c r="AN478" s="1">
        <f>Sales4[[#This Row],[PGI Amount]]/Sales4[[#This Row],[Billed Quantity]]</f>
        <v>0.1967713888888889</v>
      </c>
      <c r="AO478" s="72" t="e">
        <f>SUMIFS('COGS Break up'!#REF!,'COGS Break up'!#REF!,Sales4[[#This Row],[Material]],'COGS Break up'!#REF!,'MIS Working'!$AO$1)</f>
        <v>#REF!</v>
      </c>
      <c r="AP478" s="72" t="e">
        <f>SUMIFS('COGS Break up'!#REF!,'COGS Break up'!#REF!,Sales4[[#This Row],[Material]],'COGS Break up'!#REF!,'MIS Working'!$AP$1)</f>
        <v>#REF!</v>
      </c>
      <c r="AQ478" s="72" t="e">
        <f>SUMIFS('COGS Break up'!#REF!,'COGS Break up'!#REF!,Sales4[[#This Row],[Material]],'COGS Break up'!#REF!,'MIS Working'!$AQ$1)</f>
        <v>#REF!</v>
      </c>
      <c r="AR478" s="72">
        <f>Sales4[[#This Row],[Droppage per unit]]</f>
        <v>0</v>
      </c>
      <c r="AS478" s="15" t="e">
        <f>AO478*Sales4[[#This Row],[Billed Quantity]]</f>
        <v>#REF!</v>
      </c>
      <c r="AT478" s="72" t="e">
        <f>AP478*Sales4[[#This Row],[Billed Quantity]]</f>
        <v>#REF!</v>
      </c>
      <c r="AU478" s="72" t="e">
        <f>AQ478*Sales4[[#This Row],[Billed Quantity]]</f>
        <v>#REF!</v>
      </c>
      <c r="AV478" s="72">
        <f>AR478*Sales4[[#This Row],[Billed Quantity]]</f>
        <v>0</v>
      </c>
    </row>
    <row r="479" spans="1:48" x14ac:dyDescent="0.3">
      <c r="A479" s="1" t="s">
        <v>1212</v>
      </c>
      <c r="B479" s="2">
        <v>45902</v>
      </c>
      <c r="C479" s="1">
        <v>3271265715</v>
      </c>
      <c r="D479" s="1" t="s">
        <v>1271</v>
      </c>
      <c r="E479" s="1" t="s">
        <v>1272</v>
      </c>
      <c r="F479" s="1" t="s">
        <v>18</v>
      </c>
      <c r="G479" s="1" t="s">
        <v>48</v>
      </c>
      <c r="H479" s="1" t="s">
        <v>207</v>
      </c>
      <c r="I479" s="3">
        <v>5000</v>
      </c>
      <c r="J479" s="4">
        <v>10500</v>
      </c>
      <c r="K479" s="3">
        <v>5000</v>
      </c>
      <c r="L479" s="3">
        <v>5000</v>
      </c>
      <c r="M479" s="2">
        <v>45902</v>
      </c>
      <c r="N479" s="4">
        <v>10700</v>
      </c>
      <c r="O479" s="1" t="s">
        <v>21</v>
      </c>
      <c r="P479" s="1" t="s">
        <v>22</v>
      </c>
      <c r="Q479" s="1">
        <v>6</v>
      </c>
      <c r="R479" s="1" t="str">
        <f>VLOOKUP(Sales4[[#This Row],[Material type]],Master!$H$3:$I$8,2,0)</f>
        <v>Raw Material</v>
      </c>
      <c r="S479" s="1" t="str">
        <f>VLOOKUP(Sales4[[#This Row],[Material Group]],Master!B:C,2,0)</f>
        <v>RM-Mech. Accessories</v>
      </c>
      <c r="T479" s="1" t="str">
        <f>VLOOKUP(Sales4[[#This Row],[Material Group Descrip]],Master!E:F,2,0)</f>
        <v>Raw Material</v>
      </c>
      <c r="U479" s="9" t="b">
        <f ca="1">(TODAY()-1)=Sales4[[#This Row],[Billing Date]]</f>
        <v>0</v>
      </c>
      <c r="V479" s="10" t="e">
        <f>Sales4[[#This Row],[Net Value]]-Sales4[[#This Row],[PGI COST]]</f>
        <v>#REF!</v>
      </c>
      <c r="W479" s="11" t="e">
        <f>Sales4[[#This Row],[Gross Margin]]/Sales4[[#This Row],[Net Value]]</f>
        <v>#REF!</v>
      </c>
      <c r="X479" s="1" t="str">
        <f>TEXT(Sales4[[#This Row],[Billing Date]],"mmmm-yy")</f>
        <v>September-25</v>
      </c>
      <c r="Y479" s="1">
        <f>Sales4[[#This Row],[Net Value]]/Sales4[[#This Row],[Billed Quantity]]</f>
        <v>2.14</v>
      </c>
      <c r="Z479" s="117">
        <f>Sales4[[#This Row],[Actual delivery qty]]</f>
        <v>5000</v>
      </c>
      <c r="AA479" s="12" t="e">
        <f>SUM(Sales4[[#This Row],[BOM Cost]:[Other Conversion cost pu]])</f>
        <v>#REF!</v>
      </c>
      <c r="AB47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7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79" s="12">
        <f>IFERROR(VLOOKUP(Sales4[[#This Row],[Material]],'COGS Break up'!#REF!,5,0),0)</f>
        <v>0</v>
      </c>
      <c r="AE47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79" s="48" t="e">
        <f>Sales4[[#This Row],[PGI per unit]]-Sales4[[#This Row],[BOM Cost]]-Sales4[[#This Row],[Labour cost per unit]]-Sales4[[#This Row],[Other Conversion cost pu]]</f>
        <v>#REF!</v>
      </c>
      <c r="AG479" s="48" t="e">
        <f>Sales4[[#This Row],[BOM Cost2]]+Sales4[[#This Row],[Labour Cost]]+Sales4[[#This Row],[Other conversion cost]]</f>
        <v>#REF!</v>
      </c>
      <c r="AH479" s="12" t="e">
        <f>Sales4[[#This Row],[Billed Quantity]]*Sales4[[#This Row],[BOM Cost]]</f>
        <v>#REF!</v>
      </c>
      <c r="AI479" s="12" t="e">
        <f>Sales4[[#This Row],[Billed Quantity]]*Sales4[[#This Row],[Labour cost per unit]]</f>
        <v>#REF!</v>
      </c>
      <c r="AJ479" s="12">
        <f>Sales4[[#This Row],[Droppage per unit]]*Sales4[[#This Row],[Billed Quantity]]</f>
        <v>0</v>
      </c>
      <c r="AK479" s="12" t="e">
        <f>Sales4[[#This Row],[Billed Quantity]]*Sales4[[#This Row],[Other Conversion cost pu]]</f>
        <v>#REF!</v>
      </c>
      <c r="AL479" s="48" t="e">
        <f>Sales4[[#This Row],[PGI Amount]]-Sales4[[#This Row],[BOM Cost2]]-Sales4[[#This Row],[Labour Cost]]-Sales4[[#This Row],[Other conversion cost]]</f>
        <v>#REF!</v>
      </c>
      <c r="AM479" s="121" t="e">
        <f>1-Sales4[[#This Row],[PGI COST]]/Sales4[[#This Row],[Net Value]]</f>
        <v>#REF!</v>
      </c>
      <c r="AN479" s="1">
        <f>Sales4[[#This Row],[PGI Amount]]/Sales4[[#This Row],[Billed Quantity]]</f>
        <v>2.1</v>
      </c>
      <c r="AO479" s="72" t="e">
        <f>SUMIFS('COGS Break up'!#REF!,'COGS Break up'!#REF!,Sales4[[#This Row],[Material]],'COGS Break up'!#REF!,'MIS Working'!$AO$1)</f>
        <v>#REF!</v>
      </c>
      <c r="AP479" s="72" t="e">
        <f>SUMIFS('COGS Break up'!#REF!,'COGS Break up'!#REF!,Sales4[[#This Row],[Material]],'COGS Break up'!#REF!,'MIS Working'!$AP$1)</f>
        <v>#REF!</v>
      </c>
      <c r="AQ479" s="72" t="e">
        <f>SUMIFS('COGS Break up'!#REF!,'COGS Break up'!#REF!,Sales4[[#This Row],[Material]],'COGS Break up'!#REF!,'MIS Working'!$AQ$1)</f>
        <v>#REF!</v>
      </c>
      <c r="AR479" s="72">
        <f>Sales4[[#This Row],[Droppage per unit]]</f>
        <v>0</v>
      </c>
      <c r="AS479" s="15" t="e">
        <f>AO479*Sales4[[#This Row],[Billed Quantity]]</f>
        <v>#REF!</v>
      </c>
      <c r="AT479" s="72" t="e">
        <f>AP479*Sales4[[#This Row],[Billed Quantity]]</f>
        <v>#REF!</v>
      </c>
      <c r="AU479" s="72" t="e">
        <f>AQ479*Sales4[[#This Row],[Billed Quantity]]</f>
        <v>#REF!</v>
      </c>
      <c r="AV479" s="72">
        <f>AR479*Sales4[[#This Row],[Billed Quantity]]</f>
        <v>0</v>
      </c>
    </row>
    <row r="480" spans="1:48" x14ac:dyDescent="0.3">
      <c r="A480" s="1" t="s">
        <v>1212</v>
      </c>
      <c r="B480" s="2">
        <v>45902</v>
      </c>
      <c r="C480" s="1">
        <v>3271265715</v>
      </c>
      <c r="D480" s="1" t="s">
        <v>1273</v>
      </c>
      <c r="E480" s="1" t="s">
        <v>1274</v>
      </c>
      <c r="F480" s="1" t="s">
        <v>18</v>
      </c>
      <c r="G480" s="1" t="s">
        <v>48</v>
      </c>
      <c r="H480" s="1" t="s">
        <v>207</v>
      </c>
      <c r="I480" s="3">
        <v>40000</v>
      </c>
      <c r="J480" s="4">
        <v>9309.76</v>
      </c>
      <c r="K480" s="3">
        <v>40000</v>
      </c>
      <c r="L480" s="3">
        <v>40000</v>
      </c>
      <c r="M480" s="2">
        <v>45902</v>
      </c>
      <c r="N480" s="4">
        <v>8800</v>
      </c>
      <c r="O480" s="1" t="s">
        <v>21</v>
      </c>
      <c r="P480" s="1" t="s">
        <v>22</v>
      </c>
      <c r="Q480" s="1">
        <v>6</v>
      </c>
      <c r="R480" s="1" t="str">
        <f>VLOOKUP(Sales4[[#This Row],[Material type]],Master!$H$3:$I$8,2,0)</f>
        <v>Raw Material</v>
      </c>
      <c r="S480" s="1" t="str">
        <f>VLOOKUP(Sales4[[#This Row],[Material Group]],Master!B:C,2,0)</f>
        <v>RM-Mech. Accessories</v>
      </c>
      <c r="T480" s="1" t="str">
        <f>VLOOKUP(Sales4[[#This Row],[Material Group Descrip]],Master!E:F,2,0)</f>
        <v>Raw Material</v>
      </c>
      <c r="U480" s="9" t="b">
        <f ca="1">(TODAY()-1)=Sales4[[#This Row],[Billing Date]]</f>
        <v>0</v>
      </c>
      <c r="V480" s="10" t="e">
        <f>Sales4[[#This Row],[Net Value]]-Sales4[[#This Row],[PGI COST]]</f>
        <v>#REF!</v>
      </c>
      <c r="W480" s="11" t="e">
        <f>Sales4[[#This Row],[Gross Margin]]/Sales4[[#This Row],[Net Value]]</f>
        <v>#REF!</v>
      </c>
      <c r="X480" s="1" t="str">
        <f>TEXT(Sales4[[#This Row],[Billing Date]],"mmmm-yy")</f>
        <v>September-25</v>
      </c>
      <c r="Y480" s="1">
        <f>Sales4[[#This Row],[Net Value]]/Sales4[[#This Row],[Billed Quantity]]</f>
        <v>0.22</v>
      </c>
      <c r="Z480" s="117">
        <f>Sales4[[#This Row],[Actual delivery qty]]</f>
        <v>40000</v>
      </c>
      <c r="AA480" s="12" t="e">
        <f>SUM(Sales4[[#This Row],[BOM Cost]:[Other Conversion cost pu]])</f>
        <v>#REF!</v>
      </c>
      <c r="AB48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8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80" s="12">
        <f>IFERROR(VLOOKUP(Sales4[[#This Row],[Material]],'COGS Break up'!#REF!,5,0),0)</f>
        <v>0</v>
      </c>
      <c r="AE48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80" s="48" t="e">
        <f>Sales4[[#This Row],[PGI per unit]]-Sales4[[#This Row],[BOM Cost]]-Sales4[[#This Row],[Labour cost per unit]]-Sales4[[#This Row],[Other Conversion cost pu]]</f>
        <v>#REF!</v>
      </c>
      <c r="AG480" s="48" t="e">
        <f>Sales4[[#This Row],[BOM Cost2]]+Sales4[[#This Row],[Labour Cost]]+Sales4[[#This Row],[Other conversion cost]]</f>
        <v>#REF!</v>
      </c>
      <c r="AH480" s="12" t="e">
        <f>Sales4[[#This Row],[Billed Quantity]]*Sales4[[#This Row],[BOM Cost]]</f>
        <v>#REF!</v>
      </c>
      <c r="AI480" s="12" t="e">
        <f>Sales4[[#This Row],[Billed Quantity]]*Sales4[[#This Row],[Labour cost per unit]]</f>
        <v>#REF!</v>
      </c>
      <c r="AJ480" s="12">
        <f>Sales4[[#This Row],[Droppage per unit]]*Sales4[[#This Row],[Billed Quantity]]</f>
        <v>0</v>
      </c>
      <c r="AK480" s="12" t="e">
        <f>Sales4[[#This Row],[Billed Quantity]]*Sales4[[#This Row],[Other Conversion cost pu]]</f>
        <v>#REF!</v>
      </c>
      <c r="AL480" s="48" t="e">
        <f>Sales4[[#This Row],[PGI Amount]]-Sales4[[#This Row],[BOM Cost2]]-Sales4[[#This Row],[Labour Cost]]-Sales4[[#This Row],[Other conversion cost]]</f>
        <v>#REF!</v>
      </c>
      <c r="AM480" s="121" t="e">
        <f>1-Sales4[[#This Row],[PGI COST]]/Sales4[[#This Row],[Net Value]]</f>
        <v>#REF!</v>
      </c>
      <c r="AN480" s="1">
        <f>Sales4[[#This Row],[PGI Amount]]/Sales4[[#This Row],[Billed Quantity]]</f>
        <v>0.23274400000000001</v>
      </c>
      <c r="AO480" s="72" t="e">
        <f>SUMIFS('COGS Break up'!#REF!,'COGS Break up'!#REF!,Sales4[[#This Row],[Material]],'COGS Break up'!#REF!,'MIS Working'!$AO$1)</f>
        <v>#REF!</v>
      </c>
      <c r="AP480" s="72" t="e">
        <f>SUMIFS('COGS Break up'!#REF!,'COGS Break up'!#REF!,Sales4[[#This Row],[Material]],'COGS Break up'!#REF!,'MIS Working'!$AP$1)</f>
        <v>#REF!</v>
      </c>
      <c r="AQ480" s="72" t="e">
        <f>SUMIFS('COGS Break up'!#REF!,'COGS Break up'!#REF!,Sales4[[#This Row],[Material]],'COGS Break up'!#REF!,'MIS Working'!$AQ$1)</f>
        <v>#REF!</v>
      </c>
      <c r="AR480" s="72">
        <f>Sales4[[#This Row],[Droppage per unit]]</f>
        <v>0</v>
      </c>
      <c r="AS480" s="15" t="e">
        <f>AO480*Sales4[[#This Row],[Billed Quantity]]</f>
        <v>#REF!</v>
      </c>
      <c r="AT480" s="72" t="e">
        <f>AP480*Sales4[[#This Row],[Billed Quantity]]</f>
        <v>#REF!</v>
      </c>
      <c r="AU480" s="72" t="e">
        <f>AQ480*Sales4[[#This Row],[Billed Quantity]]</f>
        <v>#REF!</v>
      </c>
      <c r="AV480" s="72">
        <f>AR480*Sales4[[#This Row],[Billed Quantity]]</f>
        <v>0</v>
      </c>
    </row>
    <row r="481" spans="1:48" x14ac:dyDescent="0.3">
      <c r="A481" s="1" t="s">
        <v>1212</v>
      </c>
      <c r="B481" s="2">
        <v>45902</v>
      </c>
      <c r="C481" s="1">
        <v>3271265715</v>
      </c>
      <c r="D481" s="1" t="s">
        <v>1275</v>
      </c>
      <c r="E481" s="1" t="s">
        <v>1276</v>
      </c>
      <c r="F481" s="1" t="s">
        <v>18</v>
      </c>
      <c r="G481" s="1" t="s">
        <v>48</v>
      </c>
      <c r="H481" s="1" t="s">
        <v>207</v>
      </c>
      <c r="I481" s="3">
        <v>55000</v>
      </c>
      <c r="J481" s="4">
        <v>1815</v>
      </c>
      <c r="K481" s="3">
        <v>55000</v>
      </c>
      <c r="L481" s="3">
        <v>55000</v>
      </c>
      <c r="M481" s="2">
        <v>45902</v>
      </c>
      <c r="N481" s="4">
        <v>1650</v>
      </c>
      <c r="O481" s="1" t="s">
        <v>21</v>
      </c>
      <c r="P481" s="1" t="s">
        <v>22</v>
      </c>
      <c r="Q481" s="1">
        <v>6</v>
      </c>
      <c r="R481" s="1" t="str">
        <f>VLOOKUP(Sales4[[#This Row],[Material type]],Master!$H$3:$I$8,2,0)</f>
        <v>Raw Material</v>
      </c>
      <c r="S481" s="1" t="str">
        <f>VLOOKUP(Sales4[[#This Row],[Material Group]],Master!B:C,2,0)</f>
        <v>RM-Mech. Accessories</v>
      </c>
      <c r="T481" s="1" t="str">
        <f>VLOOKUP(Sales4[[#This Row],[Material Group Descrip]],Master!E:F,2,0)</f>
        <v>Raw Material</v>
      </c>
      <c r="U481" s="9" t="b">
        <f ca="1">(TODAY()-1)=Sales4[[#This Row],[Billing Date]]</f>
        <v>0</v>
      </c>
      <c r="V481" s="10" t="e">
        <f>Sales4[[#This Row],[Net Value]]-Sales4[[#This Row],[PGI COST]]</f>
        <v>#REF!</v>
      </c>
      <c r="W481" s="11" t="e">
        <f>Sales4[[#This Row],[Gross Margin]]/Sales4[[#This Row],[Net Value]]</f>
        <v>#REF!</v>
      </c>
      <c r="X481" s="1" t="str">
        <f>TEXT(Sales4[[#This Row],[Billing Date]],"mmmm-yy")</f>
        <v>September-25</v>
      </c>
      <c r="Y481" s="1">
        <f>Sales4[[#This Row],[Net Value]]/Sales4[[#This Row],[Billed Quantity]]</f>
        <v>0.03</v>
      </c>
      <c r="Z481" s="117">
        <f>Sales4[[#This Row],[Actual delivery qty]]</f>
        <v>55000</v>
      </c>
      <c r="AA481" s="12" t="e">
        <f>SUM(Sales4[[#This Row],[BOM Cost]:[Other Conversion cost pu]])</f>
        <v>#REF!</v>
      </c>
      <c r="AB48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8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81" s="12">
        <f>IFERROR(VLOOKUP(Sales4[[#This Row],[Material]],'COGS Break up'!#REF!,5,0),0)</f>
        <v>0</v>
      </c>
      <c r="AE48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81" s="48" t="e">
        <f>Sales4[[#This Row],[PGI per unit]]-Sales4[[#This Row],[BOM Cost]]-Sales4[[#This Row],[Labour cost per unit]]-Sales4[[#This Row],[Other Conversion cost pu]]</f>
        <v>#REF!</v>
      </c>
      <c r="AG481" s="48" t="e">
        <f>Sales4[[#This Row],[BOM Cost2]]+Sales4[[#This Row],[Labour Cost]]+Sales4[[#This Row],[Other conversion cost]]</f>
        <v>#REF!</v>
      </c>
      <c r="AH481" s="12" t="e">
        <f>Sales4[[#This Row],[Billed Quantity]]*Sales4[[#This Row],[BOM Cost]]</f>
        <v>#REF!</v>
      </c>
      <c r="AI481" s="12" t="e">
        <f>Sales4[[#This Row],[Billed Quantity]]*Sales4[[#This Row],[Labour cost per unit]]</f>
        <v>#REF!</v>
      </c>
      <c r="AJ481" s="12">
        <f>Sales4[[#This Row],[Droppage per unit]]*Sales4[[#This Row],[Billed Quantity]]</f>
        <v>0</v>
      </c>
      <c r="AK481" s="12" t="e">
        <f>Sales4[[#This Row],[Billed Quantity]]*Sales4[[#This Row],[Other Conversion cost pu]]</f>
        <v>#REF!</v>
      </c>
      <c r="AL481" s="48" t="e">
        <f>Sales4[[#This Row],[PGI Amount]]-Sales4[[#This Row],[BOM Cost2]]-Sales4[[#This Row],[Labour Cost]]-Sales4[[#This Row],[Other conversion cost]]</f>
        <v>#REF!</v>
      </c>
      <c r="AM481" s="121" t="e">
        <f>1-Sales4[[#This Row],[PGI COST]]/Sales4[[#This Row],[Net Value]]</f>
        <v>#REF!</v>
      </c>
      <c r="AN481" s="1">
        <f>Sales4[[#This Row],[PGI Amount]]/Sales4[[#This Row],[Billed Quantity]]</f>
        <v>3.3000000000000002E-2</v>
      </c>
      <c r="AO481" s="72" t="e">
        <f>SUMIFS('COGS Break up'!#REF!,'COGS Break up'!#REF!,Sales4[[#This Row],[Material]],'COGS Break up'!#REF!,'MIS Working'!$AO$1)</f>
        <v>#REF!</v>
      </c>
      <c r="AP481" s="72" t="e">
        <f>SUMIFS('COGS Break up'!#REF!,'COGS Break up'!#REF!,Sales4[[#This Row],[Material]],'COGS Break up'!#REF!,'MIS Working'!$AP$1)</f>
        <v>#REF!</v>
      </c>
      <c r="AQ481" s="72" t="e">
        <f>SUMIFS('COGS Break up'!#REF!,'COGS Break up'!#REF!,Sales4[[#This Row],[Material]],'COGS Break up'!#REF!,'MIS Working'!$AQ$1)</f>
        <v>#REF!</v>
      </c>
      <c r="AR481" s="72">
        <f>Sales4[[#This Row],[Droppage per unit]]</f>
        <v>0</v>
      </c>
      <c r="AS481" s="15" t="e">
        <f>AO481*Sales4[[#This Row],[Billed Quantity]]</f>
        <v>#REF!</v>
      </c>
      <c r="AT481" s="72" t="e">
        <f>AP481*Sales4[[#This Row],[Billed Quantity]]</f>
        <v>#REF!</v>
      </c>
      <c r="AU481" s="72" t="e">
        <f>AQ481*Sales4[[#This Row],[Billed Quantity]]</f>
        <v>#REF!</v>
      </c>
      <c r="AV481" s="72">
        <f>AR481*Sales4[[#This Row],[Billed Quantity]]</f>
        <v>0</v>
      </c>
    </row>
    <row r="482" spans="1:48" x14ac:dyDescent="0.3">
      <c r="A482" s="1" t="s">
        <v>1212</v>
      </c>
      <c r="B482" s="2">
        <v>45902</v>
      </c>
      <c r="C482" s="1">
        <v>3271265715</v>
      </c>
      <c r="D482" s="1" t="s">
        <v>1277</v>
      </c>
      <c r="E482" s="1" t="s">
        <v>1278</v>
      </c>
      <c r="F482" s="1" t="s">
        <v>18</v>
      </c>
      <c r="G482" s="1" t="s">
        <v>48</v>
      </c>
      <c r="H482" s="1" t="s">
        <v>207</v>
      </c>
      <c r="I482" s="3">
        <v>150000</v>
      </c>
      <c r="J482" s="4">
        <v>4859.6899999999996</v>
      </c>
      <c r="K482" s="3">
        <v>150000</v>
      </c>
      <c r="L482" s="3">
        <v>150000</v>
      </c>
      <c r="M482" s="2">
        <v>45902</v>
      </c>
      <c r="N482" s="4">
        <v>4500</v>
      </c>
      <c r="O482" s="1" t="s">
        <v>21</v>
      </c>
      <c r="P482" s="1" t="s">
        <v>22</v>
      </c>
      <c r="Q482" s="1">
        <v>6</v>
      </c>
      <c r="R482" s="1" t="str">
        <f>VLOOKUP(Sales4[[#This Row],[Material type]],Master!$H$3:$I$8,2,0)</f>
        <v>Raw Material</v>
      </c>
      <c r="S482" s="1" t="str">
        <f>VLOOKUP(Sales4[[#This Row],[Material Group]],Master!B:C,2,0)</f>
        <v>RM-Mech. Accessories</v>
      </c>
      <c r="T482" s="1" t="str">
        <f>VLOOKUP(Sales4[[#This Row],[Material Group Descrip]],Master!E:F,2,0)</f>
        <v>Raw Material</v>
      </c>
      <c r="U482" s="9" t="b">
        <f ca="1">(TODAY()-1)=Sales4[[#This Row],[Billing Date]]</f>
        <v>0</v>
      </c>
      <c r="V482" s="10" t="e">
        <f>Sales4[[#This Row],[Net Value]]-Sales4[[#This Row],[PGI COST]]</f>
        <v>#REF!</v>
      </c>
      <c r="W482" s="11" t="e">
        <f>Sales4[[#This Row],[Gross Margin]]/Sales4[[#This Row],[Net Value]]</f>
        <v>#REF!</v>
      </c>
      <c r="X482" s="1" t="str">
        <f>TEXT(Sales4[[#This Row],[Billing Date]],"mmmm-yy")</f>
        <v>September-25</v>
      </c>
      <c r="Y482" s="1">
        <f>Sales4[[#This Row],[Net Value]]/Sales4[[#This Row],[Billed Quantity]]</f>
        <v>0.03</v>
      </c>
      <c r="Z482" s="117">
        <f>Sales4[[#This Row],[Actual delivery qty]]</f>
        <v>150000</v>
      </c>
      <c r="AA482" s="12" t="e">
        <f>SUM(Sales4[[#This Row],[BOM Cost]:[Other Conversion cost pu]])</f>
        <v>#REF!</v>
      </c>
      <c r="AB48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8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82" s="12">
        <f>IFERROR(VLOOKUP(Sales4[[#This Row],[Material]],'COGS Break up'!#REF!,5,0),0)</f>
        <v>0</v>
      </c>
      <c r="AE48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82" s="48" t="e">
        <f>Sales4[[#This Row],[PGI per unit]]-Sales4[[#This Row],[BOM Cost]]-Sales4[[#This Row],[Labour cost per unit]]-Sales4[[#This Row],[Other Conversion cost pu]]</f>
        <v>#REF!</v>
      </c>
      <c r="AG482" s="48" t="e">
        <f>Sales4[[#This Row],[BOM Cost2]]+Sales4[[#This Row],[Labour Cost]]+Sales4[[#This Row],[Other conversion cost]]</f>
        <v>#REF!</v>
      </c>
      <c r="AH482" s="12" t="e">
        <f>Sales4[[#This Row],[Billed Quantity]]*Sales4[[#This Row],[BOM Cost]]</f>
        <v>#REF!</v>
      </c>
      <c r="AI482" s="12" t="e">
        <f>Sales4[[#This Row],[Billed Quantity]]*Sales4[[#This Row],[Labour cost per unit]]</f>
        <v>#REF!</v>
      </c>
      <c r="AJ482" s="12">
        <f>Sales4[[#This Row],[Droppage per unit]]*Sales4[[#This Row],[Billed Quantity]]</f>
        <v>0</v>
      </c>
      <c r="AK482" s="12" t="e">
        <f>Sales4[[#This Row],[Billed Quantity]]*Sales4[[#This Row],[Other Conversion cost pu]]</f>
        <v>#REF!</v>
      </c>
      <c r="AL482" s="48" t="e">
        <f>Sales4[[#This Row],[PGI Amount]]-Sales4[[#This Row],[BOM Cost2]]-Sales4[[#This Row],[Labour Cost]]-Sales4[[#This Row],[Other conversion cost]]</f>
        <v>#REF!</v>
      </c>
      <c r="AM482" s="121" t="e">
        <f>1-Sales4[[#This Row],[PGI COST]]/Sales4[[#This Row],[Net Value]]</f>
        <v>#REF!</v>
      </c>
      <c r="AN482" s="1">
        <f>Sales4[[#This Row],[PGI Amount]]/Sales4[[#This Row],[Billed Quantity]]</f>
        <v>3.239793333333333E-2</v>
      </c>
      <c r="AO482" s="72" t="e">
        <f>SUMIFS('COGS Break up'!#REF!,'COGS Break up'!#REF!,Sales4[[#This Row],[Material]],'COGS Break up'!#REF!,'MIS Working'!$AO$1)</f>
        <v>#REF!</v>
      </c>
      <c r="AP482" s="72" t="e">
        <f>SUMIFS('COGS Break up'!#REF!,'COGS Break up'!#REF!,Sales4[[#This Row],[Material]],'COGS Break up'!#REF!,'MIS Working'!$AP$1)</f>
        <v>#REF!</v>
      </c>
      <c r="AQ482" s="72" t="e">
        <f>SUMIFS('COGS Break up'!#REF!,'COGS Break up'!#REF!,Sales4[[#This Row],[Material]],'COGS Break up'!#REF!,'MIS Working'!$AQ$1)</f>
        <v>#REF!</v>
      </c>
      <c r="AR482" s="72">
        <f>Sales4[[#This Row],[Droppage per unit]]</f>
        <v>0</v>
      </c>
      <c r="AS482" s="15" t="e">
        <f>AO482*Sales4[[#This Row],[Billed Quantity]]</f>
        <v>#REF!</v>
      </c>
      <c r="AT482" s="72" t="e">
        <f>AP482*Sales4[[#This Row],[Billed Quantity]]</f>
        <v>#REF!</v>
      </c>
      <c r="AU482" s="72" t="e">
        <f>AQ482*Sales4[[#This Row],[Billed Quantity]]</f>
        <v>#REF!</v>
      </c>
      <c r="AV482" s="72">
        <f>AR482*Sales4[[#This Row],[Billed Quantity]]</f>
        <v>0</v>
      </c>
    </row>
    <row r="483" spans="1:48" x14ac:dyDescent="0.3">
      <c r="A483" s="1" t="s">
        <v>1212</v>
      </c>
      <c r="B483" s="2">
        <v>45902</v>
      </c>
      <c r="C483" s="1">
        <v>3271265715</v>
      </c>
      <c r="D483" s="1" t="s">
        <v>1279</v>
      </c>
      <c r="E483" s="1" t="s">
        <v>1280</v>
      </c>
      <c r="F483" s="1" t="s">
        <v>18</v>
      </c>
      <c r="G483" s="1" t="s">
        <v>48</v>
      </c>
      <c r="H483" s="1" t="s">
        <v>168</v>
      </c>
      <c r="I483" s="3">
        <v>84000</v>
      </c>
      <c r="J483" s="4">
        <v>45332.36</v>
      </c>
      <c r="K483" s="3">
        <v>84000</v>
      </c>
      <c r="L483" s="3">
        <v>84000</v>
      </c>
      <c r="M483" s="2">
        <v>45902</v>
      </c>
      <c r="N483" s="4">
        <v>47040</v>
      </c>
      <c r="O483" s="1" t="s">
        <v>21</v>
      </c>
      <c r="P483" s="1" t="s">
        <v>22</v>
      </c>
      <c r="Q483" s="1">
        <v>6</v>
      </c>
      <c r="R483" s="1" t="str">
        <f>VLOOKUP(Sales4[[#This Row],[Material type]],Master!$H$3:$I$8,2,0)</f>
        <v>Raw Material</v>
      </c>
      <c r="S483" s="1" t="str">
        <f>VLOOKUP(Sales4[[#This Row],[Material Group]],Master!B:C,2,0)</f>
        <v>Raw Materials</v>
      </c>
      <c r="T483" s="1" t="str">
        <f>VLOOKUP(Sales4[[#This Row],[Material Group Descrip]],Master!E:F,2,0)</f>
        <v>Raw Material</v>
      </c>
      <c r="U483" s="9" t="b">
        <f ca="1">(TODAY()-1)=Sales4[[#This Row],[Billing Date]]</f>
        <v>0</v>
      </c>
      <c r="V483" s="10" t="e">
        <f>Sales4[[#This Row],[Net Value]]-Sales4[[#This Row],[PGI COST]]</f>
        <v>#REF!</v>
      </c>
      <c r="W483" s="11" t="e">
        <f>Sales4[[#This Row],[Gross Margin]]/Sales4[[#This Row],[Net Value]]</f>
        <v>#REF!</v>
      </c>
      <c r="X483" s="1" t="str">
        <f>TEXT(Sales4[[#This Row],[Billing Date]],"mmmm-yy")</f>
        <v>September-25</v>
      </c>
      <c r="Y483" s="1">
        <f>Sales4[[#This Row],[Net Value]]/Sales4[[#This Row],[Billed Quantity]]</f>
        <v>0.56000000000000005</v>
      </c>
      <c r="Z483" s="117">
        <f>Sales4[[#This Row],[Actual delivery qty]]</f>
        <v>84000</v>
      </c>
      <c r="AA483" s="12" t="e">
        <f>SUM(Sales4[[#This Row],[BOM Cost]:[Other Conversion cost pu]])</f>
        <v>#REF!</v>
      </c>
      <c r="AB48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8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83" s="12">
        <f>IFERROR(VLOOKUP(Sales4[[#This Row],[Material]],'COGS Break up'!#REF!,5,0),0)</f>
        <v>0</v>
      </c>
      <c r="AE48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83" s="48" t="e">
        <f>Sales4[[#This Row],[PGI per unit]]-Sales4[[#This Row],[BOM Cost]]-Sales4[[#This Row],[Labour cost per unit]]-Sales4[[#This Row],[Other Conversion cost pu]]</f>
        <v>#REF!</v>
      </c>
      <c r="AG483" s="48" t="e">
        <f>Sales4[[#This Row],[BOM Cost2]]+Sales4[[#This Row],[Labour Cost]]+Sales4[[#This Row],[Other conversion cost]]</f>
        <v>#REF!</v>
      </c>
      <c r="AH483" s="12" t="e">
        <f>Sales4[[#This Row],[Billed Quantity]]*Sales4[[#This Row],[BOM Cost]]</f>
        <v>#REF!</v>
      </c>
      <c r="AI483" s="12" t="e">
        <f>Sales4[[#This Row],[Billed Quantity]]*Sales4[[#This Row],[Labour cost per unit]]</f>
        <v>#REF!</v>
      </c>
      <c r="AJ483" s="12">
        <f>Sales4[[#This Row],[Droppage per unit]]*Sales4[[#This Row],[Billed Quantity]]</f>
        <v>0</v>
      </c>
      <c r="AK483" s="12" t="e">
        <f>Sales4[[#This Row],[Billed Quantity]]*Sales4[[#This Row],[Other Conversion cost pu]]</f>
        <v>#REF!</v>
      </c>
      <c r="AL483" s="48" t="e">
        <f>Sales4[[#This Row],[PGI Amount]]-Sales4[[#This Row],[BOM Cost2]]-Sales4[[#This Row],[Labour Cost]]-Sales4[[#This Row],[Other conversion cost]]</f>
        <v>#REF!</v>
      </c>
      <c r="AM483" s="121" t="e">
        <f>1-Sales4[[#This Row],[PGI COST]]/Sales4[[#This Row],[Net Value]]</f>
        <v>#REF!</v>
      </c>
      <c r="AN483" s="1">
        <f>Sales4[[#This Row],[PGI Amount]]/Sales4[[#This Row],[Billed Quantity]]</f>
        <v>0.53967095238095242</v>
      </c>
      <c r="AO483" s="72" t="e">
        <f>SUMIFS('COGS Break up'!#REF!,'COGS Break up'!#REF!,Sales4[[#This Row],[Material]],'COGS Break up'!#REF!,'MIS Working'!$AO$1)</f>
        <v>#REF!</v>
      </c>
      <c r="AP483" s="72" t="e">
        <f>SUMIFS('COGS Break up'!#REF!,'COGS Break up'!#REF!,Sales4[[#This Row],[Material]],'COGS Break up'!#REF!,'MIS Working'!$AP$1)</f>
        <v>#REF!</v>
      </c>
      <c r="AQ483" s="72" t="e">
        <f>SUMIFS('COGS Break up'!#REF!,'COGS Break up'!#REF!,Sales4[[#This Row],[Material]],'COGS Break up'!#REF!,'MIS Working'!$AQ$1)</f>
        <v>#REF!</v>
      </c>
      <c r="AR483" s="72">
        <f>Sales4[[#This Row],[Droppage per unit]]</f>
        <v>0</v>
      </c>
      <c r="AS483" s="15" t="e">
        <f>AO483*Sales4[[#This Row],[Billed Quantity]]</f>
        <v>#REF!</v>
      </c>
      <c r="AT483" s="72" t="e">
        <f>AP483*Sales4[[#This Row],[Billed Quantity]]</f>
        <v>#REF!</v>
      </c>
      <c r="AU483" s="72" t="e">
        <f>AQ483*Sales4[[#This Row],[Billed Quantity]]</f>
        <v>#REF!</v>
      </c>
      <c r="AV483" s="72">
        <f>AR483*Sales4[[#This Row],[Billed Quantity]]</f>
        <v>0</v>
      </c>
    </row>
    <row r="484" spans="1:48" x14ac:dyDescent="0.3">
      <c r="A484" s="1" t="s">
        <v>1212</v>
      </c>
      <c r="B484" s="2">
        <v>45902</v>
      </c>
      <c r="C484" s="1">
        <v>3271265715</v>
      </c>
      <c r="D484" s="1" t="s">
        <v>1281</v>
      </c>
      <c r="E484" s="1" t="s">
        <v>1282</v>
      </c>
      <c r="F484" s="1" t="s">
        <v>18</v>
      </c>
      <c r="G484" s="1" t="s">
        <v>48</v>
      </c>
      <c r="H484" s="1" t="s">
        <v>207</v>
      </c>
      <c r="I484" s="3">
        <v>5000</v>
      </c>
      <c r="J484" s="4">
        <v>43049.14</v>
      </c>
      <c r="K484" s="3">
        <v>5000</v>
      </c>
      <c r="L484" s="3">
        <v>5000</v>
      </c>
      <c r="M484" s="2">
        <v>45902</v>
      </c>
      <c r="N484" s="4">
        <v>50350</v>
      </c>
      <c r="O484" s="1" t="s">
        <v>21</v>
      </c>
      <c r="P484" s="1" t="s">
        <v>22</v>
      </c>
      <c r="Q484" s="1">
        <v>6</v>
      </c>
      <c r="R484" s="1" t="str">
        <f>VLOOKUP(Sales4[[#This Row],[Material type]],Master!$H$3:$I$8,2,0)</f>
        <v>Raw Material</v>
      </c>
      <c r="S484" s="1" t="str">
        <f>VLOOKUP(Sales4[[#This Row],[Material Group]],Master!B:C,2,0)</f>
        <v>RM-Mech. Accessories</v>
      </c>
      <c r="T484" s="1" t="str">
        <f>VLOOKUP(Sales4[[#This Row],[Material Group Descrip]],Master!E:F,2,0)</f>
        <v>Raw Material</v>
      </c>
      <c r="U484" s="9" t="b">
        <f ca="1">(TODAY()-1)=Sales4[[#This Row],[Billing Date]]</f>
        <v>0</v>
      </c>
      <c r="V484" s="10" t="e">
        <f>Sales4[[#This Row],[Net Value]]-Sales4[[#This Row],[PGI COST]]</f>
        <v>#REF!</v>
      </c>
      <c r="W484" s="11" t="e">
        <f>Sales4[[#This Row],[Gross Margin]]/Sales4[[#This Row],[Net Value]]</f>
        <v>#REF!</v>
      </c>
      <c r="X484" s="1" t="str">
        <f>TEXT(Sales4[[#This Row],[Billing Date]],"mmmm-yy")</f>
        <v>September-25</v>
      </c>
      <c r="Y484" s="1">
        <f>Sales4[[#This Row],[Net Value]]/Sales4[[#This Row],[Billed Quantity]]</f>
        <v>10.07</v>
      </c>
      <c r="Z484" s="117">
        <f>Sales4[[#This Row],[Actual delivery qty]]</f>
        <v>5000</v>
      </c>
      <c r="AA484" s="12" t="e">
        <f>SUM(Sales4[[#This Row],[BOM Cost]:[Other Conversion cost pu]])</f>
        <v>#REF!</v>
      </c>
      <c r="AB48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8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84" s="12">
        <f>IFERROR(VLOOKUP(Sales4[[#This Row],[Material]],'COGS Break up'!#REF!,5,0),0)</f>
        <v>0</v>
      </c>
      <c r="AE48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84" s="48" t="e">
        <f>Sales4[[#This Row],[PGI per unit]]-Sales4[[#This Row],[BOM Cost]]-Sales4[[#This Row],[Labour cost per unit]]-Sales4[[#This Row],[Other Conversion cost pu]]</f>
        <v>#REF!</v>
      </c>
      <c r="AG484" s="48" t="e">
        <f>Sales4[[#This Row],[BOM Cost2]]+Sales4[[#This Row],[Labour Cost]]+Sales4[[#This Row],[Other conversion cost]]</f>
        <v>#REF!</v>
      </c>
      <c r="AH484" s="12" t="e">
        <f>Sales4[[#This Row],[Billed Quantity]]*Sales4[[#This Row],[BOM Cost]]</f>
        <v>#REF!</v>
      </c>
      <c r="AI484" s="12" t="e">
        <f>Sales4[[#This Row],[Billed Quantity]]*Sales4[[#This Row],[Labour cost per unit]]</f>
        <v>#REF!</v>
      </c>
      <c r="AJ484" s="12">
        <f>Sales4[[#This Row],[Droppage per unit]]*Sales4[[#This Row],[Billed Quantity]]</f>
        <v>0</v>
      </c>
      <c r="AK484" s="12" t="e">
        <f>Sales4[[#This Row],[Billed Quantity]]*Sales4[[#This Row],[Other Conversion cost pu]]</f>
        <v>#REF!</v>
      </c>
      <c r="AL484" s="48" t="e">
        <f>Sales4[[#This Row],[PGI Amount]]-Sales4[[#This Row],[BOM Cost2]]-Sales4[[#This Row],[Labour Cost]]-Sales4[[#This Row],[Other conversion cost]]</f>
        <v>#REF!</v>
      </c>
      <c r="AM484" s="121" t="e">
        <f>1-Sales4[[#This Row],[PGI COST]]/Sales4[[#This Row],[Net Value]]</f>
        <v>#REF!</v>
      </c>
      <c r="AN484" s="1">
        <f>Sales4[[#This Row],[PGI Amount]]/Sales4[[#This Row],[Billed Quantity]]</f>
        <v>8.6098280000000003</v>
      </c>
      <c r="AO484" s="72" t="e">
        <f>SUMIFS('COGS Break up'!#REF!,'COGS Break up'!#REF!,Sales4[[#This Row],[Material]],'COGS Break up'!#REF!,'MIS Working'!$AO$1)</f>
        <v>#REF!</v>
      </c>
      <c r="AP484" s="72" t="e">
        <f>SUMIFS('COGS Break up'!#REF!,'COGS Break up'!#REF!,Sales4[[#This Row],[Material]],'COGS Break up'!#REF!,'MIS Working'!$AP$1)</f>
        <v>#REF!</v>
      </c>
      <c r="AQ484" s="72" t="e">
        <f>SUMIFS('COGS Break up'!#REF!,'COGS Break up'!#REF!,Sales4[[#This Row],[Material]],'COGS Break up'!#REF!,'MIS Working'!$AQ$1)</f>
        <v>#REF!</v>
      </c>
      <c r="AR484" s="72">
        <f>Sales4[[#This Row],[Droppage per unit]]</f>
        <v>0</v>
      </c>
      <c r="AS484" s="15" t="e">
        <f>AO484*Sales4[[#This Row],[Billed Quantity]]</f>
        <v>#REF!</v>
      </c>
      <c r="AT484" s="72" t="e">
        <f>AP484*Sales4[[#This Row],[Billed Quantity]]</f>
        <v>#REF!</v>
      </c>
      <c r="AU484" s="72" t="e">
        <f>AQ484*Sales4[[#This Row],[Billed Quantity]]</f>
        <v>#REF!</v>
      </c>
      <c r="AV484" s="72">
        <f>AR484*Sales4[[#This Row],[Billed Quantity]]</f>
        <v>0</v>
      </c>
    </row>
    <row r="485" spans="1:48" x14ac:dyDescent="0.3">
      <c r="A485" s="1" t="s">
        <v>1212</v>
      </c>
      <c r="B485" s="2">
        <v>45902</v>
      </c>
      <c r="C485" s="1">
        <v>3271265715</v>
      </c>
      <c r="D485" s="1" t="s">
        <v>1283</v>
      </c>
      <c r="E485" s="1" t="s">
        <v>1284</v>
      </c>
      <c r="F485" s="1" t="s">
        <v>18</v>
      </c>
      <c r="G485" s="1" t="s">
        <v>48</v>
      </c>
      <c r="H485" s="1" t="s">
        <v>207</v>
      </c>
      <c r="I485" s="3">
        <v>10000</v>
      </c>
      <c r="J485" s="4">
        <v>38087.53</v>
      </c>
      <c r="K485" s="3">
        <v>10000</v>
      </c>
      <c r="L485" s="3">
        <v>10000</v>
      </c>
      <c r="M485" s="2">
        <v>45902</v>
      </c>
      <c r="N485" s="4">
        <v>50300</v>
      </c>
      <c r="O485" s="1" t="s">
        <v>21</v>
      </c>
      <c r="P485" s="1" t="s">
        <v>22</v>
      </c>
      <c r="Q485" s="1">
        <v>6</v>
      </c>
      <c r="R485" s="1" t="str">
        <f>VLOOKUP(Sales4[[#This Row],[Material type]],Master!$H$3:$I$8,2,0)</f>
        <v>Raw Material</v>
      </c>
      <c r="S485" s="1" t="str">
        <f>VLOOKUP(Sales4[[#This Row],[Material Group]],Master!B:C,2,0)</f>
        <v>RM-Mech. Accessories</v>
      </c>
      <c r="T485" s="1" t="str">
        <f>VLOOKUP(Sales4[[#This Row],[Material Group Descrip]],Master!E:F,2,0)</f>
        <v>Raw Material</v>
      </c>
      <c r="U485" s="9" t="b">
        <f ca="1">(TODAY()-1)=Sales4[[#This Row],[Billing Date]]</f>
        <v>0</v>
      </c>
      <c r="V485" s="10" t="e">
        <f>Sales4[[#This Row],[Net Value]]-Sales4[[#This Row],[PGI COST]]</f>
        <v>#REF!</v>
      </c>
      <c r="W485" s="11" t="e">
        <f>Sales4[[#This Row],[Gross Margin]]/Sales4[[#This Row],[Net Value]]</f>
        <v>#REF!</v>
      </c>
      <c r="X485" s="1" t="str">
        <f>TEXT(Sales4[[#This Row],[Billing Date]],"mmmm-yy")</f>
        <v>September-25</v>
      </c>
      <c r="Y485" s="1">
        <f>Sales4[[#This Row],[Net Value]]/Sales4[[#This Row],[Billed Quantity]]</f>
        <v>5.03</v>
      </c>
      <c r="Z485" s="117">
        <f>Sales4[[#This Row],[Actual delivery qty]]</f>
        <v>10000</v>
      </c>
      <c r="AA485" s="12" t="e">
        <f>SUM(Sales4[[#This Row],[BOM Cost]:[Other Conversion cost pu]])</f>
        <v>#REF!</v>
      </c>
      <c r="AB48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8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85" s="12">
        <f>IFERROR(VLOOKUP(Sales4[[#This Row],[Material]],'COGS Break up'!#REF!,5,0),0)</f>
        <v>0</v>
      </c>
      <c r="AE48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85" s="48" t="e">
        <f>Sales4[[#This Row],[PGI per unit]]-Sales4[[#This Row],[BOM Cost]]-Sales4[[#This Row],[Labour cost per unit]]-Sales4[[#This Row],[Other Conversion cost pu]]</f>
        <v>#REF!</v>
      </c>
      <c r="AG485" s="48" t="e">
        <f>Sales4[[#This Row],[BOM Cost2]]+Sales4[[#This Row],[Labour Cost]]+Sales4[[#This Row],[Other conversion cost]]</f>
        <v>#REF!</v>
      </c>
      <c r="AH485" s="12" t="e">
        <f>Sales4[[#This Row],[Billed Quantity]]*Sales4[[#This Row],[BOM Cost]]</f>
        <v>#REF!</v>
      </c>
      <c r="AI485" s="12" t="e">
        <f>Sales4[[#This Row],[Billed Quantity]]*Sales4[[#This Row],[Labour cost per unit]]</f>
        <v>#REF!</v>
      </c>
      <c r="AJ485" s="12">
        <f>Sales4[[#This Row],[Droppage per unit]]*Sales4[[#This Row],[Billed Quantity]]</f>
        <v>0</v>
      </c>
      <c r="AK485" s="12" t="e">
        <f>Sales4[[#This Row],[Billed Quantity]]*Sales4[[#This Row],[Other Conversion cost pu]]</f>
        <v>#REF!</v>
      </c>
      <c r="AL485" s="48" t="e">
        <f>Sales4[[#This Row],[PGI Amount]]-Sales4[[#This Row],[BOM Cost2]]-Sales4[[#This Row],[Labour Cost]]-Sales4[[#This Row],[Other conversion cost]]</f>
        <v>#REF!</v>
      </c>
      <c r="AM485" s="121" t="e">
        <f>1-Sales4[[#This Row],[PGI COST]]/Sales4[[#This Row],[Net Value]]</f>
        <v>#REF!</v>
      </c>
      <c r="AN485" s="1">
        <f>Sales4[[#This Row],[PGI Amount]]/Sales4[[#This Row],[Billed Quantity]]</f>
        <v>3.8087529999999998</v>
      </c>
      <c r="AO485" s="72" t="e">
        <f>SUMIFS('COGS Break up'!#REF!,'COGS Break up'!#REF!,Sales4[[#This Row],[Material]],'COGS Break up'!#REF!,'MIS Working'!$AO$1)</f>
        <v>#REF!</v>
      </c>
      <c r="AP485" s="72" t="e">
        <f>SUMIFS('COGS Break up'!#REF!,'COGS Break up'!#REF!,Sales4[[#This Row],[Material]],'COGS Break up'!#REF!,'MIS Working'!$AP$1)</f>
        <v>#REF!</v>
      </c>
      <c r="AQ485" s="72" t="e">
        <f>SUMIFS('COGS Break up'!#REF!,'COGS Break up'!#REF!,Sales4[[#This Row],[Material]],'COGS Break up'!#REF!,'MIS Working'!$AQ$1)</f>
        <v>#REF!</v>
      </c>
      <c r="AR485" s="72">
        <f>Sales4[[#This Row],[Droppage per unit]]</f>
        <v>0</v>
      </c>
      <c r="AS485" s="15" t="e">
        <f>AO485*Sales4[[#This Row],[Billed Quantity]]</f>
        <v>#REF!</v>
      </c>
      <c r="AT485" s="72" t="e">
        <f>AP485*Sales4[[#This Row],[Billed Quantity]]</f>
        <v>#REF!</v>
      </c>
      <c r="AU485" s="72" t="e">
        <f>AQ485*Sales4[[#This Row],[Billed Quantity]]</f>
        <v>#REF!</v>
      </c>
      <c r="AV485" s="72">
        <f>AR485*Sales4[[#This Row],[Billed Quantity]]</f>
        <v>0</v>
      </c>
    </row>
    <row r="486" spans="1:48" x14ac:dyDescent="0.3">
      <c r="A486" s="1" t="s">
        <v>1212</v>
      </c>
      <c r="B486" s="2">
        <v>45902</v>
      </c>
      <c r="C486" s="1">
        <v>3271265715</v>
      </c>
      <c r="D486" s="1" t="s">
        <v>1285</v>
      </c>
      <c r="E486" s="1" t="s">
        <v>1286</v>
      </c>
      <c r="F486" s="1" t="s">
        <v>18</v>
      </c>
      <c r="G486" s="1" t="s">
        <v>48</v>
      </c>
      <c r="H486" s="1" t="s">
        <v>207</v>
      </c>
      <c r="I486" s="3">
        <v>3000</v>
      </c>
      <c r="J486" s="4">
        <v>36872.980000000003</v>
      </c>
      <c r="K486" s="3">
        <v>3000</v>
      </c>
      <c r="L486" s="3">
        <v>3000</v>
      </c>
      <c r="M486" s="2">
        <v>45902</v>
      </c>
      <c r="N486" s="4">
        <v>35130</v>
      </c>
      <c r="O486" s="1" t="s">
        <v>21</v>
      </c>
      <c r="P486" s="1" t="s">
        <v>22</v>
      </c>
      <c r="Q486" s="1">
        <v>6</v>
      </c>
      <c r="R486" s="1" t="str">
        <f>VLOOKUP(Sales4[[#This Row],[Material type]],Master!$H$3:$I$8,2,0)</f>
        <v>Raw Material</v>
      </c>
      <c r="S486" s="1" t="str">
        <f>VLOOKUP(Sales4[[#This Row],[Material Group]],Master!B:C,2,0)</f>
        <v>RM-Mech. Accessories</v>
      </c>
      <c r="T486" s="1" t="str">
        <f>VLOOKUP(Sales4[[#This Row],[Material Group Descrip]],Master!E:F,2,0)</f>
        <v>Raw Material</v>
      </c>
      <c r="U486" s="9" t="b">
        <f ca="1">(TODAY()-1)=Sales4[[#This Row],[Billing Date]]</f>
        <v>0</v>
      </c>
      <c r="V486" s="10" t="e">
        <f>Sales4[[#This Row],[Net Value]]-Sales4[[#This Row],[PGI COST]]</f>
        <v>#REF!</v>
      </c>
      <c r="W486" s="11" t="e">
        <f>Sales4[[#This Row],[Gross Margin]]/Sales4[[#This Row],[Net Value]]</f>
        <v>#REF!</v>
      </c>
      <c r="X486" s="1" t="str">
        <f>TEXT(Sales4[[#This Row],[Billing Date]],"mmmm-yy")</f>
        <v>September-25</v>
      </c>
      <c r="Y486" s="1">
        <f>Sales4[[#This Row],[Net Value]]/Sales4[[#This Row],[Billed Quantity]]</f>
        <v>11.71</v>
      </c>
      <c r="Z486" s="117">
        <f>Sales4[[#This Row],[Actual delivery qty]]</f>
        <v>3000</v>
      </c>
      <c r="AA486" s="12" t="e">
        <f>SUM(Sales4[[#This Row],[BOM Cost]:[Other Conversion cost pu]])</f>
        <v>#REF!</v>
      </c>
      <c r="AB48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8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86" s="12">
        <f>IFERROR(VLOOKUP(Sales4[[#This Row],[Material]],'COGS Break up'!#REF!,5,0),0)</f>
        <v>0</v>
      </c>
      <c r="AE48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86" s="48" t="e">
        <f>Sales4[[#This Row],[PGI per unit]]-Sales4[[#This Row],[BOM Cost]]-Sales4[[#This Row],[Labour cost per unit]]-Sales4[[#This Row],[Other Conversion cost pu]]</f>
        <v>#REF!</v>
      </c>
      <c r="AG486" s="48" t="e">
        <f>Sales4[[#This Row],[BOM Cost2]]+Sales4[[#This Row],[Labour Cost]]+Sales4[[#This Row],[Other conversion cost]]</f>
        <v>#REF!</v>
      </c>
      <c r="AH486" s="12" t="e">
        <f>Sales4[[#This Row],[Billed Quantity]]*Sales4[[#This Row],[BOM Cost]]</f>
        <v>#REF!</v>
      </c>
      <c r="AI486" s="12" t="e">
        <f>Sales4[[#This Row],[Billed Quantity]]*Sales4[[#This Row],[Labour cost per unit]]</f>
        <v>#REF!</v>
      </c>
      <c r="AJ486" s="12">
        <f>Sales4[[#This Row],[Droppage per unit]]*Sales4[[#This Row],[Billed Quantity]]</f>
        <v>0</v>
      </c>
      <c r="AK486" s="12" t="e">
        <f>Sales4[[#This Row],[Billed Quantity]]*Sales4[[#This Row],[Other Conversion cost pu]]</f>
        <v>#REF!</v>
      </c>
      <c r="AL486" s="48" t="e">
        <f>Sales4[[#This Row],[PGI Amount]]-Sales4[[#This Row],[BOM Cost2]]-Sales4[[#This Row],[Labour Cost]]-Sales4[[#This Row],[Other conversion cost]]</f>
        <v>#REF!</v>
      </c>
      <c r="AM486" s="121" t="e">
        <f>1-Sales4[[#This Row],[PGI COST]]/Sales4[[#This Row],[Net Value]]</f>
        <v>#REF!</v>
      </c>
      <c r="AN486" s="1">
        <f>Sales4[[#This Row],[PGI Amount]]/Sales4[[#This Row],[Billed Quantity]]</f>
        <v>12.290993333333335</v>
      </c>
      <c r="AO486" s="72" t="e">
        <f>SUMIFS('COGS Break up'!#REF!,'COGS Break up'!#REF!,Sales4[[#This Row],[Material]],'COGS Break up'!#REF!,'MIS Working'!$AO$1)</f>
        <v>#REF!</v>
      </c>
      <c r="AP486" s="72" t="e">
        <f>SUMIFS('COGS Break up'!#REF!,'COGS Break up'!#REF!,Sales4[[#This Row],[Material]],'COGS Break up'!#REF!,'MIS Working'!$AP$1)</f>
        <v>#REF!</v>
      </c>
      <c r="AQ486" s="72" t="e">
        <f>SUMIFS('COGS Break up'!#REF!,'COGS Break up'!#REF!,Sales4[[#This Row],[Material]],'COGS Break up'!#REF!,'MIS Working'!$AQ$1)</f>
        <v>#REF!</v>
      </c>
      <c r="AR486" s="72">
        <f>Sales4[[#This Row],[Droppage per unit]]</f>
        <v>0</v>
      </c>
      <c r="AS486" s="15" t="e">
        <f>AO486*Sales4[[#This Row],[Billed Quantity]]</f>
        <v>#REF!</v>
      </c>
      <c r="AT486" s="72" t="e">
        <f>AP486*Sales4[[#This Row],[Billed Quantity]]</f>
        <v>#REF!</v>
      </c>
      <c r="AU486" s="72" t="e">
        <f>AQ486*Sales4[[#This Row],[Billed Quantity]]</f>
        <v>#REF!</v>
      </c>
      <c r="AV486" s="72">
        <f>AR486*Sales4[[#This Row],[Billed Quantity]]</f>
        <v>0</v>
      </c>
    </row>
    <row r="487" spans="1:48" x14ac:dyDescent="0.3">
      <c r="A487" s="1" t="s">
        <v>1212</v>
      </c>
      <c r="B487" s="2">
        <v>45902</v>
      </c>
      <c r="C487" s="1">
        <v>3271265715</v>
      </c>
      <c r="D487" s="1" t="s">
        <v>1287</v>
      </c>
      <c r="E487" s="1" t="s">
        <v>1288</v>
      </c>
      <c r="F487" s="1" t="s">
        <v>18</v>
      </c>
      <c r="G487" s="1" t="s">
        <v>48</v>
      </c>
      <c r="H487" s="1" t="s">
        <v>207</v>
      </c>
      <c r="I487" s="3">
        <v>6000</v>
      </c>
      <c r="J487" s="4">
        <v>77173.03</v>
      </c>
      <c r="K487" s="3">
        <v>6000</v>
      </c>
      <c r="L487" s="3">
        <v>6000</v>
      </c>
      <c r="M487" s="2">
        <v>45902</v>
      </c>
      <c r="N487" s="4">
        <v>74100</v>
      </c>
      <c r="O487" s="1" t="s">
        <v>21</v>
      </c>
      <c r="P487" s="1" t="s">
        <v>22</v>
      </c>
      <c r="Q487" s="1">
        <v>6</v>
      </c>
      <c r="R487" s="1" t="str">
        <f>VLOOKUP(Sales4[[#This Row],[Material type]],Master!$H$3:$I$8,2,0)</f>
        <v>Raw Material</v>
      </c>
      <c r="S487" s="1" t="str">
        <f>VLOOKUP(Sales4[[#This Row],[Material Group]],Master!B:C,2,0)</f>
        <v>RM-Mech. Accessories</v>
      </c>
      <c r="T487" s="1" t="str">
        <f>VLOOKUP(Sales4[[#This Row],[Material Group Descrip]],Master!E:F,2,0)</f>
        <v>Raw Material</v>
      </c>
      <c r="U487" s="9" t="b">
        <f ca="1">(TODAY()-1)=Sales4[[#This Row],[Billing Date]]</f>
        <v>0</v>
      </c>
      <c r="V487" s="10" t="e">
        <f>Sales4[[#This Row],[Net Value]]-Sales4[[#This Row],[PGI COST]]</f>
        <v>#REF!</v>
      </c>
      <c r="W487" s="11" t="e">
        <f>Sales4[[#This Row],[Gross Margin]]/Sales4[[#This Row],[Net Value]]</f>
        <v>#REF!</v>
      </c>
      <c r="X487" s="1" t="str">
        <f>TEXT(Sales4[[#This Row],[Billing Date]],"mmmm-yy")</f>
        <v>September-25</v>
      </c>
      <c r="Y487" s="1">
        <f>Sales4[[#This Row],[Net Value]]/Sales4[[#This Row],[Billed Quantity]]</f>
        <v>12.35</v>
      </c>
      <c r="Z487" s="117">
        <f>Sales4[[#This Row],[Actual delivery qty]]</f>
        <v>6000</v>
      </c>
      <c r="AA487" s="12" t="e">
        <f>SUM(Sales4[[#This Row],[BOM Cost]:[Other Conversion cost pu]])</f>
        <v>#REF!</v>
      </c>
      <c r="AB48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8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87" s="12">
        <f>IFERROR(VLOOKUP(Sales4[[#This Row],[Material]],'COGS Break up'!#REF!,5,0),0)</f>
        <v>0</v>
      </c>
      <c r="AE48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87" s="48" t="e">
        <f>Sales4[[#This Row],[PGI per unit]]-Sales4[[#This Row],[BOM Cost]]-Sales4[[#This Row],[Labour cost per unit]]-Sales4[[#This Row],[Other Conversion cost pu]]</f>
        <v>#REF!</v>
      </c>
      <c r="AG487" s="48" t="e">
        <f>Sales4[[#This Row],[BOM Cost2]]+Sales4[[#This Row],[Labour Cost]]+Sales4[[#This Row],[Other conversion cost]]</f>
        <v>#REF!</v>
      </c>
      <c r="AH487" s="12" t="e">
        <f>Sales4[[#This Row],[Billed Quantity]]*Sales4[[#This Row],[BOM Cost]]</f>
        <v>#REF!</v>
      </c>
      <c r="AI487" s="12" t="e">
        <f>Sales4[[#This Row],[Billed Quantity]]*Sales4[[#This Row],[Labour cost per unit]]</f>
        <v>#REF!</v>
      </c>
      <c r="AJ487" s="12">
        <f>Sales4[[#This Row],[Droppage per unit]]*Sales4[[#This Row],[Billed Quantity]]</f>
        <v>0</v>
      </c>
      <c r="AK487" s="12" t="e">
        <f>Sales4[[#This Row],[Billed Quantity]]*Sales4[[#This Row],[Other Conversion cost pu]]</f>
        <v>#REF!</v>
      </c>
      <c r="AL487" s="48" t="e">
        <f>Sales4[[#This Row],[PGI Amount]]-Sales4[[#This Row],[BOM Cost2]]-Sales4[[#This Row],[Labour Cost]]-Sales4[[#This Row],[Other conversion cost]]</f>
        <v>#REF!</v>
      </c>
      <c r="AM487" s="121" t="e">
        <f>1-Sales4[[#This Row],[PGI COST]]/Sales4[[#This Row],[Net Value]]</f>
        <v>#REF!</v>
      </c>
      <c r="AN487" s="1">
        <f>Sales4[[#This Row],[PGI Amount]]/Sales4[[#This Row],[Billed Quantity]]</f>
        <v>12.862171666666667</v>
      </c>
      <c r="AO487" s="72" t="e">
        <f>SUMIFS('COGS Break up'!#REF!,'COGS Break up'!#REF!,Sales4[[#This Row],[Material]],'COGS Break up'!#REF!,'MIS Working'!$AO$1)</f>
        <v>#REF!</v>
      </c>
      <c r="AP487" s="72" t="e">
        <f>SUMIFS('COGS Break up'!#REF!,'COGS Break up'!#REF!,Sales4[[#This Row],[Material]],'COGS Break up'!#REF!,'MIS Working'!$AP$1)</f>
        <v>#REF!</v>
      </c>
      <c r="AQ487" s="72" t="e">
        <f>SUMIFS('COGS Break up'!#REF!,'COGS Break up'!#REF!,Sales4[[#This Row],[Material]],'COGS Break up'!#REF!,'MIS Working'!$AQ$1)</f>
        <v>#REF!</v>
      </c>
      <c r="AR487" s="72">
        <f>Sales4[[#This Row],[Droppage per unit]]</f>
        <v>0</v>
      </c>
      <c r="AS487" s="15" t="e">
        <f>AO487*Sales4[[#This Row],[Billed Quantity]]</f>
        <v>#REF!</v>
      </c>
      <c r="AT487" s="72" t="e">
        <f>AP487*Sales4[[#This Row],[Billed Quantity]]</f>
        <v>#REF!</v>
      </c>
      <c r="AU487" s="72" t="e">
        <f>AQ487*Sales4[[#This Row],[Billed Quantity]]</f>
        <v>#REF!</v>
      </c>
      <c r="AV487" s="72">
        <f>AR487*Sales4[[#This Row],[Billed Quantity]]</f>
        <v>0</v>
      </c>
    </row>
    <row r="488" spans="1:48" x14ac:dyDescent="0.3">
      <c r="A488" s="1" t="s">
        <v>1212</v>
      </c>
      <c r="B488" s="2">
        <v>45902</v>
      </c>
      <c r="C488" s="1">
        <v>3271265715</v>
      </c>
      <c r="D488" s="1" t="s">
        <v>1289</v>
      </c>
      <c r="E488" s="1" t="s">
        <v>1290</v>
      </c>
      <c r="F488" s="1" t="s">
        <v>18</v>
      </c>
      <c r="G488" s="1" t="s">
        <v>48</v>
      </c>
      <c r="H488" s="1" t="s">
        <v>204</v>
      </c>
      <c r="I488" s="3">
        <v>40000</v>
      </c>
      <c r="J488" s="4">
        <v>1399.52</v>
      </c>
      <c r="K488" s="3">
        <v>40000</v>
      </c>
      <c r="L488" s="3">
        <v>40000</v>
      </c>
      <c r="M488" s="2">
        <v>45902</v>
      </c>
      <c r="N488" s="4">
        <v>12000</v>
      </c>
      <c r="O488" s="1" t="s">
        <v>21</v>
      </c>
      <c r="P488" s="1" t="s">
        <v>22</v>
      </c>
      <c r="Q488" s="1">
        <v>6</v>
      </c>
      <c r="R488" s="1" t="str">
        <f>VLOOKUP(Sales4[[#This Row],[Material type]],Master!$H$3:$I$8,2,0)</f>
        <v>Raw Material</v>
      </c>
      <c r="S488" s="1" t="str">
        <f>VLOOKUP(Sales4[[#This Row],[Material Group]],Master!B:C,2,0)</f>
        <v>RM-Eletro-Resistor</v>
      </c>
      <c r="T488" s="1" t="str">
        <f>VLOOKUP(Sales4[[#This Row],[Material Group Descrip]],Master!E:F,2,0)</f>
        <v>Raw Material</v>
      </c>
      <c r="U488" s="9" t="b">
        <f ca="1">(TODAY()-1)=Sales4[[#This Row],[Billing Date]]</f>
        <v>0</v>
      </c>
      <c r="V488" s="10" t="e">
        <f>Sales4[[#This Row],[Net Value]]-Sales4[[#This Row],[PGI COST]]</f>
        <v>#REF!</v>
      </c>
      <c r="W488" s="11" t="e">
        <f>Sales4[[#This Row],[Gross Margin]]/Sales4[[#This Row],[Net Value]]</f>
        <v>#REF!</v>
      </c>
      <c r="X488" s="1" t="str">
        <f>TEXT(Sales4[[#This Row],[Billing Date]],"mmmm-yy")</f>
        <v>September-25</v>
      </c>
      <c r="Y488" s="1">
        <f>Sales4[[#This Row],[Net Value]]/Sales4[[#This Row],[Billed Quantity]]</f>
        <v>0.3</v>
      </c>
      <c r="Z488" s="117">
        <f>Sales4[[#This Row],[Actual delivery qty]]</f>
        <v>40000</v>
      </c>
      <c r="AA488" s="12" t="e">
        <f>SUM(Sales4[[#This Row],[BOM Cost]:[Other Conversion cost pu]])</f>
        <v>#REF!</v>
      </c>
      <c r="AB48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8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88" s="12">
        <f>IFERROR(VLOOKUP(Sales4[[#This Row],[Material]],'COGS Break up'!#REF!,5,0),0)</f>
        <v>0</v>
      </c>
      <c r="AE48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88" s="48" t="e">
        <f>Sales4[[#This Row],[PGI per unit]]-Sales4[[#This Row],[BOM Cost]]-Sales4[[#This Row],[Labour cost per unit]]-Sales4[[#This Row],[Other Conversion cost pu]]</f>
        <v>#REF!</v>
      </c>
      <c r="AG488" s="48" t="e">
        <f>Sales4[[#This Row],[BOM Cost2]]+Sales4[[#This Row],[Labour Cost]]+Sales4[[#This Row],[Other conversion cost]]</f>
        <v>#REF!</v>
      </c>
      <c r="AH488" s="12" t="e">
        <f>Sales4[[#This Row],[Billed Quantity]]*Sales4[[#This Row],[BOM Cost]]</f>
        <v>#REF!</v>
      </c>
      <c r="AI488" s="12" t="e">
        <f>Sales4[[#This Row],[Billed Quantity]]*Sales4[[#This Row],[Labour cost per unit]]</f>
        <v>#REF!</v>
      </c>
      <c r="AJ488" s="12">
        <f>Sales4[[#This Row],[Droppage per unit]]*Sales4[[#This Row],[Billed Quantity]]</f>
        <v>0</v>
      </c>
      <c r="AK488" s="12" t="e">
        <f>Sales4[[#This Row],[Billed Quantity]]*Sales4[[#This Row],[Other Conversion cost pu]]</f>
        <v>#REF!</v>
      </c>
      <c r="AL488" s="48" t="e">
        <f>Sales4[[#This Row],[PGI Amount]]-Sales4[[#This Row],[BOM Cost2]]-Sales4[[#This Row],[Labour Cost]]-Sales4[[#This Row],[Other conversion cost]]</f>
        <v>#REF!</v>
      </c>
      <c r="AM488" s="121" t="e">
        <f>1-Sales4[[#This Row],[PGI COST]]/Sales4[[#This Row],[Net Value]]</f>
        <v>#REF!</v>
      </c>
      <c r="AN488" s="1">
        <f>Sales4[[#This Row],[PGI Amount]]/Sales4[[#This Row],[Billed Quantity]]</f>
        <v>3.4987999999999998E-2</v>
      </c>
      <c r="AO488" s="72" t="e">
        <f>SUMIFS('COGS Break up'!#REF!,'COGS Break up'!#REF!,Sales4[[#This Row],[Material]],'COGS Break up'!#REF!,'MIS Working'!$AO$1)</f>
        <v>#REF!</v>
      </c>
      <c r="AP488" s="72" t="e">
        <f>SUMIFS('COGS Break up'!#REF!,'COGS Break up'!#REF!,Sales4[[#This Row],[Material]],'COGS Break up'!#REF!,'MIS Working'!$AP$1)</f>
        <v>#REF!</v>
      </c>
      <c r="AQ488" s="72" t="e">
        <f>SUMIFS('COGS Break up'!#REF!,'COGS Break up'!#REF!,Sales4[[#This Row],[Material]],'COGS Break up'!#REF!,'MIS Working'!$AQ$1)</f>
        <v>#REF!</v>
      </c>
      <c r="AR488" s="72">
        <f>Sales4[[#This Row],[Droppage per unit]]</f>
        <v>0</v>
      </c>
      <c r="AS488" s="15" t="e">
        <f>AO488*Sales4[[#This Row],[Billed Quantity]]</f>
        <v>#REF!</v>
      </c>
      <c r="AT488" s="72" t="e">
        <f>AP488*Sales4[[#This Row],[Billed Quantity]]</f>
        <v>#REF!</v>
      </c>
      <c r="AU488" s="72" t="e">
        <f>AQ488*Sales4[[#This Row],[Billed Quantity]]</f>
        <v>#REF!</v>
      </c>
      <c r="AV488" s="72">
        <f>AR488*Sales4[[#This Row],[Billed Quantity]]</f>
        <v>0</v>
      </c>
    </row>
    <row r="489" spans="1:48" x14ac:dyDescent="0.3">
      <c r="A489" s="1" t="s">
        <v>479</v>
      </c>
      <c r="B489" s="2">
        <v>45901</v>
      </c>
      <c r="C489" s="1">
        <v>3271265710</v>
      </c>
      <c r="D489" s="1" t="s">
        <v>641</v>
      </c>
      <c r="E489" s="1" t="s">
        <v>642</v>
      </c>
      <c r="F489" s="1" t="s">
        <v>18</v>
      </c>
      <c r="G489" s="1" t="s">
        <v>19</v>
      </c>
      <c r="H489" s="1" t="s">
        <v>27</v>
      </c>
      <c r="I489" s="3">
        <v>105</v>
      </c>
      <c r="J489" s="4">
        <v>48016.5</v>
      </c>
      <c r="K489" s="3">
        <v>105</v>
      </c>
      <c r="L489" s="3">
        <v>105</v>
      </c>
      <c r="M489" s="2">
        <v>45901</v>
      </c>
      <c r="N489" s="4">
        <v>97011.6</v>
      </c>
      <c r="O489" s="1" t="s">
        <v>21</v>
      </c>
      <c r="P489" s="1" t="s">
        <v>22</v>
      </c>
      <c r="Q489" s="1">
        <v>1</v>
      </c>
      <c r="R489" s="1" t="str">
        <f>VLOOKUP(Sales4[[#This Row],[Material type]],Master!$H$3:$I$8,2,0)</f>
        <v>Finished Goods</v>
      </c>
      <c r="S489" s="1" t="str">
        <f>VLOOKUP(Sales4[[#This Row],[Material Group]],Master!B:C,2,0)</f>
        <v>FG-PCB-CF</v>
      </c>
      <c r="T489" s="1" t="str">
        <f>VLOOKUP(Sales4[[#This Row],[Material Group Descrip]],Master!E:F,2,0)</f>
        <v>FG-PCB-CF</v>
      </c>
      <c r="U489" s="9" t="b">
        <f ca="1">(TODAY()-1)=Sales4[[#This Row],[Billing Date]]</f>
        <v>0</v>
      </c>
      <c r="V489" s="10" t="e">
        <f>Sales4[[#This Row],[Net Value]]-Sales4[[#This Row],[PGI COST]]</f>
        <v>#REF!</v>
      </c>
      <c r="W489" s="11" t="e">
        <f>Sales4[[#This Row],[Gross Margin]]/Sales4[[#This Row],[Net Value]]</f>
        <v>#REF!</v>
      </c>
      <c r="X489" s="1" t="str">
        <f>TEXT(Sales4[[#This Row],[Billing Date]],"mmmm-yy")</f>
        <v>September-25</v>
      </c>
      <c r="Y489" s="1">
        <f>Sales4[[#This Row],[Net Value]]/Sales4[[#This Row],[Billed Quantity]]</f>
        <v>923.92000000000007</v>
      </c>
      <c r="Z489" s="117">
        <f>Sales4[[#This Row],[Actual delivery qty]]</f>
        <v>105</v>
      </c>
      <c r="AA489" s="12" t="e">
        <f>SUM(Sales4[[#This Row],[BOM Cost]:[Other Conversion cost pu]])</f>
        <v>#REF!</v>
      </c>
      <c r="AB48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8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89" s="12">
        <f>IFERROR(VLOOKUP(Sales4[[#This Row],[Material]],'COGS Break up'!#REF!,5,0),0)</f>
        <v>0</v>
      </c>
      <c r="AE48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89" s="48" t="e">
        <f>Sales4[[#This Row],[PGI per unit]]-Sales4[[#This Row],[BOM Cost]]-Sales4[[#This Row],[Labour cost per unit]]-Sales4[[#This Row],[Other Conversion cost pu]]</f>
        <v>#REF!</v>
      </c>
      <c r="AG489" s="48" t="e">
        <f>Sales4[[#This Row],[BOM Cost2]]+Sales4[[#This Row],[Labour Cost]]+Sales4[[#This Row],[Other conversion cost]]</f>
        <v>#REF!</v>
      </c>
      <c r="AH489" s="12" t="e">
        <f>Sales4[[#This Row],[Billed Quantity]]*Sales4[[#This Row],[BOM Cost]]</f>
        <v>#REF!</v>
      </c>
      <c r="AI489" s="12" t="e">
        <f>Sales4[[#This Row],[Billed Quantity]]*Sales4[[#This Row],[Labour cost per unit]]</f>
        <v>#REF!</v>
      </c>
      <c r="AJ489" s="12">
        <f>Sales4[[#This Row],[Droppage per unit]]*Sales4[[#This Row],[Billed Quantity]]</f>
        <v>0</v>
      </c>
      <c r="AK489" s="12" t="e">
        <f>Sales4[[#This Row],[Billed Quantity]]*Sales4[[#This Row],[Other Conversion cost pu]]</f>
        <v>#REF!</v>
      </c>
      <c r="AL489" s="48" t="e">
        <f>Sales4[[#This Row],[PGI Amount]]-Sales4[[#This Row],[BOM Cost2]]-Sales4[[#This Row],[Labour Cost]]-Sales4[[#This Row],[Other conversion cost]]</f>
        <v>#REF!</v>
      </c>
      <c r="AM489" s="121" t="e">
        <f>1-Sales4[[#This Row],[PGI COST]]/Sales4[[#This Row],[Net Value]]</f>
        <v>#REF!</v>
      </c>
      <c r="AN489" s="1">
        <f>Sales4[[#This Row],[PGI Amount]]/Sales4[[#This Row],[Billed Quantity]]</f>
        <v>457.3</v>
      </c>
      <c r="AO489" s="72" t="e">
        <f>SUMIFS('COGS Break up'!#REF!,'COGS Break up'!#REF!,Sales4[[#This Row],[Material]],'COGS Break up'!#REF!,'MIS Working'!$AO$1)</f>
        <v>#REF!</v>
      </c>
      <c r="AP489" s="72" t="e">
        <f>SUMIFS('COGS Break up'!#REF!,'COGS Break up'!#REF!,Sales4[[#This Row],[Material]],'COGS Break up'!#REF!,'MIS Working'!$AP$1)</f>
        <v>#REF!</v>
      </c>
      <c r="AQ489" s="72" t="e">
        <f>SUMIFS('COGS Break up'!#REF!,'COGS Break up'!#REF!,Sales4[[#This Row],[Material]],'COGS Break up'!#REF!,'MIS Working'!$AQ$1)</f>
        <v>#REF!</v>
      </c>
      <c r="AR489" s="72">
        <f>Sales4[[#This Row],[Droppage per unit]]</f>
        <v>0</v>
      </c>
      <c r="AS489" s="15" t="e">
        <f>AO489*Sales4[[#This Row],[Billed Quantity]]</f>
        <v>#REF!</v>
      </c>
      <c r="AT489" s="72" t="e">
        <f>AP489*Sales4[[#This Row],[Billed Quantity]]</f>
        <v>#REF!</v>
      </c>
      <c r="AU489" s="72" t="e">
        <f>AQ489*Sales4[[#This Row],[Billed Quantity]]</f>
        <v>#REF!</v>
      </c>
      <c r="AV489" s="72">
        <f>AR489*Sales4[[#This Row],[Billed Quantity]]</f>
        <v>0</v>
      </c>
    </row>
    <row r="490" spans="1:48" x14ac:dyDescent="0.3">
      <c r="A490" s="1" t="s">
        <v>479</v>
      </c>
      <c r="B490" s="2">
        <v>45901</v>
      </c>
      <c r="C490" s="1">
        <v>3271265617</v>
      </c>
      <c r="D490" s="1" t="s">
        <v>38</v>
      </c>
      <c r="E490" s="1" t="s">
        <v>39</v>
      </c>
      <c r="F490" s="1" t="s">
        <v>18</v>
      </c>
      <c r="G490" s="1" t="s">
        <v>19</v>
      </c>
      <c r="H490" s="1" t="s">
        <v>27</v>
      </c>
      <c r="I490" s="3">
        <v>1960</v>
      </c>
      <c r="J490" s="4">
        <v>681198</v>
      </c>
      <c r="K490" s="3">
        <v>1960</v>
      </c>
      <c r="L490" s="3">
        <v>1960</v>
      </c>
      <c r="M490" s="2">
        <v>45901</v>
      </c>
      <c r="N490" s="4">
        <v>702248.4</v>
      </c>
      <c r="O490" s="1" t="s">
        <v>21</v>
      </c>
      <c r="P490" s="1" t="s">
        <v>22</v>
      </c>
      <c r="Q490" s="1">
        <v>1</v>
      </c>
      <c r="R490" s="1" t="str">
        <f>VLOOKUP(Sales4[[#This Row],[Material type]],Master!$H$3:$I$8,2,0)</f>
        <v>Finished Goods</v>
      </c>
      <c r="S490" s="1" t="str">
        <f>VLOOKUP(Sales4[[#This Row],[Material Group]],Master!B:C,2,0)</f>
        <v>FG-PCB-CF</v>
      </c>
      <c r="T490" s="1" t="str">
        <f>VLOOKUP(Sales4[[#This Row],[Material Group Descrip]],Master!E:F,2,0)</f>
        <v>FG-PCB-CF</v>
      </c>
      <c r="U490" s="9" t="b">
        <f ca="1">(TODAY()-1)=Sales4[[#This Row],[Billing Date]]</f>
        <v>0</v>
      </c>
      <c r="V490" s="10" t="e">
        <f>Sales4[[#This Row],[Net Value]]-Sales4[[#This Row],[PGI COST]]</f>
        <v>#REF!</v>
      </c>
      <c r="W490" s="11" t="e">
        <f>Sales4[[#This Row],[Gross Margin]]/Sales4[[#This Row],[Net Value]]</f>
        <v>#REF!</v>
      </c>
      <c r="X490" s="1" t="str">
        <f>TEXT(Sales4[[#This Row],[Billing Date]],"mmmm-yy")</f>
        <v>September-25</v>
      </c>
      <c r="Y490" s="1">
        <f>Sales4[[#This Row],[Net Value]]/Sales4[[#This Row],[Billed Quantity]]</f>
        <v>358.29</v>
      </c>
      <c r="Z490" s="117">
        <f>Sales4[[#This Row],[Actual delivery qty]]</f>
        <v>1960</v>
      </c>
      <c r="AA490" s="12" t="e">
        <f>SUM(Sales4[[#This Row],[BOM Cost]:[Other Conversion cost pu]])</f>
        <v>#REF!</v>
      </c>
      <c r="AB49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9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90" s="12">
        <f>IFERROR(VLOOKUP(Sales4[[#This Row],[Material]],'COGS Break up'!#REF!,5,0),0)</f>
        <v>0</v>
      </c>
      <c r="AE49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90" s="48" t="e">
        <f>Sales4[[#This Row],[PGI per unit]]-Sales4[[#This Row],[BOM Cost]]-Sales4[[#This Row],[Labour cost per unit]]-Sales4[[#This Row],[Other Conversion cost pu]]</f>
        <v>#REF!</v>
      </c>
      <c r="AG490" s="48" t="e">
        <f>Sales4[[#This Row],[BOM Cost2]]+Sales4[[#This Row],[Labour Cost]]+Sales4[[#This Row],[Other conversion cost]]</f>
        <v>#REF!</v>
      </c>
      <c r="AH490" s="12" t="e">
        <f>Sales4[[#This Row],[Billed Quantity]]*Sales4[[#This Row],[BOM Cost]]</f>
        <v>#REF!</v>
      </c>
      <c r="AI490" s="12" t="e">
        <f>Sales4[[#This Row],[Billed Quantity]]*Sales4[[#This Row],[Labour cost per unit]]</f>
        <v>#REF!</v>
      </c>
      <c r="AJ490" s="12">
        <f>Sales4[[#This Row],[Droppage per unit]]*Sales4[[#This Row],[Billed Quantity]]</f>
        <v>0</v>
      </c>
      <c r="AK490" s="12" t="e">
        <f>Sales4[[#This Row],[Billed Quantity]]*Sales4[[#This Row],[Other Conversion cost pu]]</f>
        <v>#REF!</v>
      </c>
      <c r="AL490" s="48" t="e">
        <f>Sales4[[#This Row],[PGI Amount]]-Sales4[[#This Row],[BOM Cost2]]-Sales4[[#This Row],[Labour Cost]]-Sales4[[#This Row],[Other conversion cost]]</f>
        <v>#REF!</v>
      </c>
      <c r="AM490" s="121" t="e">
        <f>1-Sales4[[#This Row],[PGI COST]]/Sales4[[#This Row],[Net Value]]</f>
        <v>#REF!</v>
      </c>
      <c r="AN490" s="1">
        <f>Sales4[[#This Row],[PGI Amount]]/Sales4[[#This Row],[Billed Quantity]]</f>
        <v>347.55</v>
      </c>
      <c r="AO490" s="72" t="e">
        <f>SUMIFS('COGS Break up'!#REF!,'COGS Break up'!#REF!,Sales4[[#This Row],[Material]],'COGS Break up'!#REF!,'MIS Working'!$AO$1)</f>
        <v>#REF!</v>
      </c>
      <c r="AP490" s="72" t="e">
        <f>SUMIFS('COGS Break up'!#REF!,'COGS Break up'!#REF!,Sales4[[#This Row],[Material]],'COGS Break up'!#REF!,'MIS Working'!$AP$1)</f>
        <v>#REF!</v>
      </c>
      <c r="AQ490" s="72" t="e">
        <f>SUMIFS('COGS Break up'!#REF!,'COGS Break up'!#REF!,Sales4[[#This Row],[Material]],'COGS Break up'!#REF!,'MIS Working'!$AQ$1)</f>
        <v>#REF!</v>
      </c>
      <c r="AR490" s="72">
        <f>Sales4[[#This Row],[Droppage per unit]]</f>
        <v>0</v>
      </c>
      <c r="AS490" s="15" t="e">
        <f>AO490*Sales4[[#This Row],[Billed Quantity]]</f>
        <v>#REF!</v>
      </c>
      <c r="AT490" s="72" t="e">
        <f>AP490*Sales4[[#This Row],[Billed Quantity]]</f>
        <v>#REF!</v>
      </c>
      <c r="AU490" s="72" t="e">
        <f>AQ490*Sales4[[#This Row],[Billed Quantity]]</f>
        <v>#REF!</v>
      </c>
      <c r="AV490" s="72">
        <f>AR490*Sales4[[#This Row],[Billed Quantity]]</f>
        <v>0</v>
      </c>
    </row>
    <row r="491" spans="1:48" x14ac:dyDescent="0.3">
      <c r="A491" s="1" t="s">
        <v>479</v>
      </c>
      <c r="B491" s="2">
        <v>45901</v>
      </c>
      <c r="C491" s="1">
        <v>3271265658</v>
      </c>
      <c r="D491" s="1" t="s">
        <v>38</v>
      </c>
      <c r="E491" s="1" t="s">
        <v>39</v>
      </c>
      <c r="F491" s="1" t="s">
        <v>18</v>
      </c>
      <c r="G491" s="1" t="s">
        <v>19</v>
      </c>
      <c r="H491" s="1" t="s">
        <v>27</v>
      </c>
      <c r="I491" s="3">
        <v>1890</v>
      </c>
      <c r="J491" s="4">
        <v>622679.4</v>
      </c>
      <c r="K491" s="3">
        <v>1890</v>
      </c>
      <c r="L491" s="3">
        <v>1890</v>
      </c>
      <c r="M491" s="2">
        <v>45901</v>
      </c>
      <c r="N491" s="4">
        <v>677168.1</v>
      </c>
      <c r="O491" s="1" t="s">
        <v>21</v>
      </c>
      <c r="P491" s="1" t="s">
        <v>22</v>
      </c>
      <c r="Q491" s="1">
        <v>1</v>
      </c>
      <c r="R491" s="1" t="str">
        <f>VLOOKUP(Sales4[[#This Row],[Material type]],Master!$H$3:$I$8,2,0)</f>
        <v>Finished Goods</v>
      </c>
      <c r="S491" s="1" t="str">
        <f>VLOOKUP(Sales4[[#This Row],[Material Group]],Master!B:C,2,0)</f>
        <v>FG-PCB-CF</v>
      </c>
      <c r="T491" s="1" t="str">
        <f>VLOOKUP(Sales4[[#This Row],[Material Group Descrip]],Master!E:F,2,0)</f>
        <v>FG-PCB-CF</v>
      </c>
      <c r="U491" s="9" t="b">
        <f ca="1">(TODAY()-1)=Sales4[[#This Row],[Billing Date]]</f>
        <v>0</v>
      </c>
      <c r="V491" s="10" t="e">
        <f>Sales4[[#This Row],[Net Value]]-Sales4[[#This Row],[PGI COST]]</f>
        <v>#REF!</v>
      </c>
      <c r="W491" s="11" t="e">
        <f>Sales4[[#This Row],[Gross Margin]]/Sales4[[#This Row],[Net Value]]</f>
        <v>#REF!</v>
      </c>
      <c r="X491" s="1" t="str">
        <f>TEXT(Sales4[[#This Row],[Billing Date]],"mmmm-yy")</f>
        <v>September-25</v>
      </c>
      <c r="Y491" s="1">
        <f>Sales4[[#This Row],[Net Value]]/Sales4[[#This Row],[Billed Quantity]]</f>
        <v>358.28999999999996</v>
      </c>
      <c r="Z491" s="117">
        <f>Sales4[[#This Row],[Actual delivery qty]]</f>
        <v>1890</v>
      </c>
      <c r="AA491" s="12" t="e">
        <f>SUM(Sales4[[#This Row],[BOM Cost]:[Other Conversion cost pu]])</f>
        <v>#REF!</v>
      </c>
      <c r="AB49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9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91" s="12">
        <f>IFERROR(VLOOKUP(Sales4[[#This Row],[Material]],'COGS Break up'!#REF!,5,0),0)</f>
        <v>0</v>
      </c>
      <c r="AE49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91" s="48" t="e">
        <f>Sales4[[#This Row],[PGI per unit]]-Sales4[[#This Row],[BOM Cost]]-Sales4[[#This Row],[Labour cost per unit]]-Sales4[[#This Row],[Other Conversion cost pu]]</f>
        <v>#REF!</v>
      </c>
      <c r="AG491" s="48" t="e">
        <f>Sales4[[#This Row],[BOM Cost2]]+Sales4[[#This Row],[Labour Cost]]+Sales4[[#This Row],[Other conversion cost]]</f>
        <v>#REF!</v>
      </c>
      <c r="AH491" s="12" t="e">
        <f>Sales4[[#This Row],[Billed Quantity]]*Sales4[[#This Row],[BOM Cost]]</f>
        <v>#REF!</v>
      </c>
      <c r="AI491" s="12" t="e">
        <f>Sales4[[#This Row],[Billed Quantity]]*Sales4[[#This Row],[Labour cost per unit]]</f>
        <v>#REF!</v>
      </c>
      <c r="AJ491" s="12">
        <f>Sales4[[#This Row],[Droppage per unit]]*Sales4[[#This Row],[Billed Quantity]]</f>
        <v>0</v>
      </c>
      <c r="AK491" s="12" t="e">
        <f>Sales4[[#This Row],[Billed Quantity]]*Sales4[[#This Row],[Other Conversion cost pu]]</f>
        <v>#REF!</v>
      </c>
      <c r="AL491" s="48" t="e">
        <f>Sales4[[#This Row],[PGI Amount]]-Sales4[[#This Row],[BOM Cost2]]-Sales4[[#This Row],[Labour Cost]]-Sales4[[#This Row],[Other conversion cost]]</f>
        <v>#REF!</v>
      </c>
      <c r="AM491" s="121" t="e">
        <f>1-Sales4[[#This Row],[PGI COST]]/Sales4[[#This Row],[Net Value]]</f>
        <v>#REF!</v>
      </c>
      <c r="AN491" s="1">
        <f>Sales4[[#This Row],[PGI Amount]]/Sales4[[#This Row],[Billed Quantity]]</f>
        <v>329.46000000000004</v>
      </c>
      <c r="AO491" s="72" t="e">
        <f>SUMIFS('COGS Break up'!#REF!,'COGS Break up'!#REF!,Sales4[[#This Row],[Material]],'COGS Break up'!#REF!,'MIS Working'!$AO$1)</f>
        <v>#REF!</v>
      </c>
      <c r="AP491" s="72" t="e">
        <f>SUMIFS('COGS Break up'!#REF!,'COGS Break up'!#REF!,Sales4[[#This Row],[Material]],'COGS Break up'!#REF!,'MIS Working'!$AP$1)</f>
        <v>#REF!</v>
      </c>
      <c r="AQ491" s="72" t="e">
        <f>SUMIFS('COGS Break up'!#REF!,'COGS Break up'!#REF!,Sales4[[#This Row],[Material]],'COGS Break up'!#REF!,'MIS Working'!$AQ$1)</f>
        <v>#REF!</v>
      </c>
      <c r="AR491" s="72">
        <f>Sales4[[#This Row],[Droppage per unit]]</f>
        <v>0</v>
      </c>
      <c r="AS491" s="15" t="e">
        <f>AO491*Sales4[[#This Row],[Billed Quantity]]</f>
        <v>#REF!</v>
      </c>
      <c r="AT491" s="72" t="e">
        <f>AP491*Sales4[[#This Row],[Billed Quantity]]</f>
        <v>#REF!</v>
      </c>
      <c r="AU491" s="72" t="e">
        <f>AQ491*Sales4[[#This Row],[Billed Quantity]]</f>
        <v>#REF!</v>
      </c>
      <c r="AV491" s="72">
        <f>AR491*Sales4[[#This Row],[Billed Quantity]]</f>
        <v>0</v>
      </c>
    </row>
    <row r="492" spans="1:48" x14ac:dyDescent="0.3">
      <c r="A492" s="1" t="s">
        <v>479</v>
      </c>
      <c r="B492" s="2">
        <v>45901</v>
      </c>
      <c r="C492" s="1">
        <v>3271265663</v>
      </c>
      <c r="D492" s="1" t="s">
        <v>38</v>
      </c>
      <c r="E492" s="1" t="s">
        <v>39</v>
      </c>
      <c r="F492" s="1" t="s">
        <v>18</v>
      </c>
      <c r="G492" s="1" t="s">
        <v>19</v>
      </c>
      <c r="H492" s="1" t="s">
        <v>27</v>
      </c>
      <c r="I492" s="3">
        <v>2520</v>
      </c>
      <c r="J492" s="4">
        <v>830239.2</v>
      </c>
      <c r="K492" s="3">
        <v>2520</v>
      </c>
      <c r="L492" s="3">
        <v>2520</v>
      </c>
      <c r="M492" s="2">
        <v>45901</v>
      </c>
      <c r="N492" s="4">
        <v>902890.8</v>
      </c>
      <c r="O492" s="1" t="s">
        <v>21</v>
      </c>
      <c r="P492" s="1" t="s">
        <v>22</v>
      </c>
      <c r="Q492" s="1">
        <v>1</v>
      </c>
      <c r="R492" s="1" t="str">
        <f>VLOOKUP(Sales4[[#This Row],[Material type]],Master!$H$3:$I$8,2,0)</f>
        <v>Finished Goods</v>
      </c>
      <c r="S492" s="1" t="str">
        <f>VLOOKUP(Sales4[[#This Row],[Material Group]],Master!B:C,2,0)</f>
        <v>FG-PCB-CF</v>
      </c>
      <c r="T492" s="1" t="str">
        <f>VLOOKUP(Sales4[[#This Row],[Material Group Descrip]],Master!E:F,2,0)</f>
        <v>FG-PCB-CF</v>
      </c>
      <c r="U492" s="9" t="b">
        <f ca="1">(TODAY()-1)=Sales4[[#This Row],[Billing Date]]</f>
        <v>0</v>
      </c>
      <c r="V492" s="10" t="e">
        <f>Sales4[[#This Row],[Net Value]]-Sales4[[#This Row],[PGI COST]]</f>
        <v>#REF!</v>
      </c>
      <c r="W492" s="11" t="e">
        <f>Sales4[[#This Row],[Gross Margin]]/Sales4[[#This Row],[Net Value]]</f>
        <v>#REF!</v>
      </c>
      <c r="X492" s="1" t="str">
        <f>TEXT(Sales4[[#This Row],[Billing Date]],"mmmm-yy")</f>
        <v>September-25</v>
      </c>
      <c r="Y492" s="1">
        <f>Sales4[[#This Row],[Net Value]]/Sales4[[#This Row],[Billed Quantity]]</f>
        <v>358.29</v>
      </c>
      <c r="Z492" s="117">
        <f>Sales4[[#This Row],[Actual delivery qty]]</f>
        <v>2520</v>
      </c>
      <c r="AA492" s="12" t="e">
        <f>SUM(Sales4[[#This Row],[BOM Cost]:[Other Conversion cost pu]])</f>
        <v>#REF!</v>
      </c>
      <c r="AB49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9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92" s="12">
        <f>IFERROR(VLOOKUP(Sales4[[#This Row],[Material]],'COGS Break up'!#REF!,5,0),0)</f>
        <v>0</v>
      </c>
      <c r="AE49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92" s="48" t="e">
        <f>Sales4[[#This Row],[PGI per unit]]-Sales4[[#This Row],[BOM Cost]]-Sales4[[#This Row],[Labour cost per unit]]-Sales4[[#This Row],[Other Conversion cost pu]]</f>
        <v>#REF!</v>
      </c>
      <c r="AG492" s="48" t="e">
        <f>Sales4[[#This Row],[BOM Cost2]]+Sales4[[#This Row],[Labour Cost]]+Sales4[[#This Row],[Other conversion cost]]</f>
        <v>#REF!</v>
      </c>
      <c r="AH492" s="12" t="e">
        <f>Sales4[[#This Row],[Billed Quantity]]*Sales4[[#This Row],[BOM Cost]]</f>
        <v>#REF!</v>
      </c>
      <c r="AI492" s="12" t="e">
        <f>Sales4[[#This Row],[Billed Quantity]]*Sales4[[#This Row],[Labour cost per unit]]</f>
        <v>#REF!</v>
      </c>
      <c r="AJ492" s="12">
        <f>Sales4[[#This Row],[Droppage per unit]]*Sales4[[#This Row],[Billed Quantity]]</f>
        <v>0</v>
      </c>
      <c r="AK492" s="12" t="e">
        <f>Sales4[[#This Row],[Billed Quantity]]*Sales4[[#This Row],[Other Conversion cost pu]]</f>
        <v>#REF!</v>
      </c>
      <c r="AL492" s="48" t="e">
        <f>Sales4[[#This Row],[PGI Amount]]-Sales4[[#This Row],[BOM Cost2]]-Sales4[[#This Row],[Labour Cost]]-Sales4[[#This Row],[Other conversion cost]]</f>
        <v>#REF!</v>
      </c>
      <c r="AM492" s="121" t="e">
        <f>1-Sales4[[#This Row],[PGI COST]]/Sales4[[#This Row],[Net Value]]</f>
        <v>#REF!</v>
      </c>
      <c r="AN492" s="1">
        <f>Sales4[[#This Row],[PGI Amount]]/Sales4[[#This Row],[Billed Quantity]]</f>
        <v>329.46</v>
      </c>
      <c r="AO492" s="72" t="e">
        <f>SUMIFS('COGS Break up'!#REF!,'COGS Break up'!#REF!,Sales4[[#This Row],[Material]],'COGS Break up'!#REF!,'MIS Working'!$AO$1)</f>
        <v>#REF!</v>
      </c>
      <c r="AP492" s="72" t="e">
        <f>SUMIFS('COGS Break up'!#REF!,'COGS Break up'!#REF!,Sales4[[#This Row],[Material]],'COGS Break up'!#REF!,'MIS Working'!$AP$1)</f>
        <v>#REF!</v>
      </c>
      <c r="AQ492" s="72" t="e">
        <f>SUMIFS('COGS Break up'!#REF!,'COGS Break up'!#REF!,Sales4[[#This Row],[Material]],'COGS Break up'!#REF!,'MIS Working'!$AQ$1)</f>
        <v>#REF!</v>
      </c>
      <c r="AR492" s="72">
        <f>Sales4[[#This Row],[Droppage per unit]]</f>
        <v>0</v>
      </c>
      <c r="AS492" s="15" t="e">
        <f>AO492*Sales4[[#This Row],[Billed Quantity]]</f>
        <v>#REF!</v>
      </c>
      <c r="AT492" s="72" t="e">
        <f>AP492*Sales4[[#This Row],[Billed Quantity]]</f>
        <v>#REF!</v>
      </c>
      <c r="AU492" s="72" t="e">
        <f>AQ492*Sales4[[#This Row],[Billed Quantity]]</f>
        <v>#REF!</v>
      </c>
      <c r="AV492" s="72">
        <f>AR492*Sales4[[#This Row],[Billed Quantity]]</f>
        <v>0</v>
      </c>
    </row>
    <row r="493" spans="1:48" x14ac:dyDescent="0.3">
      <c r="A493" s="1" t="s">
        <v>479</v>
      </c>
      <c r="B493" s="2">
        <v>45901</v>
      </c>
      <c r="C493" s="1">
        <v>3271265712</v>
      </c>
      <c r="D493" s="1" t="s">
        <v>38</v>
      </c>
      <c r="E493" s="1" t="s">
        <v>39</v>
      </c>
      <c r="F493" s="1" t="s">
        <v>18</v>
      </c>
      <c r="G493" s="1" t="s">
        <v>19</v>
      </c>
      <c r="H493" s="1" t="s">
        <v>27</v>
      </c>
      <c r="I493" s="3">
        <v>1330</v>
      </c>
      <c r="J493" s="4">
        <v>438181.8</v>
      </c>
      <c r="K493" s="3">
        <v>1330</v>
      </c>
      <c r="L493" s="3">
        <v>1330</v>
      </c>
      <c r="M493" s="2">
        <v>45901</v>
      </c>
      <c r="N493" s="4">
        <v>476525.7</v>
      </c>
      <c r="O493" s="1" t="s">
        <v>21</v>
      </c>
      <c r="P493" s="1" t="s">
        <v>22</v>
      </c>
      <c r="Q493" s="1">
        <v>1</v>
      </c>
      <c r="R493" s="1" t="str">
        <f>VLOOKUP(Sales4[[#This Row],[Material type]],Master!$H$3:$I$8,2,0)</f>
        <v>Finished Goods</v>
      </c>
      <c r="S493" s="1" t="str">
        <f>VLOOKUP(Sales4[[#This Row],[Material Group]],Master!B:C,2,0)</f>
        <v>FG-PCB-CF</v>
      </c>
      <c r="T493" s="1" t="str">
        <f>VLOOKUP(Sales4[[#This Row],[Material Group Descrip]],Master!E:F,2,0)</f>
        <v>FG-PCB-CF</v>
      </c>
      <c r="U493" s="9" t="b">
        <f ca="1">(TODAY()-1)=Sales4[[#This Row],[Billing Date]]</f>
        <v>0</v>
      </c>
      <c r="V493" s="10" t="e">
        <f>Sales4[[#This Row],[Net Value]]-Sales4[[#This Row],[PGI COST]]</f>
        <v>#REF!</v>
      </c>
      <c r="W493" s="11" t="e">
        <f>Sales4[[#This Row],[Gross Margin]]/Sales4[[#This Row],[Net Value]]</f>
        <v>#REF!</v>
      </c>
      <c r="X493" s="1" t="str">
        <f>TEXT(Sales4[[#This Row],[Billing Date]],"mmmm-yy")</f>
        <v>September-25</v>
      </c>
      <c r="Y493" s="1">
        <f>Sales4[[#This Row],[Net Value]]/Sales4[[#This Row],[Billed Quantity]]</f>
        <v>358.29</v>
      </c>
      <c r="Z493" s="117">
        <f>Sales4[[#This Row],[Actual delivery qty]]</f>
        <v>1330</v>
      </c>
      <c r="AA493" s="12" t="e">
        <f>SUM(Sales4[[#This Row],[BOM Cost]:[Other Conversion cost pu]])</f>
        <v>#REF!</v>
      </c>
      <c r="AB49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9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93" s="12">
        <f>IFERROR(VLOOKUP(Sales4[[#This Row],[Material]],'COGS Break up'!#REF!,5,0),0)</f>
        <v>0</v>
      </c>
      <c r="AE49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93" s="48" t="e">
        <f>Sales4[[#This Row],[PGI per unit]]-Sales4[[#This Row],[BOM Cost]]-Sales4[[#This Row],[Labour cost per unit]]-Sales4[[#This Row],[Other Conversion cost pu]]</f>
        <v>#REF!</v>
      </c>
      <c r="AG493" s="48" t="e">
        <f>Sales4[[#This Row],[BOM Cost2]]+Sales4[[#This Row],[Labour Cost]]+Sales4[[#This Row],[Other conversion cost]]</f>
        <v>#REF!</v>
      </c>
      <c r="AH493" s="12" t="e">
        <f>Sales4[[#This Row],[Billed Quantity]]*Sales4[[#This Row],[BOM Cost]]</f>
        <v>#REF!</v>
      </c>
      <c r="AI493" s="12" t="e">
        <f>Sales4[[#This Row],[Billed Quantity]]*Sales4[[#This Row],[Labour cost per unit]]</f>
        <v>#REF!</v>
      </c>
      <c r="AJ493" s="12">
        <f>Sales4[[#This Row],[Droppage per unit]]*Sales4[[#This Row],[Billed Quantity]]</f>
        <v>0</v>
      </c>
      <c r="AK493" s="12" t="e">
        <f>Sales4[[#This Row],[Billed Quantity]]*Sales4[[#This Row],[Other Conversion cost pu]]</f>
        <v>#REF!</v>
      </c>
      <c r="AL493" s="48" t="e">
        <f>Sales4[[#This Row],[PGI Amount]]-Sales4[[#This Row],[BOM Cost2]]-Sales4[[#This Row],[Labour Cost]]-Sales4[[#This Row],[Other conversion cost]]</f>
        <v>#REF!</v>
      </c>
      <c r="AM493" s="121" t="e">
        <f>1-Sales4[[#This Row],[PGI COST]]/Sales4[[#This Row],[Net Value]]</f>
        <v>#REF!</v>
      </c>
      <c r="AN493" s="1">
        <f>Sales4[[#This Row],[PGI Amount]]/Sales4[[#This Row],[Billed Quantity]]</f>
        <v>329.46</v>
      </c>
      <c r="AO493" s="72" t="e">
        <f>SUMIFS('COGS Break up'!#REF!,'COGS Break up'!#REF!,Sales4[[#This Row],[Material]],'COGS Break up'!#REF!,'MIS Working'!$AO$1)</f>
        <v>#REF!</v>
      </c>
      <c r="AP493" s="72" t="e">
        <f>SUMIFS('COGS Break up'!#REF!,'COGS Break up'!#REF!,Sales4[[#This Row],[Material]],'COGS Break up'!#REF!,'MIS Working'!$AP$1)</f>
        <v>#REF!</v>
      </c>
      <c r="AQ493" s="72" t="e">
        <f>SUMIFS('COGS Break up'!#REF!,'COGS Break up'!#REF!,Sales4[[#This Row],[Material]],'COGS Break up'!#REF!,'MIS Working'!$AQ$1)</f>
        <v>#REF!</v>
      </c>
      <c r="AR493" s="72">
        <f>Sales4[[#This Row],[Droppage per unit]]</f>
        <v>0</v>
      </c>
      <c r="AS493" s="15" t="e">
        <f>AO493*Sales4[[#This Row],[Billed Quantity]]</f>
        <v>#REF!</v>
      </c>
      <c r="AT493" s="72" t="e">
        <f>AP493*Sales4[[#This Row],[Billed Quantity]]</f>
        <v>#REF!</v>
      </c>
      <c r="AU493" s="72" t="e">
        <f>AQ493*Sales4[[#This Row],[Billed Quantity]]</f>
        <v>#REF!</v>
      </c>
      <c r="AV493" s="72">
        <f>AR493*Sales4[[#This Row],[Billed Quantity]]</f>
        <v>0</v>
      </c>
    </row>
    <row r="494" spans="1:48" x14ac:dyDescent="0.3">
      <c r="A494" s="1" t="s">
        <v>479</v>
      </c>
      <c r="B494" s="2">
        <v>45901</v>
      </c>
      <c r="C494" s="1">
        <v>3271265708</v>
      </c>
      <c r="D494" s="1" t="s">
        <v>38</v>
      </c>
      <c r="E494" s="1" t="s">
        <v>39</v>
      </c>
      <c r="F494" s="1" t="s">
        <v>18</v>
      </c>
      <c r="G494" s="1" t="s">
        <v>19</v>
      </c>
      <c r="H494" s="1" t="s">
        <v>27</v>
      </c>
      <c r="I494" s="3">
        <v>1680</v>
      </c>
      <c r="J494" s="4">
        <v>553492.80000000005</v>
      </c>
      <c r="K494" s="3">
        <v>1680</v>
      </c>
      <c r="L494" s="3">
        <v>1680</v>
      </c>
      <c r="M494" s="2">
        <v>45901</v>
      </c>
      <c r="N494" s="4">
        <v>601927.19999999995</v>
      </c>
      <c r="O494" s="1" t="s">
        <v>21</v>
      </c>
      <c r="P494" s="1" t="s">
        <v>22</v>
      </c>
      <c r="Q494" s="1">
        <v>1</v>
      </c>
      <c r="R494" s="1" t="str">
        <f>VLOOKUP(Sales4[[#This Row],[Material type]],Master!$H$3:$I$8,2,0)</f>
        <v>Finished Goods</v>
      </c>
      <c r="S494" s="1" t="str">
        <f>VLOOKUP(Sales4[[#This Row],[Material Group]],Master!B:C,2,0)</f>
        <v>FG-PCB-CF</v>
      </c>
      <c r="T494" s="1" t="str">
        <f>VLOOKUP(Sales4[[#This Row],[Material Group Descrip]],Master!E:F,2,0)</f>
        <v>FG-PCB-CF</v>
      </c>
      <c r="U494" s="9" t="b">
        <f ca="1">(TODAY()-1)=Sales4[[#This Row],[Billing Date]]</f>
        <v>0</v>
      </c>
      <c r="V494" s="10" t="e">
        <f>Sales4[[#This Row],[Net Value]]-Sales4[[#This Row],[PGI COST]]</f>
        <v>#REF!</v>
      </c>
      <c r="W494" s="11" t="e">
        <f>Sales4[[#This Row],[Gross Margin]]/Sales4[[#This Row],[Net Value]]</f>
        <v>#REF!</v>
      </c>
      <c r="X494" s="1" t="str">
        <f>TEXT(Sales4[[#This Row],[Billing Date]],"mmmm-yy")</f>
        <v>September-25</v>
      </c>
      <c r="Y494" s="1">
        <f>Sales4[[#This Row],[Net Value]]/Sales4[[#This Row],[Billed Quantity]]</f>
        <v>358.28999999999996</v>
      </c>
      <c r="Z494" s="117">
        <f>Sales4[[#This Row],[Actual delivery qty]]</f>
        <v>1680</v>
      </c>
      <c r="AA494" s="12" t="e">
        <f>SUM(Sales4[[#This Row],[BOM Cost]:[Other Conversion cost pu]])</f>
        <v>#REF!</v>
      </c>
      <c r="AB49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9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94" s="12">
        <f>IFERROR(VLOOKUP(Sales4[[#This Row],[Material]],'COGS Break up'!#REF!,5,0),0)</f>
        <v>0</v>
      </c>
      <c r="AE49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94" s="48" t="e">
        <f>Sales4[[#This Row],[PGI per unit]]-Sales4[[#This Row],[BOM Cost]]-Sales4[[#This Row],[Labour cost per unit]]-Sales4[[#This Row],[Other Conversion cost pu]]</f>
        <v>#REF!</v>
      </c>
      <c r="AG494" s="48" t="e">
        <f>Sales4[[#This Row],[BOM Cost2]]+Sales4[[#This Row],[Labour Cost]]+Sales4[[#This Row],[Other conversion cost]]</f>
        <v>#REF!</v>
      </c>
      <c r="AH494" s="12" t="e">
        <f>Sales4[[#This Row],[Billed Quantity]]*Sales4[[#This Row],[BOM Cost]]</f>
        <v>#REF!</v>
      </c>
      <c r="AI494" s="12" t="e">
        <f>Sales4[[#This Row],[Billed Quantity]]*Sales4[[#This Row],[Labour cost per unit]]</f>
        <v>#REF!</v>
      </c>
      <c r="AJ494" s="12">
        <f>Sales4[[#This Row],[Droppage per unit]]*Sales4[[#This Row],[Billed Quantity]]</f>
        <v>0</v>
      </c>
      <c r="AK494" s="12" t="e">
        <f>Sales4[[#This Row],[Billed Quantity]]*Sales4[[#This Row],[Other Conversion cost pu]]</f>
        <v>#REF!</v>
      </c>
      <c r="AL494" s="48" t="e">
        <f>Sales4[[#This Row],[PGI Amount]]-Sales4[[#This Row],[BOM Cost2]]-Sales4[[#This Row],[Labour Cost]]-Sales4[[#This Row],[Other conversion cost]]</f>
        <v>#REF!</v>
      </c>
      <c r="AM494" s="121" t="e">
        <f>1-Sales4[[#This Row],[PGI COST]]/Sales4[[#This Row],[Net Value]]</f>
        <v>#REF!</v>
      </c>
      <c r="AN494" s="1">
        <f>Sales4[[#This Row],[PGI Amount]]/Sales4[[#This Row],[Billed Quantity]]</f>
        <v>329.46000000000004</v>
      </c>
      <c r="AO494" s="72" t="e">
        <f>SUMIFS('COGS Break up'!#REF!,'COGS Break up'!#REF!,Sales4[[#This Row],[Material]],'COGS Break up'!#REF!,'MIS Working'!$AO$1)</f>
        <v>#REF!</v>
      </c>
      <c r="AP494" s="72" t="e">
        <f>SUMIFS('COGS Break up'!#REF!,'COGS Break up'!#REF!,Sales4[[#This Row],[Material]],'COGS Break up'!#REF!,'MIS Working'!$AP$1)</f>
        <v>#REF!</v>
      </c>
      <c r="AQ494" s="72" t="e">
        <f>SUMIFS('COGS Break up'!#REF!,'COGS Break up'!#REF!,Sales4[[#This Row],[Material]],'COGS Break up'!#REF!,'MIS Working'!$AQ$1)</f>
        <v>#REF!</v>
      </c>
      <c r="AR494" s="72">
        <f>Sales4[[#This Row],[Droppage per unit]]</f>
        <v>0</v>
      </c>
      <c r="AS494" s="15" t="e">
        <f>AO494*Sales4[[#This Row],[Billed Quantity]]</f>
        <v>#REF!</v>
      </c>
      <c r="AT494" s="72" t="e">
        <f>AP494*Sales4[[#This Row],[Billed Quantity]]</f>
        <v>#REF!</v>
      </c>
      <c r="AU494" s="72" t="e">
        <f>AQ494*Sales4[[#This Row],[Billed Quantity]]</f>
        <v>#REF!</v>
      </c>
      <c r="AV494" s="72">
        <f>AR494*Sales4[[#This Row],[Billed Quantity]]</f>
        <v>0</v>
      </c>
    </row>
    <row r="495" spans="1:48" x14ac:dyDescent="0.3">
      <c r="A495" s="1" t="s">
        <v>479</v>
      </c>
      <c r="B495" s="2">
        <v>45901</v>
      </c>
      <c r="C495" s="1">
        <v>3271265663</v>
      </c>
      <c r="D495" s="1" t="s">
        <v>360</v>
      </c>
      <c r="E495" s="1" t="s">
        <v>361</v>
      </c>
      <c r="F495" s="1" t="s">
        <v>18</v>
      </c>
      <c r="G495" s="1" t="s">
        <v>19</v>
      </c>
      <c r="H495" s="1" t="s">
        <v>774</v>
      </c>
      <c r="I495" s="3">
        <v>315</v>
      </c>
      <c r="J495" s="4">
        <v>9409.0499999999993</v>
      </c>
      <c r="K495" s="3">
        <v>315</v>
      </c>
      <c r="L495" s="3">
        <v>315</v>
      </c>
      <c r="M495" s="2">
        <v>45901</v>
      </c>
      <c r="N495" s="4">
        <v>8741.25</v>
      </c>
      <c r="O495" s="1" t="s">
        <v>21</v>
      </c>
      <c r="P495" s="1" t="s">
        <v>22</v>
      </c>
      <c r="Q495" s="1">
        <v>1</v>
      </c>
      <c r="R495" s="1" t="str">
        <f>VLOOKUP(Sales4[[#This Row],[Material type]],Master!$H$3:$I$8,2,0)</f>
        <v>Finished Goods</v>
      </c>
      <c r="S495" s="1" t="str">
        <f>VLOOKUP(Sales4[[#This Row],[Material Group]],Master!B:C,2,0)</f>
        <v>FG-PCB-MG Sensor</v>
      </c>
      <c r="T495" s="1" t="str">
        <f>VLOOKUP(Sales4[[#This Row],[Material Group Descrip]],Master!E:F,2,0)</f>
        <v>FG-PCB-MG</v>
      </c>
      <c r="U495" s="9" t="b">
        <f ca="1">(TODAY()-1)=Sales4[[#This Row],[Billing Date]]</f>
        <v>0</v>
      </c>
      <c r="V495" s="10" t="e">
        <f>Sales4[[#This Row],[Net Value]]-Sales4[[#This Row],[PGI COST]]</f>
        <v>#REF!</v>
      </c>
      <c r="W495" s="11" t="e">
        <f>Sales4[[#This Row],[Gross Margin]]/Sales4[[#This Row],[Net Value]]</f>
        <v>#REF!</v>
      </c>
      <c r="X495" s="1" t="str">
        <f>TEXT(Sales4[[#This Row],[Billing Date]],"mmmm-yy")</f>
        <v>September-25</v>
      </c>
      <c r="Y495" s="1">
        <f>Sales4[[#This Row],[Net Value]]/Sales4[[#This Row],[Billed Quantity]]</f>
        <v>27.75</v>
      </c>
      <c r="Z495" s="117"/>
      <c r="AA495" s="12" t="e">
        <f>SUM(Sales4[[#This Row],[BOM Cost]:[Other Conversion cost pu]])</f>
        <v>#REF!</v>
      </c>
      <c r="AB49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9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95" s="12">
        <f>IFERROR(VLOOKUP(Sales4[[#This Row],[Material]],'COGS Break up'!#REF!,5,0),0)</f>
        <v>0</v>
      </c>
      <c r="AE49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95" s="48" t="e">
        <f>Sales4[[#This Row],[PGI per unit]]-Sales4[[#This Row],[BOM Cost]]-Sales4[[#This Row],[Labour cost per unit]]-Sales4[[#This Row],[Other Conversion cost pu]]</f>
        <v>#REF!</v>
      </c>
      <c r="AG495" s="48" t="e">
        <f>Sales4[[#This Row],[BOM Cost2]]+Sales4[[#This Row],[Labour Cost]]+Sales4[[#This Row],[Other conversion cost]]</f>
        <v>#REF!</v>
      </c>
      <c r="AH495" s="12" t="e">
        <f>Sales4[[#This Row],[Billed Quantity]]*Sales4[[#This Row],[BOM Cost]]</f>
        <v>#REF!</v>
      </c>
      <c r="AI495" s="12" t="e">
        <f>Sales4[[#This Row],[Billed Quantity]]*Sales4[[#This Row],[Labour cost per unit]]</f>
        <v>#REF!</v>
      </c>
      <c r="AJ495" s="12">
        <f>Sales4[[#This Row],[Droppage per unit]]*Sales4[[#This Row],[Billed Quantity]]</f>
        <v>0</v>
      </c>
      <c r="AK495" s="12" t="e">
        <f>Sales4[[#This Row],[Billed Quantity]]*Sales4[[#This Row],[Other Conversion cost pu]]</f>
        <v>#REF!</v>
      </c>
      <c r="AL495" s="48" t="e">
        <f>Sales4[[#This Row],[PGI Amount]]-Sales4[[#This Row],[BOM Cost2]]-Sales4[[#This Row],[Labour Cost]]-Sales4[[#This Row],[Other conversion cost]]</f>
        <v>#REF!</v>
      </c>
      <c r="AM495" s="121" t="e">
        <f>1-Sales4[[#This Row],[PGI COST]]/Sales4[[#This Row],[Net Value]]</f>
        <v>#REF!</v>
      </c>
      <c r="AN495" s="1">
        <f>Sales4[[#This Row],[PGI Amount]]/Sales4[[#This Row],[Billed Quantity]]</f>
        <v>29.869999999999997</v>
      </c>
      <c r="AO495" s="72" t="e">
        <f>SUMIFS('COGS Break up'!#REF!,'COGS Break up'!#REF!,Sales4[[#This Row],[Material]],'COGS Break up'!#REF!,'MIS Working'!$AO$1)</f>
        <v>#REF!</v>
      </c>
      <c r="AP495" s="72" t="e">
        <f>SUMIFS('COGS Break up'!#REF!,'COGS Break up'!#REF!,Sales4[[#This Row],[Material]],'COGS Break up'!#REF!,'MIS Working'!$AP$1)</f>
        <v>#REF!</v>
      </c>
      <c r="AQ495" s="72" t="e">
        <f>SUMIFS('COGS Break up'!#REF!,'COGS Break up'!#REF!,Sales4[[#This Row],[Material]],'COGS Break up'!#REF!,'MIS Working'!$AQ$1)</f>
        <v>#REF!</v>
      </c>
      <c r="AR495" s="72">
        <f>Sales4[[#This Row],[Droppage per unit]]</f>
        <v>0</v>
      </c>
      <c r="AS495" s="15" t="e">
        <f>AO495*Sales4[[#This Row],[Billed Quantity]]</f>
        <v>#REF!</v>
      </c>
      <c r="AT495" s="72" t="e">
        <f>AP495*Sales4[[#This Row],[Billed Quantity]]</f>
        <v>#REF!</v>
      </c>
      <c r="AU495" s="72" t="e">
        <f>AQ495*Sales4[[#This Row],[Billed Quantity]]</f>
        <v>#REF!</v>
      </c>
      <c r="AV495" s="72">
        <f>AR495*Sales4[[#This Row],[Billed Quantity]]</f>
        <v>0</v>
      </c>
    </row>
    <row r="496" spans="1:48" x14ac:dyDescent="0.3">
      <c r="A496" s="1" t="s">
        <v>479</v>
      </c>
      <c r="B496" s="2">
        <v>45901</v>
      </c>
      <c r="C496" s="1">
        <v>3271265712</v>
      </c>
      <c r="D496" s="1" t="s">
        <v>362</v>
      </c>
      <c r="E496" s="1" t="s">
        <v>363</v>
      </c>
      <c r="F496" s="1" t="s">
        <v>18</v>
      </c>
      <c r="G496" s="1" t="s">
        <v>19</v>
      </c>
      <c r="H496" s="1" t="s">
        <v>483</v>
      </c>
      <c r="I496" s="3">
        <v>280</v>
      </c>
      <c r="J496" s="4">
        <v>205270.8</v>
      </c>
      <c r="K496" s="3">
        <v>280</v>
      </c>
      <c r="L496" s="3">
        <v>280</v>
      </c>
      <c r="M496" s="2">
        <v>45901</v>
      </c>
      <c r="N496" s="4">
        <v>241427.20000000001</v>
      </c>
      <c r="O496" s="1" t="s">
        <v>21</v>
      </c>
      <c r="P496" s="1" t="s">
        <v>22</v>
      </c>
      <c r="Q496" s="1">
        <v>1</v>
      </c>
      <c r="R496" s="1" t="str">
        <f>VLOOKUP(Sales4[[#This Row],[Material type]],Master!$H$3:$I$8,2,0)</f>
        <v>Finished Goods</v>
      </c>
      <c r="S496" s="1" t="str">
        <f>VLOOKUP(Sales4[[#This Row],[Material Group]],Master!B:C,2,0)</f>
        <v>FG-PCB-MG</v>
      </c>
      <c r="T496" s="1" t="str">
        <f>VLOOKUP(Sales4[[#This Row],[Material Group Descrip]],Master!E:F,2,0)</f>
        <v>FG-PCB-MG</v>
      </c>
      <c r="U496" s="9" t="b">
        <f ca="1">(TODAY()-1)=Sales4[[#This Row],[Billing Date]]</f>
        <v>0</v>
      </c>
      <c r="V496" s="10" t="e">
        <f>Sales4[[#This Row],[Net Value]]-Sales4[[#This Row],[PGI COST]]</f>
        <v>#REF!</v>
      </c>
      <c r="W496" s="11" t="e">
        <f>Sales4[[#This Row],[Gross Margin]]/Sales4[[#This Row],[Net Value]]</f>
        <v>#REF!</v>
      </c>
      <c r="X496" s="1" t="str">
        <f>TEXT(Sales4[[#This Row],[Billing Date]],"mmmm-yy")</f>
        <v>September-25</v>
      </c>
      <c r="Y496" s="1">
        <f>Sales4[[#This Row],[Net Value]]/Sales4[[#This Row],[Billed Quantity]]</f>
        <v>862.24</v>
      </c>
      <c r="Z496" s="117">
        <f>Sales4[[#This Row],[Actual delivery qty]]</f>
        <v>280</v>
      </c>
      <c r="AA496" s="12" t="e">
        <f>SUM(Sales4[[#This Row],[BOM Cost]:[Other Conversion cost pu]])</f>
        <v>#REF!</v>
      </c>
      <c r="AB49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9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96" s="12">
        <f>IFERROR(VLOOKUP(Sales4[[#This Row],[Material]],'COGS Break up'!#REF!,5,0),0)</f>
        <v>0</v>
      </c>
      <c r="AE49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96" s="48" t="e">
        <f>Sales4[[#This Row],[PGI per unit]]-Sales4[[#This Row],[BOM Cost]]-Sales4[[#This Row],[Labour cost per unit]]-Sales4[[#This Row],[Other Conversion cost pu]]</f>
        <v>#REF!</v>
      </c>
      <c r="AG496" s="48" t="e">
        <f>Sales4[[#This Row],[BOM Cost2]]+Sales4[[#This Row],[Labour Cost]]+Sales4[[#This Row],[Other conversion cost]]</f>
        <v>#REF!</v>
      </c>
      <c r="AH496" s="12" t="e">
        <f>Sales4[[#This Row],[Billed Quantity]]*Sales4[[#This Row],[BOM Cost]]</f>
        <v>#REF!</v>
      </c>
      <c r="AI496" s="12" t="e">
        <f>Sales4[[#This Row],[Billed Quantity]]*Sales4[[#This Row],[Labour cost per unit]]</f>
        <v>#REF!</v>
      </c>
      <c r="AJ496" s="12">
        <f>Sales4[[#This Row],[Droppage per unit]]*Sales4[[#This Row],[Billed Quantity]]</f>
        <v>0</v>
      </c>
      <c r="AK496" s="12" t="e">
        <f>Sales4[[#This Row],[Billed Quantity]]*Sales4[[#This Row],[Other Conversion cost pu]]</f>
        <v>#REF!</v>
      </c>
      <c r="AL496" s="48" t="e">
        <f>Sales4[[#This Row],[PGI Amount]]-Sales4[[#This Row],[BOM Cost2]]-Sales4[[#This Row],[Labour Cost]]-Sales4[[#This Row],[Other conversion cost]]</f>
        <v>#REF!</v>
      </c>
      <c r="AM496" s="121" t="e">
        <f>1-Sales4[[#This Row],[PGI COST]]/Sales4[[#This Row],[Net Value]]</f>
        <v>#REF!</v>
      </c>
      <c r="AN496" s="1">
        <f>Sales4[[#This Row],[PGI Amount]]/Sales4[[#This Row],[Billed Quantity]]</f>
        <v>733.11</v>
      </c>
      <c r="AO496" s="72" t="e">
        <f>SUMIFS('COGS Break up'!#REF!,'COGS Break up'!#REF!,Sales4[[#This Row],[Material]],'COGS Break up'!#REF!,'MIS Working'!$AO$1)</f>
        <v>#REF!</v>
      </c>
      <c r="AP496" s="72" t="e">
        <f>SUMIFS('COGS Break up'!#REF!,'COGS Break up'!#REF!,Sales4[[#This Row],[Material]],'COGS Break up'!#REF!,'MIS Working'!$AP$1)</f>
        <v>#REF!</v>
      </c>
      <c r="AQ496" s="72" t="e">
        <f>SUMIFS('COGS Break up'!#REF!,'COGS Break up'!#REF!,Sales4[[#This Row],[Material]],'COGS Break up'!#REF!,'MIS Working'!$AQ$1)</f>
        <v>#REF!</v>
      </c>
      <c r="AR496" s="72">
        <f>Sales4[[#This Row],[Droppage per unit]]</f>
        <v>0</v>
      </c>
      <c r="AS496" s="15" t="e">
        <f>AO496*Sales4[[#This Row],[Billed Quantity]]</f>
        <v>#REF!</v>
      </c>
      <c r="AT496" s="72" t="e">
        <f>AP496*Sales4[[#This Row],[Billed Quantity]]</f>
        <v>#REF!</v>
      </c>
      <c r="AU496" s="72" t="e">
        <f>AQ496*Sales4[[#This Row],[Billed Quantity]]</f>
        <v>#REF!</v>
      </c>
      <c r="AV496" s="72">
        <f>AR496*Sales4[[#This Row],[Billed Quantity]]</f>
        <v>0</v>
      </c>
    </row>
    <row r="497" spans="1:48" x14ac:dyDescent="0.3">
      <c r="A497" s="1" t="s">
        <v>479</v>
      </c>
      <c r="B497" s="2">
        <v>45901</v>
      </c>
      <c r="C497" s="1">
        <v>3271265617</v>
      </c>
      <c r="D497" s="1" t="s">
        <v>362</v>
      </c>
      <c r="E497" s="1" t="s">
        <v>363</v>
      </c>
      <c r="F497" s="1" t="s">
        <v>18</v>
      </c>
      <c r="G497" s="1" t="s">
        <v>19</v>
      </c>
      <c r="H497" s="1" t="s">
        <v>483</v>
      </c>
      <c r="I497" s="3">
        <v>840</v>
      </c>
      <c r="J497" s="4">
        <v>643372.80000000005</v>
      </c>
      <c r="K497" s="3">
        <v>840</v>
      </c>
      <c r="L497" s="3">
        <v>840</v>
      </c>
      <c r="M497" s="2">
        <v>45901</v>
      </c>
      <c r="N497" s="4">
        <v>724281.6</v>
      </c>
      <c r="O497" s="1" t="s">
        <v>21</v>
      </c>
      <c r="P497" s="1" t="s">
        <v>22</v>
      </c>
      <c r="Q497" s="1">
        <v>1</v>
      </c>
      <c r="R497" s="1" t="str">
        <f>VLOOKUP(Sales4[[#This Row],[Material type]],Master!$H$3:$I$8,2,0)</f>
        <v>Finished Goods</v>
      </c>
      <c r="S497" s="1" t="str">
        <f>VLOOKUP(Sales4[[#This Row],[Material Group]],Master!B:C,2,0)</f>
        <v>FG-PCB-MG</v>
      </c>
      <c r="T497" s="1" t="str">
        <f>VLOOKUP(Sales4[[#This Row],[Material Group Descrip]],Master!E:F,2,0)</f>
        <v>FG-PCB-MG</v>
      </c>
      <c r="U497" s="9" t="b">
        <f ca="1">(TODAY()-1)=Sales4[[#This Row],[Billing Date]]</f>
        <v>0</v>
      </c>
      <c r="V497" s="10" t="e">
        <f>Sales4[[#This Row],[Net Value]]-Sales4[[#This Row],[PGI COST]]</f>
        <v>#REF!</v>
      </c>
      <c r="W497" s="11" t="e">
        <f>Sales4[[#This Row],[Gross Margin]]/Sales4[[#This Row],[Net Value]]</f>
        <v>#REF!</v>
      </c>
      <c r="X497" s="1" t="str">
        <f>TEXT(Sales4[[#This Row],[Billing Date]],"mmmm-yy")</f>
        <v>September-25</v>
      </c>
      <c r="Y497" s="1">
        <f>Sales4[[#This Row],[Net Value]]/Sales4[[#This Row],[Billed Quantity]]</f>
        <v>862.24</v>
      </c>
      <c r="Z497" s="117">
        <f>Sales4[[#This Row],[Actual delivery qty]]</f>
        <v>840</v>
      </c>
      <c r="AA497" s="12" t="e">
        <f>SUM(Sales4[[#This Row],[BOM Cost]:[Other Conversion cost pu]])</f>
        <v>#REF!</v>
      </c>
      <c r="AB497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97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97" s="12">
        <f>IFERROR(VLOOKUP(Sales4[[#This Row],[Material]],'COGS Break up'!#REF!,5,0),0)</f>
        <v>0</v>
      </c>
      <c r="AE497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97" s="48" t="e">
        <f>Sales4[[#This Row],[PGI per unit]]-Sales4[[#This Row],[BOM Cost]]-Sales4[[#This Row],[Labour cost per unit]]-Sales4[[#This Row],[Other Conversion cost pu]]</f>
        <v>#REF!</v>
      </c>
      <c r="AG497" s="48" t="e">
        <f>Sales4[[#This Row],[BOM Cost2]]+Sales4[[#This Row],[Labour Cost]]+Sales4[[#This Row],[Other conversion cost]]</f>
        <v>#REF!</v>
      </c>
      <c r="AH497" s="12" t="e">
        <f>Sales4[[#This Row],[Billed Quantity]]*Sales4[[#This Row],[BOM Cost]]</f>
        <v>#REF!</v>
      </c>
      <c r="AI497" s="12" t="e">
        <f>Sales4[[#This Row],[Billed Quantity]]*Sales4[[#This Row],[Labour cost per unit]]</f>
        <v>#REF!</v>
      </c>
      <c r="AJ497" s="12">
        <f>Sales4[[#This Row],[Droppage per unit]]*Sales4[[#This Row],[Billed Quantity]]</f>
        <v>0</v>
      </c>
      <c r="AK497" s="12" t="e">
        <f>Sales4[[#This Row],[Billed Quantity]]*Sales4[[#This Row],[Other Conversion cost pu]]</f>
        <v>#REF!</v>
      </c>
      <c r="AL497" s="48" t="e">
        <f>Sales4[[#This Row],[PGI Amount]]-Sales4[[#This Row],[BOM Cost2]]-Sales4[[#This Row],[Labour Cost]]-Sales4[[#This Row],[Other conversion cost]]</f>
        <v>#REF!</v>
      </c>
      <c r="AM497" s="121" t="e">
        <f>1-Sales4[[#This Row],[PGI COST]]/Sales4[[#This Row],[Net Value]]</f>
        <v>#REF!</v>
      </c>
      <c r="AN497" s="1">
        <f>Sales4[[#This Row],[PGI Amount]]/Sales4[[#This Row],[Billed Quantity]]</f>
        <v>765.92000000000007</v>
      </c>
      <c r="AO497" s="72" t="e">
        <f>SUMIFS('COGS Break up'!#REF!,'COGS Break up'!#REF!,Sales4[[#This Row],[Material]],'COGS Break up'!#REF!,'MIS Working'!$AO$1)</f>
        <v>#REF!</v>
      </c>
      <c r="AP497" s="72" t="e">
        <f>SUMIFS('COGS Break up'!#REF!,'COGS Break up'!#REF!,Sales4[[#This Row],[Material]],'COGS Break up'!#REF!,'MIS Working'!$AP$1)</f>
        <v>#REF!</v>
      </c>
      <c r="AQ497" s="72" t="e">
        <f>SUMIFS('COGS Break up'!#REF!,'COGS Break up'!#REF!,Sales4[[#This Row],[Material]],'COGS Break up'!#REF!,'MIS Working'!$AQ$1)</f>
        <v>#REF!</v>
      </c>
      <c r="AR497" s="72">
        <f>Sales4[[#This Row],[Droppage per unit]]</f>
        <v>0</v>
      </c>
      <c r="AS497" s="15" t="e">
        <f>AO497*Sales4[[#This Row],[Billed Quantity]]</f>
        <v>#REF!</v>
      </c>
      <c r="AT497" s="72" t="e">
        <f>AP497*Sales4[[#This Row],[Billed Quantity]]</f>
        <v>#REF!</v>
      </c>
      <c r="AU497" s="72" t="e">
        <f>AQ497*Sales4[[#This Row],[Billed Quantity]]</f>
        <v>#REF!</v>
      </c>
      <c r="AV497" s="72">
        <f>AR497*Sales4[[#This Row],[Billed Quantity]]</f>
        <v>0</v>
      </c>
    </row>
    <row r="498" spans="1:48" x14ac:dyDescent="0.3">
      <c r="A498" s="1" t="s">
        <v>479</v>
      </c>
      <c r="B498" s="2">
        <v>45901</v>
      </c>
      <c r="C498" s="1">
        <v>3271265663</v>
      </c>
      <c r="D498" s="1" t="s">
        <v>364</v>
      </c>
      <c r="E498" s="1" t="s">
        <v>365</v>
      </c>
      <c r="F498" s="1" t="s">
        <v>18</v>
      </c>
      <c r="G498" s="1" t="s">
        <v>19</v>
      </c>
      <c r="H498" s="1" t="s">
        <v>771</v>
      </c>
      <c r="I498" s="3">
        <v>805</v>
      </c>
      <c r="J498" s="4">
        <v>87769.15</v>
      </c>
      <c r="K498" s="3">
        <v>805</v>
      </c>
      <c r="L498" s="3">
        <v>805</v>
      </c>
      <c r="M498" s="2">
        <v>45901</v>
      </c>
      <c r="N498" s="4">
        <v>81498.2</v>
      </c>
      <c r="O498" s="1" t="s">
        <v>21</v>
      </c>
      <c r="P498" s="1" t="s">
        <v>22</v>
      </c>
      <c r="Q498" s="1">
        <v>1</v>
      </c>
      <c r="R498" s="1" t="str">
        <f>VLOOKUP(Sales4[[#This Row],[Material type]],Master!$H$3:$I$8,2,0)</f>
        <v>Finished Goods</v>
      </c>
      <c r="S498" s="1" t="str">
        <f>VLOOKUP(Sales4[[#This Row],[Material Group]],Master!B:C,2,0)</f>
        <v>FG-PCB-MG Interface</v>
      </c>
      <c r="T498" s="1" t="str">
        <f>VLOOKUP(Sales4[[#This Row],[Material Group Descrip]],Master!E:F,2,0)</f>
        <v>FG-PCB-MG</v>
      </c>
      <c r="U498" s="9" t="b">
        <f ca="1">(TODAY()-1)=Sales4[[#This Row],[Billing Date]]</f>
        <v>0</v>
      </c>
      <c r="V498" s="10" t="e">
        <f>Sales4[[#This Row],[Net Value]]-Sales4[[#This Row],[PGI COST]]</f>
        <v>#REF!</v>
      </c>
      <c r="W498" s="11" t="e">
        <f>Sales4[[#This Row],[Gross Margin]]/Sales4[[#This Row],[Net Value]]</f>
        <v>#REF!</v>
      </c>
      <c r="X498" s="1" t="str">
        <f>TEXT(Sales4[[#This Row],[Billing Date]],"mmmm-yy")</f>
        <v>September-25</v>
      </c>
      <c r="Y498" s="1">
        <f>Sales4[[#This Row],[Net Value]]/Sales4[[#This Row],[Billed Quantity]]</f>
        <v>101.24</v>
      </c>
      <c r="Z498" s="117"/>
      <c r="AA498" s="12" t="e">
        <f>SUM(Sales4[[#This Row],[BOM Cost]:[Other Conversion cost pu]])</f>
        <v>#REF!</v>
      </c>
      <c r="AB498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98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98" s="12">
        <f>IFERROR(VLOOKUP(Sales4[[#This Row],[Material]],'COGS Break up'!#REF!,5,0),0)</f>
        <v>0</v>
      </c>
      <c r="AE498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98" s="48" t="e">
        <f>Sales4[[#This Row],[PGI per unit]]-Sales4[[#This Row],[BOM Cost]]-Sales4[[#This Row],[Labour cost per unit]]-Sales4[[#This Row],[Other Conversion cost pu]]</f>
        <v>#REF!</v>
      </c>
      <c r="AG498" s="48" t="e">
        <f>Sales4[[#This Row],[BOM Cost2]]+Sales4[[#This Row],[Labour Cost]]+Sales4[[#This Row],[Other conversion cost]]</f>
        <v>#REF!</v>
      </c>
      <c r="AH498" s="12" t="e">
        <f>Sales4[[#This Row],[Billed Quantity]]*Sales4[[#This Row],[BOM Cost]]</f>
        <v>#REF!</v>
      </c>
      <c r="AI498" s="12" t="e">
        <f>Sales4[[#This Row],[Billed Quantity]]*Sales4[[#This Row],[Labour cost per unit]]</f>
        <v>#REF!</v>
      </c>
      <c r="AJ498" s="12">
        <f>Sales4[[#This Row],[Droppage per unit]]*Sales4[[#This Row],[Billed Quantity]]</f>
        <v>0</v>
      </c>
      <c r="AK498" s="12" t="e">
        <f>Sales4[[#This Row],[Billed Quantity]]*Sales4[[#This Row],[Other Conversion cost pu]]</f>
        <v>#REF!</v>
      </c>
      <c r="AL498" s="48" t="e">
        <f>Sales4[[#This Row],[PGI Amount]]-Sales4[[#This Row],[BOM Cost2]]-Sales4[[#This Row],[Labour Cost]]-Sales4[[#This Row],[Other conversion cost]]</f>
        <v>#REF!</v>
      </c>
      <c r="AM498" s="121" t="e">
        <f>1-Sales4[[#This Row],[PGI COST]]/Sales4[[#This Row],[Net Value]]</f>
        <v>#REF!</v>
      </c>
      <c r="AN498" s="1">
        <f>Sales4[[#This Row],[PGI Amount]]/Sales4[[#This Row],[Billed Quantity]]</f>
        <v>109.02999999999999</v>
      </c>
      <c r="AO498" s="72" t="e">
        <f>SUMIFS('COGS Break up'!#REF!,'COGS Break up'!#REF!,Sales4[[#This Row],[Material]],'COGS Break up'!#REF!,'MIS Working'!$AO$1)</f>
        <v>#REF!</v>
      </c>
      <c r="AP498" s="72" t="e">
        <f>SUMIFS('COGS Break up'!#REF!,'COGS Break up'!#REF!,Sales4[[#This Row],[Material]],'COGS Break up'!#REF!,'MIS Working'!$AP$1)</f>
        <v>#REF!</v>
      </c>
      <c r="AQ498" s="72" t="e">
        <f>SUMIFS('COGS Break up'!#REF!,'COGS Break up'!#REF!,Sales4[[#This Row],[Material]],'COGS Break up'!#REF!,'MIS Working'!$AQ$1)</f>
        <v>#REF!</v>
      </c>
      <c r="AR498" s="72">
        <f>Sales4[[#This Row],[Droppage per unit]]</f>
        <v>0</v>
      </c>
      <c r="AS498" s="15" t="e">
        <f>AO498*Sales4[[#This Row],[Billed Quantity]]</f>
        <v>#REF!</v>
      </c>
      <c r="AT498" s="72" t="e">
        <f>AP498*Sales4[[#This Row],[Billed Quantity]]</f>
        <v>#REF!</v>
      </c>
      <c r="AU498" s="72" t="e">
        <f>AQ498*Sales4[[#This Row],[Billed Quantity]]</f>
        <v>#REF!</v>
      </c>
      <c r="AV498" s="72">
        <f>AR498*Sales4[[#This Row],[Billed Quantity]]</f>
        <v>0</v>
      </c>
    </row>
    <row r="499" spans="1:48" x14ac:dyDescent="0.3">
      <c r="A499" s="1" t="s">
        <v>479</v>
      </c>
      <c r="B499" s="2">
        <v>45901</v>
      </c>
      <c r="C499" s="1">
        <v>3271265663</v>
      </c>
      <c r="D499" s="1" t="s">
        <v>42</v>
      </c>
      <c r="E499" s="1" t="s">
        <v>43</v>
      </c>
      <c r="F499" s="1" t="s">
        <v>18</v>
      </c>
      <c r="G499" s="1" t="s">
        <v>19</v>
      </c>
      <c r="H499" s="1" t="s">
        <v>27</v>
      </c>
      <c r="I499" s="3">
        <v>700</v>
      </c>
      <c r="J499" s="4">
        <v>230629</v>
      </c>
      <c r="K499" s="3">
        <v>700</v>
      </c>
      <c r="L499" s="3">
        <v>700</v>
      </c>
      <c r="M499" s="2">
        <v>45901</v>
      </c>
      <c r="N499" s="4">
        <v>250803</v>
      </c>
      <c r="O499" s="1" t="s">
        <v>21</v>
      </c>
      <c r="P499" s="1" t="s">
        <v>22</v>
      </c>
      <c r="Q499" s="1">
        <v>1</v>
      </c>
      <c r="R499" s="1" t="str">
        <f>VLOOKUP(Sales4[[#This Row],[Material type]],Master!$H$3:$I$8,2,0)</f>
        <v>Finished Goods</v>
      </c>
      <c r="S499" s="1" t="str">
        <f>VLOOKUP(Sales4[[#This Row],[Material Group]],Master!B:C,2,0)</f>
        <v>FG-PCB-CF</v>
      </c>
      <c r="T499" s="1" t="str">
        <f>VLOOKUP(Sales4[[#This Row],[Material Group Descrip]],Master!E:F,2,0)</f>
        <v>FG-PCB-CF</v>
      </c>
      <c r="U499" s="9" t="b">
        <f ca="1">(TODAY()-1)=Sales4[[#This Row],[Billing Date]]</f>
        <v>0</v>
      </c>
      <c r="V499" s="10" t="e">
        <f>Sales4[[#This Row],[Net Value]]-Sales4[[#This Row],[PGI COST]]</f>
        <v>#REF!</v>
      </c>
      <c r="W499" s="11" t="e">
        <f>Sales4[[#This Row],[Gross Margin]]/Sales4[[#This Row],[Net Value]]</f>
        <v>#REF!</v>
      </c>
      <c r="X499" s="1" t="str">
        <f>TEXT(Sales4[[#This Row],[Billing Date]],"mmmm-yy")</f>
        <v>September-25</v>
      </c>
      <c r="Y499" s="1">
        <f>Sales4[[#This Row],[Net Value]]/Sales4[[#This Row],[Billed Quantity]]</f>
        <v>358.29</v>
      </c>
      <c r="Z499" s="117">
        <f>Sales4[[#This Row],[Actual delivery qty]]</f>
        <v>700</v>
      </c>
      <c r="AA499" s="12" t="e">
        <f>SUM(Sales4[[#This Row],[BOM Cost]:[Other Conversion cost pu]])</f>
        <v>#REF!</v>
      </c>
      <c r="AB499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499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499" s="12">
        <f>IFERROR(VLOOKUP(Sales4[[#This Row],[Material]],'COGS Break up'!#REF!,5,0),0)</f>
        <v>0</v>
      </c>
      <c r="AE499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499" s="48" t="e">
        <f>Sales4[[#This Row],[PGI per unit]]-Sales4[[#This Row],[BOM Cost]]-Sales4[[#This Row],[Labour cost per unit]]-Sales4[[#This Row],[Other Conversion cost pu]]</f>
        <v>#REF!</v>
      </c>
      <c r="AG499" s="48" t="e">
        <f>Sales4[[#This Row],[BOM Cost2]]+Sales4[[#This Row],[Labour Cost]]+Sales4[[#This Row],[Other conversion cost]]</f>
        <v>#REF!</v>
      </c>
      <c r="AH499" s="12" t="e">
        <f>Sales4[[#This Row],[Billed Quantity]]*Sales4[[#This Row],[BOM Cost]]</f>
        <v>#REF!</v>
      </c>
      <c r="AI499" s="12" t="e">
        <f>Sales4[[#This Row],[Billed Quantity]]*Sales4[[#This Row],[Labour cost per unit]]</f>
        <v>#REF!</v>
      </c>
      <c r="AJ499" s="12">
        <f>Sales4[[#This Row],[Droppage per unit]]*Sales4[[#This Row],[Billed Quantity]]</f>
        <v>0</v>
      </c>
      <c r="AK499" s="12" t="e">
        <f>Sales4[[#This Row],[Billed Quantity]]*Sales4[[#This Row],[Other Conversion cost pu]]</f>
        <v>#REF!</v>
      </c>
      <c r="AL499" s="48" t="e">
        <f>Sales4[[#This Row],[PGI Amount]]-Sales4[[#This Row],[BOM Cost2]]-Sales4[[#This Row],[Labour Cost]]-Sales4[[#This Row],[Other conversion cost]]</f>
        <v>#REF!</v>
      </c>
      <c r="AM499" s="121" t="e">
        <f>1-Sales4[[#This Row],[PGI COST]]/Sales4[[#This Row],[Net Value]]</f>
        <v>#REF!</v>
      </c>
      <c r="AN499" s="1">
        <f>Sales4[[#This Row],[PGI Amount]]/Sales4[[#This Row],[Billed Quantity]]</f>
        <v>329.47</v>
      </c>
      <c r="AO499" s="72" t="e">
        <f>SUMIFS('COGS Break up'!#REF!,'COGS Break up'!#REF!,Sales4[[#This Row],[Material]],'COGS Break up'!#REF!,'MIS Working'!$AO$1)</f>
        <v>#REF!</v>
      </c>
      <c r="AP499" s="72" t="e">
        <f>SUMIFS('COGS Break up'!#REF!,'COGS Break up'!#REF!,Sales4[[#This Row],[Material]],'COGS Break up'!#REF!,'MIS Working'!$AP$1)</f>
        <v>#REF!</v>
      </c>
      <c r="AQ499" s="72" t="e">
        <f>SUMIFS('COGS Break up'!#REF!,'COGS Break up'!#REF!,Sales4[[#This Row],[Material]],'COGS Break up'!#REF!,'MIS Working'!$AQ$1)</f>
        <v>#REF!</v>
      </c>
      <c r="AR499" s="72">
        <f>Sales4[[#This Row],[Droppage per unit]]</f>
        <v>0</v>
      </c>
      <c r="AS499" s="15" t="e">
        <f>AO499*Sales4[[#This Row],[Billed Quantity]]</f>
        <v>#REF!</v>
      </c>
      <c r="AT499" s="72" t="e">
        <f>AP499*Sales4[[#This Row],[Billed Quantity]]</f>
        <v>#REF!</v>
      </c>
      <c r="AU499" s="72" t="e">
        <f>AQ499*Sales4[[#This Row],[Billed Quantity]]</f>
        <v>#REF!</v>
      </c>
      <c r="AV499" s="72">
        <f>AR499*Sales4[[#This Row],[Billed Quantity]]</f>
        <v>0</v>
      </c>
    </row>
    <row r="500" spans="1:48" x14ac:dyDescent="0.3">
      <c r="A500" s="1" t="s">
        <v>479</v>
      </c>
      <c r="B500" s="2">
        <v>45901</v>
      </c>
      <c r="C500" s="1">
        <v>3271265708</v>
      </c>
      <c r="D500" s="1" t="s">
        <v>637</v>
      </c>
      <c r="E500" s="1" t="s">
        <v>638</v>
      </c>
      <c r="F500" s="1" t="s">
        <v>18</v>
      </c>
      <c r="G500" s="1" t="s">
        <v>19</v>
      </c>
      <c r="H500" s="1" t="s">
        <v>27</v>
      </c>
      <c r="I500" s="3">
        <v>280</v>
      </c>
      <c r="J500" s="4">
        <v>89605.6</v>
      </c>
      <c r="K500" s="3">
        <v>280</v>
      </c>
      <c r="L500" s="3">
        <v>280</v>
      </c>
      <c r="M500" s="2">
        <v>45901</v>
      </c>
      <c r="N500" s="4">
        <v>102446.39999999999</v>
      </c>
      <c r="O500" s="1" t="s">
        <v>21</v>
      </c>
      <c r="P500" s="1" t="s">
        <v>22</v>
      </c>
      <c r="Q500" s="1">
        <v>1</v>
      </c>
      <c r="R500" s="1" t="str">
        <f>VLOOKUP(Sales4[[#This Row],[Material type]],Master!$H$3:$I$8,2,0)</f>
        <v>Finished Goods</v>
      </c>
      <c r="S500" s="1" t="str">
        <f>VLOOKUP(Sales4[[#This Row],[Material Group]],Master!B:C,2,0)</f>
        <v>FG-PCB-CF</v>
      </c>
      <c r="T500" s="1" t="str">
        <f>VLOOKUP(Sales4[[#This Row],[Material Group Descrip]],Master!E:F,2,0)</f>
        <v>FG-PCB-CF</v>
      </c>
      <c r="U500" s="9" t="b">
        <f ca="1">(TODAY()-1)=Sales4[[#This Row],[Billing Date]]</f>
        <v>0</v>
      </c>
      <c r="V500" s="10" t="e">
        <f>Sales4[[#This Row],[Net Value]]-Sales4[[#This Row],[PGI COST]]</f>
        <v>#REF!</v>
      </c>
      <c r="W500" s="11" t="e">
        <f>Sales4[[#This Row],[Gross Margin]]/Sales4[[#This Row],[Net Value]]</f>
        <v>#REF!</v>
      </c>
      <c r="X500" s="1" t="str">
        <f>TEXT(Sales4[[#This Row],[Billing Date]],"mmmm-yy")</f>
        <v>September-25</v>
      </c>
      <c r="Y500" s="1">
        <f>Sales4[[#This Row],[Net Value]]/Sales4[[#This Row],[Billed Quantity]]</f>
        <v>365.88</v>
      </c>
      <c r="Z500" s="117">
        <f>Sales4[[#This Row],[Actual delivery qty]]</f>
        <v>280</v>
      </c>
      <c r="AA500" s="12" t="e">
        <f>SUM(Sales4[[#This Row],[BOM Cost]:[Other Conversion cost pu]])</f>
        <v>#REF!</v>
      </c>
      <c r="AB500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00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00" s="12">
        <f>IFERROR(VLOOKUP(Sales4[[#This Row],[Material]],'COGS Break up'!#REF!,5,0),0)</f>
        <v>0</v>
      </c>
      <c r="AE500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00" s="48" t="e">
        <f>Sales4[[#This Row],[PGI per unit]]-Sales4[[#This Row],[BOM Cost]]-Sales4[[#This Row],[Labour cost per unit]]-Sales4[[#This Row],[Other Conversion cost pu]]</f>
        <v>#REF!</v>
      </c>
      <c r="AG500" s="48" t="e">
        <f>Sales4[[#This Row],[BOM Cost2]]+Sales4[[#This Row],[Labour Cost]]+Sales4[[#This Row],[Other conversion cost]]</f>
        <v>#REF!</v>
      </c>
      <c r="AH500" s="12" t="e">
        <f>Sales4[[#This Row],[Billed Quantity]]*Sales4[[#This Row],[BOM Cost]]</f>
        <v>#REF!</v>
      </c>
      <c r="AI500" s="12" t="e">
        <f>Sales4[[#This Row],[Billed Quantity]]*Sales4[[#This Row],[Labour cost per unit]]</f>
        <v>#REF!</v>
      </c>
      <c r="AJ500" s="12">
        <f>Sales4[[#This Row],[Droppage per unit]]*Sales4[[#This Row],[Billed Quantity]]</f>
        <v>0</v>
      </c>
      <c r="AK500" s="12" t="e">
        <f>Sales4[[#This Row],[Billed Quantity]]*Sales4[[#This Row],[Other Conversion cost pu]]</f>
        <v>#REF!</v>
      </c>
      <c r="AL500" s="48" t="e">
        <f>Sales4[[#This Row],[PGI Amount]]-Sales4[[#This Row],[BOM Cost2]]-Sales4[[#This Row],[Labour Cost]]-Sales4[[#This Row],[Other conversion cost]]</f>
        <v>#REF!</v>
      </c>
      <c r="AM500" s="121" t="e">
        <f>1-Sales4[[#This Row],[PGI COST]]/Sales4[[#This Row],[Net Value]]</f>
        <v>#REF!</v>
      </c>
      <c r="AN500" s="1">
        <f>Sales4[[#This Row],[PGI Amount]]/Sales4[[#This Row],[Billed Quantity]]</f>
        <v>320.02000000000004</v>
      </c>
      <c r="AO500" s="72" t="e">
        <f>SUMIFS('COGS Break up'!#REF!,'COGS Break up'!#REF!,Sales4[[#This Row],[Material]],'COGS Break up'!#REF!,'MIS Working'!$AO$1)</f>
        <v>#REF!</v>
      </c>
      <c r="AP500" s="72" t="e">
        <f>SUMIFS('COGS Break up'!#REF!,'COGS Break up'!#REF!,Sales4[[#This Row],[Material]],'COGS Break up'!#REF!,'MIS Working'!$AP$1)</f>
        <v>#REF!</v>
      </c>
      <c r="AQ500" s="72" t="e">
        <f>SUMIFS('COGS Break up'!#REF!,'COGS Break up'!#REF!,Sales4[[#This Row],[Material]],'COGS Break up'!#REF!,'MIS Working'!$AQ$1)</f>
        <v>#REF!</v>
      </c>
      <c r="AR500" s="72">
        <f>Sales4[[#This Row],[Droppage per unit]]</f>
        <v>0</v>
      </c>
      <c r="AS500" s="15" t="e">
        <f>AO500*Sales4[[#This Row],[Billed Quantity]]</f>
        <v>#REF!</v>
      </c>
      <c r="AT500" s="72" t="e">
        <f>AP500*Sales4[[#This Row],[Billed Quantity]]</f>
        <v>#REF!</v>
      </c>
      <c r="AU500" s="72" t="e">
        <f>AQ500*Sales4[[#This Row],[Billed Quantity]]</f>
        <v>#REF!</v>
      </c>
      <c r="AV500" s="72">
        <f>AR500*Sales4[[#This Row],[Billed Quantity]]</f>
        <v>0</v>
      </c>
    </row>
    <row r="501" spans="1:48" x14ac:dyDescent="0.3">
      <c r="A501" s="1" t="s">
        <v>479</v>
      </c>
      <c r="B501" s="2">
        <v>45901</v>
      </c>
      <c r="C501" s="1">
        <v>3271265663</v>
      </c>
      <c r="D501" s="1" t="s">
        <v>637</v>
      </c>
      <c r="E501" s="1" t="s">
        <v>638</v>
      </c>
      <c r="F501" s="1" t="s">
        <v>18</v>
      </c>
      <c r="G501" s="1" t="s">
        <v>19</v>
      </c>
      <c r="H501" s="1" t="s">
        <v>27</v>
      </c>
      <c r="I501" s="3">
        <v>420</v>
      </c>
      <c r="J501" s="4">
        <v>134408.4</v>
      </c>
      <c r="K501" s="3">
        <v>420</v>
      </c>
      <c r="L501" s="3">
        <v>420</v>
      </c>
      <c r="M501" s="2">
        <v>45901</v>
      </c>
      <c r="N501" s="4">
        <v>153669.6</v>
      </c>
      <c r="O501" s="1" t="s">
        <v>21</v>
      </c>
      <c r="P501" s="1" t="s">
        <v>22</v>
      </c>
      <c r="Q501" s="1">
        <v>1</v>
      </c>
      <c r="R501" s="1" t="str">
        <f>VLOOKUP(Sales4[[#This Row],[Material type]],Master!$H$3:$I$8,2,0)</f>
        <v>Finished Goods</v>
      </c>
      <c r="S501" s="1" t="str">
        <f>VLOOKUP(Sales4[[#This Row],[Material Group]],Master!B:C,2,0)</f>
        <v>FG-PCB-CF</v>
      </c>
      <c r="T501" s="1" t="str">
        <f>VLOOKUP(Sales4[[#This Row],[Material Group Descrip]],Master!E:F,2,0)</f>
        <v>FG-PCB-CF</v>
      </c>
      <c r="U501" s="9" t="b">
        <f ca="1">(TODAY()-1)=Sales4[[#This Row],[Billing Date]]</f>
        <v>0</v>
      </c>
      <c r="V501" s="10" t="e">
        <f>Sales4[[#This Row],[Net Value]]-Sales4[[#This Row],[PGI COST]]</f>
        <v>#REF!</v>
      </c>
      <c r="W501" s="11" t="e">
        <f>Sales4[[#This Row],[Gross Margin]]/Sales4[[#This Row],[Net Value]]</f>
        <v>#REF!</v>
      </c>
      <c r="X501" s="1" t="str">
        <f>TEXT(Sales4[[#This Row],[Billing Date]],"mmmm-yy")</f>
        <v>September-25</v>
      </c>
      <c r="Y501" s="1">
        <f>Sales4[[#This Row],[Net Value]]/Sales4[[#This Row],[Billed Quantity]]</f>
        <v>365.88</v>
      </c>
      <c r="Z501" s="117">
        <f>Sales4[[#This Row],[Actual delivery qty]]</f>
        <v>420</v>
      </c>
      <c r="AA501" s="12" t="e">
        <f>SUM(Sales4[[#This Row],[BOM Cost]:[Other Conversion cost pu]])</f>
        <v>#REF!</v>
      </c>
      <c r="AB501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01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01" s="12">
        <f>IFERROR(VLOOKUP(Sales4[[#This Row],[Material]],'COGS Break up'!#REF!,5,0),0)</f>
        <v>0</v>
      </c>
      <c r="AE501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01" s="48" t="e">
        <f>Sales4[[#This Row],[PGI per unit]]-Sales4[[#This Row],[BOM Cost]]-Sales4[[#This Row],[Labour cost per unit]]-Sales4[[#This Row],[Other Conversion cost pu]]</f>
        <v>#REF!</v>
      </c>
      <c r="AG501" s="48" t="e">
        <f>Sales4[[#This Row],[BOM Cost2]]+Sales4[[#This Row],[Labour Cost]]+Sales4[[#This Row],[Other conversion cost]]</f>
        <v>#REF!</v>
      </c>
      <c r="AH501" s="12" t="e">
        <f>Sales4[[#This Row],[Billed Quantity]]*Sales4[[#This Row],[BOM Cost]]</f>
        <v>#REF!</v>
      </c>
      <c r="AI501" s="12" t="e">
        <f>Sales4[[#This Row],[Billed Quantity]]*Sales4[[#This Row],[Labour cost per unit]]</f>
        <v>#REF!</v>
      </c>
      <c r="AJ501" s="12">
        <f>Sales4[[#This Row],[Droppage per unit]]*Sales4[[#This Row],[Billed Quantity]]</f>
        <v>0</v>
      </c>
      <c r="AK501" s="12" t="e">
        <f>Sales4[[#This Row],[Billed Quantity]]*Sales4[[#This Row],[Other Conversion cost pu]]</f>
        <v>#REF!</v>
      </c>
      <c r="AL501" s="48" t="e">
        <f>Sales4[[#This Row],[PGI Amount]]-Sales4[[#This Row],[BOM Cost2]]-Sales4[[#This Row],[Labour Cost]]-Sales4[[#This Row],[Other conversion cost]]</f>
        <v>#REF!</v>
      </c>
      <c r="AM501" s="121" t="e">
        <f>1-Sales4[[#This Row],[PGI COST]]/Sales4[[#This Row],[Net Value]]</f>
        <v>#REF!</v>
      </c>
      <c r="AN501" s="1">
        <f>Sales4[[#This Row],[PGI Amount]]/Sales4[[#This Row],[Billed Quantity]]</f>
        <v>320.02</v>
      </c>
      <c r="AO501" s="72" t="e">
        <f>SUMIFS('COGS Break up'!#REF!,'COGS Break up'!#REF!,Sales4[[#This Row],[Material]],'COGS Break up'!#REF!,'MIS Working'!$AO$1)</f>
        <v>#REF!</v>
      </c>
      <c r="AP501" s="72" t="e">
        <f>SUMIFS('COGS Break up'!#REF!,'COGS Break up'!#REF!,Sales4[[#This Row],[Material]],'COGS Break up'!#REF!,'MIS Working'!$AP$1)</f>
        <v>#REF!</v>
      </c>
      <c r="AQ501" s="72" t="e">
        <f>SUMIFS('COGS Break up'!#REF!,'COGS Break up'!#REF!,Sales4[[#This Row],[Material]],'COGS Break up'!#REF!,'MIS Working'!$AQ$1)</f>
        <v>#REF!</v>
      </c>
      <c r="AR501" s="72">
        <f>Sales4[[#This Row],[Droppage per unit]]</f>
        <v>0</v>
      </c>
      <c r="AS501" s="15" t="e">
        <f>AO501*Sales4[[#This Row],[Billed Quantity]]</f>
        <v>#REF!</v>
      </c>
      <c r="AT501" s="72" t="e">
        <f>AP501*Sales4[[#This Row],[Billed Quantity]]</f>
        <v>#REF!</v>
      </c>
      <c r="AU501" s="72" t="e">
        <f>AQ501*Sales4[[#This Row],[Billed Quantity]]</f>
        <v>#REF!</v>
      </c>
      <c r="AV501" s="72">
        <f>AR501*Sales4[[#This Row],[Billed Quantity]]</f>
        <v>0</v>
      </c>
    </row>
    <row r="502" spans="1:48" x14ac:dyDescent="0.3">
      <c r="A502" s="1" t="s">
        <v>479</v>
      </c>
      <c r="B502" s="2">
        <v>45901</v>
      </c>
      <c r="C502" s="1">
        <v>3271265660</v>
      </c>
      <c r="D502" s="1" t="s">
        <v>40</v>
      </c>
      <c r="E502" s="1" t="s">
        <v>41</v>
      </c>
      <c r="F502" s="1" t="s">
        <v>18</v>
      </c>
      <c r="G502" s="1" t="s">
        <v>34</v>
      </c>
      <c r="H502" s="1" t="s">
        <v>772</v>
      </c>
      <c r="I502" s="3">
        <v>4368</v>
      </c>
      <c r="J502" s="4">
        <v>644454.72</v>
      </c>
      <c r="K502" s="3">
        <v>4368</v>
      </c>
      <c r="L502" s="3">
        <v>4368</v>
      </c>
      <c r="M502" s="2">
        <v>45901</v>
      </c>
      <c r="N502" s="4">
        <v>711721.92</v>
      </c>
      <c r="O502" s="1" t="s">
        <v>21</v>
      </c>
      <c r="P502" s="1" t="s">
        <v>22</v>
      </c>
      <c r="Q502" s="1">
        <v>1</v>
      </c>
      <c r="R502" s="1" t="str">
        <f>VLOOKUP(Sales4[[#This Row],[Material type]],Master!$H$3:$I$8,2,0)</f>
        <v>Semi-Finished Goods</v>
      </c>
      <c r="S502" s="1" t="str">
        <f>VLOOKUP(Sales4[[#This Row],[Material Group]],Master!B:C,2,0)</f>
        <v>SFG-GV5 Stator</v>
      </c>
      <c r="T502" s="1" t="str">
        <f>VLOOKUP(Sales4[[#This Row],[Material Group Descrip]],Master!E:F,2,0)</f>
        <v>Sub Ass.-Mech Stator</v>
      </c>
      <c r="U502" s="9" t="b">
        <f ca="1">(TODAY()-1)=Sales4[[#This Row],[Billing Date]]</f>
        <v>0</v>
      </c>
      <c r="V502" s="10" t="e">
        <f>Sales4[[#This Row],[Net Value]]-Sales4[[#This Row],[PGI COST]]</f>
        <v>#REF!</v>
      </c>
      <c r="W502" s="11" t="e">
        <f>Sales4[[#This Row],[Gross Margin]]/Sales4[[#This Row],[Net Value]]</f>
        <v>#REF!</v>
      </c>
      <c r="X502" s="1" t="str">
        <f>TEXT(Sales4[[#This Row],[Billing Date]],"mmmm-yy")</f>
        <v>September-25</v>
      </c>
      <c r="Y502" s="1">
        <f>Sales4[[#This Row],[Net Value]]/Sales4[[#This Row],[Billed Quantity]]</f>
        <v>162.94</v>
      </c>
      <c r="Z502" s="117">
        <f>Sales4[[#This Row],[Actual delivery qty]]</f>
        <v>4368</v>
      </c>
      <c r="AA502" s="12" t="e">
        <f>SUM(Sales4[[#This Row],[BOM Cost]:[Other Conversion cost pu]])</f>
        <v>#REF!</v>
      </c>
      <c r="AB502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02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02" s="12">
        <f>IFERROR(VLOOKUP(Sales4[[#This Row],[Material]],'COGS Break up'!#REF!,5,0),0)</f>
        <v>0</v>
      </c>
      <c r="AE502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02" s="48" t="e">
        <f>Sales4[[#This Row],[PGI per unit]]-Sales4[[#This Row],[BOM Cost]]-Sales4[[#This Row],[Labour cost per unit]]-Sales4[[#This Row],[Other Conversion cost pu]]</f>
        <v>#REF!</v>
      </c>
      <c r="AG502" s="48" t="e">
        <f>Sales4[[#This Row],[BOM Cost2]]+Sales4[[#This Row],[Labour Cost]]+Sales4[[#This Row],[Other conversion cost]]</f>
        <v>#REF!</v>
      </c>
      <c r="AH502" s="12" t="e">
        <f>Sales4[[#This Row],[Billed Quantity]]*Sales4[[#This Row],[BOM Cost]]</f>
        <v>#REF!</v>
      </c>
      <c r="AI502" s="12" t="e">
        <f>Sales4[[#This Row],[Billed Quantity]]*Sales4[[#This Row],[Labour cost per unit]]</f>
        <v>#REF!</v>
      </c>
      <c r="AJ502" s="12">
        <f>Sales4[[#This Row],[Droppage per unit]]*Sales4[[#This Row],[Billed Quantity]]</f>
        <v>0</v>
      </c>
      <c r="AK502" s="12" t="e">
        <f>Sales4[[#This Row],[Billed Quantity]]*Sales4[[#This Row],[Other Conversion cost pu]]</f>
        <v>#REF!</v>
      </c>
      <c r="AL502" s="48" t="e">
        <f>Sales4[[#This Row],[PGI Amount]]-Sales4[[#This Row],[BOM Cost2]]-Sales4[[#This Row],[Labour Cost]]-Sales4[[#This Row],[Other conversion cost]]</f>
        <v>#REF!</v>
      </c>
      <c r="AM502" s="121" t="e">
        <f>1-Sales4[[#This Row],[PGI COST]]/Sales4[[#This Row],[Net Value]]</f>
        <v>#REF!</v>
      </c>
      <c r="AN502" s="1">
        <f>Sales4[[#This Row],[PGI Amount]]/Sales4[[#This Row],[Billed Quantity]]</f>
        <v>147.54</v>
      </c>
      <c r="AO502" s="72" t="e">
        <f>SUMIFS('COGS Break up'!#REF!,'COGS Break up'!#REF!,Sales4[[#This Row],[Material]],'COGS Break up'!#REF!,'MIS Working'!$AO$1)</f>
        <v>#REF!</v>
      </c>
      <c r="AP502" s="72" t="e">
        <f>SUMIFS('COGS Break up'!#REF!,'COGS Break up'!#REF!,Sales4[[#This Row],[Material]],'COGS Break up'!#REF!,'MIS Working'!$AP$1)</f>
        <v>#REF!</v>
      </c>
      <c r="AQ502" s="72" t="e">
        <f>SUMIFS('COGS Break up'!#REF!,'COGS Break up'!#REF!,Sales4[[#This Row],[Material]],'COGS Break up'!#REF!,'MIS Working'!$AQ$1)</f>
        <v>#REF!</v>
      </c>
      <c r="AR502" s="72">
        <f>Sales4[[#This Row],[Droppage per unit]]</f>
        <v>0</v>
      </c>
      <c r="AS502" s="15" t="e">
        <f>AO502*Sales4[[#This Row],[Billed Quantity]]</f>
        <v>#REF!</v>
      </c>
      <c r="AT502" s="72" t="e">
        <f>AP502*Sales4[[#This Row],[Billed Quantity]]</f>
        <v>#REF!</v>
      </c>
      <c r="AU502" s="72" t="e">
        <f>AQ502*Sales4[[#This Row],[Billed Quantity]]</f>
        <v>#REF!</v>
      </c>
      <c r="AV502" s="72">
        <f>AR502*Sales4[[#This Row],[Billed Quantity]]</f>
        <v>0</v>
      </c>
    </row>
    <row r="503" spans="1:48" x14ac:dyDescent="0.3">
      <c r="A503" s="1" t="s">
        <v>479</v>
      </c>
      <c r="B503" s="2">
        <v>45901</v>
      </c>
      <c r="C503" s="1">
        <v>3271265664</v>
      </c>
      <c r="D503" s="1" t="s">
        <v>1182</v>
      </c>
      <c r="E503" s="1" t="s">
        <v>1183</v>
      </c>
      <c r="F503" s="1" t="s">
        <v>18</v>
      </c>
      <c r="G503" s="1" t="s">
        <v>19</v>
      </c>
      <c r="H503" s="1" t="s">
        <v>27</v>
      </c>
      <c r="I503" s="3">
        <v>560</v>
      </c>
      <c r="J503" s="4">
        <v>237680.8</v>
      </c>
      <c r="K503" s="3">
        <v>560</v>
      </c>
      <c r="L503" s="3">
        <v>560</v>
      </c>
      <c r="M503" s="2">
        <v>45901</v>
      </c>
      <c r="N503" s="4">
        <v>270569.59999999998</v>
      </c>
      <c r="O503" s="1" t="s">
        <v>21</v>
      </c>
      <c r="P503" s="1" t="s">
        <v>22</v>
      </c>
      <c r="Q503" s="1">
        <v>1</v>
      </c>
      <c r="R503" s="1" t="str">
        <f>VLOOKUP(Sales4[[#This Row],[Material type]],Master!$H$3:$I$8,2,0)</f>
        <v>Finished Goods</v>
      </c>
      <c r="S503" s="1" t="str">
        <f>VLOOKUP(Sales4[[#This Row],[Material Group]],Master!B:C,2,0)</f>
        <v>FG-PCB-CF</v>
      </c>
      <c r="T503" s="1" t="str">
        <f>VLOOKUP(Sales4[[#This Row],[Material Group Descrip]],Master!E:F,2,0)</f>
        <v>FG-PCB-CF</v>
      </c>
      <c r="U503" s="9" t="b">
        <f ca="1">(TODAY()-1)=Sales4[[#This Row],[Billing Date]]</f>
        <v>0</v>
      </c>
      <c r="V503" s="10" t="e">
        <f>Sales4[[#This Row],[Net Value]]-Sales4[[#This Row],[PGI COST]]</f>
        <v>#REF!</v>
      </c>
      <c r="W503" s="11" t="e">
        <f>Sales4[[#This Row],[Gross Margin]]/Sales4[[#This Row],[Net Value]]</f>
        <v>#REF!</v>
      </c>
      <c r="X503" s="1" t="str">
        <f>TEXT(Sales4[[#This Row],[Billing Date]],"mmmm-yy")</f>
        <v>September-25</v>
      </c>
      <c r="Y503" s="1">
        <f>Sales4[[#This Row],[Net Value]]/Sales4[[#This Row],[Billed Quantity]]</f>
        <v>483.15999999999997</v>
      </c>
      <c r="Z503" s="117">
        <f>Sales4[[#This Row],[Actual delivery qty]]</f>
        <v>560</v>
      </c>
      <c r="AA503" s="12" t="e">
        <f>SUM(Sales4[[#This Row],[BOM Cost]:[Other Conversion cost pu]])</f>
        <v>#REF!</v>
      </c>
      <c r="AB503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03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03" s="12">
        <f>IFERROR(VLOOKUP(Sales4[[#This Row],[Material]],'COGS Break up'!#REF!,5,0),0)</f>
        <v>0</v>
      </c>
      <c r="AE503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03" s="48" t="e">
        <f>Sales4[[#This Row],[PGI per unit]]-Sales4[[#This Row],[BOM Cost]]-Sales4[[#This Row],[Labour cost per unit]]-Sales4[[#This Row],[Other Conversion cost pu]]</f>
        <v>#REF!</v>
      </c>
      <c r="AG503" s="48" t="e">
        <f>Sales4[[#This Row],[BOM Cost2]]+Sales4[[#This Row],[Labour Cost]]+Sales4[[#This Row],[Other conversion cost]]</f>
        <v>#REF!</v>
      </c>
      <c r="AH503" s="12" t="e">
        <f>Sales4[[#This Row],[Billed Quantity]]*Sales4[[#This Row],[BOM Cost]]</f>
        <v>#REF!</v>
      </c>
      <c r="AI503" s="12" t="e">
        <f>Sales4[[#This Row],[Billed Quantity]]*Sales4[[#This Row],[Labour cost per unit]]</f>
        <v>#REF!</v>
      </c>
      <c r="AJ503" s="12">
        <f>Sales4[[#This Row],[Droppage per unit]]*Sales4[[#This Row],[Billed Quantity]]</f>
        <v>0</v>
      </c>
      <c r="AK503" s="12" t="e">
        <f>Sales4[[#This Row],[Billed Quantity]]*Sales4[[#This Row],[Other Conversion cost pu]]</f>
        <v>#REF!</v>
      </c>
      <c r="AL503" s="48" t="e">
        <f>Sales4[[#This Row],[PGI Amount]]-Sales4[[#This Row],[BOM Cost2]]-Sales4[[#This Row],[Labour Cost]]-Sales4[[#This Row],[Other conversion cost]]</f>
        <v>#REF!</v>
      </c>
      <c r="AM503" s="121" t="e">
        <f>1-Sales4[[#This Row],[PGI COST]]/Sales4[[#This Row],[Net Value]]</f>
        <v>#REF!</v>
      </c>
      <c r="AN503" s="1">
        <f>Sales4[[#This Row],[PGI Amount]]/Sales4[[#This Row],[Billed Quantity]]</f>
        <v>424.43</v>
      </c>
      <c r="AO503" s="72" t="e">
        <f>SUMIFS('COGS Break up'!#REF!,'COGS Break up'!#REF!,Sales4[[#This Row],[Material]],'COGS Break up'!#REF!,'MIS Working'!$AO$1)</f>
        <v>#REF!</v>
      </c>
      <c r="AP503" s="72" t="e">
        <f>SUMIFS('COGS Break up'!#REF!,'COGS Break up'!#REF!,Sales4[[#This Row],[Material]],'COGS Break up'!#REF!,'MIS Working'!$AP$1)</f>
        <v>#REF!</v>
      </c>
      <c r="AQ503" s="72" t="e">
        <f>SUMIFS('COGS Break up'!#REF!,'COGS Break up'!#REF!,Sales4[[#This Row],[Material]],'COGS Break up'!#REF!,'MIS Working'!$AQ$1)</f>
        <v>#REF!</v>
      </c>
      <c r="AR503" s="72">
        <f>Sales4[[#This Row],[Droppage per unit]]</f>
        <v>0</v>
      </c>
      <c r="AS503" s="15" t="e">
        <f>AO503*Sales4[[#This Row],[Billed Quantity]]</f>
        <v>#REF!</v>
      </c>
      <c r="AT503" s="72" t="e">
        <f>AP503*Sales4[[#This Row],[Billed Quantity]]</f>
        <v>#REF!</v>
      </c>
      <c r="AU503" s="72" t="e">
        <f>AQ503*Sales4[[#This Row],[Billed Quantity]]</f>
        <v>#REF!</v>
      </c>
      <c r="AV503" s="72">
        <f>AR503*Sales4[[#This Row],[Billed Quantity]]</f>
        <v>0</v>
      </c>
    </row>
    <row r="504" spans="1:48" x14ac:dyDescent="0.3">
      <c r="A504" s="1" t="s">
        <v>479</v>
      </c>
      <c r="B504" s="2">
        <v>45901</v>
      </c>
      <c r="C504" s="1">
        <v>3271265709</v>
      </c>
      <c r="D504" s="1" t="s">
        <v>1182</v>
      </c>
      <c r="E504" s="1" t="s">
        <v>1183</v>
      </c>
      <c r="F504" s="1" t="s">
        <v>18</v>
      </c>
      <c r="G504" s="1" t="s">
        <v>19</v>
      </c>
      <c r="H504" s="1" t="s">
        <v>27</v>
      </c>
      <c r="I504" s="3">
        <v>175</v>
      </c>
      <c r="J504" s="4">
        <v>74275.25</v>
      </c>
      <c r="K504" s="3">
        <v>175</v>
      </c>
      <c r="L504" s="3">
        <v>175</v>
      </c>
      <c r="M504" s="2">
        <v>45901</v>
      </c>
      <c r="N504" s="4">
        <v>84553</v>
      </c>
      <c r="O504" s="1" t="s">
        <v>21</v>
      </c>
      <c r="P504" s="1" t="s">
        <v>22</v>
      </c>
      <c r="Q504" s="1">
        <v>1</v>
      </c>
      <c r="R504" s="1" t="str">
        <f>VLOOKUP(Sales4[[#This Row],[Material type]],Master!$H$3:$I$8,2,0)</f>
        <v>Finished Goods</v>
      </c>
      <c r="S504" s="1" t="str">
        <f>VLOOKUP(Sales4[[#This Row],[Material Group]],Master!B:C,2,0)</f>
        <v>FG-PCB-CF</v>
      </c>
      <c r="T504" s="1" t="str">
        <f>VLOOKUP(Sales4[[#This Row],[Material Group Descrip]],Master!E:F,2,0)</f>
        <v>FG-PCB-CF</v>
      </c>
      <c r="U504" s="9" t="b">
        <f ca="1">(TODAY()-1)=Sales4[[#This Row],[Billing Date]]</f>
        <v>0</v>
      </c>
      <c r="V504" s="10" t="e">
        <f>Sales4[[#This Row],[Net Value]]-Sales4[[#This Row],[PGI COST]]</f>
        <v>#REF!</v>
      </c>
      <c r="W504" s="11" t="e">
        <f>Sales4[[#This Row],[Gross Margin]]/Sales4[[#This Row],[Net Value]]</f>
        <v>#REF!</v>
      </c>
      <c r="X504" s="1" t="str">
        <f>TEXT(Sales4[[#This Row],[Billing Date]],"mmmm-yy")</f>
        <v>September-25</v>
      </c>
      <c r="Y504" s="1">
        <f>Sales4[[#This Row],[Net Value]]/Sales4[[#This Row],[Billed Quantity]]</f>
        <v>483.16</v>
      </c>
      <c r="Z504" s="117">
        <f>Sales4[[#This Row],[Actual delivery qty]]</f>
        <v>175</v>
      </c>
      <c r="AA504" s="12" t="e">
        <f>SUM(Sales4[[#This Row],[BOM Cost]:[Other Conversion cost pu]])</f>
        <v>#REF!</v>
      </c>
      <c r="AB504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04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04" s="12">
        <f>IFERROR(VLOOKUP(Sales4[[#This Row],[Material]],'COGS Break up'!#REF!,5,0),0)</f>
        <v>0</v>
      </c>
      <c r="AE504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04" s="48" t="e">
        <f>Sales4[[#This Row],[PGI per unit]]-Sales4[[#This Row],[BOM Cost]]-Sales4[[#This Row],[Labour cost per unit]]-Sales4[[#This Row],[Other Conversion cost pu]]</f>
        <v>#REF!</v>
      </c>
      <c r="AG504" s="48" t="e">
        <f>Sales4[[#This Row],[BOM Cost2]]+Sales4[[#This Row],[Labour Cost]]+Sales4[[#This Row],[Other conversion cost]]</f>
        <v>#REF!</v>
      </c>
      <c r="AH504" s="12" t="e">
        <f>Sales4[[#This Row],[Billed Quantity]]*Sales4[[#This Row],[BOM Cost]]</f>
        <v>#REF!</v>
      </c>
      <c r="AI504" s="12" t="e">
        <f>Sales4[[#This Row],[Billed Quantity]]*Sales4[[#This Row],[Labour cost per unit]]</f>
        <v>#REF!</v>
      </c>
      <c r="AJ504" s="12">
        <f>Sales4[[#This Row],[Droppage per unit]]*Sales4[[#This Row],[Billed Quantity]]</f>
        <v>0</v>
      </c>
      <c r="AK504" s="12" t="e">
        <f>Sales4[[#This Row],[Billed Quantity]]*Sales4[[#This Row],[Other Conversion cost pu]]</f>
        <v>#REF!</v>
      </c>
      <c r="AL504" s="48" t="e">
        <f>Sales4[[#This Row],[PGI Amount]]-Sales4[[#This Row],[BOM Cost2]]-Sales4[[#This Row],[Labour Cost]]-Sales4[[#This Row],[Other conversion cost]]</f>
        <v>#REF!</v>
      </c>
      <c r="AM504" s="121" t="e">
        <f>1-Sales4[[#This Row],[PGI COST]]/Sales4[[#This Row],[Net Value]]</f>
        <v>#REF!</v>
      </c>
      <c r="AN504" s="1">
        <f>Sales4[[#This Row],[PGI Amount]]/Sales4[[#This Row],[Billed Quantity]]</f>
        <v>424.43</v>
      </c>
      <c r="AO504" s="72" t="e">
        <f>SUMIFS('COGS Break up'!#REF!,'COGS Break up'!#REF!,Sales4[[#This Row],[Material]],'COGS Break up'!#REF!,'MIS Working'!$AO$1)</f>
        <v>#REF!</v>
      </c>
      <c r="AP504" s="72" t="e">
        <f>SUMIFS('COGS Break up'!#REF!,'COGS Break up'!#REF!,Sales4[[#This Row],[Material]],'COGS Break up'!#REF!,'MIS Working'!$AP$1)</f>
        <v>#REF!</v>
      </c>
      <c r="AQ504" s="72" t="e">
        <f>SUMIFS('COGS Break up'!#REF!,'COGS Break up'!#REF!,Sales4[[#This Row],[Material]],'COGS Break up'!#REF!,'MIS Working'!$AQ$1)</f>
        <v>#REF!</v>
      </c>
      <c r="AR504" s="72">
        <f>Sales4[[#This Row],[Droppage per unit]]</f>
        <v>0</v>
      </c>
      <c r="AS504" s="15" t="e">
        <f>AO504*Sales4[[#This Row],[Billed Quantity]]</f>
        <v>#REF!</v>
      </c>
      <c r="AT504" s="72" t="e">
        <f>AP504*Sales4[[#This Row],[Billed Quantity]]</f>
        <v>#REF!</v>
      </c>
      <c r="AU504" s="72" t="e">
        <f>AQ504*Sales4[[#This Row],[Billed Quantity]]</f>
        <v>#REF!</v>
      </c>
      <c r="AV504" s="72">
        <f>AR504*Sales4[[#This Row],[Billed Quantity]]</f>
        <v>0</v>
      </c>
    </row>
    <row r="505" spans="1:48" x14ac:dyDescent="0.3">
      <c r="A505" s="1" t="s">
        <v>479</v>
      </c>
      <c r="B505" s="2">
        <v>45901</v>
      </c>
      <c r="C505" s="1">
        <v>3271265711</v>
      </c>
      <c r="D505" s="1" t="s">
        <v>1182</v>
      </c>
      <c r="E505" s="1" t="s">
        <v>1183</v>
      </c>
      <c r="F505" s="1" t="s">
        <v>18</v>
      </c>
      <c r="G505" s="1" t="s">
        <v>19</v>
      </c>
      <c r="H505" s="1" t="s">
        <v>27</v>
      </c>
      <c r="I505" s="3">
        <v>105</v>
      </c>
      <c r="J505" s="4">
        <v>44565.15</v>
      </c>
      <c r="K505" s="3">
        <v>105</v>
      </c>
      <c r="L505" s="3">
        <v>105</v>
      </c>
      <c r="M505" s="2">
        <v>45901</v>
      </c>
      <c r="N505" s="4">
        <v>50731.8</v>
      </c>
      <c r="O505" s="1" t="s">
        <v>21</v>
      </c>
      <c r="P505" s="1" t="s">
        <v>22</v>
      </c>
      <c r="Q505" s="1">
        <v>1</v>
      </c>
      <c r="R505" s="1" t="str">
        <f>VLOOKUP(Sales4[[#This Row],[Material type]],Master!$H$3:$I$8,2,0)</f>
        <v>Finished Goods</v>
      </c>
      <c r="S505" s="1" t="str">
        <f>VLOOKUP(Sales4[[#This Row],[Material Group]],Master!B:C,2,0)</f>
        <v>FG-PCB-CF</v>
      </c>
      <c r="T505" s="1" t="str">
        <f>VLOOKUP(Sales4[[#This Row],[Material Group Descrip]],Master!E:F,2,0)</f>
        <v>FG-PCB-CF</v>
      </c>
      <c r="U505" s="9" t="b">
        <f ca="1">(TODAY()-1)=Sales4[[#This Row],[Billing Date]]</f>
        <v>0</v>
      </c>
      <c r="V505" s="10" t="e">
        <f>Sales4[[#This Row],[Net Value]]-Sales4[[#This Row],[PGI COST]]</f>
        <v>#REF!</v>
      </c>
      <c r="W505" s="11" t="e">
        <f>Sales4[[#This Row],[Gross Margin]]/Sales4[[#This Row],[Net Value]]</f>
        <v>#REF!</v>
      </c>
      <c r="X505" s="1" t="str">
        <f>TEXT(Sales4[[#This Row],[Billing Date]],"mmmm-yy")</f>
        <v>September-25</v>
      </c>
      <c r="Y505" s="1">
        <f>Sales4[[#This Row],[Net Value]]/Sales4[[#This Row],[Billed Quantity]]</f>
        <v>483.16</v>
      </c>
      <c r="Z505" s="117">
        <f>Sales4[[#This Row],[Actual delivery qty]]</f>
        <v>105</v>
      </c>
      <c r="AA505" s="12" t="e">
        <f>SUM(Sales4[[#This Row],[BOM Cost]:[Other Conversion cost pu]])</f>
        <v>#REF!</v>
      </c>
      <c r="AB505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05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05" s="12">
        <f>IFERROR(VLOOKUP(Sales4[[#This Row],[Material]],'COGS Break up'!#REF!,5,0),0)</f>
        <v>0</v>
      </c>
      <c r="AE505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05" s="48" t="e">
        <f>Sales4[[#This Row],[PGI per unit]]-Sales4[[#This Row],[BOM Cost]]-Sales4[[#This Row],[Labour cost per unit]]-Sales4[[#This Row],[Other Conversion cost pu]]</f>
        <v>#REF!</v>
      </c>
      <c r="AG505" s="48" t="e">
        <f>Sales4[[#This Row],[BOM Cost2]]+Sales4[[#This Row],[Labour Cost]]+Sales4[[#This Row],[Other conversion cost]]</f>
        <v>#REF!</v>
      </c>
      <c r="AH505" s="12" t="e">
        <f>Sales4[[#This Row],[Billed Quantity]]*Sales4[[#This Row],[BOM Cost]]</f>
        <v>#REF!</v>
      </c>
      <c r="AI505" s="12" t="e">
        <f>Sales4[[#This Row],[Billed Quantity]]*Sales4[[#This Row],[Labour cost per unit]]</f>
        <v>#REF!</v>
      </c>
      <c r="AJ505" s="12">
        <f>Sales4[[#This Row],[Droppage per unit]]*Sales4[[#This Row],[Billed Quantity]]</f>
        <v>0</v>
      </c>
      <c r="AK505" s="12" t="e">
        <f>Sales4[[#This Row],[Billed Quantity]]*Sales4[[#This Row],[Other Conversion cost pu]]</f>
        <v>#REF!</v>
      </c>
      <c r="AL505" s="48" t="e">
        <f>Sales4[[#This Row],[PGI Amount]]-Sales4[[#This Row],[BOM Cost2]]-Sales4[[#This Row],[Labour Cost]]-Sales4[[#This Row],[Other conversion cost]]</f>
        <v>#REF!</v>
      </c>
      <c r="AM505" s="121" t="e">
        <f>1-Sales4[[#This Row],[PGI COST]]/Sales4[[#This Row],[Net Value]]</f>
        <v>#REF!</v>
      </c>
      <c r="AN505" s="1">
        <f>Sales4[[#This Row],[PGI Amount]]/Sales4[[#This Row],[Billed Quantity]]</f>
        <v>424.43</v>
      </c>
      <c r="AO505" s="72" t="e">
        <f>SUMIFS('COGS Break up'!#REF!,'COGS Break up'!#REF!,Sales4[[#This Row],[Material]],'COGS Break up'!#REF!,'MIS Working'!$AO$1)</f>
        <v>#REF!</v>
      </c>
      <c r="AP505" s="72" t="e">
        <f>SUMIFS('COGS Break up'!#REF!,'COGS Break up'!#REF!,Sales4[[#This Row],[Material]],'COGS Break up'!#REF!,'MIS Working'!$AP$1)</f>
        <v>#REF!</v>
      </c>
      <c r="AQ505" s="72" t="e">
        <f>SUMIFS('COGS Break up'!#REF!,'COGS Break up'!#REF!,Sales4[[#This Row],[Material]],'COGS Break up'!#REF!,'MIS Working'!$AQ$1)</f>
        <v>#REF!</v>
      </c>
      <c r="AR505" s="72">
        <f>Sales4[[#This Row],[Droppage per unit]]</f>
        <v>0</v>
      </c>
      <c r="AS505" s="15" t="e">
        <f>AO505*Sales4[[#This Row],[Billed Quantity]]</f>
        <v>#REF!</v>
      </c>
      <c r="AT505" s="72" t="e">
        <f>AP505*Sales4[[#This Row],[Billed Quantity]]</f>
        <v>#REF!</v>
      </c>
      <c r="AU505" s="72" t="e">
        <f>AQ505*Sales4[[#This Row],[Billed Quantity]]</f>
        <v>#REF!</v>
      </c>
      <c r="AV505" s="72">
        <f>AR505*Sales4[[#This Row],[Billed Quantity]]</f>
        <v>0</v>
      </c>
    </row>
    <row r="506" spans="1:48" x14ac:dyDescent="0.3">
      <c r="A506" s="1" t="s">
        <v>479</v>
      </c>
      <c r="B506" s="2">
        <v>45901</v>
      </c>
      <c r="C506" s="1">
        <v>3277053752</v>
      </c>
      <c r="D506" s="1" t="s">
        <v>40</v>
      </c>
      <c r="E506" s="1" t="s">
        <v>41</v>
      </c>
      <c r="F506" s="1" t="s">
        <v>18</v>
      </c>
      <c r="G506" s="1" t="s">
        <v>34</v>
      </c>
      <c r="H506" s="1" t="s">
        <v>772</v>
      </c>
      <c r="I506" s="3">
        <v>-85</v>
      </c>
      <c r="J506" s="122">
        <v>-12540.9</v>
      </c>
      <c r="K506" s="3">
        <v>-85</v>
      </c>
      <c r="L506" s="3">
        <v>-85</v>
      </c>
      <c r="M506" s="2">
        <v>45901</v>
      </c>
      <c r="N506" s="4">
        <v>-13480.15</v>
      </c>
      <c r="O506" s="1" t="s">
        <v>21</v>
      </c>
      <c r="P506" s="1" t="s">
        <v>22</v>
      </c>
      <c r="Q506" s="1">
        <v>1</v>
      </c>
      <c r="R506" s="1" t="str">
        <f>VLOOKUP(Sales4[[#This Row],[Material type]],Master!$H$3:$I$8,2,0)</f>
        <v>Semi-Finished Goods</v>
      </c>
      <c r="S506" s="1" t="str">
        <f>VLOOKUP(Sales4[[#This Row],[Material Group]],Master!B:C,2,0)</f>
        <v>SFG-GV5 Stator</v>
      </c>
      <c r="T506" s="1" t="str">
        <f>VLOOKUP(Sales4[[#This Row],[Material Group Descrip]],Master!E:F,2,0)</f>
        <v>Sub Ass.-Mech Stator</v>
      </c>
      <c r="U506" s="9" t="b">
        <f ca="1">(TODAY()-1)=Sales4[[#This Row],[Billing Date]]</f>
        <v>0</v>
      </c>
      <c r="V506" s="10" t="e">
        <f>Sales4[[#This Row],[Net Value]]-Sales4[[#This Row],[PGI COST]]</f>
        <v>#REF!</v>
      </c>
      <c r="W506" s="11" t="e">
        <f>Sales4[[#This Row],[Gross Margin]]/Sales4[[#This Row],[Net Value]]</f>
        <v>#REF!</v>
      </c>
      <c r="X506" s="1" t="str">
        <f>TEXT(Sales4[[#This Row],[Billing Date]],"mmmm-yy")</f>
        <v>September-25</v>
      </c>
      <c r="Y506" s="1">
        <f>Sales4[[#This Row],[Net Value]]/Sales4[[#This Row],[Billed Quantity]]</f>
        <v>158.59</v>
      </c>
      <c r="Z506" s="117">
        <f>Sales4[[#This Row],[Actual delivery qty]]</f>
        <v>-85</v>
      </c>
      <c r="AA506" s="12" t="e">
        <f>SUM(Sales4[[#This Row],[BOM Cost]:[Other Conversion cost pu]])</f>
        <v>#REF!</v>
      </c>
      <c r="AB506" s="12" t="e">
        <f>IF(Sales4[[#This Row],[Posting Date]]='COGS Break up'!#REF!,SUMIFS('COGS Break up'!#REF!,'COGS Break up'!#REF!,Sales4[[#This Row],[Material]],'COGS Break up'!#REF!,Sales4[[#Headers],[BOM Cost]]),SUMIFS('COGS Break up'!#REF!,'COGS Break up'!#REF!,Sales4[[#This Row],[Material]],'COGS Break up'!#REF!,Sales4[[#Headers],[BOM Cost]]))</f>
        <v>#REF!</v>
      </c>
      <c r="AC506" s="12" t="e">
        <f>IF(Sales4[[#This Row],[Posting Date]]='COGS Break up'!#REF!,SUMIFS('COGS Break up'!#REF!,'COGS Break up'!#REF!,Sales4[[#This Row],[Material]],'COGS Break up'!#REF!,Sales4[[#Headers],[Labour cost per unit]]),SUMIFS('COGS Break up'!#REF!,'COGS Break up'!#REF!,Sales4[[#This Row],[Material]],'COGS Break up'!#REF!,Sales4[[#Headers],[Labour cost per unit]]))</f>
        <v>#REF!</v>
      </c>
      <c r="AD506" s="12">
        <f>IFERROR(VLOOKUP(Sales4[[#This Row],[Material]],'COGS Break up'!#REF!,5,0),0)</f>
        <v>0</v>
      </c>
      <c r="AE506" s="12" t="e">
        <f>IF(Sales4[[#This Row],[Posting Date]]='COGS Break up'!#REF!,SUMIFS('COGS Break up'!#REF!,'COGS Break up'!#REF!,Sales4[[#This Row],[Material]],'COGS Break up'!#REF!,Sales4[[#Headers],[Other Conversion cost pu]]),SUMIFS('COGS Break up'!#REF!,'COGS Break up'!#REF!,Sales4[[#This Row],[Material]],'COGS Break up'!#REF!,Sales4[[#Headers],[Other Conversion cost pu]]))+Sales4[[#This Row],[Droppage per unit]]</f>
        <v>#REF!</v>
      </c>
      <c r="AF506" s="48" t="e">
        <f>Sales4[[#This Row],[PGI per unit]]-Sales4[[#This Row],[BOM Cost]]-Sales4[[#This Row],[Labour cost per unit]]-Sales4[[#This Row],[Other Conversion cost pu]]</f>
        <v>#REF!</v>
      </c>
      <c r="AG506" s="48" t="e">
        <f>Sales4[[#This Row],[BOM Cost2]]+Sales4[[#This Row],[Labour Cost]]+Sales4[[#This Row],[Other conversion cost]]</f>
        <v>#REF!</v>
      </c>
      <c r="AH506" s="12" t="e">
        <f>Sales4[[#This Row],[Billed Quantity]]*Sales4[[#This Row],[BOM Cost]]</f>
        <v>#REF!</v>
      </c>
      <c r="AI506" s="12" t="e">
        <f>Sales4[[#This Row],[Billed Quantity]]*Sales4[[#This Row],[Labour cost per unit]]</f>
        <v>#REF!</v>
      </c>
      <c r="AJ506" s="12">
        <f>Sales4[[#This Row],[Droppage per unit]]*Sales4[[#This Row],[Billed Quantity]]</f>
        <v>0</v>
      </c>
      <c r="AK506" s="12" t="e">
        <f>Sales4[[#This Row],[Billed Quantity]]*Sales4[[#This Row],[Other Conversion cost pu]]</f>
        <v>#REF!</v>
      </c>
      <c r="AL506" s="48" t="e">
        <f>Sales4[[#This Row],[PGI Amount]]-Sales4[[#This Row],[BOM Cost2]]-Sales4[[#This Row],[Labour Cost]]-Sales4[[#This Row],[Other conversion cost]]</f>
        <v>#REF!</v>
      </c>
      <c r="AM506" s="121" t="e">
        <f>1-Sales4[[#This Row],[PGI COST]]/Sales4[[#This Row],[Net Value]]</f>
        <v>#REF!</v>
      </c>
      <c r="AN506" s="1">
        <f>Sales4[[#This Row],[PGI Amount]]/Sales4[[#This Row],[Billed Quantity]]</f>
        <v>147.54</v>
      </c>
      <c r="AO506" s="72" t="e">
        <f>SUMIFS('COGS Break up'!#REF!,'COGS Break up'!#REF!,Sales4[[#This Row],[Material]],'COGS Break up'!#REF!,'MIS Working'!$AO$1)</f>
        <v>#REF!</v>
      </c>
      <c r="AP506" s="72" t="e">
        <f>SUMIFS('COGS Break up'!#REF!,'COGS Break up'!#REF!,Sales4[[#This Row],[Material]],'COGS Break up'!#REF!,'MIS Working'!$AP$1)</f>
        <v>#REF!</v>
      </c>
      <c r="AQ506" s="72" t="e">
        <f>SUMIFS('COGS Break up'!#REF!,'COGS Break up'!#REF!,Sales4[[#This Row],[Material]],'COGS Break up'!#REF!,'MIS Working'!$AQ$1)</f>
        <v>#REF!</v>
      </c>
      <c r="AR506" s="72">
        <f>Sales4[[#This Row],[Droppage per unit]]</f>
        <v>0</v>
      </c>
      <c r="AS506" s="15" t="e">
        <f>AO506*Sales4[[#This Row],[Billed Quantity]]</f>
        <v>#REF!</v>
      </c>
      <c r="AT506" s="72" t="e">
        <f>AP506*Sales4[[#This Row],[Billed Quantity]]</f>
        <v>#REF!</v>
      </c>
      <c r="AU506" s="72" t="e">
        <f>AQ506*Sales4[[#This Row],[Billed Quantity]]</f>
        <v>#REF!</v>
      </c>
      <c r="AV506" s="72">
        <f>AR506*Sales4[[#This Row],[Billed Quantity]]</f>
        <v>0</v>
      </c>
    </row>
  </sheetData>
  <autoFilter ref="AO1:AV506" xr:uid="{916E0FA7-3718-411F-9492-F0BB566687B2}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E1FE-51FA-4238-98F3-B840F0615B46}">
  <dimension ref="A3:AC124"/>
  <sheetViews>
    <sheetView topLeftCell="A3" workbookViewId="0">
      <selection activeCell="A23" sqref="A23"/>
    </sheetView>
  </sheetViews>
  <sheetFormatPr defaultRowHeight="14.4" x14ac:dyDescent="0.3"/>
  <cols>
    <col min="1" max="1" width="10.77734375" bestFit="1" customWidth="1"/>
    <col min="2" max="2" width="43.77734375" bestFit="1" customWidth="1"/>
    <col min="3" max="28" width="12.44140625" bestFit="1" customWidth="1"/>
    <col min="29" max="29" width="11.77734375" bestFit="1" customWidth="1"/>
  </cols>
  <sheetData>
    <row r="3" spans="1:29" x14ac:dyDescent="0.3">
      <c r="A3" s="5" t="s">
        <v>1520</v>
      </c>
      <c r="C3" s="5" t="s">
        <v>11</v>
      </c>
    </row>
    <row r="4" spans="1:29" x14ac:dyDescent="0.3">
      <c r="A4" s="5" t="s">
        <v>2</v>
      </c>
      <c r="B4" s="5" t="s">
        <v>3</v>
      </c>
      <c r="C4" s="171">
        <v>45962</v>
      </c>
      <c r="D4" s="171">
        <v>45964</v>
      </c>
      <c r="E4" s="171">
        <v>45965</v>
      </c>
      <c r="F4" s="171">
        <v>45966</v>
      </c>
      <c r="G4" s="171">
        <v>45967</v>
      </c>
      <c r="H4" s="171">
        <v>45969</v>
      </c>
      <c r="I4" s="171">
        <v>45968</v>
      </c>
      <c r="J4" s="171">
        <v>45971</v>
      </c>
      <c r="K4" s="171">
        <v>45972</v>
      </c>
      <c r="L4" s="171">
        <v>45973</v>
      </c>
      <c r="M4" s="171">
        <v>45974</v>
      </c>
      <c r="N4" s="171">
        <v>45977</v>
      </c>
      <c r="O4" s="171">
        <v>45976</v>
      </c>
      <c r="P4" s="171">
        <v>45975</v>
      </c>
      <c r="Q4" s="171">
        <v>45978</v>
      </c>
      <c r="R4" s="171">
        <v>45979</v>
      </c>
      <c r="S4" s="171">
        <v>45980</v>
      </c>
      <c r="T4" s="171">
        <v>45981</v>
      </c>
      <c r="U4" s="171">
        <v>45983</v>
      </c>
      <c r="V4" s="171">
        <v>45982</v>
      </c>
      <c r="W4" s="171">
        <v>45985</v>
      </c>
      <c r="X4" s="171">
        <v>45986</v>
      </c>
      <c r="Y4" s="171">
        <v>45987</v>
      </c>
      <c r="Z4" s="171">
        <v>45988</v>
      </c>
      <c r="AA4" s="171">
        <v>45990</v>
      </c>
      <c r="AB4" s="171">
        <v>45989</v>
      </c>
      <c r="AC4" s="171" t="s">
        <v>53</v>
      </c>
    </row>
    <row r="5" spans="1:29" x14ac:dyDescent="0.3">
      <c r="A5" t="s">
        <v>595</v>
      </c>
      <c r="B5" t="s">
        <v>596</v>
      </c>
      <c r="C5">
        <v>132.38999999999999</v>
      </c>
      <c r="J5">
        <v>132.39000000000001</v>
      </c>
      <c r="K5">
        <v>132.38999999999999</v>
      </c>
      <c r="L5">
        <v>132.38999999999999</v>
      </c>
      <c r="O5">
        <v>132.39000000000001</v>
      </c>
      <c r="R5">
        <v>132.39000000000001</v>
      </c>
      <c r="S5">
        <v>132.39000000000001</v>
      </c>
      <c r="AC5">
        <v>132.38999999999999</v>
      </c>
    </row>
    <row r="6" spans="1:29" x14ac:dyDescent="0.3">
      <c r="A6" t="s">
        <v>40</v>
      </c>
      <c r="B6" t="s">
        <v>41</v>
      </c>
      <c r="C6">
        <v>162.94</v>
      </c>
      <c r="D6">
        <v>162.94</v>
      </c>
      <c r="E6">
        <v>162.94</v>
      </c>
      <c r="F6">
        <v>162.94</v>
      </c>
      <c r="G6">
        <v>162.94</v>
      </c>
      <c r="H6">
        <v>162.94</v>
      </c>
      <c r="I6">
        <v>162.94</v>
      </c>
      <c r="J6">
        <v>162.94</v>
      </c>
      <c r="K6">
        <v>162.94</v>
      </c>
      <c r="L6">
        <v>162.94</v>
      </c>
      <c r="O6">
        <v>162.94</v>
      </c>
      <c r="P6">
        <v>162.94</v>
      </c>
      <c r="Q6">
        <v>162.94</v>
      </c>
      <c r="R6">
        <v>162.94</v>
      </c>
      <c r="S6">
        <v>162.94</v>
      </c>
      <c r="T6">
        <v>162.94</v>
      </c>
      <c r="Z6">
        <v>162.94</v>
      </c>
      <c r="AA6">
        <v>162.94</v>
      </c>
      <c r="AB6">
        <v>162.94</v>
      </c>
      <c r="AC6">
        <v>162.93999999999994</v>
      </c>
    </row>
    <row r="7" spans="1:29" x14ac:dyDescent="0.3">
      <c r="A7" t="s">
        <v>1459</v>
      </c>
      <c r="B7" t="s">
        <v>1460</v>
      </c>
      <c r="W7">
        <v>150.22</v>
      </c>
      <c r="AC7">
        <v>150.22</v>
      </c>
    </row>
    <row r="8" spans="1:29" x14ac:dyDescent="0.3">
      <c r="A8" t="s">
        <v>38</v>
      </c>
      <c r="B8" t="s">
        <v>39</v>
      </c>
      <c r="C8">
        <v>341.07</v>
      </c>
      <c r="D8">
        <v>341.07</v>
      </c>
      <c r="E8">
        <v>341.07</v>
      </c>
      <c r="F8">
        <v>341.07</v>
      </c>
      <c r="G8">
        <v>341.07</v>
      </c>
      <c r="J8">
        <v>341.07</v>
      </c>
      <c r="R8">
        <v>341.07</v>
      </c>
      <c r="S8">
        <v>341.07000000000005</v>
      </c>
      <c r="T8">
        <v>341.07</v>
      </c>
      <c r="U8">
        <v>341.07</v>
      </c>
      <c r="V8">
        <v>341.07</v>
      </c>
      <c r="W8">
        <v>341.07</v>
      </c>
      <c r="X8">
        <v>341.07</v>
      </c>
      <c r="Y8">
        <v>341.07</v>
      </c>
      <c r="Z8">
        <v>349.68</v>
      </c>
      <c r="AA8">
        <v>341.07</v>
      </c>
      <c r="AB8">
        <v>341.07</v>
      </c>
      <c r="AC8">
        <v>341.5619999999999</v>
      </c>
    </row>
    <row r="9" spans="1:29" x14ac:dyDescent="0.3">
      <c r="A9" t="s">
        <v>362</v>
      </c>
      <c r="B9" t="s">
        <v>363</v>
      </c>
      <c r="F9">
        <v>862.24</v>
      </c>
      <c r="AC9">
        <v>862.24</v>
      </c>
    </row>
    <row r="10" spans="1:29" x14ac:dyDescent="0.3">
      <c r="A10" t="s">
        <v>364</v>
      </c>
      <c r="B10" t="s">
        <v>365</v>
      </c>
      <c r="W10">
        <v>101.24</v>
      </c>
      <c r="AC10">
        <v>101.24</v>
      </c>
    </row>
    <row r="11" spans="1:29" x14ac:dyDescent="0.3">
      <c r="A11" t="s">
        <v>633</v>
      </c>
      <c r="B11" t="s">
        <v>634</v>
      </c>
      <c r="F11">
        <v>341.07</v>
      </c>
      <c r="AC11">
        <v>341.07</v>
      </c>
    </row>
    <row r="12" spans="1:29" x14ac:dyDescent="0.3">
      <c r="A12" t="s">
        <v>46</v>
      </c>
      <c r="B12" t="s">
        <v>47</v>
      </c>
      <c r="C12">
        <v>341.07000000000005</v>
      </c>
      <c r="J12">
        <v>341.07</v>
      </c>
      <c r="Z12">
        <v>349.67999999999995</v>
      </c>
      <c r="AA12">
        <v>341.07</v>
      </c>
      <c r="AC12">
        <v>343.94</v>
      </c>
    </row>
    <row r="13" spans="1:29" x14ac:dyDescent="0.3">
      <c r="A13" t="s">
        <v>30</v>
      </c>
      <c r="B13" t="s">
        <v>31</v>
      </c>
      <c r="T13">
        <v>341.07</v>
      </c>
      <c r="AA13">
        <v>341.07000000000005</v>
      </c>
      <c r="AC13">
        <v>341.07000000000005</v>
      </c>
    </row>
    <row r="14" spans="1:29" x14ac:dyDescent="0.3">
      <c r="A14" t="s">
        <v>23</v>
      </c>
      <c r="B14" t="s">
        <v>24</v>
      </c>
      <c r="C14">
        <v>483.15999999999997</v>
      </c>
      <c r="D14">
        <v>483.15999999999997</v>
      </c>
      <c r="E14">
        <v>483.16</v>
      </c>
      <c r="F14">
        <v>483.15999999999997</v>
      </c>
      <c r="J14">
        <v>483.15999999999997</v>
      </c>
      <c r="K14">
        <v>483.16</v>
      </c>
      <c r="L14">
        <v>483.15999999999997</v>
      </c>
      <c r="M14">
        <v>483.15999999999997</v>
      </c>
      <c r="O14">
        <v>483.16</v>
      </c>
      <c r="P14">
        <v>483.15999999999997</v>
      </c>
      <c r="Q14">
        <v>483.16</v>
      </c>
      <c r="R14">
        <v>483.16</v>
      </c>
      <c r="S14">
        <v>483.16</v>
      </c>
      <c r="U14">
        <v>483.16</v>
      </c>
      <c r="V14">
        <v>483.15999999999997</v>
      </c>
      <c r="W14">
        <v>483.16</v>
      </c>
      <c r="X14">
        <v>483.16</v>
      </c>
      <c r="Y14">
        <v>483.16</v>
      </c>
      <c r="Z14">
        <v>483.16</v>
      </c>
      <c r="AA14">
        <v>483.15999999999997</v>
      </c>
      <c r="AB14">
        <v>483.15999999999997</v>
      </c>
      <c r="AC14">
        <v>483.15999999999991</v>
      </c>
    </row>
    <row r="15" spans="1:29" x14ac:dyDescent="0.3">
      <c r="A15" t="s">
        <v>376</v>
      </c>
      <c r="B15" t="s">
        <v>377</v>
      </c>
      <c r="K15">
        <v>498.58</v>
      </c>
      <c r="AC15">
        <v>498.58</v>
      </c>
    </row>
    <row r="16" spans="1:29" x14ac:dyDescent="0.3">
      <c r="A16" t="s">
        <v>637</v>
      </c>
      <c r="B16" t="s">
        <v>638</v>
      </c>
      <c r="C16">
        <v>363.56</v>
      </c>
      <c r="D16">
        <v>363.56</v>
      </c>
      <c r="U16">
        <v>363.56</v>
      </c>
      <c r="V16">
        <v>363.56</v>
      </c>
      <c r="W16">
        <v>363.56</v>
      </c>
      <c r="X16">
        <v>363.56</v>
      </c>
      <c r="Y16">
        <v>363.56</v>
      </c>
      <c r="Z16">
        <v>365.88</v>
      </c>
      <c r="AC16">
        <v>364.024</v>
      </c>
    </row>
    <row r="17" spans="1:29" x14ac:dyDescent="0.3">
      <c r="A17" t="s">
        <v>378</v>
      </c>
      <c r="B17" t="s">
        <v>379</v>
      </c>
      <c r="C17">
        <v>363.56</v>
      </c>
      <c r="D17">
        <v>363.56</v>
      </c>
      <c r="E17">
        <v>363.56</v>
      </c>
      <c r="F17">
        <v>363.56</v>
      </c>
      <c r="H17">
        <v>363.56</v>
      </c>
      <c r="J17">
        <v>363.56</v>
      </c>
      <c r="K17">
        <v>363.56</v>
      </c>
      <c r="L17">
        <v>363.56</v>
      </c>
      <c r="M17">
        <v>355.02</v>
      </c>
      <c r="O17">
        <v>355.02</v>
      </c>
      <c r="P17">
        <v>355.02</v>
      </c>
      <c r="Q17">
        <v>355.02</v>
      </c>
      <c r="R17">
        <v>355.02</v>
      </c>
      <c r="U17">
        <v>355.02000000000004</v>
      </c>
      <c r="V17">
        <v>355.02</v>
      </c>
      <c r="W17">
        <v>355.02</v>
      </c>
      <c r="X17">
        <v>355.02</v>
      </c>
      <c r="Y17">
        <v>355.02</v>
      </c>
      <c r="Z17">
        <v>355.02</v>
      </c>
      <c r="AA17">
        <v>355.02</v>
      </c>
      <c r="AB17">
        <v>355.02</v>
      </c>
      <c r="AC17">
        <v>358.12545454545483</v>
      </c>
    </row>
    <row r="18" spans="1:29" x14ac:dyDescent="0.3">
      <c r="A18" t="s">
        <v>380</v>
      </c>
      <c r="B18" t="s">
        <v>381</v>
      </c>
      <c r="C18">
        <v>224.53</v>
      </c>
      <c r="J18">
        <v>224.53</v>
      </c>
      <c r="K18">
        <v>224.53</v>
      </c>
      <c r="L18">
        <v>221.85</v>
      </c>
      <c r="M18">
        <v>221.85000000000002</v>
      </c>
      <c r="O18">
        <v>221.85</v>
      </c>
      <c r="P18">
        <v>221.85000000000002</v>
      </c>
      <c r="Q18">
        <v>221.85</v>
      </c>
      <c r="R18">
        <v>221.85</v>
      </c>
      <c r="S18">
        <v>221.85</v>
      </c>
      <c r="T18">
        <v>221.85</v>
      </c>
      <c r="U18">
        <v>221.85000000000002</v>
      </c>
      <c r="V18">
        <v>221.85</v>
      </c>
      <c r="W18">
        <v>221.85</v>
      </c>
      <c r="X18">
        <v>221.85</v>
      </c>
      <c r="Y18">
        <v>221.85000000000002</v>
      </c>
      <c r="Z18">
        <v>224.70333333333335</v>
      </c>
      <c r="AA18">
        <v>221.85000000000002</v>
      </c>
      <c r="AB18">
        <v>221.85</v>
      </c>
      <c r="AC18">
        <v>222.33823529411777</v>
      </c>
    </row>
    <row r="19" spans="1:29" x14ac:dyDescent="0.3">
      <c r="A19" t="s">
        <v>639</v>
      </c>
      <c r="B19" t="s">
        <v>640</v>
      </c>
      <c r="C19">
        <v>728.56</v>
      </c>
      <c r="D19">
        <v>728.56</v>
      </c>
      <c r="E19">
        <v>728.56</v>
      </c>
      <c r="F19">
        <v>728.56</v>
      </c>
      <c r="I19">
        <v>728.56000000000006</v>
      </c>
      <c r="J19">
        <v>728.56</v>
      </c>
      <c r="K19">
        <v>728.56000000000006</v>
      </c>
      <c r="L19">
        <v>728.56</v>
      </c>
      <c r="M19">
        <v>728.56000000000006</v>
      </c>
      <c r="O19">
        <v>728.56000000000006</v>
      </c>
      <c r="P19">
        <v>728.56</v>
      </c>
      <c r="Q19">
        <v>728.56</v>
      </c>
      <c r="R19">
        <v>728.56000000000006</v>
      </c>
      <c r="S19">
        <v>728.56000000000006</v>
      </c>
      <c r="T19">
        <v>728.56</v>
      </c>
      <c r="U19">
        <v>728.56</v>
      </c>
      <c r="V19">
        <v>728.56</v>
      </c>
      <c r="W19">
        <v>728.56</v>
      </c>
      <c r="X19">
        <v>728.56</v>
      </c>
      <c r="Z19">
        <v>728.56</v>
      </c>
      <c r="AA19">
        <v>728.56</v>
      </c>
      <c r="AB19">
        <v>728.56</v>
      </c>
      <c r="AC19">
        <v>728.56000000000051</v>
      </c>
    </row>
    <row r="20" spans="1:29" x14ac:dyDescent="0.3">
      <c r="A20" t="s">
        <v>641</v>
      </c>
      <c r="B20" t="s">
        <v>642</v>
      </c>
      <c r="Z20">
        <v>495</v>
      </c>
      <c r="AC20">
        <v>495</v>
      </c>
    </row>
    <row r="21" spans="1:29" x14ac:dyDescent="0.3">
      <c r="A21" t="s">
        <v>32</v>
      </c>
      <c r="B21" t="s">
        <v>33</v>
      </c>
      <c r="C21">
        <v>207.76000000000002</v>
      </c>
      <c r="E21">
        <v>207.76</v>
      </c>
      <c r="G21">
        <v>207.76</v>
      </c>
      <c r="Z21">
        <v>207.76</v>
      </c>
      <c r="AC21">
        <v>207.76</v>
      </c>
    </row>
    <row r="22" spans="1:29" x14ac:dyDescent="0.3">
      <c r="A22" t="s">
        <v>36</v>
      </c>
      <c r="B22" t="s">
        <v>37</v>
      </c>
      <c r="C22">
        <v>659.31</v>
      </c>
      <c r="G22">
        <v>659.31</v>
      </c>
      <c r="I22">
        <v>656.31</v>
      </c>
      <c r="J22">
        <v>659.31</v>
      </c>
      <c r="L22">
        <v>659.31</v>
      </c>
      <c r="O22">
        <v>659.31</v>
      </c>
      <c r="S22">
        <v>659.31</v>
      </c>
      <c r="U22">
        <v>659.31</v>
      </c>
      <c r="X22">
        <v>659.31</v>
      </c>
      <c r="Y22">
        <v>659.31</v>
      </c>
      <c r="AA22">
        <v>656.31</v>
      </c>
      <c r="AC22">
        <v>658.76454545454533</v>
      </c>
    </row>
    <row r="23" spans="1:29" x14ac:dyDescent="0.3">
      <c r="A23" t="s">
        <v>42</v>
      </c>
      <c r="B23" t="s">
        <v>43</v>
      </c>
      <c r="D23">
        <v>341.07</v>
      </c>
      <c r="E23">
        <v>341.07</v>
      </c>
      <c r="F23">
        <v>341.07</v>
      </c>
      <c r="H23">
        <v>341.07</v>
      </c>
      <c r="J23">
        <v>341.07</v>
      </c>
      <c r="O23">
        <v>341.07</v>
      </c>
      <c r="P23">
        <v>341.07</v>
      </c>
      <c r="S23">
        <v>341.07000000000005</v>
      </c>
      <c r="U23">
        <v>341.07</v>
      </c>
      <c r="W23">
        <v>341.07</v>
      </c>
      <c r="X23">
        <v>341.07</v>
      </c>
      <c r="Y23">
        <v>341.07000000000005</v>
      </c>
      <c r="Z23">
        <v>346.81</v>
      </c>
      <c r="AB23">
        <v>341.07</v>
      </c>
      <c r="AC23">
        <v>342.02666666666664</v>
      </c>
    </row>
    <row r="24" spans="1:29" x14ac:dyDescent="0.3">
      <c r="A24" t="s">
        <v>1184</v>
      </c>
      <c r="B24" t="s">
        <v>1185</v>
      </c>
      <c r="D24">
        <v>483.16</v>
      </c>
      <c r="E24">
        <v>483.16</v>
      </c>
      <c r="J24">
        <v>483.16</v>
      </c>
      <c r="O24">
        <v>483.16</v>
      </c>
      <c r="Q24">
        <v>483.15999999999997</v>
      </c>
      <c r="S24">
        <v>483.16</v>
      </c>
      <c r="U24">
        <v>483.15999999999997</v>
      </c>
      <c r="AC24">
        <v>483.15999999999991</v>
      </c>
    </row>
    <row r="25" spans="1:29" x14ac:dyDescent="0.3">
      <c r="A25" t="s">
        <v>1377</v>
      </c>
      <c r="B25" t="s">
        <v>1378</v>
      </c>
      <c r="C25">
        <v>28.12</v>
      </c>
      <c r="AC25">
        <v>28.12</v>
      </c>
    </row>
    <row r="26" spans="1:29" x14ac:dyDescent="0.3">
      <c r="A26" t="s">
        <v>1375</v>
      </c>
      <c r="B26" t="s">
        <v>1376</v>
      </c>
      <c r="C26">
        <v>4.04</v>
      </c>
      <c r="AC26">
        <v>4.04</v>
      </c>
    </row>
    <row r="27" spans="1:29" x14ac:dyDescent="0.3">
      <c r="A27" t="s">
        <v>1310</v>
      </c>
      <c r="B27" t="s">
        <v>1311</v>
      </c>
      <c r="C27">
        <v>7.28</v>
      </c>
      <c r="AC27">
        <v>7.28</v>
      </c>
    </row>
    <row r="28" spans="1:29" x14ac:dyDescent="0.3">
      <c r="A28" t="s">
        <v>1350</v>
      </c>
      <c r="B28" t="s">
        <v>1351</v>
      </c>
      <c r="C28">
        <v>0.06</v>
      </c>
      <c r="K28">
        <v>0.06</v>
      </c>
      <c r="AC28">
        <v>0.06</v>
      </c>
    </row>
    <row r="29" spans="1:29" x14ac:dyDescent="0.3">
      <c r="A29" t="s">
        <v>1521</v>
      </c>
      <c r="B29" t="s">
        <v>1522</v>
      </c>
      <c r="C29">
        <v>10.4</v>
      </c>
      <c r="K29">
        <v>10.4</v>
      </c>
      <c r="AC29">
        <v>10.4</v>
      </c>
    </row>
    <row r="30" spans="1:29" x14ac:dyDescent="0.3">
      <c r="A30" t="s">
        <v>1523</v>
      </c>
      <c r="B30" t="s">
        <v>1524</v>
      </c>
      <c r="C30">
        <v>0.02</v>
      </c>
      <c r="AC30">
        <v>0.02</v>
      </c>
    </row>
    <row r="31" spans="1:29" x14ac:dyDescent="0.3">
      <c r="A31" t="s">
        <v>1525</v>
      </c>
      <c r="B31" t="s">
        <v>1526</v>
      </c>
      <c r="C31">
        <v>0.02</v>
      </c>
      <c r="AC31">
        <v>0.02</v>
      </c>
    </row>
    <row r="32" spans="1:29" x14ac:dyDescent="0.3">
      <c r="A32" t="s">
        <v>1431</v>
      </c>
      <c r="B32" t="s">
        <v>1432</v>
      </c>
      <c r="C32">
        <v>10.55</v>
      </c>
      <c r="AC32">
        <v>10.55</v>
      </c>
    </row>
    <row r="33" spans="1:29" x14ac:dyDescent="0.3">
      <c r="A33" t="s">
        <v>1439</v>
      </c>
      <c r="B33" t="s">
        <v>1440</v>
      </c>
      <c r="C33">
        <v>0.63</v>
      </c>
      <c r="K33">
        <v>0.63</v>
      </c>
      <c r="AC33">
        <v>0.63</v>
      </c>
    </row>
    <row r="34" spans="1:29" x14ac:dyDescent="0.3">
      <c r="A34" t="s">
        <v>1453</v>
      </c>
      <c r="B34" t="s">
        <v>1454</v>
      </c>
      <c r="E34">
        <v>9.18</v>
      </c>
      <c r="O34">
        <v>9.18</v>
      </c>
      <c r="AC34">
        <v>9.18</v>
      </c>
    </row>
    <row r="35" spans="1:29" x14ac:dyDescent="0.3">
      <c r="A35" t="s">
        <v>1528</v>
      </c>
      <c r="B35" t="s">
        <v>1529</v>
      </c>
      <c r="C35">
        <v>65.349999999999994</v>
      </c>
      <c r="AC35">
        <v>65.349999999999994</v>
      </c>
    </row>
    <row r="36" spans="1:29" x14ac:dyDescent="0.3">
      <c r="A36" t="s">
        <v>694</v>
      </c>
      <c r="B36" t="s">
        <v>695</v>
      </c>
      <c r="AA36">
        <v>659.3</v>
      </c>
      <c r="AB36">
        <v>659.3</v>
      </c>
      <c r="AC36">
        <v>659.3</v>
      </c>
    </row>
    <row r="37" spans="1:29" x14ac:dyDescent="0.3">
      <c r="A37" t="s">
        <v>44</v>
      </c>
      <c r="B37" t="s">
        <v>45</v>
      </c>
      <c r="D37">
        <v>339.78999999999996</v>
      </c>
      <c r="E37">
        <v>339.79</v>
      </c>
      <c r="F37">
        <v>339.79</v>
      </c>
      <c r="AC37">
        <v>339.78999999999996</v>
      </c>
    </row>
    <row r="38" spans="1:29" x14ac:dyDescent="0.3">
      <c r="A38" t="s">
        <v>1530</v>
      </c>
      <c r="B38" t="s">
        <v>1531</v>
      </c>
      <c r="L38">
        <v>127.37</v>
      </c>
      <c r="O38">
        <v>127.37</v>
      </c>
      <c r="Q38">
        <v>127.36999999999999</v>
      </c>
      <c r="T38">
        <v>127.37</v>
      </c>
      <c r="AC38">
        <v>127.37</v>
      </c>
    </row>
    <row r="39" spans="1:29" x14ac:dyDescent="0.3">
      <c r="A39" t="s">
        <v>1578</v>
      </c>
      <c r="B39" t="s">
        <v>1579</v>
      </c>
      <c r="C39">
        <v>1.95</v>
      </c>
      <c r="K39">
        <v>1.95</v>
      </c>
      <c r="AC39">
        <v>1.95</v>
      </c>
    </row>
    <row r="40" spans="1:29" x14ac:dyDescent="0.3">
      <c r="A40" t="s">
        <v>1580</v>
      </c>
      <c r="B40" t="s">
        <v>1581</v>
      </c>
      <c r="C40">
        <v>10.46</v>
      </c>
      <c r="AC40">
        <v>10.46</v>
      </c>
    </row>
    <row r="41" spans="1:29" x14ac:dyDescent="0.3">
      <c r="A41" t="s">
        <v>1582</v>
      </c>
      <c r="B41" t="s">
        <v>1583</v>
      </c>
      <c r="C41">
        <v>12.24</v>
      </c>
      <c r="AC41">
        <v>12.24</v>
      </c>
    </row>
    <row r="42" spans="1:29" x14ac:dyDescent="0.3">
      <c r="A42" t="s">
        <v>1584</v>
      </c>
      <c r="B42" t="s">
        <v>1585</v>
      </c>
      <c r="C42">
        <v>5.69</v>
      </c>
      <c r="AC42">
        <v>5.69</v>
      </c>
    </row>
    <row r="43" spans="1:29" x14ac:dyDescent="0.3">
      <c r="A43" t="s">
        <v>1586</v>
      </c>
      <c r="B43" t="s">
        <v>1587</v>
      </c>
      <c r="C43">
        <v>97.92</v>
      </c>
      <c r="K43">
        <v>97.92</v>
      </c>
      <c r="AC43">
        <v>97.92</v>
      </c>
    </row>
    <row r="44" spans="1:29" x14ac:dyDescent="0.3">
      <c r="A44" t="s">
        <v>437</v>
      </c>
      <c r="B44" t="s">
        <v>438</v>
      </c>
      <c r="C44">
        <v>34.5</v>
      </c>
      <c r="AC44">
        <v>34.5</v>
      </c>
    </row>
    <row r="45" spans="1:29" x14ac:dyDescent="0.3">
      <c r="A45" t="s">
        <v>1588</v>
      </c>
      <c r="B45" t="s">
        <v>1589</v>
      </c>
      <c r="C45">
        <v>0.37</v>
      </c>
      <c r="K45">
        <v>0.37</v>
      </c>
      <c r="AC45">
        <v>0.37</v>
      </c>
    </row>
    <row r="46" spans="1:29" x14ac:dyDescent="0.3">
      <c r="A46" t="s">
        <v>1590</v>
      </c>
      <c r="B46" t="s">
        <v>1591</v>
      </c>
      <c r="C46">
        <v>0.06</v>
      </c>
      <c r="K46">
        <v>0.06</v>
      </c>
      <c r="AC46">
        <v>0.06</v>
      </c>
    </row>
    <row r="47" spans="1:29" x14ac:dyDescent="0.3">
      <c r="A47" t="s">
        <v>1592</v>
      </c>
      <c r="B47" t="s">
        <v>1593</v>
      </c>
      <c r="C47">
        <v>0.06</v>
      </c>
      <c r="K47">
        <v>0.06</v>
      </c>
      <c r="AC47">
        <v>0.06</v>
      </c>
    </row>
    <row r="48" spans="1:29" x14ac:dyDescent="0.3">
      <c r="A48" t="s">
        <v>1429</v>
      </c>
      <c r="B48" t="s">
        <v>1430</v>
      </c>
      <c r="C48">
        <v>0.91</v>
      </c>
      <c r="H48">
        <v>0.91</v>
      </c>
      <c r="K48">
        <v>0.91</v>
      </c>
      <c r="AC48">
        <v>0.91</v>
      </c>
    </row>
    <row r="49" spans="1:29" x14ac:dyDescent="0.3">
      <c r="A49" t="s">
        <v>1594</v>
      </c>
      <c r="B49" t="s">
        <v>1595</v>
      </c>
      <c r="C49">
        <v>0.48</v>
      </c>
      <c r="K49">
        <v>0.48</v>
      </c>
      <c r="AC49">
        <v>0.48</v>
      </c>
    </row>
    <row r="50" spans="1:29" x14ac:dyDescent="0.3">
      <c r="A50" t="s">
        <v>1596</v>
      </c>
      <c r="B50" t="s">
        <v>1597</v>
      </c>
      <c r="C50">
        <v>7</v>
      </c>
      <c r="K50">
        <v>7</v>
      </c>
      <c r="AC50">
        <v>7</v>
      </c>
    </row>
    <row r="51" spans="1:29" x14ac:dyDescent="0.3">
      <c r="A51" t="s">
        <v>1361</v>
      </c>
      <c r="B51" t="s">
        <v>1362</v>
      </c>
      <c r="C51">
        <v>0.06</v>
      </c>
      <c r="K51">
        <v>0.06</v>
      </c>
      <c r="AC51">
        <v>0.06</v>
      </c>
    </row>
    <row r="52" spans="1:29" x14ac:dyDescent="0.3">
      <c r="A52" t="s">
        <v>1598</v>
      </c>
      <c r="B52" t="s">
        <v>1599</v>
      </c>
      <c r="C52">
        <v>0.06</v>
      </c>
      <c r="K52">
        <v>0.06</v>
      </c>
      <c r="AC52">
        <v>0.06</v>
      </c>
    </row>
    <row r="53" spans="1:29" x14ac:dyDescent="0.3">
      <c r="A53" t="s">
        <v>1600</v>
      </c>
      <c r="B53" t="s">
        <v>1601</v>
      </c>
      <c r="C53">
        <v>0.06</v>
      </c>
      <c r="K53">
        <v>0.06</v>
      </c>
      <c r="AC53">
        <v>0.06</v>
      </c>
    </row>
    <row r="54" spans="1:29" x14ac:dyDescent="0.3">
      <c r="A54" t="s">
        <v>1602</v>
      </c>
      <c r="B54" t="s">
        <v>1603</v>
      </c>
      <c r="C54">
        <v>0.09</v>
      </c>
      <c r="K54">
        <v>0.09</v>
      </c>
      <c r="AC54">
        <v>0.09</v>
      </c>
    </row>
    <row r="55" spans="1:29" x14ac:dyDescent="0.3">
      <c r="A55" t="s">
        <v>1604</v>
      </c>
      <c r="B55" t="s">
        <v>1605</v>
      </c>
      <c r="C55">
        <v>7.0000000000000007E-2</v>
      </c>
      <c r="K55">
        <v>7.0000000000000007E-2</v>
      </c>
      <c r="AC55">
        <v>7.0000000000000007E-2</v>
      </c>
    </row>
    <row r="56" spans="1:29" x14ac:dyDescent="0.3">
      <c r="A56" t="s">
        <v>1606</v>
      </c>
      <c r="B56" t="s">
        <v>1607</v>
      </c>
      <c r="C56">
        <v>0.06</v>
      </c>
      <c r="K56">
        <v>0.06</v>
      </c>
      <c r="AC56">
        <v>0.06</v>
      </c>
    </row>
    <row r="57" spans="1:29" x14ac:dyDescent="0.3">
      <c r="A57" t="s">
        <v>1608</v>
      </c>
      <c r="B57" t="s">
        <v>448</v>
      </c>
      <c r="C57">
        <v>1.66</v>
      </c>
      <c r="K57">
        <v>1.66</v>
      </c>
      <c r="AC57">
        <v>1.66</v>
      </c>
    </row>
    <row r="58" spans="1:29" x14ac:dyDescent="0.3">
      <c r="A58" t="s">
        <v>1609</v>
      </c>
      <c r="B58" t="s">
        <v>1610</v>
      </c>
      <c r="C58">
        <v>0.5</v>
      </c>
      <c r="K58">
        <v>0.5</v>
      </c>
      <c r="AC58">
        <v>0.5</v>
      </c>
    </row>
    <row r="59" spans="1:29" x14ac:dyDescent="0.3">
      <c r="A59" t="s">
        <v>1352</v>
      </c>
      <c r="B59" t="s">
        <v>1353</v>
      </c>
      <c r="C59">
        <v>0.06</v>
      </c>
      <c r="AC59">
        <v>0.06</v>
      </c>
    </row>
    <row r="60" spans="1:29" x14ac:dyDescent="0.3">
      <c r="A60" t="s">
        <v>1611</v>
      </c>
      <c r="B60" t="s">
        <v>1612</v>
      </c>
      <c r="C60">
        <v>0.06</v>
      </c>
      <c r="K60">
        <v>0.06</v>
      </c>
      <c r="AC60">
        <v>0.06</v>
      </c>
    </row>
    <row r="61" spans="1:29" x14ac:dyDescent="0.3">
      <c r="A61" t="s">
        <v>1613</v>
      </c>
      <c r="B61" t="s">
        <v>1614</v>
      </c>
      <c r="C61">
        <v>4.4800000000000004</v>
      </c>
      <c r="AC61">
        <v>4.4800000000000004</v>
      </c>
    </row>
    <row r="62" spans="1:29" x14ac:dyDescent="0.3">
      <c r="A62" t="s">
        <v>1615</v>
      </c>
      <c r="B62" t="s">
        <v>1616</v>
      </c>
      <c r="C62">
        <v>7.84</v>
      </c>
      <c r="K62">
        <v>7.84</v>
      </c>
      <c r="AC62">
        <v>7.84</v>
      </c>
    </row>
    <row r="63" spans="1:29" x14ac:dyDescent="0.3">
      <c r="A63" t="s">
        <v>1617</v>
      </c>
      <c r="B63" t="s">
        <v>1618</v>
      </c>
      <c r="C63">
        <v>0.02</v>
      </c>
      <c r="AC63">
        <v>0.02</v>
      </c>
    </row>
    <row r="64" spans="1:29" x14ac:dyDescent="0.3">
      <c r="A64" t="s">
        <v>1619</v>
      </c>
      <c r="B64" t="s">
        <v>1620</v>
      </c>
      <c r="C64">
        <v>0.1</v>
      </c>
      <c r="AC64">
        <v>0.1</v>
      </c>
    </row>
    <row r="65" spans="1:29" x14ac:dyDescent="0.3">
      <c r="A65" t="s">
        <v>1621</v>
      </c>
      <c r="B65" t="s">
        <v>1622</v>
      </c>
      <c r="C65">
        <v>5</v>
      </c>
      <c r="K65">
        <v>5</v>
      </c>
      <c r="AC65">
        <v>5</v>
      </c>
    </row>
    <row r="66" spans="1:29" x14ac:dyDescent="0.3">
      <c r="A66" t="s">
        <v>1213</v>
      </c>
      <c r="B66" t="s">
        <v>1214</v>
      </c>
      <c r="C66">
        <v>0.43</v>
      </c>
      <c r="K66">
        <v>0.43</v>
      </c>
      <c r="AC66">
        <v>0.43</v>
      </c>
    </row>
    <row r="67" spans="1:29" x14ac:dyDescent="0.3">
      <c r="A67" t="s">
        <v>493</v>
      </c>
      <c r="B67" t="s">
        <v>494</v>
      </c>
      <c r="D67">
        <v>352.16</v>
      </c>
      <c r="I67">
        <v>339.78999999999996</v>
      </c>
      <c r="K67">
        <v>339.79</v>
      </c>
      <c r="AC67">
        <v>343.91333333333336</v>
      </c>
    </row>
    <row r="68" spans="1:29" x14ac:dyDescent="0.3">
      <c r="A68" t="s">
        <v>1182</v>
      </c>
      <c r="B68" t="s">
        <v>1183</v>
      </c>
      <c r="D68">
        <v>483.16</v>
      </c>
      <c r="F68">
        <v>483.16</v>
      </c>
      <c r="G68">
        <v>483.16</v>
      </c>
      <c r="H68">
        <v>483.16</v>
      </c>
      <c r="L68">
        <v>483.15999999999997</v>
      </c>
      <c r="M68">
        <v>483.16</v>
      </c>
      <c r="S68">
        <v>483.15999999999997</v>
      </c>
      <c r="T68">
        <v>483.16</v>
      </c>
      <c r="Z68">
        <v>483.16</v>
      </c>
      <c r="AC68">
        <v>483.15999999999997</v>
      </c>
    </row>
    <row r="69" spans="1:29" x14ac:dyDescent="0.3">
      <c r="A69" t="s">
        <v>1179</v>
      </c>
      <c r="B69" t="s">
        <v>1180</v>
      </c>
      <c r="D69">
        <v>483.16</v>
      </c>
      <c r="M69">
        <v>483.16</v>
      </c>
      <c r="P69">
        <v>483.15999999999997</v>
      </c>
      <c r="Q69">
        <v>483.15999999999997</v>
      </c>
      <c r="W69">
        <v>483.15999999999997</v>
      </c>
      <c r="X69">
        <v>483.16</v>
      </c>
      <c r="AC69">
        <v>483.15999999999997</v>
      </c>
    </row>
    <row r="70" spans="1:29" x14ac:dyDescent="0.3">
      <c r="A70" t="s">
        <v>698</v>
      </c>
      <c r="B70" t="s">
        <v>699</v>
      </c>
      <c r="F70">
        <v>415.9</v>
      </c>
      <c r="I70">
        <v>415.9</v>
      </c>
      <c r="K70">
        <v>415.9</v>
      </c>
      <c r="AC70">
        <v>415.9</v>
      </c>
    </row>
    <row r="71" spans="1:29" x14ac:dyDescent="0.3">
      <c r="A71" t="s">
        <v>1227</v>
      </c>
      <c r="B71" t="s">
        <v>1228</v>
      </c>
      <c r="G71">
        <v>6.63</v>
      </c>
      <c r="I71">
        <v>6.63</v>
      </c>
      <c r="P71">
        <v>6.63</v>
      </c>
      <c r="AC71">
        <v>6.63</v>
      </c>
    </row>
    <row r="72" spans="1:29" x14ac:dyDescent="0.3">
      <c r="A72" t="s">
        <v>533</v>
      </c>
      <c r="B72" t="s">
        <v>534</v>
      </c>
      <c r="G72">
        <v>566.88</v>
      </c>
      <c r="Q72">
        <v>621</v>
      </c>
      <c r="AC72">
        <v>593.94000000000005</v>
      </c>
    </row>
    <row r="73" spans="1:29" x14ac:dyDescent="0.3">
      <c r="A73" t="s">
        <v>1645</v>
      </c>
      <c r="B73" t="s">
        <v>1646</v>
      </c>
      <c r="I73">
        <v>2.6</v>
      </c>
      <c r="AC73">
        <v>2.6</v>
      </c>
    </row>
    <row r="74" spans="1:29" x14ac:dyDescent="0.3">
      <c r="A74" t="s">
        <v>1457</v>
      </c>
      <c r="B74" t="s">
        <v>1458</v>
      </c>
      <c r="I74">
        <v>2.75</v>
      </c>
      <c r="AC74">
        <v>2.75</v>
      </c>
    </row>
    <row r="75" spans="1:29" x14ac:dyDescent="0.3">
      <c r="A75" t="s">
        <v>1647</v>
      </c>
      <c r="B75" t="s">
        <v>1648</v>
      </c>
      <c r="I75">
        <v>29.92</v>
      </c>
      <c r="AC75">
        <v>29.92</v>
      </c>
    </row>
    <row r="76" spans="1:29" x14ac:dyDescent="0.3">
      <c r="A76" t="s">
        <v>1649</v>
      </c>
      <c r="B76" t="s">
        <v>1650</v>
      </c>
      <c r="I76">
        <v>3.75</v>
      </c>
      <c r="AC76">
        <v>3.75</v>
      </c>
    </row>
    <row r="77" spans="1:29" x14ac:dyDescent="0.3">
      <c r="A77" t="s">
        <v>1651</v>
      </c>
      <c r="B77" t="s">
        <v>1589</v>
      </c>
      <c r="I77">
        <v>0.37</v>
      </c>
      <c r="AC77">
        <v>0.37</v>
      </c>
    </row>
    <row r="78" spans="1:29" x14ac:dyDescent="0.3">
      <c r="A78" t="s">
        <v>1279</v>
      </c>
      <c r="B78" t="s">
        <v>1280</v>
      </c>
      <c r="I78">
        <v>0.56000000000000005</v>
      </c>
      <c r="O78">
        <v>0.5</v>
      </c>
      <c r="AC78">
        <v>0.53</v>
      </c>
    </row>
    <row r="79" spans="1:29" x14ac:dyDescent="0.3">
      <c r="A79" t="s">
        <v>1423</v>
      </c>
      <c r="B79" t="s">
        <v>1424</v>
      </c>
      <c r="I79">
        <v>0.54</v>
      </c>
      <c r="AC79">
        <v>0.54</v>
      </c>
    </row>
    <row r="80" spans="1:29" x14ac:dyDescent="0.3">
      <c r="A80" t="s">
        <v>1338</v>
      </c>
      <c r="B80" t="s">
        <v>1339</v>
      </c>
      <c r="I80">
        <v>0.92</v>
      </c>
      <c r="AC80">
        <v>0.92</v>
      </c>
    </row>
    <row r="81" spans="1:29" x14ac:dyDescent="0.3">
      <c r="A81" t="s">
        <v>1652</v>
      </c>
      <c r="B81" t="s">
        <v>1653</v>
      </c>
      <c r="I81">
        <v>2.79</v>
      </c>
      <c r="AC81">
        <v>2.79</v>
      </c>
    </row>
    <row r="82" spans="1:29" x14ac:dyDescent="0.3">
      <c r="A82" t="s">
        <v>1312</v>
      </c>
      <c r="B82" t="s">
        <v>1313</v>
      </c>
      <c r="I82">
        <v>0.11</v>
      </c>
      <c r="AC82">
        <v>0.11</v>
      </c>
    </row>
    <row r="83" spans="1:29" x14ac:dyDescent="0.3">
      <c r="A83" t="s">
        <v>1267</v>
      </c>
      <c r="B83" t="s">
        <v>1268</v>
      </c>
      <c r="I83">
        <v>0.13</v>
      </c>
      <c r="AC83">
        <v>0.13</v>
      </c>
    </row>
    <row r="84" spans="1:29" x14ac:dyDescent="0.3">
      <c r="A84" t="s">
        <v>1281</v>
      </c>
      <c r="B84" t="s">
        <v>1282</v>
      </c>
      <c r="I84">
        <v>10.07</v>
      </c>
      <c r="AC84">
        <v>10.07</v>
      </c>
    </row>
    <row r="85" spans="1:29" x14ac:dyDescent="0.3">
      <c r="A85" t="s">
        <v>1328</v>
      </c>
      <c r="B85" t="s">
        <v>1329</v>
      </c>
      <c r="I85">
        <v>4.12</v>
      </c>
      <c r="AC85">
        <v>4.12</v>
      </c>
    </row>
    <row r="86" spans="1:29" x14ac:dyDescent="0.3">
      <c r="A86" t="s">
        <v>1654</v>
      </c>
      <c r="B86" t="s">
        <v>1655</v>
      </c>
      <c r="I86">
        <v>53.07</v>
      </c>
      <c r="AC86">
        <v>53.07</v>
      </c>
    </row>
    <row r="87" spans="1:29" x14ac:dyDescent="0.3">
      <c r="A87" t="s">
        <v>1659</v>
      </c>
      <c r="B87" t="s">
        <v>1660</v>
      </c>
      <c r="J87">
        <v>136.41</v>
      </c>
      <c r="N87">
        <v>136.41</v>
      </c>
      <c r="S87">
        <v>136.41</v>
      </c>
      <c r="AC87">
        <v>136.41</v>
      </c>
    </row>
    <row r="88" spans="1:29" x14ac:dyDescent="0.3">
      <c r="A88" t="s">
        <v>1661</v>
      </c>
      <c r="B88" t="s">
        <v>1662</v>
      </c>
      <c r="J88">
        <v>42.24</v>
      </c>
      <c r="S88">
        <v>42.24</v>
      </c>
      <c r="AC88">
        <v>42.24</v>
      </c>
    </row>
    <row r="89" spans="1:29" x14ac:dyDescent="0.3">
      <c r="A89" t="s">
        <v>1663</v>
      </c>
      <c r="B89" t="s">
        <v>1618</v>
      </c>
      <c r="K89">
        <v>0.02</v>
      </c>
      <c r="AC89">
        <v>0.02</v>
      </c>
    </row>
    <row r="90" spans="1:29" x14ac:dyDescent="0.3">
      <c r="A90" t="s">
        <v>1664</v>
      </c>
      <c r="B90" t="s">
        <v>1665</v>
      </c>
      <c r="K90">
        <v>0.66</v>
      </c>
      <c r="R90">
        <v>0.67</v>
      </c>
      <c r="AC90">
        <v>0.66500000000000004</v>
      </c>
    </row>
    <row r="91" spans="1:29" x14ac:dyDescent="0.3">
      <c r="A91" t="s">
        <v>1666</v>
      </c>
      <c r="B91" t="s">
        <v>1667</v>
      </c>
      <c r="K91">
        <v>0.5</v>
      </c>
      <c r="AC91">
        <v>0.5</v>
      </c>
    </row>
    <row r="92" spans="1:29" x14ac:dyDescent="0.3">
      <c r="A92" t="s">
        <v>1668</v>
      </c>
      <c r="B92" t="s">
        <v>1669</v>
      </c>
      <c r="K92">
        <v>0.46</v>
      </c>
      <c r="O92">
        <v>0.46</v>
      </c>
      <c r="AC92">
        <v>0.46</v>
      </c>
    </row>
    <row r="93" spans="1:29" x14ac:dyDescent="0.3">
      <c r="A93" t="s">
        <v>1670</v>
      </c>
      <c r="B93" t="s">
        <v>1671</v>
      </c>
      <c r="K93">
        <v>3.04</v>
      </c>
      <c r="M93">
        <v>3.04</v>
      </c>
      <c r="AC93">
        <v>3.04</v>
      </c>
    </row>
    <row r="94" spans="1:29" x14ac:dyDescent="0.3">
      <c r="A94" t="s">
        <v>1672</v>
      </c>
      <c r="B94" t="s">
        <v>1673</v>
      </c>
      <c r="K94">
        <v>0.66</v>
      </c>
      <c r="AC94">
        <v>0.66</v>
      </c>
    </row>
    <row r="95" spans="1:29" x14ac:dyDescent="0.3">
      <c r="A95" t="s">
        <v>1674</v>
      </c>
      <c r="B95" t="s">
        <v>1675</v>
      </c>
      <c r="K95">
        <v>5000000</v>
      </c>
      <c r="AC95">
        <v>5000000</v>
      </c>
    </row>
    <row r="96" spans="1:29" x14ac:dyDescent="0.3">
      <c r="A96" t="s">
        <v>1679</v>
      </c>
      <c r="B96" t="s">
        <v>1680</v>
      </c>
      <c r="M96">
        <v>495</v>
      </c>
      <c r="R96">
        <v>495</v>
      </c>
      <c r="AC96">
        <v>495</v>
      </c>
    </row>
    <row r="97" spans="1:29" x14ac:dyDescent="0.3">
      <c r="A97" t="s">
        <v>1681</v>
      </c>
      <c r="B97" t="s">
        <v>1682</v>
      </c>
      <c r="O97">
        <v>0.66</v>
      </c>
      <c r="AC97">
        <v>0.66</v>
      </c>
    </row>
    <row r="98" spans="1:29" x14ac:dyDescent="0.3">
      <c r="A98" t="s">
        <v>1314</v>
      </c>
      <c r="B98" t="s">
        <v>1315</v>
      </c>
      <c r="P98">
        <v>1.94</v>
      </c>
      <c r="AC98">
        <v>1.94</v>
      </c>
    </row>
    <row r="99" spans="1:29" x14ac:dyDescent="0.3">
      <c r="A99" t="s">
        <v>1387</v>
      </c>
      <c r="B99" t="s">
        <v>1388</v>
      </c>
      <c r="P99">
        <v>14.14</v>
      </c>
      <c r="AC99">
        <v>14.14</v>
      </c>
    </row>
    <row r="100" spans="1:29" x14ac:dyDescent="0.3">
      <c r="A100" t="s">
        <v>1385</v>
      </c>
      <c r="B100" t="s">
        <v>1386</v>
      </c>
      <c r="P100">
        <v>12.57</v>
      </c>
      <c r="AC100">
        <v>12.57</v>
      </c>
    </row>
    <row r="101" spans="1:29" x14ac:dyDescent="0.3">
      <c r="A101" t="s">
        <v>1320</v>
      </c>
      <c r="B101" t="s">
        <v>1321</v>
      </c>
      <c r="P101">
        <v>0.43</v>
      </c>
      <c r="AC101">
        <v>0.43</v>
      </c>
    </row>
    <row r="102" spans="1:29" x14ac:dyDescent="0.3">
      <c r="A102" t="s">
        <v>1683</v>
      </c>
      <c r="B102" t="s">
        <v>1684</v>
      </c>
      <c r="P102">
        <v>6.02</v>
      </c>
      <c r="AC102">
        <v>6.02</v>
      </c>
    </row>
    <row r="103" spans="1:29" x14ac:dyDescent="0.3">
      <c r="A103" t="s">
        <v>1251</v>
      </c>
      <c r="B103" t="s">
        <v>1252</v>
      </c>
      <c r="P103">
        <v>13.26</v>
      </c>
      <c r="AC103">
        <v>13.26</v>
      </c>
    </row>
    <row r="104" spans="1:29" x14ac:dyDescent="0.3">
      <c r="A104" t="s">
        <v>1298</v>
      </c>
      <c r="B104" t="s">
        <v>1299</v>
      </c>
      <c r="P104">
        <v>6.17</v>
      </c>
      <c r="AC104">
        <v>6.17</v>
      </c>
    </row>
    <row r="105" spans="1:29" x14ac:dyDescent="0.3">
      <c r="A105" t="s">
        <v>1549</v>
      </c>
      <c r="B105" t="s">
        <v>1550</v>
      </c>
      <c r="P105">
        <v>100</v>
      </c>
      <c r="AC105">
        <v>100</v>
      </c>
    </row>
    <row r="106" spans="1:29" x14ac:dyDescent="0.3">
      <c r="A106" t="s">
        <v>1551</v>
      </c>
      <c r="B106" t="s">
        <v>1552</v>
      </c>
      <c r="P106">
        <v>126</v>
      </c>
      <c r="AC106">
        <v>126</v>
      </c>
    </row>
    <row r="107" spans="1:29" x14ac:dyDescent="0.3">
      <c r="A107" t="s">
        <v>1553</v>
      </c>
      <c r="B107" t="s">
        <v>1554</v>
      </c>
      <c r="P107">
        <v>540</v>
      </c>
      <c r="AC107">
        <v>540</v>
      </c>
    </row>
    <row r="108" spans="1:29" x14ac:dyDescent="0.3">
      <c r="A108" t="s">
        <v>535</v>
      </c>
      <c r="B108" t="s">
        <v>536</v>
      </c>
      <c r="Q108">
        <v>163.4</v>
      </c>
      <c r="AC108">
        <v>163.4</v>
      </c>
    </row>
    <row r="109" spans="1:29" x14ac:dyDescent="0.3">
      <c r="A109" t="s">
        <v>368</v>
      </c>
      <c r="B109" t="s">
        <v>369</v>
      </c>
      <c r="R109">
        <v>309.37</v>
      </c>
      <c r="W109">
        <v>309.37</v>
      </c>
      <c r="AC109">
        <v>309.37</v>
      </c>
    </row>
    <row r="110" spans="1:29" x14ac:dyDescent="0.3">
      <c r="A110" t="s">
        <v>366</v>
      </c>
      <c r="B110" t="s">
        <v>367</v>
      </c>
      <c r="R110">
        <v>314.09000000000003</v>
      </c>
      <c r="W110">
        <v>314.08999999999997</v>
      </c>
      <c r="AC110">
        <v>314.09000000000003</v>
      </c>
    </row>
    <row r="111" spans="1:29" x14ac:dyDescent="0.3">
      <c r="A111" t="s">
        <v>1687</v>
      </c>
      <c r="B111" t="s">
        <v>1688</v>
      </c>
      <c r="R111">
        <v>346.71999999999997</v>
      </c>
      <c r="S111">
        <v>346.71999999999997</v>
      </c>
      <c r="T111">
        <v>346.71999999999997</v>
      </c>
      <c r="AC111">
        <v>346.71999999999997</v>
      </c>
    </row>
    <row r="112" spans="1:29" x14ac:dyDescent="0.3">
      <c r="A112" t="s">
        <v>1689</v>
      </c>
      <c r="B112" t="s">
        <v>1690</v>
      </c>
      <c r="R112">
        <v>974.84</v>
      </c>
      <c r="T112">
        <v>974.84</v>
      </c>
      <c r="X112">
        <v>974.84</v>
      </c>
      <c r="AA112">
        <v>974.84</v>
      </c>
      <c r="AC112">
        <v>974.84</v>
      </c>
    </row>
    <row r="113" spans="1:29" x14ac:dyDescent="0.3">
      <c r="A113" t="s">
        <v>1691</v>
      </c>
      <c r="B113" t="s">
        <v>1692</v>
      </c>
      <c r="R113">
        <v>120.84</v>
      </c>
      <c r="T113">
        <v>120.84</v>
      </c>
      <c r="X113">
        <v>120.84</v>
      </c>
      <c r="AC113">
        <v>120.83999999999999</v>
      </c>
    </row>
    <row r="114" spans="1:29" x14ac:dyDescent="0.3">
      <c r="A114" t="s">
        <v>1196</v>
      </c>
      <c r="B114" t="s">
        <v>1197</v>
      </c>
      <c r="T114">
        <v>355.02</v>
      </c>
      <c r="W114">
        <v>355.02</v>
      </c>
      <c r="X114">
        <v>355.02000000000004</v>
      </c>
      <c r="AC114">
        <v>355.02</v>
      </c>
    </row>
    <row r="115" spans="1:29" x14ac:dyDescent="0.3">
      <c r="A115" t="s">
        <v>568</v>
      </c>
      <c r="B115" t="s">
        <v>594</v>
      </c>
      <c r="U115">
        <v>14.34</v>
      </c>
      <c r="W115">
        <v>14.34</v>
      </c>
      <c r="Z115">
        <v>14.34</v>
      </c>
      <c r="AC115">
        <v>14.339999999999998</v>
      </c>
    </row>
    <row r="116" spans="1:29" x14ac:dyDescent="0.3">
      <c r="A116" t="s">
        <v>1693</v>
      </c>
      <c r="B116" t="s">
        <v>1694</v>
      </c>
      <c r="V116">
        <v>475</v>
      </c>
      <c r="AC116">
        <v>475</v>
      </c>
    </row>
    <row r="117" spans="1:29" x14ac:dyDescent="0.3">
      <c r="A117" t="s">
        <v>1695</v>
      </c>
      <c r="B117" t="s">
        <v>1696</v>
      </c>
      <c r="V117">
        <v>7.65</v>
      </c>
      <c r="Y117">
        <v>7.6499999999999995</v>
      </c>
      <c r="AC117">
        <v>7.65</v>
      </c>
    </row>
    <row r="118" spans="1:29" x14ac:dyDescent="0.3">
      <c r="A118" t="s">
        <v>1697</v>
      </c>
      <c r="B118" t="s">
        <v>1698</v>
      </c>
      <c r="V118">
        <v>6.07</v>
      </c>
      <c r="AC118">
        <v>6.07</v>
      </c>
    </row>
    <row r="119" spans="1:29" x14ac:dyDescent="0.3">
      <c r="A119" t="s">
        <v>1699</v>
      </c>
      <c r="B119" t="s">
        <v>1700</v>
      </c>
      <c r="V119">
        <v>6.07</v>
      </c>
      <c r="AC119">
        <v>6.07</v>
      </c>
    </row>
    <row r="120" spans="1:29" x14ac:dyDescent="0.3">
      <c r="A120" t="s">
        <v>1701</v>
      </c>
      <c r="B120" t="s">
        <v>1702</v>
      </c>
      <c r="V120">
        <v>5.24</v>
      </c>
      <c r="AC120">
        <v>5.24</v>
      </c>
    </row>
    <row r="121" spans="1:29" x14ac:dyDescent="0.3">
      <c r="A121" t="s">
        <v>1894</v>
      </c>
      <c r="B121" t="s">
        <v>1895</v>
      </c>
      <c r="X121">
        <v>5.9</v>
      </c>
      <c r="AC121">
        <v>5.9</v>
      </c>
    </row>
    <row r="122" spans="1:29" x14ac:dyDescent="0.3">
      <c r="A122" t="s">
        <v>1903</v>
      </c>
      <c r="B122" t="s">
        <v>1904</v>
      </c>
      <c r="Y122">
        <v>341.07</v>
      </c>
      <c r="AB122">
        <v>341.07</v>
      </c>
      <c r="AC122">
        <v>341.07</v>
      </c>
    </row>
    <row r="123" spans="1:29" x14ac:dyDescent="0.3">
      <c r="A123" t="s">
        <v>1943</v>
      </c>
      <c r="B123" t="s">
        <v>1944</v>
      </c>
      <c r="AB123">
        <v>65.22</v>
      </c>
      <c r="AC123">
        <v>65.22</v>
      </c>
    </row>
    <row r="124" spans="1:29" x14ac:dyDescent="0.3">
      <c r="A124" t="s">
        <v>53</v>
      </c>
      <c r="C124">
        <v>126.1698214285715</v>
      </c>
      <c r="D124">
        <v>409.34444444444438</v>
      </c>
      <c r="E124">
        <v>376.73684210526312</v>
      </c>
      <c r="F124">
        <v>458.0812499999999</v>
      </c>
      <c r="G124">
        <v>325.75111111111113</v>
      </c>
      <c r="H124">
        <v>329.34</v>
      </c>
      <c r="I124">
        <v>150.60590909090911</v>
      </c>
      <c r="J124">
        <v>339.03799999999995</v>
      </c>
      <c r="K124">
        <v>122049.72609756097</v>
      </c>
      <c r="L124">
        <v>384.54599999999994</v>
      </c>
      <c r="M124">
        <v>421.92699999999996</v>
      </c>
      <c r="N124">
        <v>136.41</v>
      </c>
      <c r="O124">
        <v>293.47052631578953</v>
      </c>
      <c r="P124">
        <v>250.89318181818183</v>
      </c>
      <c r="Q124">
        <v>400.375294117647</v>
      </c>
      <c r="R124">
        <v>347.22466666666674</v>
      </c>
      <c r="S124">
        <v>377.90000000000003</v>
      </c>
      <c r="T124">
        <v>352.15333333333336</v>
      </c>
      <c r="U124">
        <v>406.3523076923077</v>
      </c>
      <c r="V124">
        <v>303.35846153846154</v>
      </c>
      <c r="W124">
        <v>357.56840000000011</v>
      </c>
      <c r="X124">
        <v>384.12333333333328</v>
      </c>
      <c r="Y124">
        <v>345.08181818181816</v>
      </c>
      <c r="Z124">
        <v>407.91333333333318</v>
      </c>
      <c r="AA124">
        <v>449.38923076923078</v>
      </c>
      <c r="AB124">
        <v>337.23071428571427</v>
      </c>
      <c r="AC124">
        <v>10919.523014861996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D968-AAF1-474C-A193-FE0450B9BE69}">
  <dimension ref="B1:I368"/>
  <sheetViews>
    <sheetView workbookViewId="0">
      <selection activeCell="C2" sqref="C2"/>
    </sheetView>
  </sheetViews>
  <sheetFormatPr defaultRowHeight="14.4" x14ac:dyDescent="0.3"/>
  <cols>
    <col min="2" max="2" width="15.88671875" bestFit="1" customWidth="1"/>
    <col min="3" max="3" width="21.5546875" bestFit="1" customWidth="1"/>
    <col min="5" max="5" width="18.5546875" bestFit="1" customWidth="1"/>
    <col min="6" max="6" width="18.21875" bestFit="1" customWidth="1"/>
    <col min="9" max="9" width="18" bestFit="1" customWidth="1"/>
  </cols>
  <sheetData>
    <row r="1" spans="2:9" x14ac:dyDescent="0.3">
      <c r="B1" s="147" t="s">
        <v>6</v>
      </c>
      <c r="E1" s="148" t="s">
        <v>1178</v>
      </c>
    </row>
    <row r="3" spans="2:9" x14ac:dyDescent="0.3">
      <c r="B3" t="s">
        <v>96</v>
      </c>
      <c r="C3" t="s">
        <v>775</v>
      </c>
      <c r="E3" t="s">
        <v>1107</v>
      </c>
      <c r="F3" t="s">
        <v>1109</v>
      </c>
      <c r="H3" t="s">
        <v>19</v>
      </c>
      <c r="I3" t="s">
        <v>338</v>
      </c>
    </row>
    <row r="4" spans="2:9" x14ac:dyDescent="0.3">
      <c r="B4" t="s">
        <v>101</v>
      </c>
      <c r="C4" t="s">
        <v>776</v>
      </c>
      <c r="E4" t="s">
        <v>1108</v>
      </c>
      <c r="F4" t="s">
        <v>1109</v>
      </c>
      <c r="H4" t="s">
        <v>34</v>
      </c>
      <c r="I4" t="s">
        <v>339</v>
      </c>
    </row>
    <row r="5" spans="2:9" x14ac:dyDescent="0.3">
      <c r="B5" t="s">
        <v>325</v>
      </c>
      <c r="C5" t="s">
        <v>776</v>
      </c>
      <c r="E5" t="s">
        <v>1109</v>
      </c>
      <c r="F5" t="s">
        <v>1109</v>
      </c>
      <c r="H5" t="s">
        <v>48</v>
      </c>
      <c r="I5" t="s">
        <v>340</v>
      </c>
    </row>
    <row r="6" spans="2:9" x14ac:dyDescent="0.3">
      <c r="B6" t="s">
        <v>78</v>
      </c>
      <c r="C6" t="s">
        <v>777</v>
      </c>
      <c r="E6" t="s">
        <v>1114</v>
      </c>
      <c r="F6" t="s">
        <v>1114</v>
      </c>
    </row>
    <row r="7" spans="2:9" x14ac:dyDescent="0.3">
      <c r="B7" t="s">
        <v>171</v>
      </c>
      <c r="C7" t="s">
        <v>778</v>
      </c>
      <c r="E7" t="s">
        <v>791</v>
      </c>
      <c r="F7" t="s">
        <v>791</v>
      </c>
    </row>
    <row r="8" spans="2:9" x14ac:dyDescent="0.3">
      <c r="B8" t="s">
        <v>69</v>
      </c>
      <c r="C8" t="s">
        <v>779</v>
      </c>
      <c r="E8" t="s">
        <v>833</v>
      </c>
      <c r="F8" t="s">
        <v>833</v>
      </c>
    </row>
    <row r="9" spans="2:9" x14ac:dyDescent="0.3">
      <c r="B9" t="s">
        <v>95</v>
      </c>
      <c r="C9" t="s">
        <v>780</v>
      </c>
      <c r="E9" t="s">
        <v>1104</v>
      </c>
      <c r="F9" t="s">
        <v>1104</v>
      </c>
    </row>
    <row r="10" spans="2:9" x14ac:dyDescent="0.3">
      <c r="B10" t="s">
        <v>302</v>
      </c>
      <c r="C10" t="s">
        <v>303</v>
      </c>
      <c r="E10" t="s">
        <v>881</v>
      </c>
      <c r="F10" t="s">
        <v>299</v>
      </c>
    </row>
    <row r="11" spans="2:9" x14ac:dyDescent="0.3">
      <c r="B11" t="s">
        <v>301</v>
      </c>
      <c r="C11" t="s">
        <v>781</v>
      </c>
      <c r="E11" t="s">
        <v>960</v>
      </c>
      <c r="F11" t="s">
        <v>340</v>
      </c>
    </row>
    <row r="12" spans="2:9" x14ac:dyDescent="0.3">
      <c r="B12" t="s">
        <v>277</v>
      </c>
      <c r="C12" t="s">
        <v>782</v>
      </c>
      <c r="E12" t="s">
        <v>957</v>
      </c>
      <c r="F12" t="s">
        <v>340</v>
      </c>
    </row>
    <row r="13" spans="2:9" x14ac:dyDescent="0.3">
      <c r="B13" t="s">
        <v>134</v>
      </c>
      <c r="C13" t="s">
        <v>783</v>
      </c>
      <c r="E13" t="s">
        <v>208</v>
      </c>
      <c r="F13" t="s">
        <v>340</v>
      </c>
    </row>
    <row r="14" spans="2:9" x14ac:dyDescent="0.3">
      <c r="B14" t="s">
        <v>315</v>
      </c>
      <c r="C14" t="s">
        <v>316</v>
      </c>
      <c r="E14" t="s">
        <v>968</v>
      </c>
      <c r="F14" t="s">
        <v>340</v>
      </c>
    </row>
    <row r="15" spans="2:9" x14ac:dyDescent="0.3">
      <c r="B15" t="s">
        <v>317</v>
      </c>
      <c r="C15" t="s">
        <v>318</v>
      </c>
      <c r="E15" t="s">
        <v>954</v>
      </c>
      <c r="F15" t="s">
        <v>340</v>
      </c>
    </row>
    <row r="16" spans="2:9" x14ac:dyDescent="0.3">
      <c r="B16" t="s">
        <v>167</v>
      </c>
      <c r="C16" t="s">
        <v>784</v>
      </c>
      <c r="E16" t="s">
        <v>958</v>
      </c>
      <c r="F16" t="s">
        <v>340</v>
      </c>
    </row>
    <row r="17" spans="2:6" x14ac:dyDescent="0.3">
      <c r="B17" t="s">
        <v>110</v>
      </c>
      <c r="C17" t="s">
        <v>785</v>
      </c>
      <c r="E17" t="s">
        <v>950</v>
      </c>
      <c r="F17" t="s">
        <v>340</v>
      </c>
    </row>
    <row r="18" spans="2:6" x14ac:dyDescent="0.3">
      <c r="B18" t="s">
        <v>149</v>
      </c>
      <c r="C18" t="s">
        <v>786</v>
      </c>
      <c r="E18" t="s">
        <v>947</v>
      </c>
      <c r="F18" t="s">
        <v>340</v>
      </c>
    </row>
    <row r="19" spans="2:6" x14ac:dyDescent="0.3">
      <c r="B19" t="s">
        <v>88</v>
      </c>
      <c r="C19" t="s">
        <v>787</v>
      </c>
      <c r="E19" t="s">
        <v>959</v>
      </c>
      <c r="F19" t="s">
        <v>340</v>
      </c>
    </row>
    <row r="20" spans="2:6" x14ac:dyDescent="0.3">
      <c r="B20" t="s">
        <v>93</v>
      </c>
      <c r="C20" t="s">
        <v>94</v>
      </c>
      <c r="E20" t="s">
        <v>946</v>
      </c>
      <c r="F20" t="s">
        <v>340</v>
      </c>
    </row>
    <row r="21" spans="2:6" x14ac:dyDescent="0.3">
      <c r="B21" t="s">
        <v>72</v>
      </c>
      <c r="C21" t="s">
        <v>788</v>
      </c>
      <c r="E21" t="s">
        <v>955</v>
      </c>
      <c r="F21" t="s">
        <v>340</v>
      </c>
    </row>
    <row r="22" spans="2:6" x14ac:dyDescent="0.3">
      <c r="B22" t="s">
        <v>62</v>
      </c>
      <c r="C22" t="s">
        <v>789</v>
      </c>
      <c r="E22" t="s">
        <v>831</v>
      </c>
      <c r="F22" t="s">
        <v>831</v>
      </c>
    </row>
    <row r="23" spans="2:6" x14ac:dyDescent="0.3">
      <c r="B23" t="s">
        <v>300</v>
      </c>
      <c r="C23" t="s">
        <v>790</v>
      </c>
      <c r="E23" t="s">
        <v>299</v>
      </c>
      <c r="F23" t="s">
        <v>299</v>
      </c>
    </row>
    <row r="24" spans="2:6" x14ac:dyDescent="0.3">
      <c r="B24" t="s">
        <v>35</v>
      </c>
      <c r="C24" t="s">
        <v>299</v>
      </c>
      <c r="E24" t="s">
        <v>206</v>
      </c>
      <c r="F24" t="s">
        <v>340</v>
      </c>
    </row>
    <row r="25" spans="2:6" x14ac:dyDescent="0.3">
      <c r="B25" t="s">
        <v>298</v>
      </c>
      <c r="C25" t="s">
        <v>791</v>
      </c>
      <c r="E25" t="s">
        <v>938</v>
      </c>
      <c r="F25" t="s">
        <v>340</v>
      </c>
    </row>
    <row r="26" spans="2:6" x14ac:dyDescent="0.3">
      <c r="B26" t="s">
        <v>296</v>
      </c>
      <c r="C26" t="s">
        <v>297</v>
      </c>
      <c r="E26" t="s">
        <v>1124</v>
      </c>
      <c r="F26" t="s">
        <v>1124</v>
      </c>
    </row>
    <row r="27" spans="2:6" x14ac:dyDescent="0.3">
      <c r="B27" t="s">
        <v>91</v>
      </c>
      <c r="C27" t="s">
        <v>792</v>
      </c>
      <c r="E27" t="s">
        <v>937</v>
      </c>
      <c r="F27" t="s">
        <v>340</v>
      </c>
    </row>
    <row r="28" spans="2:6" x14ac:dyDescent="0.3">
      <c r="B28" t="s">
        <v>793</v>
      </c>
      <c r="C28" t="s">
        <v>794</v>
      </c>
      <c r="E28" t="s">
        <v>1122</v>
      </c>
      <c r="F28" t="s">
        <v>1124</v>
      </c>
    </row>
    <row r="29" spans="2:6" x14ac:dyDescent="0.3">
      <c r="B29" t="s">
        <v>795</v>
      </c>
      <c r="C29" t="s">
        <v>796</v>
      </c>
      <c r="E29" t="s">
        <v>940</v>
      </c>
      <c r="F29" t="s">
        <v>340</v>
      </c>
    </row>
    <row r="30" spans="2:6" x14ac:dyDescent="0.3">
      <c r="B30" t="s">
        <v>797</v>
      </c>
      <c r="C30" t="s">
        <v>798</v>
      </c>
      <c r="E30" t="s">
        <v>692</v>
      </c>
      <c r="F30" t="s">
        <v>692</v>
      </c>
    </row>
    <row r="31" spans="2:6" x14ac:dyDescent="0.3">
      <c r="B31" t="s">
        <v>799</v>
      </c>
      <c r="C31" t="s">
        <v>800</v>
      </c>
      <c r="E31" t="s">
        <v>1106</v>
      </c>
      <c r="F31" t="s">
        <v>1106</v>
      </c>
    </row>
    <row r="32" spans="2:6" x14ac:dyDescent="0.3">
      <c r="B32" t="s">
        <v>801</v>
      </c>
      <c r="C32" t="s">
        <v>802</v>
      </c>
    </row>
    <row r="33" spans="2:3" x14ac:dyDescent="0.3">
      <c r="B33" t="s">
        <v>803</v>
      </c>
      <c r="C33" t="s">
        <v>804</v>
      </c>
    </row>
    <row r="34" spans="2:3" x14ac:dyDescent="0.3">
      <c r="B34" t="s">
        <v>805</v>
      </c>
      <c r="C34" t="s">
        <v>806</v>
      </c>
    </row>
    <row r="35" spans="2:3" x14ac:dyDescent="0.3">
      <c r="B35" t="s">
        <v>807</v>
      </c>
      <c r="C35" t="s">
        <v>808</v>
      </c>
    </row>
    <row r="36" spans="2:3" x14ac:dyDescent="0.3">
      <c r="B36" t="s">
        <v>809</v>
      </c>
      <c r="C36" t="s">
        <v>810</v>
      </c>
    </row>
    <row r="37" spans="2:3" x14ac:dyDescent="0.3">
      <c r="B37" t="s">
        <v>811</v>
      </c>
      <c r="C37" t="s">
        <v>812</v>
      </c>
    </row>
    <row r="38" spans="2:3" x14ac:dyDescent="0.3">
      <c r="B38" t="s">
        <v>813</v>
      </c>
      <c r="C38" t="s">
        <v>814</v>
      </c>
    </row>
    <row r="39" spans="2:3" x14ac:dyDescent="0.3">
      <c r="B39" t="s">
        <v>114</v>
      </c>
      <c r="C39" t="s">
        <v>815</v>
      </c>
    </row>
    <row r="40" spans="2:3" x14ac:dyDescent="0.3">
      <c r="B40" t="s">
        <v>262</v>
      </c>
      <c r="C40" t="s">
        <v>816</v>
      </c>
    </row>
    <row r="41" spans="2:3" x14ac:dyDescent="0.3">
      <c r="B41" t="s">
        <v>276</v>
      </c>
      <c r="C41" t="s">
        <v>816</v>
      </c>
    </row>
    <row r="42" spans="2:3" x14ac:dyDescent="0.3">
      <c r="B42" t="s">
        <v>334</v>
      </c>
      <c r="C42" t="s">
        <v>817</v>
      </c>
    </row>
    <row r="43" spans="2:3" x14ac:dyDescent="0.3">
      <c r="B43" t="s">
        <v>333</v>
      </c>
      <c r="C43" t="s">
        <v>818</v>
      </c>
    </row>
    <row r="44" spans="2:3" x14ac:dyDescent="0.3">
      <c r="B44" t="s">
        <v>148</v>
      </c>
      <c r="C44" t="s">
        <v>819</v>
      </c>
    </row>
    <row r="45" spans="2:3" x14ac:dyDescent="0.3">
      <c r="B45" t="s">
        <v>82</v>
      </c>
      <c r="C45" t="s">
        <v>820</v>
      </c>
    </row>
    <row r="46" spans="2:3" x14ac:dyDescent="0.3">
      <c r="B46" t="s">
        <v>141</v>
      </c>
      <c r="C46" t="s">
        <v>821</v>
      </c>
    </row>
    <row r="47" spans="2:3" x14ac:dyDescent="0.3">
      <c r="B47" t="s">
        <v>147</v>
      </c>
      <c r="C47" t="s">
        <v>822</v>
      </c>
    </row>
    <row r="48" spans="2:3" x14ac:dyDescent="0.3">
      <c r="B48" t="s">
        <v>823</v>
      </c>
      <c r="C48" t="s">
        <v>824</v>
      </c>
    </row>
    <row r="49" spans="2:3" x14ac:dyDescent="0.3">
      <c r="B49" t="s">
        <v>825</v>
      </c>
      <c r="C49" t="s">
        <v>826</v>
      </c>
    </row>
    <row r="50" spans="2:3" x14ac:dyDescent="0.3">
      <c r="B50" t="s">
        <v>827</v>
      </c>
      <c r="C50" t="s">
        <v>828</v>
      </c>
    </row>
    <row r="51" spans="2:3" x14ac:dyDescent="0.3">
      <c r="B51" t="s">
        <v>829</v>
      </c>
      <c r="C51" t="s">
        <v>830</v>
      </c>
    </row>
    <row r="52" spans="2:3" x14ac:dyDescent="0.3">
      <c r="B52" t="s">
        <v>773</v>
      </c>
      <c r="C52" t="s">
        <v>831</v>
      </c>
    </row>
    <row r="53" spans="2:3" x14ac:dyDescent="0.3">
      <c r="B53" t="s">
        <v>832</v>
      </c>
      <c r="C53" t="s">
        <v>833</v>
      </c>
    </row>
    <row r="54" spans="2:3" x14ac:dyDescent="0.3">
      <c r="B54" t="s">
        <v>834</v>
      </c>
      <c r="C54" t="s">
        <v>835</v>
      </c>
    </row>
    <row r="55" spans="2:3" x14ac:dyDescent="0.3">
      <c r="B55" t="s">
        <v>836</v>
      </c>
      <c r="C55" t="s">
        <v>837</v>
      </c>
    </row>
    <row r="56" spans="2:3" x14ac:dyDescent="0.3">
      <c r="B56" t="s">
        <v>838</v>
      </c>
      <c r="C56" t="s">
        <v>839</v>
      </c>
    </row>
    <row r="57" spans="2:3" x14ac:dyDescent="0.3">
      <c r="B57" t="s">
        <v>840</v>
      </c>
      <c r="C57" t="s">
        <v>841</v>
      </c>
    </row>
    <row r="58" spans="2:3" x14ac:dyDescent="0.3">
      <c r="B58" t="s">
        <v>842</v>
      </c>
      <c r="C58" t="s">
        <v>843</v>
      </c>
    </row>
    <row r="59" spans="2:3" x14ac:dyDescent="0.3">
      <c r="B59" t="s">
        <v>844</v>
      </c>
      <c r="C59" t="s">
        <v>845</v>
      </c>
    </row>
    <row r="60" spans="2:3" x14ac:dyDescent="0.3">
      <c r="B60" t="s">
        <v>846</v>
      </c>
      <c r="C60" t="s">
        <v>847</v>
      </c>
    </row>
    <row r="61" spans="2:3" x14ac:dyDescent="0.3">
      <c r="B61" t="s">
        <v>314</v>
      </c>
      <c r="C61" t="s">
        <v>848</v>
      </c>
    </row>
    <row r="62" spans="2:3" x14ac:dyDescent="0.3">
      <c r="B62" t="s">
        <v>849</v>
      </c>
      <c r="C62" t="s">
        <v>850</v>
      </c>
    </row>
    <row r="63" spans="2:3" x14ac:dyDescent="0.3">
      <c r="B63" t="s">
        <v>851</v>
      </c>
      <c r="C63" t="s">
        <v>852</v>
      </c>
    </row>
    <row r="64" spans="2:3" x14ac:dyDescent="0.3">
      <c r="B64" t="s">
        <v>853</v>
      </c>
      <c r="C64" t="s">
        <v>854</v>
      </c>
    </row>
    <row r="65" spans="2:3" x14ac:dyDescent="0.3">
      <c r="B65" t="s">
        <v>486</v>
      </c>
      <c r="C65" t="s">
        <v>855</v>
      </c>
    </row>
    <row r="66" spans="2:3" x14ac:dyDescent="0.3">
      <c r="B66" t="s">
        <v>856</v>
      </c>
      <c r="C66" t="s">
        <v>857</v>
      </c>
    </row>
    <row r="67" spans="2:3" x14ac:dyDescent="0.3">
      <c r="B67" t="s">
        <v>858</v>
      </c>
      <c r="C67" t="s">
        <v>859</v>
      </c>
    </row>
    <row r="68" spans="2:3" x14ac:dyDescent="0.3">
      <c r="B68" t="s">
        <v>313</v>
      </c>
      <c r="C68" t="s">
        <v>860</v>
      </c>
    </row>
    <row r="69" spans="2:3" x14ac:dyDescent="0.3">
      <c r="B69" t="s">
        <v>488</v>
      </c>
      <c r="C69" t="s">
        <v>861</v>
      </c>
    </row>
    <row r="70" spans="2:3" x14ac:dyDescent="0.3">
      <c r="B70" t="s">
        <v>487</v>
      </c>
      <c r="C70" t="s">
        <v>862</v>
      </c>
    </row>
    <row r="71" spans="2:3" x14ac:dyDescent="0.3">
      <c r="B71" t="s">
        <v>863</v>
      </c>
      <c r="C71" t="s">
        <v>864</v>
      </c>
    </row>
    <row r="72" spans="2:3" x14ac:dyDescent="0.3">
      <c r="B72" t="s">
        <v>865</v>
      </c>
      <c r="C72" t="s">
        <v>866</v>
      </c>
    </row>
    <row r="73" spans="2:3" x14ac:dyDescent="0.3">
      <c r="B73" t="s">
        <v>867</v>
      </c>
      <c r="C73" t="s">
        <v>868</v>
      </c>
    </row>
    <row r="74" spans="2:3" x14ac:dyDescent="0.3">
      <c r="B74" t="s">
        <v>869</v>
      </c>
      <c r="C74" t="s">
        <v>870</v>
      </c>
    </row>
    <row r="75" spans="2:3" x14ac:dyDescent="0.3">
      <c r="B75" t="s">
        <v>871</v>
      </c>
      <c r="C75" t="s">
        <v>872</v>
      </c>
    </row>
    <row r="76" spans="2:3" x14ac:dyDescent="0.3">
      <c r="B76" t="s">
        <v>873</v>
      </c>
      <c r="C76" t="s">
        <v>874</v>
      </c>
    </row>
    <row r="77" spans="2:3" x14ac:dyDescent="0.3">
      <c r="B77" t="s">
        <v>875</v>
      </c>
      <c r="C77" t="s">
        <v>876</v>
      </c>
    </row>
    <row r="78" spans="2:3" x14ac:dyDescent="0.3">
      <c r="B78" t="s">
        <v>877</v>
      </c>
      <c r="C78" t="s">
        <v>878</v>
      </c>
    </row>
    <row r="79" spans="2:3" x14ac:dyDescent="0.3">
      <c r="B79" t="s">
        <v>879</v>
      </c>
      <c r="C79" t="s">
        <v>880</v>
      </c>
    </row>
    <row r="80" spans="2:3" x14ac:dyDescent="0.3">
      <c r="B80" t="s">
        <v>772</v>
      </c>
      <c r="C80" t="s">
        <v>881</v>
      </c>
    </row>
    <row r="81" spans="2:3" x14ac:dyDescent="0.3">
      <c r="B81" t="s">
        <v>882</v>
      </c>
      <c r="C81" t="s">
        <v>883</v>
      </c>
    </row>
    <row r="82" spans="2:3" x14ac:dyDescent="0.3">
      <c r="B82" t="s">
        <v>884</v>
      </c>
      <c r="C82" t="s">
        <v>885</v>
      </c>
    </row>
    <row r="83" spans="2:3" x14ac:dyDescent="0.3">
      <c r="B83" t="s">
        <v>886</v>
      </c>
      <c r="C83" t="s">
        <v>887</v>
      </c>
    </row>
    <row r="84" spans="2:3" x14ac:dyDescent="0.3">
      <c r="B84" t="s">
        <v>888</v>
      </c>
      <c r="C84" t="s">
        <v>889</v>
      </c>
    </row>
    <row r="85" spans="2:3" x14ac:dyDescent="0.3">
      <c r="B85" t="s">
        <v>890</v>
      </c>
      <c r="C85" t="s">
        <v>891</v>
      </c>
    </row>
    <row r="86" spans="2:3" x14ac:dyDescent="0.3">
      <c r="B86" t="s">
        <v>892</v>
      </c>
      <c r="C86" t="s">
        <v>893</v>
      </c>
    </row>
    <row r="87" spans="2:3" x14ac:dyDescent="0.3">
      <c r="B87" t="s">
        <v>894</v>
      </c>
      <c r="C87" t="s">
        <v>895</v>
      </c>
    </row>
    <row r="88" spans="2:3" x14ac:dyDescent="0.3">
      <c r="B88" t="s">
        <v>896</v>
      </c>
      <c r="C88" t="s">
        <v>897</v>
      </c>
    </row>
    <row r="89" spans="2:3" x14ac:dyDescent="0.3">
      <c r="B89" t="s">
        <v>898</v>
      </c>
      <c r="C89" t="s">
        <v>899</v>
      </c>
    </row>
    <row r="90" spans="2:3" x14ac:dyDescent="0.3">
      <c r="B90" t="s">
        <v>900</v>
      </c>
      <c r="C90" t="s">
        <v>901</v>
      </c>
    </row>
    <row r="91" spans="2:3" x14ac:dyDescent="0.3">
      <c r="B91" t="s">
        <v>902</v>
      </c>
      <c r="C91" t="s">
        <v>903</v>
      </c>
    </row>
    <row r="92" spans="2:3" x14ac:dyDescent="0.3">
      <c r="B92" t="s">
        <v>904</v>
      </c>
      <c r="C92" t="s">
        <v>905</v>
      </c>
    </row>
    <row r="93" spans="2:3" x14ac:dyDescent="0.3">
      <c r="B93" t="s">
        <v>906</v>
      </c>
      <c r="C93" t="s">
        <v>907</v>
      </c>
    </row>
    <row r="94" spans="2:3" x14ac:dyDescent="0.3">
      <c r="B94" t="s">
        <v>908</v>
      </c>
      <c r="C94" t="s">
        <v>909</v>
      </c>
    </row>
    <row r="95" spans="2:3" x14ac:dyDescent="0.3">
      <c r="B95" t="s">
        <v>910</v>
      </c>
      <c r="C95" t="s">
        <v>911</v>
      </c>
    </row>
    <row r="96" spans="2:3" x14ac:dyDescent="0.3">
      <c r="B96" t="s">
        <v>912</v>
      </c>
      <c r="C96" t="s">
        <v>913</v>
      </c>
    </row>
    <row r="97" spans="2:3" x14ac:dyDescent="0.3">
      <c r="B97" t="s">
        <v>914</v>
      </c>
      <c r="C97" t="s">
        <v>915</v>
      </c>
    </row>
    <row r="98" spans="2:3" x14ac:dyDescent="0.3">
      <c r="B98" t="s">
        <v>916</v>
      </c>
      <c r="C98" t="s">
        <v>917</v>
      </c>
    </row>
    <row r="99" spans="2:3" x14ac:dyDescent="0.3">
      <c r="B99" t="s">
        <v>918</v>
      </c>
      <c r="C99" t="s">
        <v>919</v>
      </c>
    </row>
    <row r="100" spans="2:3" x14ac:dyDescent="0.3">
      <c r="B100" t="s">
        <v>295</v>
      </c>
      <c r="C100" t="s">
        <v>920</v>
      </c>
    </row>
    <row r="101" spans="2:3" x14ac:dyDescent="0.3">
      <c r="B101" t="s">
        <v>294</v>
      </c>
      <c r="C101" t="s">
        <v>921</v>
      </c>
    </row>
    <row r="102" spans="2:3" x14ac:dyDescent="0.3">
      <c r="B102" t="s">
        <v>182</v>
      </c>
      <c r="C102" t="s">
        <v>922</v>
      </c>
    </row>
    <row r="103" spans="2:3" x14ac:dyDescent="0.3">
      <c r="B103" t="s">
        <v>241</v>
      </c>
      <c r="C103" t="s">
        <v>923</v>
      </c>
    </row>
    <row r="104" spans="2:3" x14ac:dyDescent="0.3">
      <c r="B104" t="s">
        <v>261</v>
      </c>
      <c r="C104" t="s">
        <v>924</v>
      </c>
    </row>
    <row r="105" spans="2:3" x14ac:dyDescent="0.3">
      <c r="B105" t="s">
        <v>279</v>
      </c>
      <c r="C105" t="s">
        <v>924</v>
      </c>
    </row>
    <row r="106" spans="2:3" x14ac:dyDescent="0.3">
      <c r="B106" t="s">
        <v>146</v>
      </c>
      <c r="C106" t="s">
        <v>925</v>
      </c>
    </row>
    <row r="107" spans="2:3" x14ac:dyDescent="0.3">
      <c r="B107" t="s">
        <v>169</v>
      </c>
      <c r="C107" t="s">
        <v>339</v>
      </c>
    </row>
    <row r="108" spans="2:3" x14ac:dyDescent="0.3">
      <c r="B108" t="s">
        <v>237</v>
      </c>
      <c r="C108" t="s">
        <v>926</v>
      </c>
    </row>
    <row r="109" spans="2:3" x14ac:dyDescent="0.3">
      <c r="B109" t="s">
        <v>239</v>
      </c>
      <c r="C109" t="s">
        <v>927</v>
      </c>
    </row>
    <row r="110" spans="2:3" x14ac:dyDescent="0.3">
      <c r="B110" t="s">
        <v>238</v>
      </c>
      <c r="C110" t="s">
        <v>928</v>
      </c>
    </row>
    <row r="111" spans="2:3" x14ac:dyDescent="0.3">
      <c r="B111" t="s">
        <v>240</v>
      </c>
      <c r="C111" t="s">
        <v>929</v>
      </c>
    </row>
    <row r="112" spans="2:3" x14ac:dyDescent="0.3">
      <c r="B112" t="s">
        <v>145</v>
      </c>
      <c r="C112" t="s">
        <v>930</v>
      </c>
    </row>
    <row r="113" spans="2:3" x14ac:dyDescent="0.3">
      <c r="B113" t="s">
        <v>260</v>
      </c>
      <c r="C113" t="s">
        <v>931</v>
      </c>
    </row>
    <row r="114" spans="2:3" x14ac:dyDescent="0.3">
      <c r="B114" t="s">
        <v>270</v>
      </c>
      <c r="C114" t="s">
        <v>271</v>
      </c>
    </row>
    <row r="115" spans="2:3" x14ac:dyDescent="0.3">
      <c r="B115" t="s">
        <v>61</v>
      </c>
      <c r="C115" t="s">
        <v>932</v>
      </c>
    </row>
    <row r="116" spans="2:3" x14ac:dyDescent="0.3">
      <c r="B116" t="s">
        <v>74</v>
      </c>
      <c r="C116" t="s">
        <v>933</v>
      </c>
    </row>
    <row r="117" spans="2:3" x14ac:dyDescent="0.3">
      <c r="B117" t="s">
        <v>216</v>
      </c>
      <c r="C117" t="s">
        <v>934</v>
      </c>
    </row>
    <row r="118" spans="2:3" x14ac:dyDescent="0.3">
      <c r="B118" t="s">
        <v>224</v>
      </c>
      <c r="C118" t="s">
        <v>935</v>
      </c>
    </row>
    <row r="119" spans="2:3" x14ac:dyDescent="0.3">
      <c r="B119" t="s">
        <v>226</v>
      </c>
      <c r="C119" t="s">
        <v>936</v>
      </c>
    </row>
    <row r="120" spans="2:3" x14ac:dyDescent="0.3">
      <c r="B120" t="s">
        <v>212</v>
      </c>
      <c r="C120" t="s">
        <v>937</v>
      </c>
    </row>
    <row r="121" spans="2:3" x14ac:dyDescent="0.3">
      <c r="B121" t="s">
        <v>50</v>
      </c>
      <c r="C121" t="s">
        <v>938</v>
      </c>
    </row>
    <row r="122" spans="2:3" x14ac:dyDescent="0.3">
      <c r="B122" t="s">
        <v>306</v>
      </c>
      <c r="C122" t="s">
        <v>938</v>
      </c>
    </row>
    <row r="123" spans="2:3" x14ac:dyDescent="0.3">
      <c r="B123" t="s">
        <v>211</v>
      </c>
      <c r="C123" t="s">
        <v>939</v>
      </c>
    </row>
    <row r="124" spans="2:3" x14ac:dyDescent="0.3">
      <c r="B124" t="s">
        <v>229</v>
      </c>
      <c r="C124" t="s">
        <v>940</v>
      </c>
    </row>
    <row r="125" spans="2:3" x14ac:dyDescent="0.3">
      <c r="B125" t="s">
        <v>213</v>
      </c>
      <c r="C125" t="s">
        <v>941</v>
      </c>
    </row>
    <row r="126" spans="2:3" x14ac:dyDescent="0.3">
      <c r="B126" t="s">
        <v>230</v>
      </c>
      <c r="C126" t="s">
        <v>942</v>
      </c>
    </row>
    <row r="127" spans="2:3" x14ac:dyDescent="0.3">
      <c r="B127" t="s">
        <v>227</v>
      </c>
      <c r="C127" t="s">
        <v>943</v>
      </c>
    </row>
    <row r="128" spans="2:3" x14ac:dyDescent="0.3">
      <c r="B128" t="s">
        <v>209</v>
      </c>
      <c r="C128" t="s">
        <v>210</v>
      </c>
    </row>
    <row r="129" spans="2:3" x14ac:dyDescent="0.3">
      <c r="B129" t="s">
        <v>214</v>
      </c>
      <c r="C129" t="s">
        <v>944</v>
      </c>
    </row>
    <row r="130" spans="2:3" x14ac:dyDescent="0.3">
      <c r="B130" t="s">
        <v>228</v>
      </c>
      <c r="C130" t="s">
        <v>945</v>
      </c>
    </row>
    <row r="131" spans="2:3" x14ac:dyDescent="0.3">
      <c r="B131" t="s">
        <v>304</v>
      </c>
      <c r="C131" t="s">
        <v>945</v>
      </c>
    </row>
    <row r="132" spans="2:3" x14ac:dyDescent="0.3">
      <c r="B132" t="s">
        <v>207</v>
      </c>
      <c r="C132" t="s">
        <v>208</v>
      </c>
    </row>
    <row r="133" spans="2:3" x14ac:dyDescent="0.3">
      <c r="B133" t="s">
        <v>305</v>
      </c>
      <c r="C133" t="s">
        <v>208</v>
      </c>
    </row>
    <row r="134" spans="2:3" x14ac:dyDescent="0.3">
      <c r="B134" t="s">
        <v>222</v>
      </c>
      <c r="C134" t="s">
        <v>946</v>
      </c>
    </row>
    <row r="135" spans="2:3" x14ac:dyDescent="0.3">
      <c r="B135" t="s">
        <v>231</v>
      </c>
      <c r="C135" t="s">
        <v>232</v>
      </c>
    </row>
    <row r="136" spans="2:3" x14ac:dyDescent="0.3">
      <c r="B136" t="s">
        <v>223</v>
      </c>
      <c r="C136" t="s">
        <v>947</v>
      </c>
    </row>
    <row r="137" spans="2:3" x14ac:dyDescent="0.3">
      <c r="B137" t="s">
        <v>217</v>
      </c>
      <c r="C137" t="s">
        <v>948</v>
      </c>
    </row>
    <row r="138" spans="2:3" x14ac:dyDescent="0.3">
      <c r="B138" t="s">
        <v>218</v>
      </c>
      <c r="C138" t="s">
        <v>949</v>
      </c>
    </row>
    <row r="139" spans="2:3" x14ac:dyDescent="0.3">
      <c r="B139" t="s">
        <v>219</v>
      </c>
      <c r="C139" t="s">
        <v>950</v>
      </c>
    </row>
    <row r="140" spans="2:3" x14ac:dyDescent="0.3">
      <c r="B140" t="s">
        <v>220</v>
      </c>
      <c r="C140" t="s">
        <v>951</v>
      </c>
    </row>
    <row r="141" spans="2:3" x14ac:dyDescent="0.3">
      <c r="B141" t="s">
        <v>221</v>
      </c>
      <c r="C141" t="s">
        <v>952</v>
      </c>
    </row>
    <row r="142" spans="2:3" x14ac:dyDescent="0.3">
      <c r="B142" t="s">
        <v>215</v>
      </c>
      <c r="C142" t="s">
        <v>953</v>
      </c>
    </row>
    <row r="143" spans="2:3" x14ac:dyDescent="0.3">
      <c r="B143" t="s">
        <v>205</v>
      </c>
      <c r="C143" t="s">
        <v>206</v>
      </c>
    </row>
    <row r="144" spans="2:3" x14ac:dyDescent="0.3">
      <c r="B144" t="s">
        <v>204</v>
      </c>
      <c r="C144" t="s">
        <v>954</v>
      </c>
    </row>
    <row r="145" spans="2:3" x14ac:dyDescent="0.3">
      <c r="B145" t="s">
        <v>225</v>
      </c>
      <c r="C145" t="s">
        <v>955</v>
      </c>
    </row>
    <row r="146" spans="2:3" x14ac:dyDescent="0.3">
      <c r="B146" t="s">
        <v>203</v>
      </c>
      <c r="C146" t="s">
        <v>956</v>
      </c>
    </row>
    <row r="147" spans="2:3" x14ac:dyDescent="0.3">
      <c r="B147" t="s">
        <v>202</v>
      </c>
      <c r="C147" t="s">
        <v>957</v>
      </c>
    </row>
    <row r="148" spans="2:3" x14ac:dyDescent="0.3">
      <c r="B148" t="s">
        <v>201</v>
      </c>
      <c r="C148" t="s">
        <v>958</v>
      </c>
    </row>
    <row r="149" spans="2:3" x14ac:dyDescent="0.3">
      <c r="B149" t="s">
        <v>199</v>
      </c>
      <c r="C149" t="s">
        <v>200</v>
      </c>
    </row>
    <row r="150" spans="2:3" x14ac:dyDescent="0.3">
      <c r="B150" t="s">
        <v>49</v>
      </c>
      <c r="C150" t="s">
        <v>959</v>
      </c>
    </row>
    <row r="151" spans="2:3" x14ac:dyDescent="0.3">
      <c r="B151" t="s">
        <v>198</v>
      </c>
      <c r="C151" t="s">
        <v>960</v>
      </c>
    </row>
    <row r="152" spans="2:3" x14ac:dyDescent="0.3">
      <c r="B152" t="s">
        <v>111</v>
      </c>
      <c r="C152" t="s">
        <v>961</v>
      </c>
    </row>
    <row r="153" spans="2:3" x14ac:dyDescent="0.3">
      <c r="B153" t="s">
        <v>172</v>
      </c>
      <c r="C153" t="s">
        <v>962</v>
      </c>
    </row>
    <row r="154" spans="2:3" x14ac:dyDescent="0.3">
      <c r="B154" t="s">
        <v>259</v>
      </c>
      <c r="C154" t="s">
        <v>963</v>
      </c>
    </row>
    <row r="155" spans="2:3" x14ac:dyDescent="0.3">
      <c r="B155" t="s">
        <v>266</v>
      </c>
      <c r="C155" t="s">
        <v>963</v>
      </c>
    </row>
    <row r="156" spans="2:3" x14ac:dyDescent="0.3">
      <c r="B156" t="s">
        <v>258</v>
      </c>
      <c r="C156" t="s">
        <v>964</v>
      </c>
    </row>
    <row r="157" spans="2:3" x14ac:dyDescent="0.3">
      <c r="B157" t="s">
        <v>283</v>
      </c>
      <c r="C157" t="s">
        <v>964</v>
      </c>
    </row>
    <row r="158" spans="2:3" x14ac:dyDescent="0.3">
      <c r="B158" t="s">
        <v>965</v>
      </c>
      <c r="C158" t="s">
        <v>966</v>
      </c>
    </row>
    <row r="159" spans="2:3" x14ac:dyDescent="0.3">
      <c r="B159" t="s">
        <v>319</v>
      </c>
      <c r="C159" t="s">
        <v>967</v>
      </c>
    </row>
    <row r="160" spans="2:3" x14ac:dyDescent="0.3">
      <c r="B160" t="s">
        <v>168</v>
      </c>
      <c r="C160" t="s">
        <v>968</v>
      </c>
    </row>
    <row r="161" spans="2:3" x14ac:dyDescent="0.3">
      <c r="B161" t="s">
        <v>83</v>
      </c>
      <c r="C161" t="s">
        <v>84</v>
      </c>
    </row>
    <row r="162" spans="2:3" x14ac:dyDescent="0.3">
      <c r="B162" t="s">
        <v>257</v>
      </c>
      <c r="C162" t="s">
        <v>969</v>
      </c>
    </row>
    <row r="163" spans="2:3" x14ac:dyDescent="0.3">
      <c r="B163" t="s">
        <v>282</v>
      </c>
      <c r="C163" t="s">
        <v>969</v>
      </c>
    </row>
    <row r="164" spans="2:3" x14ac:dyDescent="0.3">
      <c r="B164" t="s">
        <v>256</v>
      </c>
      <c r="C164" t="s">
        <v>970</v>
      </c>
    </row>
    <row r="165" spans="2:3" x14ac:dyDescent="0.3">
      <c r="B165" t="s">
        <v>278</v>
      </c>
      <c r="C165" t="s">
        <v>970</v>
      </c>
    </row>
    <row r="166" spans="2:3" x14ac:dyDescent="0.3">
      <c r="B166" t="s">
        <v>107</v>
      </c>
      <c r="C166" t="s">
        <v>108</v>
      </c>
    </row>
    <row r="167" spans="2:3" x14ac:dyDescent="0.3">
      <c r="B167" t="s">
        <v>60</v>
      </c>
      <c r="C167" t="s">
        <v>971</v>
      </c>
    </row>
    <row r="168" spans="2:3" x14ac:dyDescent="0.3">
      <c r="B168" t="s">
        <v>186</v>
      </c>
      <c r="C168" t="s">
        <v>972</v>
      </c>
    </row>
    <row r="169" spans="2:3" x14ac:dyDescent="0.3">
      <c r="B169" t="s">
        <v>116</v>
      </c>
      <c r="C169" t="s">
        <v>973</v>
      </c>
    </row>
    <row r="170" spans="2:3" x14ac:dyDescent="0.3">
      <c r="B170" t="s">
        <v>233</v>
      </c>
      <c r="C170" t="s">
        <v>974</v>
      </c>
    </row>
    <row r="171" spans="2:3" x14ac:dyDescent="0.3">
      <c r="B171" t="s">
        <v>193</v>
      </c>
      <c r="C171" t="s">
        <v>194</v>
      </c>
    </row>
    <row r="172" spans="2:3" x14ac:dyDescent="0.3">
      <c r="B172" t="s">
        <v>235</v>
      </c>
      <c r="C172" t="s">
        <v>975</v>
      </c>
    </row>
    <row r="173" spans="2:3" x14ac:dyDescent="0.3">
      <c r="B173" t="s">
        <v>192</v>
      </c>
      <c r="C173" t="s">
        <v>976</v>
      </c>
    </row>
    <row r="174" spans="2:3" x14ac:dyDescent="0.3">
      <c r="B174" t="s">
        <v>87</v>
      </c>
      <c r="C174" t="s">
        <v>977</v>
      </c>
    </row>
    <row r="175" spans="2:3" x14ac:dyDescent="0.3">
      <c r="B175" t="s">
        <v>184</v>
      </c>
      <c r="C175" t="s">
        <v>978</v>
      </c>
    </row>
    <row r="176" spans="2:3" x14ac:dyDescent="0.3">
      <c r="B176" t="s">
        <v>979</v>
      </c>
      <c r="C176" t="s">
        <v>980</v>
      </c>
    </row>
    <row r="177" spans="2:3" x14ac:dyDescent="0.3">
      <c r="B177" t="s">
        <v>981</v>
      </c>
      <c r="C177" t="s">
        <v>982</v>
      </c>
    </row>
    <row r="178" spans="2:3" x14ac:dyDescent="0.3">
      <c r="B178" t="s">
        <v>983</v>
      </c>
      <c r="C178" t="s">
        <v>984</v>
      </c>
    </row>
    <row r="179" spans="2:3" x14ac:dyDescent="0.3">
      <c r="B179" t="s">
        <v>985</v>
      </c>
      <c r="C179" t="s">
        <v>986</v>
      </c>
    </row>
    <row r="180" spans="2:3" x14ac:dyDescent="0.3">
      <c r="B180" t="s">
        <v>987</v>
      </c>
      <c r="C180" t="s">
        <v>988</v>
      </c>
    </row>
    <row r="181" spans="2:3" x14ac:dyDescent="0.3">
      <c r="B181" t="s">
        <v>989</v>
      </c>
      <c r="C181" t="s">
        <v>990</v>
      </c>
    </row>
    <row r="182" spans="2:3" x14ac:dyDescent="0.3">
      <c r="B182" t="s">
        <v>991</v>
      </c>
      <c r="C182" t="s">
        <v>992</v>
      </c>
    </row>
    <row r="183" spans="2:3" x14ac:dyDescent="0.3">
      <c r="B183" t="s">
        <v>993</v>
      </c>
      <c r="C183" t="s">
        <v>994</v>
      </c>
    </row>
    <row r="184" spans="2:3" x14ac:dyDescent="0.3">
      <c r="B184" t="s">
        <v>995</v>
      </c>
      <c r="C184" t="s">
        <v>996</v>
      </c>
    </row>
    <row r="185" spans="2:3" x14ac:dyDescent="0.3">
      <c r="B185" t="s">
        <v>997</v>
      </c>
      <c r="C185" t="s">
        <v>998</v>
      </c>
    </row>
    <row r="186" spans="2:3" x14ac:dyDescent="0.3">
      <c r="B186" t="s">
        <v>999</v>
      </c>
      <c r="C186" t="s">
        <v>1000</v>
      </c>
    </row>
    <row r="187" spans="2:3" x14ac:dyDescent="0.3">
      <c r="B187" t="s">
        <v>1001</v>
      </c>
      <c r="C187" t="s">
        <v>1002</v>
      </c>
    </row>
    <row r="188" spans="2:3" x14ac:dyDescent="0.3">
      <c r="B188" t="s">
        <v>179</v>
      </c>
      <c r="C188" t="s">
        <v>1003</v>
      </c>
    </row>
    <row r="189" spans="2:3" x14ac:dyDescent="0.3">
      <c r="B189" t="s">
        <v>195</v>
      </c>
      <c r="C189" t="s">
        <v>1004</v>
      </c>
    </row>
    <row r="190" spans="2:3" x14ac:dyDescent="0.3">
      <c r="B190" t="s">
        <v>196</v>
      </c>
      <c r="C190" t="s">
        <v>197</v>
      </c>
    </row>
    <row r="191" spans="2:3" x14ac:dyDescent="0.3">
      <c r="B191" t="s">
        <v>144</v>
      </c>
      <c r="C191" t="s">
        <v>1005</v>
      </c>
    </row>
    <row r="192" spans="2:3" x14ac:dyDescent="0.3">
      <c r="B192" t="s">
        <v>255</v>
      </c>
      <c r="C192" t="s">
        <v>1006</v>
      </c>
    </row>
    <row r="193" spans="2:3" x14ac:dyDescent="0.3">
      <c r="B193" t="s">
        <v>275</v>
      </c>
      <c r="C193" t="s">
        <v>1006</v>
      </c>
    </row>
    <row r="194" spans="2:3" x14ac:dyDescent="0.3">
      <c r="B194" t="s">
        <v>97</v>
      </c>
      <c r="C194" t="s">
        <v>98</v>
      </c>
    </row>
    <row r="195" spans="2:3" x14ac:dyDescent="0.3">
      <c r="B195" t="s">
        <v>80</v>
      </c>
      <c r="C195" t="s">
        <v>1007</v>
      </c>
    </row>
    <row r="196" spans="2:3" x14ac:dyDescent="0.3">
      <c r="B196" t="s">
        <v>85</v>
      </c>
      <c r="C196" t="s">
        <v>86</v>
      </c>
    </row>
    <row r="197" spans="2:3" x14ac:dyDescent="0.3">
      <c r="B197" t="s">
        <v>329</v>
      </c>
      <c r="C197" t="s">
        <v>1008</v>
      </c>
    </row>
    <row r="198" spans="2:3" x14ac:dyDescent="0.3">
      <c r="B198" t="s">
        <v>66</v>
      </c>
      <c r="C198" t="s">
        <v>1009</v>
      </c>
    </row>
    <row r="199" spans="2:3" x14ac:dyDescent="0.3">
      <c r="B199" t="s">
        <v>254</v>
      </c>
      <c r="C199" t="s">
        <v>1010</v>
      </c>
    </row>
    <row r="200" spans="2:3" x14ac:dyDescent="0.3">
      <c r="B200" t="s">
        <v>269</v>
      </c>
      <c r="C200" t="s">
        <v>1010</v>
      </c>
    </row>
    <row r="201" spans="2:3" x14ac:dyDescent="0.3">
      <c r="B201" t="s">
        <v>252</v>
      </c>
      <c r="C201" t="s">
        <v>253</v>
      </c>
    </row>
    <row r="202" spans="2:3" x14ac:dyDescent="0.3">
      <c r="B202" t="s">
        <v>284</v>
      </c>
      <c r="C202" t="s">
        <v>253</v>
      </c>
    </row>
    <row r="203" spans="2:3" x14ac:dyDescent="0.3">
      <c r="B203" t="s">
        <v>112</v>
      </c>
      <c r="C203" t="s">
        <v>1011</v>
      </c>
    </row>
    <row r="204" spans="2:3" x14ac:dyDescent="0.3">
      <c r="B204" t="s">
        <v>55</v>
      </c>
      <c r="C204" t="s">
        <v>1012</v>
      </c>
    </row>
    <row r="205" spans="2:3" x14ac:dyDescent="0.3">
      <c r="B205" t="s">
        <v>54</v>
      </c>
      <c r="C205" t="s">
        <v>1013</v>
      </c>
    </row>
    <row r="206" spans="2:3" x14ac:dyDescent="0.3">
      <c r="B206" t="s">
        <v>117</v>
      </c>
      <c r="C206" t="s">
        <v>1014</v>
      </c>
    </row>
    <row r="207" spans="2:3" x14ac:dyDescent="0.3">
      <c r="B207" t="s">
        <v>99</v>
      </c>
      <c r="C207" t="s">
        <v>1015</v>
      </c>
    </row>
    <row r="208" spans="2:3" x14ac:dyDescent="0.3">
      <c r="B208" t="s">
        <v>330</v>
      </c>
      <c r="C208" t="s">
        <v>1015</v>
      </c>
    </row>
    <row r="209" spans="2:3" x14ac:dyDescent="0.3">
      <c r="B209" t="s">
        <v>331</v>
      </c>
      <c r="C209" t="s">
        <v>1016</v>
      </c>
    </row>
    <row r="210" spans="2:3" x14ac:dyDescent="0.3">
      <c r="B210" t="s">
        <v>332</v>
      </c>
      <c r="C210" t="s">
        <v>1017</v>
      </c>
    </row>
    <row r="211" spans="2:3" x14ac:dyDescent="0.3">
      <c r="B211" t="s">
        <v>90</v>
      </c>
      <c r="C211" t="s">
        <v>1018</v>
      </c>
    </row>
    <row r="212" spans="2:3" x14ac:dyDescent="0.3">
      <c r="B212" t="s">
        <v>1019</v>
      </c>
      <c r="C212" t="s">
        <v>1020</v>
      </c>
    </row>
    <row r="213" spans="2:3" x14ac:dyDescent="0.3">
      <c r="B213" t="s">
        <v>1021</v>
      </c>
      <c r="C213" t="s">
        <v>1020</v>
      </c>
    </row>
    <row r="214" spans="2:3" x14ac:dyDescent="0.3">
      <c r="B214" t="s">
        <v>1022</v>
      </c>
      <c r="C214" t="s">
        <v>1023</v>
      </c>
    </row>
    <row r="215" spans="2:3" x14ac:dyDescent="0.3">
      <c r="B215" t="s">
        <v>1024</v>
      </c>
      <c r="C215" t="s">
        <v>1025</v>
      </c>
    </row>
    <row r="216" spans="2:3" x14ac:dyDescent="0.3">
      <c r="B216" t="s">
        <v>1026</v>
      </c>
      <c r="C216" t="s">
        <v>1027</v>
      </c>
    </row>
    <row r="217" spans="2:3" x14ac:dyDescent="0.3">
      <c r="B217" t="s">
        <v>1028</v>
      </c>
      <c r="C217" t="s">
        <v>1027</v>
      </c>
    </row>
    <row r="218" spans="2:3" x14ac:dyDescent="0.3">
      <c r="B218" t="s">
        <v>1029</v>
      </c>
      <c r="C218" t="s">
        <v>1030</v>
      </c>
    </row>
    <row r="219" spans="2:3" x14ac:dyDescent="0.3">
      <c r="B219" t="s">
        <v>1031</v>
      </c>
      <c r="C219" t="s">
        <v>1032</v>
      </c>
    </row>
    <row r="220" spans="2:3" x14ac:dyDescent="0.3">
      <c r="B220" t="s">
        <v>1033</v>
      </c>
      <c r="C220" t="s">
        <v>1034</v>
      </c>
    </row>
    <row r="221" spans="2:3" x14ac:dyDescent="0.3">
      <c r="B221" t="s">
        <v>1035</v>
      </c>
      <c r="C221" t="s">
        <v>1034</v>
      </c>
    </row>
    <row r="222" spans="2:3" x14ac:dyDescent="0.3">
      <c r="B222" t="s">
        <v>312</v>
      </c>
      <c r="C222" t="s">
        <v>1036</v>
      </c>
    </row>
    <row r="223" spans="2:3" x14ac:dyDescent="0.3">
      <c r="B223" t="s">
        <v>1037</v>
      </c>
      <c r="C223" t="s">
        <v>1038</v>
      </c>
    </row>
    <row r="224" spans="2:3" x14ac:dyDescent="0.3">
      <c r="B224" t="s">
        <v>1039</v>
      </c>
      <c r="C224" t="s">
        <v>1040</v>
      </c>
    </row>
    <row r="225" spans="2:3" x14ac:dyDescent="0.3">
      <c r="B225" t="s">
        <v>1041</v>
      </c>
      <c r="C225" t="s">
        <v>1042</v>
      </c>
    </row>
    <row r="226" spans="2:3" x14ac:dyDescent="0.3">
      <c r="B226" t="s">
        <v>1043</v>
      </c>
      <c r="C226" t="s">
        <v>1044</v>
      </c>
    </row>
    <row r="227" spans="2:3" x14ac:dyDescent="0.3">
      <c r="B227" t="s">
        <v>309</v>
      </c>
      <c r="C227" t="s">
        <v>1044</v>
      </c>
    </row>
    <row r="228" spans="2:3" x14ac:dyDescent="0.3">
      <c r="B228" t="s">
        <v>1045</v>
      </c>
      <c r="C228" t="s">
        <v>1046</v>
      </c>
    </row>
    <row r="229" spans="2:3" x14ac:dyDescent="0.3">
      <c r="B229" t="s">
        <v>1047</v>
      </c>
      <c r="C229" t="s">
        <v>1048</v>
      </c>
    </row>
    <row r="230" spans="2:3" x14ac:dyDescent="0.3">
      <c r="B230" t="s">
        <v>1049</v>
      </c>
      <c r="C230" t="s">
        <v>1048</v>
      </c>
    </row>
    <row r="231" spans="2:3" x14ac:dyDescent="0.3">
      <c r="B231" t="s">
        <v>308</v>
      </c>
      <c r="C231" t="s">
        <v>1050</v>
      </c>
    </row>
    <row r="232" spans="2:3" x14ac:dyDescent="0.3">
      <c r="B232" t="s">
        <v>311</v>
      </c>
      <c r="C232" t="s">
        <v>1051</v>
      </c>
    </row>
    <row r="233" spans="2:3" x14ac:dyDescent="0.3">
      <c r="B233" t="s">
        <v>310</v>
      </c>
      <c r="C233" t="s">
        <v>1052</v>
      </c>
    </row>
    <row r="234" spans="2:3" x14ac:dyDescent="0.3">
      <c r="B234" t="s">
        <v>307</v>
      </c>
      <c r="C234" t="s">
        <v>1053</v>
      </c>
    </row>
    <row r="235" spans="2:3" x14ac:dyDescent="0.3">
      <c r="B235" t="s">
        <v>1054</v>
      </c>
      <c r="C235" t="s">
        <v>1055</v>
      </c>
    </row>
    <row r="236" spans="2:3" x14ac:dyDescent="0.3">
      <c r="B236" t="s">
        <v>59</v>
      </c>
      <c r="C236" t="s">
        <v>1056</v>
      </c>
    </row>
    <row r="237" spans="2:3" x14ac:dyDescent="0.3">
      <c r="B237" t="s">
        <v>73</v>
      </c>
      <c r="C237" t="s">
        <v>1057</v>
      </c>
    </row>
    <row r="238" spans="2:3" x14ac:dyDescent="0.3">
      <c r="B238" t="s">
        <v>139</v>
      </c>
      <c r="C238" t="s">
        <v>1058</v>
      </c>
    </row>
    <row r="239" spans="2:3" x14ac:dyDescent="0.3">
      <c r="B239" t="s">
        <v>143</v>
      </c>
      <c r="C239" t="s">
        <v>1059</v>
      </c>
    </row>
    <row r="240" spans="2:3" x14ac:dyDescent="0.3">
      <c r="B240" t="s">
        <v>293</v>
      </c>
      <c r="C240" t="s">
        <v>1060</v>
      </c>
    </row>
    <row r="241" spans="2:3" x14ac:dyDescent="0.3">
      <c r="B241" t="s">
        <v>292</v>
      </c>
      <c r="C241" t="s">
        <v>1061</v>
      </c>
    </row>
    <row r="242" spans="2:3" x14ac:dyDescent="0.3">
      <c r="B242" t="s">
        <v>1062</v>
      </c>
      <c r="C242" t="s">
        <v>1063</v>
      </c>
    </row>
    <row r="243" spans="2:3" x14ac:dyDescent="0.3">
      <c r="B243" t="s">
        <v>1064</v>
      </c>
      <c r="C243" t="s">
        <v>1065</v>
      </c>
    </row>
    <row r="244" spans="2:3" x14ac:dyDescent="0.3">
      <c r="B244" t="s">
        <v>291</v>
      </c>
      <c r="C244" t="s">
        <v>1066</v>
      </c>
    </row>
    <row r="245" spans="2:3" x14ac:dyDescent="0.3">
      <c r="B245" t="s">
        <v>1067</v>
      </c>
      <c r="C245" t="s">
        <v>1068</v>
      </c>
    </row>
    <row r="246" spans="2:3" x14ac:dyDescent="0.3">
      <c r="B246" t="s">
        <v>234</v>
      </c>
      <c r="C246" t="s">
        <v>1069</v>
      </c>
    </row>
    <row r="247" spans="2:3" x14ac:dyDescent="0.3">
      <c r="B247" t="s">
        <v>177</v>
      </c>
      <c r="C247" t="s">
        <v>178</v>
      </c>
    </row>
    <row r="248" spans="2:3" x14ac:dyDescent="0.3">
      <c r="B248">
        <v>2</v>
      </c>
      <c r="C248" t="s">
        <v>1070</v>
      </c>
    </row>
    <row r="249" spans="2:3" x14ac:dyDescent="0.3">
      <c r="B249">
        <v>1</v>
      </c>
      <c r="C249" t="s">
        <v>1071</v>
      </c>
    </row>
    <row r="250" spans="2:3" x14ac:dyDescent="0.3">
      <c r="B250" t="s">
        <v>185</v>
      </c>
      <c r="C250" t="s">
        <v>1072</v>
      </c>
    </row>
    <row r="251" spans="2:3" x14ac:dyDescent="0.3">
      <c r="B251" t="s">
        <v>250</v>
      </c>
      <c r="C251" t="s">
        <v>251</v>
      </c>
    </row>
    <row r="252" spans="2:3" x14ac:dyDescent="0.3">
      <c r="B252" t="s">
        <v>119</v>
      </c>
      <c r="C252" t="s">
        <v>1073</v>
      </c>
    </row>
    <row r="253" spans="2:3" x14ac:dyDescent="0.3">
      <c r="B253" t="s">
        <v>280</v>
      </c>
      <c r="C253" t="s">
        <v>281</v>
      </c>
    </row>
    <row r="254" spans="2:3" x14ac:dyDescent="0.3">
      <c r="B254" t="s">
        <v>267</v>
      </c>
      <c r="C254" t="s">
        <v>268</v>
      </c>
    </row>
    <row r="255" spans="2:3" x14ac:dyDescent="0.3">
      <c r="B255" t="s">
        <v>248</v>
      </c>
      <c r="C255" t="s">
        <v>249</v>
      </c>
    </row>
    <row r="256" spans="2:3" x14ac:dyDescent="0.3">
      <c r="B256" t="s">
        <v>323</v>
      </c>
      <c r="C256" t="s">
        <v>1074</v>
      </c>
    </row>
    <row r="257" spans="2:3" x14ac:dyDescent="0.3">
      <c r="B257" t="s">
        <v>124</v>
      </c>
      <c r="C257" t="s">
        <v>125</v>
      </c>
    </row>
    <row r="258" spans="2:3" x14ac:dyDescent="0.3">
      <c r="B258" t="s">
        <v>328</v>
      </c>
      <c r="C258" t="s">
        <v>1075</v>
      </c>
    </row>
    <row r="259" spans="2:3" x14ac:dyDescent="0.3">
      <c r="B259" t="s">
        <v>273</v>
      </c>
      <c r="C259" t="s">
        <v>274</v>
      </c>
    </row>
    <row r="260" spans="2:3" x14ac:dyDescent="0.3">
      <c r="B260" t="s">
        <v>247</v>
      </c>
      <c r="C260" t="s">
        <v>1076</v>
      </c>
    </row>
    <row r="261" spans="2:3" x14ac:dyDescent="0.3">
      <c r="B261" t="s">
        <v>71</v>
      </c>
      <c r="C261" t="s">
        <v>1077</v>
      </c>
    </row>
    <row r="262" spans="2:3" x14ac:dyDescent="0.3">
      <c r="B262" t="s">
        <v>173</v>
      </c>
      <c r="C262" t="s">
        <v>1078</v>
      </c>
    </row>
    <row r="263" spans="2:3" x14ac:dyDescent="0.3">
      <c r="B263" t="s">
        <v>75</v>
      </c>
      <c r="C263" t="s">
        <v>1079</v>
      </c>
    </row>
    <row r="264" spans="2:3" x14ac:dyDescent="0.3">
      <c r="B264" t="s">
        <v>322</v>
      </c>
      <c r="C264" t="s">
        <v>1080</v>
      </c>
    </row>
    <row r="265" spans="2:3" x14ac:dyDescent="0.3">
      <c r="B265" t="s">
        <v>81</v>
      </c>
      <c r="C265" t="s">
        <v>1081</v>
      </c>
    </row>
    <row r="266" spans="2:3" x14ac:dyDescent="0.3">
      <c r="B266" t="s">
        <v>57</v>
      </c>
      <c r="C266" t="s">
        <v>1082</v>
      </c>
    </row>
    <row r="267" spans="2:3" x14ac:dyDescent="0.3">
      <c r="B267" t="s">
        <v>321</v>
      </c>
      <c r="C267" t="s">
        <v>1083</v>
      </c>
    </row>
    <row r="268" spans="2:3" x14ac:dyDescent="0.3">
      <c r="B268" t="s">
        <v>126</v>
      </c>
      <c r="C268" t="s">
        <v>1084</v>
      </c>
    </row>
    <row r="269" spans="2:3" x14ac:dyDescent="0.3">
      <c r="B269" t="s">
        <v>1085</v>
      </c>
      <c r="C269" t="s">
        <v>1086</v>
      </c>
    </row>
    <row r="270" spans="2:3" x14ac:dyDescent="0.3">
      <c r="B270" t="s">
        <v>122</v>
      </c>
      <c r="C270" t="s">
        <v>123</v>
      </c>
    </row>
    <row r="271" spans="2:3" x14ac:dyDescent="0.3">
      <c r="B271" t="s">
        <v>121</v>
      </c>
      <c r="C271" t="s">
        <v>1087</v>
      </c>
    </row>
    <row r="272" spans="2:3" x14ac:dyDescent="0.3">
      <c r="B272" t="s">
        <v>140</v>
      </c>
      <c r="C272" t="s">
        <v>1088</v>
      </c>
    </row>
    <row r="273" spans="2:3" x14ac:dyDescent="0.3">
      <c r="B273" t="s">
        <v>1089</v>
      </c>
      <c r="C273" t="s">
        <v>1090</v>
      </c>
    </row>
    <row r="274" spans="2:3" x14ac:dyDescent="0.3">
      <c r="B274" t="s">
        <v>285</v>
      </c>
      <c r="C274" t="s">
        <v>1091</v>
      </c>
    </row>
    <row r="275" spans="2:3" x14ac:dyDescent="0.3">
      <c r="B275" t="s">
        <v>174</v>
      </c>
      <c r="C275" t="s">
        <v>1092</v>
      </c>
    </row>
    <row r="276" spans="2:3" x14ac:dyDescent="0.3">
      <c r="B276" t="s">
        <v>92</v>
      </c>
      <c r="C276" t="s">
        <v>1093</v>
      </c>
    </row>
    <row r="277" spans="2:3" x14ac:dyDescent="0.3">
      <c r="B277" t="s">
        <v>133</v>
      </c>
      <c r="C277" t="s">
        <v>1094</v>
      </c>
    </row>
    <row r="278" spans="2:3" x14ac:dyDescent="0.3">
      <c r="B278" t="s">
        <v>100</v>
      </c>
      <c r="C278" t="s">
        <v>1095</v>
      </c>
    </row>
    <row r="279" spans="2:3" x14ac:dyDescent="0.3">
      <c r="B279" t="s">
        <v>120</v>
      </c>
      <c r="C279" t="s">
        <v>1096</v>
      </c>
    </row>
    <row r="280" spans="2:3" x14ac:dyDescent="0.3">
      <c r="B280" t="s">
        <v>1097</v>
      </c>
      <c r="C280" t="s">
        <v>1098</v>
      </c>
    </row>
    <row r="281" spans="2:3" x14ac:dyDescent="0.3">
      <c r="B281" t="s">
        <v>324</v>
      </c>
      <c r="C281" t="s">
        <v>1099</v>
      </c>
    </row>
    <row r="282" spans="2:3" x14ac:dyDescent="0.3">
      <c r="B282" t="s">
        <v>70</v>
      </c>
      <c r="C282" t="s">
        <v>1100</v>
      </c>
    </row>
    <row r="283" spans="2:3" x14ac:dyDescent="0.3">
      <c r="B283" t="s">
        <v>163</v>
      </c>
      <c r="C283" t="s">
        <v>164</v>
      </c>
    </row>
    <row r="284" spans="2:3" x14ac:dyDescent="0.3">
      <c r="B284" t="s">
        <v>165</v>
      </c>
      <c r="C284" t="s">
        <v>166</v>
      </c>
    </row>
    <row r="285" spans="2:3" x14ac:dyDescent="0.3">
      <c r="B285" t="s">
        <v>161</v>
      </c>
      <c r="C285" t="s">
        <v>162</v>
      </c>
    </row>
    <row r="286" spans="2:3" x14ac:dyDescent="0.3">
      <c r="B286" t="s">
        <v>158</v>
      </c>
      <c r="C286" t="s">
        <v>1101</v>
      </c>
    </row>
    <row r="287" spans="2:3" x14ac:dyDescent="0.3">
      <c r="B287" t="s">
        <v>156</v>
      </c>
      <c r="C287" t="s">
        <v>157</v>
      </c>
    </row>
    <row r="288" spans="2:3" x14ac:dyDescent="0.3">
      <c r="B288" t="s">
        <v>154</v>
      </c>
      <c r="C288" t="s">
        <v>155</v>
      </c>
    </row>
    <row r="289" spans="2:3" x14ac:dyDescent="0.3">
      <c r="B289" t="s">
        <v>152</v>
      </c>
      <c r="C289" t="s">
        <v>153</v>
      </c>
    </row>
    <row r="290" spans="2:3" x14ac:dyDescent="0.3">
      <c r="B290" t="s">
        <v>150</v>
      </c>
      <c r="C290" t="s">
        <v>151</v>
      </c>
    </row>
    <row r="291" spans="2:3" x14ac:dyDescent="0.3">
      <c r="B291" t="s">
        <v>159</v>
      </c>
      <c r="C291" t="s">
        <v>160</v>
      </c>
    </row>
    <row r="292" spans="2:3" x14ac:dyDescent="0.3">
      <c r="B292" t="s">
        <v>170</v>
      </c>
      <c r="C292" t="s">
        <v>338</v>
      </c>
    </row>
    <row r="293" spans="2:3" x14ac:dyDescent="0.3">
      <c r="B293" t="s">
        <v>691</v>
      </c>
      <c r="C293" t="s">
        <v>692</v>
      </c>
    </row>
    <row r="294" spans="2:3" x14ac:dyDescent="0.3">
      <c r="B294" t="s">
        <v>1102</v>
      </c>
      <c r="C294" t="s">
        <v>1103</v>
      </c>
    </row>
    <row r="295" spans="2:3" x14ac:dyDescent="0.3">
      <c r="B295" t="s">
        <v>20</v>
      </c>
      <c r="C295" t="s">
        <v>1104</v>
      </c>
    </row>
    <row r="296" spans="2:3" x14ac:dyDescent="0.3">
      <c r="B296" t="s">
        <v>1105</v>
      </c>
      <c r="C296" t="s">
        <v>1106</v>
      </c>
    </row>
    <row r="297" spans="2:3" x14ac:dyDescent="0.3">
      <c r="B297" t="s">
        <v>774</v>
      </c>
      <c r="C297" t="s">
        <v>1107</v>
      </c>
    </row>
    <row r="298" spans="2:3" x14ac:dyDescent="0.3">
      <c r="B298" t="s">
        <v>771</v>
      </c>
      <c r="C298" t="s">
        <v>1108</v>
      </c>
    </row>
    <row r="299" spans="2:3" x14ac:dyDescent="0.3">
      <c r="B299" t="s">
        <v>483</v>
      </c>
      <c r="C299" t="s">
        <v>1109</v>
      </c>
    </row>
    <row r="300" spans="2:3" x14ac:dyDescent="0.3">
      <c r="B300" t="s">
        <v>1110</v>
      </c>
      <c r="C300" t="s">
        <v>1111</v>
      </c>
    </row>
    <row r="301" spans="2:3" x14ac:dyDescent="0.3">
      <c r="B301" t="s">
        <v>1112</v>
      </c>
      <c r="C301" t="s">
        <v>1113</v>
      </c>
    </row>
    <row r="302" spans="2:3" x14ac:dyDescent="0.3">
      <c r="B302" t="s">
        <v>27</v>
      </c>
      <c r="C302" t="s">
        <v>1114</v>
      </c>
    </row>
    <row r="303" spans="2:3" x14ac:dyDescent="0.3">
      <c r="B303" t="s">
        <v>485</v>
      </c>
      <c r="C303" t="s">
        <v>1115</v>
      </c>
    </row>
    <row r="304" spans="2:3" x14ac:dyDescent="0.3">
      <c r="B304" t="s">
        <v>484</v>
      </c>
      <c r="C304" t="s">
        <v>1116</v>
      </c>
    </row>
    <row r="305" spans="2:3" x14ac:dyDescent="0.3">
      <c r="B305" t="s">
        <v>1117</v>
      </c>
      <c r="C305" t="s">
        <v>1118</v>
      </c>
    </row>
    <row r="306" spans="2:3" x14ac:dyDescent="0.3">
      <c r="B306" t="s">
        <v>1119</v>
      </c>
      <c r="C306" t="s">
        <v>1120</v>
      </c>
    </row>
    <row r="307" spans="2:3" x14ac:dyDescent="0.3">
      <c r="B307" t="s">
        <v>1121</v>
      </c>
      <c r="C307" t="s">
        <v>1122</v>
      </c>
    </row>
    <row r="308" spans="2:3" x14ac:dyDescent="0.3">
      <c r="B308" t="s">
        <v>1123</v>
      </c>
      <c r="C308" t="s">
        <v>1124</v>
      </c>
    </row>
    <row r="309" spans="2:3" x14ac:dyDescent="0.3">
      <c r="B309" t="s">
        <v>127</v>
      </c>
      <c r="C309" t="s">
        <v>1125</v>
      </c>
    </row>
    <row r="310" spans="2:3" x14ac:dyDescent="0.3">
      <c r="B310" t="s">
        <v>1126</v>
      </c>
      <c r="C310" t="s">
        <v>1127</v>
      </c>
    </row>
    <row r="311" spans="2:3" x14ac:dyDescent="0.3">
      <c r="B311" t="s">
        <v>1128</v>
      </c>
      <c r="C311" t="s">
        <v>1129</v>
      </c>
    </row>
    <row r="312" spans="2:3" x14ac:dyDescent="0.3">
      <c r="B312" t="s">
        <v>77</v>
      </c>
      <c r="C312" t="s">
        <v>1130</v>
      </c>
    </row>
    <row r="313" spans="2:3" x14ac:dyDescent="0.3">
      <c r="B313" t="s">
        <v>183</v>
      </c>
      <c r="C313" t="s">
        <v>1131</v>
      </c>
    </row>
    <row r="314" spans="2:3" x14ac:dyDescent="0.3">
      <c r="B314" t="s">
        <v>142</v>
      </c>
      <c r="C314" t="s">
        <v>1132</v>
      </c>
    </row>
    <row r="315" spans="2:3" x14ac:dyDescent="0.3">
      <c r="B315" t="s">
        <v>188</v>
      </c>
      <c r="C315" t="s">
        <v>1133</v>
      </c>
    </row>
    <row r="316" spans="2:3" x14ac:dyDescent="0.3">
      <c r="B316" t="s">
        <v>189</v>
      </c>
      <c r="C316" t="s">
        <v>1134</v>
      </c>
    </row>
    <row r="317" spans="2:3" x14ac:dyDescent="0.3">
      <c r="B317" t="s">
        <v>180</v>
      </c>
      <c r="C317" t="s">
        <v>1135</v>
      </c>
    </row>
    <row r="318" spans="2:3" x14ac:dyDescent="0.3">
      <c r="B318" t="s">
        <v>128</v>
      </c>
      <c r="C318" t="s">
        <v>129</v>
      </c>
    </row>
    <row r="319" spans="2:3" x14ac:dyDescent="0.3">
      <c r="B319" t="s">
        <v>246</v>
      </c>
      <c r="C319" t="s">
        <v>1136</v>
      </c>
    </row>
    <row r="320" spans="2:3" x14ac:dyDescent="0.3">
      <c r="B320" t="s">
        <v>265</v>
      </c>
      <c r="C320" t="s">
        <v>1136</v>
      </c>
    </row>
    <row r="321" spans="2:3" x14ac:dyDescent="0.3">
      <c r="B321" t="s">
        <v>105</v>
      </c>
      <c r="C321" t="s">
        <v>106</v>
      </c>
    </row>
    <row r="322" spans="2:3" x14ac:dyDescent="0.3">
      <c r="B322" t="s">
        <v>175</v>
      </c>
      <c r="C322" t="s">
        <v>176</v>
      </c>
    </row>
    <row r="323" spans="2:3" x14ac:dyDescent="0.3">
      <c r="B323" t="s">
        <v>79</v>
      </c>
      <c r="C323" t="s">
        <v>1137</v>
      </c>
    </row>
    <row r="324" spans="2:3" x14ac:dyDescent="0.3">
      <c r="B324" t="s">
        <v>290</v>
      </c>
      <c r="C324" t="s">
        <v>1138</v>
      </c>
    </row>
    <row r="325" spans="2:3" x14ac:dyDescent="0.3">
      <c r="B325" t="s">
        <v>289</v>
      </c>
      <c r="C325" t="s">
        <v>1139</v>
      </c>
    </row>
    <row r="326" spans="2:3" x14ac:dyDescent="0.3">
      <c r="B326" t="s">
        <v>288</v>
      </c>
      <c r="C326" t="s">
        <v>1140</v>
      </c>
    </row>
    <row r="327" spans="2:3" x14ac:dyDescent="0.3">
      <c r="B327" t="s">
        <v>287</v>
      </c>
      <c r="C327" t="s">
        <v>1141</v>
      </c>
    </row>
    <row r="328" spans="2:3" x14ac:dyDescent="0.3">
      <c r="B328" t="s">
        <v>286</v>
      </c>
      <c r="C328" t="s">
        <v>1142</v>
      </c>
    </row>
    <row r="329" spans="2:3" x14ac:dyDescent="0.3">
      <c r="B329" t="s">
        <v>245</v>
      </c>
      <c r="C329" t="s">
        <v>1143</v>
      </c>
    </row>
    <row r="330" spans="2:3" x14ac:dyDescent="0.3">
      <c r="B330" t="s">
        <v>264</v>
      </c>
      <c r="C330" t="s">
        <v>1143</v>
      </c>
    </row>
    <row r="331" spans="2:3" x14ac:dyDescent="0.3">
      <c r="B331" t="s">
        <v>56</v>
      </c>
      <c r="C331" t="s">
        <v>1144</v>
      </c>
    </row>
    <row r="332" spans="2:3" x14ac:dyDescent="0.3">
      <c r="B332" t="s">
        <v>244</v>
      </c>
      <c r="C332" t="s">
        <v>1145</v>
      </c>
    </row>
    <row r="333" spans="2:3" x14ac:dyDescent="0.3">
      <c r="B333" t="s">
        <v>65</v>
      </c>
      <c r="C333" t="s">
        <v>1146</v>
      </c>
    </row>
    <row r="334" spans="2:3" x14ac:dyDescent="0.3">
      <c r="B334" t="s">
        <v>191</v>
      </c>
      <c r="C334" t="s">
        <v>1147</v>
      </c>
    </row>
    <row r="335" spans="2:3" x14ac:dyDescent="0.3">
      <c r="B335" t="s">
        <v>187</v>
      </c>
      <c r="C335" t="s">
        <v>1148</v>
      </c>
    </row>
    <row r="336" spans="2:3" x14ac:dyDescent="0.3">
      <c r="B336" t="s">
        <v>109</v>
      </c>
      <c r="C336" t="s">
        <v>1149</v>
      </c>
    </row>
    <row r="337" spans="2:3" x14ac:dyDescent="0.3">
      <c r="B337" t="s">
        <v>236</v>
      </c>
      <c r="C337" t="s">
        <v>1150</v>
      </c>
    </row>
    <row r="338" spans="2:3" x14ac:dyDescent="0.3">
      <c r="B338" t="s">
        <v>181</v>
      </c>
      <c r="C338" t="s">
        <v>1151</v>
      </c>
    </row>
    <row r="339" spans="2:3" x14ac:dyDescent="0.3">
      <c r="B339" t="s">
        <v>327</v>
      </c>
      <c r="C339" t="s">
        <v>1152</v>
      </c>
    </row>
    <row r="340" spans="2:3" x14ac:dyDescent="0.3">
      <c r="B340" t="s">
        <v>326</v>
      </c>
      <c r="C340" t="s">
        <v>1153</v>
      </c>
    </row>
    <row r="341" spans="2:3" x14ac:dyDescent="0.3">
      <c r="B341" t="s">
        <v>102</v>
      </c>
      <c r="C341" t="s">
        <v>1154</v>
      </c>
    </row>
    <row r="342" spans="2:3" x14ac:dyDescent="0.3">
      <c r="B342" t="s">
        <v>58</v>
      </c>
      <c r="C342" t="s">
        <v>1155</v>
      </c>
    </row>
    <row r="343" spans="2:3" x14ac:dyDescent="0.3">
      <c r="B343" t="s">
        <v>103</v>
      </c>
      <c r="C343" t="s">
        <v>104</v>
      </c>
    </row>
    <row r="344" spans="2:3" x14ac:dyDescent="0.3">
      <c r="B344" t="s">
        <v>243</v>
      </c>
      <c r="C344" t="s">
        <v>1156</v>
      </c>
    </row>
    <row r="345" spans="2:3" x14ac:dyDescent="0.3">
      <c r="B345" t="s">
        <v>272</v>
      </c>
      <c r="C345" t="s">
        <v>1156</v>
      </c>
    </row>
    <row r="346" spans="2:3" x14ac:dyDescent="0.3">
      <c r="B346" t="s">
        <v>1157</v>
      </c>
      <c r="C346" t="s">
        <v>1158</v>
      </c>
    </row>
    <row r="347" spans="2:3" x14ac:dyDescent="0.3">
      <c r="B347" t="s">
        <v>113</v>
      </c>
      <c r="C347" t="s">
        <v>1159</v>
      </c>
    </row>
    <row r="348" spans="2:3" x14ac:dyDescent="0.3">
      <c r="B348" t="s">
        <v>118</v>
      </c>
      <c r="C348" t="s">
        <v>1160</v>
      </c>
    </row>
    <row r="349" spans="2:3" x14ac:dyDescent="0.3">
      <c r="B349" t="s">
        <v>138</v>
      </c>
      <c r="C349" t="s">
        <v>1161</v>
      </c>
    </row>
    <row r="350" spans="2:3" x14ac:dyDescent="0.3">
      <c r="B350" t="s">
        <v>63</v>
      </c>
      <c r="C350" t="s">
        <v>1162</v>
      </c>
    </row>
    <row r="351" spans="2:3" x14ac:dyDescent="0.3">
      <c r="B351" t="s">
        <v>137</v>
      </c>
      <c r="C351" t="s">
        <v>1163</v>
      </c>
    </row>
    <row r="352" spans="2:3" x14ac:dyDescent="0.3">
      <c r="B352" t="s">
        <v>68</v>
      </c>
      <c r="C352" t="s">
        <v>1164</v>
      </c>
    </row>
    <row r="353" spans="2:3" x14ac:dyDescent="0.3">
      <c r="B353" t="s">
        <v>242</v>
      </c>
      <c r="C353" t="s">
        <v>1165</v>
      </c>
    </row>
    <row r="354" spans="2:3" x14ac:dyDescent="0.3">
      <c r="B354" t="s">
        <v>263</v>
      </c>
      <c r="C354" t="s">
        <v>1165</v>
      </c>
    </row>
    <row r="355" spans="2:3" x14ac:dyDescent="0.3">
      <c r="B355" t="s">
        <v>64</v>
      </c>
      <c r="C355" t="s">
        <v>1166</v>
      </c>
    </row>
    <row r="356" spans="2:3" x14ac:dyDescent="0.3">
      <c r="B356" t="s">
        <v>320</v>
      </c>
      <c r="C356" t="s">
        <v>1167</v>
      </c>
    </row>
    <row r="357" spans="2:3" x14ac:dyDescent="0.3">
      <c r="B357" t="s">
        <v>190</v>
      </c>
      <c r="C357" t="s">
        <v>1168</v>
      </c>
    </row>
    <row r="358" spans="2:3" x14ac:dyDescent="0.3">
      <c r="B358" t="s">
        <v>136</v>
      </c>
      <c r="C358" t="s">
        <v>1169</v>
      </c>
    </row>
    <row r="359" spans="2:3" x14ac:dyDescent="0.3">
      <c r="B359" t="s">
        <v>89</v>
      </c>
      <c r="C359" t="s">
        <v>1170</v>
      </c>
    </row>
    <row r="360" spans="2:3" x14ac:dyDescent="0.3">
      <c r="B360" t="s">
        <v>132</v>
      </c>
      <c r="C360" t="s">
        <v>1171</v>
      </c>
    </row>
    <row r="361" spans="2:3" x14ac:dyDescent="0.3">
      <c r="B361" t="s">
        <v>76</v>
      </c>
      <c r="C361" t="s">
        <v>1172</v>
      </c>
    </row>
    <row r="362" spans="2:3" x14ac:dyDescent="0.3">
      <c r="B362" t="s">
        <v>67</v>
      </c>
      <c r="C362" t="s">
        <v>1173</v>
      </c>
    </row>
    <row r="363" spans="2:3" x14ac:dyDescent="0.3">
      <c r="B363" t="s">
        <v>115</v>
      </c>
      <c r="C363" t="s">
        <v>1174</v>
      </c>
    </row>
    <row r="364" spans="2:3" x14ac:dyDescent="0.3">
      <c r="B364" t="s">
        <v>130</v>
      </c>
      <c r="C364" t="s">
        <v>1175</v>
      </c>
    </row>
    <row r="365" spans="2:3" x14ac:dyDescent="0.3">
      <c r="B365" t="s">
        <v>131</v>
      </c>
      <c r="C365" t="s">
        <v>1176</v>
      </c>
    </row>
    <row r="366" spans="2:3" x14ac:dyDescent="0.3">
      <c r="B366" t="s">
        <v>135</v>
      </c>
      <c r="C366" t="s">
        <v>1177</v>
      </c>
    </row>
    <row r="367" spans="2:3" x14ac:dyDescent="0.3">
      <c r="B367" t="s">
        <v>1105</v>
      </c>
      <c r="C367" t="s">
        <v>1106</v>
      </c>
    </row>
    <row r="368" spans="2:3" x14ac:dyDescent="0.3">
      <c r="B368" t="s">
        <v>1674</v>
      </c>
    </row>
  </sheetData>
  <autoFilter ref="B1:C368" xr:uid="{E04AD968-AAF1-474C-A193-FE0450B9BE69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509B-7165-4924-BE6F-239F4D4EEDEB}">
  <dimension ref="A1:H47"/>
  <sheetViews>
    <sheetView topLeftCell="A2" workbookViewId="0">
      <selection activeCell="A5" sqref="A5"/>
    </sheetView>
  </sheetViews>
  <sheetFormatPr defaultRowHeight="14.4" x14ac:dyDescent="0.3"/>
  <cols>
    <col min="1" max="1" width="43.88671875" bestFit="1" customWidth="1"/>
    <col min="2" max="2" width="33.77734375" style="72" bestFit="1" customWidth="1"/>
    <col min="3" max="3" width="19.6640625" bestFit="1" customWidth="1"/>
    <col min="4" max="4" width="15.33203125" bestFit="1" customWidth="1"/>
    <col min="5" max="5" width="10.77734375" style="72" bestFit="1" customWidth="1"/>
    <col min="6" max="6" width="9.77734375" style="72" bestFit="1" customWidth="1"/>
    <col min="7" max="7" width="8.77734375" style="72" bestFit="1" customWidth="1"/>
    <col min="8" max="8" width="11.21875" style="72" bestFit="1" customWidth="1"/>
  </cols>
  <sheetData>
    <row r="1" spans="1:8" x14ac:dyDescent="0.3">
      <c r="A1" s="5" t="s">
        <v>337</v>
      </c>
      <c r="B1" t="s">
        <v>1114</v>
      </c>
    </row>
    <row r="2" spans="1:8" x14ac:dyDescent="0.3">
      <c r="A2" s="5" t="s">
        <v>0</v>
      </c>
      <c r="B2" t="s">
        <v>479</v>
      </c>
    </row>
    <row r="4" spans="1:8" x14ac:dyDescent="0.3">
      <c r="A4" s="5" t="s">
        <v>3</v>
      </c>
      <c r="B4" s="5" t="s">
        <v>517</v>
      </c>
      <c r="C4" t="s">
        <v>1181</v>
      </c>
    </row>
    <row r="5" spans="1:8" x14ac:dyDescent="0.3">
      <c r="A5" t="s">
        <v>47</v>
      </c>
      <c r="B5">
        <v>358.28999999999996</v>
      </c>
      <c r="C5" s="7">
        <v>-3</v>
      </c>
    </row>
    <row r="6" spans="1:8" x14ac:dyDescent="0.3">
      <c r="A6" t="s">
        <v>47</v>
      </c>
      <c r="B6">
        <v>341.07</v>
      </c>
      <c r="C6" s="7">
        <v>3172</v>
      </c>
    </row>
    <row r="7" spans="1:8" x14ac:dyDescent="0.3">
      <c r="A7" t="s">
        <v>47</v>
      </c>
      <c r="B7">
        <v>341.07000000000005</v>
      </c>
      <c r="C7" s="7">
        <v>770</v>
      </c>
    </row>
    <row r="8" spans="1:8" x14ac:dyDescent="0.3">
      <c r="A8" t="s">
        <v>31</v>
      </c>
      <c r="B8">
        <v>341.07</v>
      </c>
      <c r="C8" s="7">
        <v>1030</v>
      </c>
    </row>
    <row r="9" spans="1:8" x14ac:dyDescent="0.3">
      <c r="A9" t="s">
        <v>31</v>
      </c>
      <c r="B9">
        <v>341.07000000000005</v>
      </c>
      <c r="C9" s="7">
        <v>887</v>
      </c>
    </row>
    <row r="10" spans="1:8" x14ac:dyDescent="0.3">
      <c r="A10" t="s">
        <v>1180</v>
      </c>
      <c r="B10">
        <v>483.15999999999997</v>
      </c>
      <c r="C10" s="7">
        <v>1520</v>
      </c>
    </row>
    <row r="11" spans="1:8" x14ac:dyDescent="0.3">
      <c r="A11" t="s">
        <v>1180</v>
      </c>
      <c r="B11">
        <v>483.16</v>
      </c>
      <c r="C11" s="7">
        <v>1930</v>
      </c>
    </row>
    <row r="12" spans="1:8" x14ac:dyDescent="0.3">
      <c r="A12" t="s">
        <v>24</v>
      </c>
      <c r="B12">
        <v>483.15999999999997</v>
      </c>
      <c r="C12" s="7">
        <v>13050</v>
      </c>
    </row>
    <row r="13" spans="1:8" x14ac:dyDescent="0.3">
      <c r="A13" t="s">
        <v>24</v>
      </c>
      <c r="B13">
        <v>483.16</v>
      </c>
      <c r="C13" s="7">
        <v>15039</v>
      </c>
    </row>
    <row r="14" spans="1:8" x14ac:dyDescent="0.3">
      <c r="A14" t="s">
        <v>43</v>
      </c>
      <c r="B14">
        <v>358.28999999999996</v>
      </c>
      <c r="C14" s="7">
        <v>-3</v>
      </c>
    </row>
    <row r="15" spans="1:8" x14ac:dyDescent="0.3">
      <c r="A15" t="s">
        <v>43</v>
      </c>
      <c r="B15">
        <v>341.07</v>
      </c>
      <c r="C15" s="7">
        <v>18381</v>
      </c>
      <c r="E15" s="149" t="s">
        <v>26</v>
      </c>
      <c r="F15" s="72">
        <v>27055</v>
      </c>
      <c r="G15" s="72">
        <v>2.13</v>
      </c>
      <c r="H15" s="72">
        <f>F15*G15</f>
        <v>57627.149999999994</v>
      </c>
    </row>
    <row r="16" spans="1:8" x14ac:dyDescent="0.3">
      <c r="A16" t="s">
        <v>43</v>
      </c>
      <c r="B16">
        <v>341.07000000000005</v>
      </c>
      <c r="C16" s="7">
        <v>3848</v>
      </c>
    </row>
    <row r="17" spans="1:8" x14ac:dyDescent="0.3">
      <c r="A17" t="s">
        <v>45</v>
      </c>
      <c r="B17">
        <v>339.78999999999996</v>
      </c>
      <c r="C17" s="7">
        <v>105</v>
      </c>
    </row>
    <row r="18" spans="1:8" x14ac:dyDescent="0.3">
      <c r="A18" t="s">
        <v>45</v>
      </c>
      <c r="B18">
        <v>339.79</v>
      </c>
      <c r="C18" s="7">
        <v>730</v>
      </c>
    </row>
    <row r="19" spans="1:8" x14ac:dyDescent="0.3">
      <c r="A19" t="s">
        <v>39</v>
      </c>
      <c r="B19">
        <v>358.29</v>
      </c>
      <c r="C19" s="7">
        <v>-14</v>
      </c>
    </row>
    <row r="20" spans="1:8" x14ac:dyDescent="0.3">
      <c r="A20" t="s">
        <v>39</v>
      </c>
      <c r="B20">
        <v>341.07</v>
      </c>
      <c r="C20" s="7">
        <v>52237</v>
      </c>
    </row>
    <row r="21" spans="1:8" x14ac:dyDescent="0.3">
      <c r="A21" t="s">
        <v>39</v>
      </c>
      <c r="B21">
        <v>341.07000000000005</v>
      </c>
      <c r="C21" s="7">
        <v>4325</v>
      </c>
    </row>
    <row r="22" spans="1:8" x14ac:dyDescent="0.3">
      <c r="A22" t="s">
        <v>1183</v>
      </c>
      <c r="B22">
        <v>483.15999999999997</v>
      </c>
      <c r="C22" s="7">
        <v>880</v>
      </c>
    </row>
    <row r="23" spans="1:8" x14ac:dyDescent="0.3">
      <c r="A23" t="s">
        <v>1183</v>
      </c>
      <c r="B23">
        <v>483.16</v>
      </c>
      <c r="C23" s="7">
        <v>4839</v>
      </c>
    </row>
    <row r="24" spans="1:8" x14ac:dyDescent="0.3">
      <c r="A24" t="s">
        <v>638</v>
      </c>
      <c r="B24">
        <v>365.88</v>
      </c>
      <c r="C24" s="7">
        <v>-24</v>
      </c>
      <c r="E24" s="149" t="s">
        <v>39</v>
      </c>
      <c r="F24" s="72">
        <v>62085</v>
      </c>
      <c r="G24" s="72">
        <v>2.13</v>
      </c>
      <c r="H24" s="72">
        <f>F24*G24</f>
        <v>132241.04999999999</v>
      </c>
    </row>
    <row r="25" spans="1:8" x14ac:dyDescent="0.3">
      <c r="A25" t="s">
        <v>638</v>
      </c>
      <c r="B25">
        <v>363.56</v>
      </c>
      <c r="C25" s="7">
        <v>8669</v>
      </c>
    </row>
    <row r="26" spans="1:8" x14ac:dyDescent="0.3">
      <c r="A26" t="s">
        <v>381</v>
      </c>
      <c r="B26">
        <v>230.41</v>
      </c>
      <c r="C26" s="7">
        <v>-1</v>
      </c>
    </row>
    <row r="27" spans="1:8" x14ac:dyDescent="0.3">
      <c r="A27" t="s">
        <v>381</v>
      </c>
      <c r="B27">
        <v>224.53</v>
      </c>
      <c r="C27" s="7">
        <v>1747</v>
      </c>
    </row>
    <row r="28" spans="1:8" x14ac:dyDescent="0.3">
      <c r="A28" t="s">
        <v>381</v>
      </c>
      <c r="B28">
        <v>221.85</v>
      </c>
      <c r="C28" s="7">
        <v>8950</v>
      </c>
    </row>
    <row r="29" spans="1:8" x14ac:dyDescent="0.3">
      <c r="A29" t="s">
        <v>381</v>
      </c>
      <c r="B29">
        <v>221.85000000000002</v>
      </c>
      <c r="C29" s="7">
        <v>3476</v>
      </c>
    </row>
    <row r="30" spans="1:8" x14ac:dyDescent="0.3">
      <c r="A30" t="s">
        <v>1185</v>
      </c>
      <c r="B30">
        <v>483.15999999999997</v>
      </c>
      <c r="C30" s="7">
        <v>2107</v>
      </c>
    </row>
    <row r="31" spans="1:8" x14ac:dyDescent="0.3">
      <c r="A31" t="s">
        <v>1185</v>
      </c>
      <c r="B31">
        <v>483.16</v>
      </c>
      <c r="C31" s="7">
        <v>2805</v>
      </c>
    </row>
    <row r="32" spans="1:8" x14ac:dyDescent="0.3">
      <c r="A32" t="s">
        <v>642</v>
      </c>
      <c r="B32">
        <v>495</v>
      </c>
      <c r="C32" s="7">
        <v>-2</v>
      </c>
    </row>
    <row r="33" spans="1:3" x14ac:dyDescent="0.3">
      <c r="A33" t="s">
        <v>640</v>
      </c>
      <c r="B33">
        <v>728.56000000000006</v>
      </c>
      <c r="C33" s="7">
        <v>4011</v>
      </c>
    </row>
    <row r="34" spans="1:3" x14ac:dyDescent="0.3">
      <c r="A34" t="s">
        <v>640</v>
      </c>
      <c r="B34">
        <v>728.56</v>
      </c>
      <c r="C34" s="7">
        <v>4003</v>
      </c>
    </row>
    <row r="35" spans="1:3" x14ac:dyDescent="0.3">
      <c r="A35" t="s">
        <v>634</v>
      </c>
      <c r="B35">
        <v>341.07</v>
      </c>
      <c r="C35" s="7">
        <v>490</v>
      </c>
    </row>
    <row r="36" spans="1:3" x14ac:dyDescent="0.3">
      <c r="A36" t="s">
        <v>379</v>
      </c>
      <c r="B36">
        <v>363.56</v>
      </c>
      <c r="C36" s="7">
        <v>5954</v>
      </c>
    </row>
    <row r="37" spans="1:3" x14ac:dyDescent="0.3">
      <c r="A37" t="s">
        <v>379</v>
      </c>
      <c r="B37">
        <v>355.02</v>
      </c>
      <c r="C37" s="7">
        <v>9549</v>
      </c>
    </row>
    <row r="38" spans="1:3" x14ac:dyDescent="0.3">
      <c r="A38" t="s">
        <v>379</v>
      </c>
      <c r="B38">
        <v>355.02000000000004</v>
      </c>
      <c r="C38" s="7">
        <v>2098</v>
      </c>
    </row>
    <row r="39" spans="1:3" x14ac:dyDescent="0.3">
      <c r="A39" t="s">
        <v>494</v>
      </c>
      <c r="B39">
        <v>339.78999999999996</v>
      </c>
      <c r="C39" s="7">
        <v>105</v>
      </c>
    </row>
    <row r="40" spans="1:3" x14ac:dyDescent="0.3">
      <c r="A40" t="s">
        <v>494</v>
      </c>
      <c r="B40">
        <v>339.79</v>
      </c>
      <c r="C40" s="7">
        <v>900</v>
      </c>
    </row>
    <row r="41" spans="1:3" x14ac:dyDescent="0.3">
      <c r="A41" t="s">
        <v>494</v>
      </c>
      <c r="B41">
        <v>352.16</v>
      </c>
      <c r="C41" s="7">
        <v>70</v>
      </c>
    </row>
    <row r="42" spans="1:3" x14ac:dyDescent="0.3">
      <c r="A42" t="s">
        <v>1680</v>
      </c>
      <c r="B42">
        <v>495</v>
      </c>
      <c r="C42" s="7">
        <v>1595</v>
      </c>
    </row>
    <row r="43" spans="1:3" x14ac:dyDescent="0.3">
      <c r="A43" t="s">
        <v>1688</v>
      </c>
      <c r="B43">
        <v>346.71999999999997</v>
      </c>
      <c r="C43" s="7">
        <v>2135</v>
      </c>
    </row>
    <row r="44" spans="1:3" x14ac:dyDescent="0.3">
      <c r="A44" t="s">
        <v>1197</v>
      </c>
      <c r="B44">
        <v>355.02</v>
      </c>
      <c r="C44" s="7">
        <v>1700</v>
      </c>
    </row>
    <row r="45" spans="1:3" x14ac:dyDescent="0.3">
      <c r="A45" t="s">
        <v>1197</v>
      </c>
      <c r="B45">
        <v>355.02000000000004</v>
      </c>
      <c r="C45" s="7">
        <v>205</v>
      </c>
    </row>
    <row r="46" spans="1:3" x14ac:dyDescent="0.3">
      <c r="A46" t="s">
        <v>1904</v>
      </c>
      <c r="B46">
        <v>341.07</v>
      </c>
      <c r="C46" s="7">
        <v>1365</v>
      </c>
    </row>
    <row r="47" spans="1:3" x14ac:dyDescent="0.3">
      <c r="A47" t="s">
        <v>53</v>
      </c>
      <c r="B47"/>
      <c r="C47" s="7">
        <v>184630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581E-F3C2-49E7-A199-DE1E7C34E79F}">
  <dimension ref="B2:P20"/>
  <sheetViews>
    <sheetView topLeftCell="A3" workbookViewId="0">
      <selection activeCell="K9" sqref="K9"/>
    </sheetView>
  </sheetViews>
  <sheetFormatPr defaultRowHeight="14.4" x14ac:dyDescent="0.3"/>
  <cols>
    <col min="2" max="2" width="23.33203125" bestFit="1" customWidth="1"/>
    <col min="3" max="3" width="10.44140625" bestFit="1" customWidth="1"/>
    <col min="4" max="4" width="4" bestFit="1" customWidth="1"/>
    <col min="6" max="6" width="10.44140625" bestFit="1" customWidth="1"/>
    <col min="7" max="7" width="8" bestFit="1" customWidth="1"/>
    <col min="9" max="9" width="6.88671875" bestFit="1" customWidth="1"/>
    <col min="10" max="10" width="8.44140625" bestFit="1" customWidth="1"/>
    <col min="11" max="11" width="16.44140625" bestFit="1" customWidth="1"/>
    <col min="12" max="12" width="14.5546875" bestFit="1" customWidth="1"/>
    <col min="13" max="13" width="10.109375" bestFit="1" customWidth="1"/>
    <col min="14" max="14" width="9" bestFit="1" customWidth="1"/>
    <col min="16" max="16" width="6.88671875" bestFit="1" customWidth="1"/>
  </cols>
  <sheetData>
    <row r="2" spans="2:16" x14ac:dyDescent="0.3">
      <c r="K2" t="s">
        <v>510</v>
      </c>
      <c r="L2" t="s">
        <v>510</v>
      </c>
    </row>
    <row r="3" spans="2:16" x14ac:dyDescent="0.3">
      <c r="K3" s="73" t="s">
        <v>506</v>
      </c>
      <c r="L3" s="74" t="s">
        <v>509</v>
      </c>
      <c r="M3" s="74" t="s">
        <v>508</v>
      </c>
      <c r="N3" s="74" t="s">
        <v>511</v>
      </c>
    </row>
    <row r="4" spans="2:16" x14ac:dyDescent="0.3">
      <c r="C4" t="s">
        <v>499</v>
      </c>
      <c r="D4" t="s">
        <v>456</v>
      </c>
      <c r="E4" t="s">
        <v>498</v>
      </c>
      <c r="F4" t="s">
        <v>458</v>
      </c>
      <c r="G4" t="s">
        <v>507</v>
      </c>
      <c r="I4" t="s">
        <v>502</v>
      </c>
      <c r="K4" s="72">
        <v>862.24</v>
      </c>
      <c r="L4" s="72">
        <v>656.68</v>
      </c>
      <c r="M4">
        <f>G6</f>
        <v>774.07999999999993</v>
      </c>
      <c r="N4">
        <v>714.4699999999998</v>
      </c>
      <c r="P4" t="s">
        <v>512</v>
      </c>
    </row>
    <row r="5" spans="2:16" x14ac:dyDescent="0.3">
      <c r="B5" s="68" t="s">
        <v>369</v>
      </c>
      <c r="C5" s="66">
        <v>64967.7</v>
      </c>
      <c r="D5" s="70">
        <v>210</v>
      </c>
      <c r="E5">
        <f t="shared" ref="E5:E13" si="0">C5/D5</f>
        <v>309.37</v>
      </c>
      <c r="F5" s="66">
        <v>80184.3</v>
      </c>
      <c r="G5">
        <f t="shared" ref="G5:G13" si="1">F5/D5</f>
        <v>381.83000000000004</v>
      </c>
      <c r="K5" s="72">
        <v>101.24</v>
      </c>
      <c r="L5" s="72">
        <v>75.42</v>
      </c>
      <c r="P5" t="s">
        <v>500</v>
      </c>
    </row>
    <row r="6" spans="2:16" x14ac:dyDescent="0.3">
      <c r="B6" s="69" t="s">
        <v>363</v>
      </c>
      <c r="C6" s="67">
        <v>241427.20000000001</v>
      </c>
      <c r="D6" s="71">
        <v>280</v>
      </c>
      <c r="E6">
        <f t="shared" si="0"/>
        <v>862.24</v>
      </c>
      <c r="F6" s="67">
        <v>216742.39999999999</v>
      </c>
      <c r="G6">
        <f t="shared" si="1"/>
        <v>774.07999999999993</v>
      </c>
      <c r="K6" s="72">
        <v>27.75</v>
      </c>
      <c r="L6" s="72">
        <v>20</v>
      </c>
    </row>
    <row r="7" spans="2:16" x14ac:dyDescent="0.3">
      <c r="B7" s="68" t="s">
        <v>369</v>
      </c>
      <c r="C7" s="66">
        <v>51664.79</v>
      </c>
      <c r="D7" s="70">
        <v>167</v>
      </c>
      <c r="E7">
        <f t="shared" si="0"/>
        <v>309.37</v>
      </c>
      <c r="F7" s="66">
        <v>63765.61</v>
      </c>
      <c r="G7">
        <f t="shared" si="1"/>
        <v>381.83</v>
      </c>
      <c r="K7" s="72">
        <f>SUM(K4:K6)</f>
        <v>991.23</v>
      </c>
      <c r="L7" s="72">
        <f>SUM(L4:L6)</f>
        <v>752.09999999999991</v>
      </c>
    </row>
    <row r="8" spans="2:16" x14ac:dyDescent="0.3">
      <c r="B8" s="69" t="s">
        <v>363</v>
      </c>
      <c r="C8" s="67">
        <v>724281.6</v>
      </c>
      <c r="D8" s="71">
        <v>840</v>
      </c>
      <c r="E8">
        <f t="shared" si="0"/>
        <v>862.24</v>
      </c>
      <c r="F8" s="67">
        <v>650227.19999999995</v>
      </c>
      <c r="G8">
        <f t="shared" si="1"/>
        <v>774.07999999999993</v>
      </c>
      <c r="K8" s="72"/>
      <c r="L8" s="72"/>
    </row>
    <row r="9" spans="2:16" x14ac:dyDescent="0.3">
      <c r="B9" s="68" t="s">
        <v>369</v>
      </c>
      <c r="C9" s="66">
        <v>97451.55</v>
      </c>
      <c r="D9" s="70">
        <v>315</v>
      </c>
      <c r="E9">
        <f t="shared" si="0"/>
        <v>309.37</v>
      </c>
      <c r="F9" s="66">
        <v>120276.45</v>
      </c>
      <c r="G9">
        <f t="shared" si="1"/>
        <v>381.83</v>
      </c>
      <c r="I9" t="s">
        <v>500</v>
      </c>
      <c r="J9" t="s">
        <v>503</v>
      </c>
      <c r="K9" s="72">
        <v>314</v>
      </c>
      <c r="L9" s="72">
        <v>238</v>
      </c>
      <c r="M9">
        <f>G7</f>
        <v>381.83</v>
      </c>
      <c r="N9">
        <v>328.3900000000001</v>
      </c>
    </row>
    <row r="10" spans="2:16" x14ac:dyDescent="0.3">
      <c r="B10" s="69" t="s">
        <v>369</v>
      </c>
      <c r="C10" s="67">
        <v>61874</v>
      </c>
      <c r="D10" s="71">
        <v>200</v>
      </c>
      <c r="E10">
        <f t="shared" si="0"/>
        <v>309.37</v>
      </c>
      <c r="F10" s="67">
        <v>76366</v>
      </c>
      <c r="G10">
        <f t="shared" si="1"/>
        <v>381.83</v>
      </c>
      <c r="J10" t="s">
        <v>504</v>
      </c>
      <c r="K10" s="72">
        <v>26</v>
      </c>
      <c r="L10" s="72">
        <v>20</v>
      </c>
    </row>
    <row r="11" spans="2:16" x14ac:dyDescent="0.3">
      <c r="B11" s="68" t="s">
        <v>369</v>
      </c>
      <c r="C11" s="66">
        <v>108279.5</v>
      </c>
      <c r="D11" s="70">
        <v>350</v>
      </c>
      <c r="E11">
        <f t="shared" si="0"/>
        <v>309.37</v>
      </c>
      <c r="F11" s="66">
        <v>133640.5</v>
      </c>
      <c r="G11">
        <f t="shared" si="1"/>
        <v>381.83</v>
      </c>
      <c r="J11" t="s">
        <v>505</v>
      </c>
      <c r="K11" s="72">
        <v>26</v>
      </c>
      <c r="L11" s="72">
        <v>20</v>
      </c>
    </row>
    <row r="12" spans="2:16" x14ac:dyDescent="0.3">
      <c r="B12" s="69" t="s">
        <v>369</v>
      </c>
      <c r="C12" s="67">
        <v>30937</v>
      </c>
      <c r="D12" s="71">
        <v>100</v>
      </c>
      <c r="E12">
        <f t="shared" si="0"/>
        <v>309.37</v>
      </c>
      <c r="F12" s="67">
        <v>38183</v>
      </c>
      <c r="G12">
        <f t="shared" si="1"/>
        <v>381.83</v>
      </c>
      <c r="K12" s="72">
        <f>SUM(K9:K11)</f>
        <v>366</v>
      </c>
      <c r="L12" s="72">
        <f>SUM(L9:L11)</f>
        <v>278</v>
      </c>
    </row>
    <row r="13" spans="2:16" x14ac:dyDescent="0.3">
      <c r="B13" s="68" t="s">
        <v>363</v>
      </c>
      <c r="C13" s="66">
        <v>215560</v>
      </c>
      <c r="D13" s="70">
        <v>250</v>
      </c>
      <c r="E13">
        <f t="shared" si="0"/>
        <v>862.24</v>
      </c>
      <c r="F13" s="66">
        <v>193520</v>
      </c>
      <c r="G13">
        <f t="shared" si="1"/>
        <v>774.08</v>
      </c>
      <c r="K13" s="72"/>
      <c r="L13" s="72"/>
    </row>
    <row r="14" spans="2:16" x14ac:dyDescent="0.3">
      <c r="I14" t="s">
        <v>501</v>
      </c>
      <c r="K14" s="72">
        <v>309</v>
      </c>
      <c r="L14" s="72"/>
    </row>
    <row r="18" spans="9:13" x14ac:dyDescent="0.3">
      <c r="J18" s="73" t="s">
        <v>506</v>
      </c>
      <c r="K18" s="73" t="s">
        <v>513</v>
      </c>
      <c r="L18" s="73" t="s">
        <v>514</v>
      </c>
      <c r="M18" s="73" t="s">
        <v>515</v>
      </c>
    </row>
    <row r="19" spans="9:13" x14ac:dyDescent="0.3">
      <c r="I19" t="s">
        <v>512</v>
      </c>
      <c r="J19" s="72">
        <v>862.24</v>
      </c>
      <c r="K19" s="72">
        <v>656.68</v>
      </c>
      <c r="L19">
        <v>714.4699999999998</v>
      </c>
      <c r="M19">
        <v>687.20999999999992</v>
      </c>
    </row>
    <row r="20" spans="9:13" x14ac:dyDescent="0.3">
      <c r="I20" t="s">
        <v>500</v>
      </c>
      <c r="J20" s="72">
        <v>314</v>
      </c>
      <c r="K20" s="72">
        <v>238</v>
      </c>
      <c r="L20">
        <v>328.3900000000001</v>
      </c>
      <c r="M20">
        <v>243.32000000000005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Shared Dashboard - April</vt:lpstr>
      <vt:lpstr>Shared Dashboard - May</vt:lpstr>
      <vt:lpstr>Shared DB - June 25</vt:lpstr>
      <vt:lpstr>Shared DB - July 25</vt:lpstr>
      <vt:lpstr>Shared DB - Aug 25</vt:lpstr>
      <vt:lpstr>Shared DB - Sept 25</vt:lpstr>
      <vt:lpstr>Shared DB - Oct 25</vt:lpstr>
      <vt:lpstr>Shared DB - Nov 25</vt:lpstr>
      <vt:lpstr>FG wise Sales</vt:lpstr>
      <vt:lpstr>Dashboard</vt:lpstr>
      <vt:lpstr>Sheet3</vt:lpstr>
      <vt:lpstr>Sales Report</vt:lpstr>
      <vt:lpstr>Sheet2</vt:lpstr>
      <vt:lpstr>MIS Working 1</vt:lpstr>
      <vt:lpstr>COGS Break up</vt:lpstr>
      <vt:lpstr>Daily Pivot</vt:lpstr>
      <vt:lpstr>YTM Pivot</vt:lpstr>
      <vt:lpstr>Sales data (2)</vt:lpstr>
      <vt:lpstr>MIS Working</vt:lpstr>
      <vt:lpstr>ASP Analysis</vt:lpstr>
      <vt:lpstr>Master</vt:lpstr>
      <vt:lpstr>PIVOT</vt:lpstr>
      <vt:lpstr>Sheet1</vt:lpstr>
      <vt:lpstr>'MIS Working 1'!_FilterDatabase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Katre</dc:creator>
  <cp:lastModifiedBy>Sameer Hawal</cp:lastModifiedBy>
  <cp:lastPrinted>2026-03-17T17:51:21Z</cp:lastPrinted>
  <dcterms:created xsi:type="dcterms:W3CDTF">2015-06-05T18:17:20Z</dcterms:created>
  <dcterms:modified xsi:type="dcterms:W3CDTF">2026-03-17T17:51:55Z</dcterms:modified>
</cp:coreProperties>
</file>